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6.xml" ContentType="application/vnd.openxmlformats-officedocument.drawing+xml"/>
  <Override PartName="/xl/comments2.xml" ContentType="application/vnd.openxmlformats-officedocument.spreadsheetml.comments+xml"/>
  <Override PartName="/xl/drawings/drawing7.xml" ContentType="application/vnd.openxmlformats-officedocument.drawing+xml"/>
  <Override PartName="/xl/comments3.xml" ContentType="application/vnd.openxmlformats-officedocument.spreadsheetml.comments+xml"/>
  <Override PartName="/xl/drawings/drawing8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calcagno\Documents\MISSAR\Ex_ante_policy_evaluation\31_12_2019_legislation\No_changes_pension_mobility\Results\"/>
    </mc:Choice>
  </mc:AlternateContent>
  <bookViews>
    <workbookView xWindow="0" yWindow="0" windowWidth="16380" windowHeight="8190" tabRatio="500" activeTab="6"/>
  </bookViews>
  <sheets>
    <sheet name="GDP evolution by scenario" sheetId="1" r:id="rId1"/>
    <sheet name="Central scenario" sheetId="2" r:id="rId2"/>
    <sheet name="Low scenario" sheetId="3" r:id="rId3"/>
    <sheet name="High scenario" sheetId="4" r:id="rId4"/>
    <sheet name="Graphiques déficit" sheetId="5" r:id="rId5"/>
    <sheet name="Bismarckian Deficit" sheetId="6" r:id="rId6"/>
    <sheet name="Economic result" sheetId="7" r:id="rId7"/>
    <sheet name="High pensions" sheetId="8" r:id="rId8"/>
    <sheet name="Low pensions" sheetId="9" r:id="rId9"/>
    <sheet name="Central pensions" sheetId="10" r:id="rId10"/>
    <sheet name="Central SIPA income" sheetId="11" r:id="rId11"/>
    <sheet name="Low SIPA income" sheetId="12" r:id="rId12"/>
    <sheet name="High SIPA income" sheetId="13" r:id="rId13"/>
    <sheet name="workers_and_wage_central" sheetId="14" r:id="rId14"/>
    <sheet name="workers_and_wage_high" sheetId="15" r:id="rId15"/>
    <sheet name="workers_and_wage_low" sheetId="16" r:id="rId16"/>
    <sheet name="central_v2_m" sheetId="17" r:id="rId17"/>
    <sheet name="low_v2_m" sheetId="18" r:id="rId18"/>
    <sheet name="high_v2_m" sheetId="19" r:id="rId19"/>
    <sheet name="central_v5_m" sheetId="20" r:id="rId20"/>
    <sheet name="low_v5_m" sheetId="21" r:id="rId21"/>
    <sheet name="high_v5_m" sheetId="22" r:id="rId22"/>
    <sheet name="central_SIPA_income" sheetId="23" r:id="rId23"/>
    <sheet name="low_SIPA_income" sheetId="24" r:id="rId24"/>
    <sheet name="high_SIPA_income" sheetId="25" r:id="rId25"/>
    <sheet name="temporary_pension_bonus_central" sheetId="26" r:id="rId26"/>
    <sheet name="temporary_pension_bonus_low" sheetId="27" r:id="rId27"/>
    <sheet name="temporary_pension_bonus_high" sheetId="28" r:id="rId28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7" i="7" l="1"/>
  <c r="D27" i="7"/>
  <c r="M112" i="13" l="1"/>
  <c r="F112" i="13"/>
  <c r="E112" i="13"/>
  <c r="G112" i="13" s="1"/>
  <c r="J112" i="13" s="1"/>
  <c r="G111" i="13"/>
  <c r="F111" i="13"/>
  <c r="M111" i="13" s="1"/>
  <c r="E111" i="13"/>
  <c r="G110" i="13"/>
  <c r="J110" i="13" s="1"/>
  <c r="F110" i="13"/>
  <c r="M110" i="13" s="1"/>
  <c r="E110" i="13"/>
  <c r="M109" i="13"/>
  <c r="J109" i="13"/>
  <c r="F109" i="13"/>
  <c r="E109" i="13"/>
  <c r="G109" i="13" s="1"/>
  <c r="F108" i="13"/>
  <c r="M108" i="13" s="1"/>
  <c r="E108" i="13"/>
  <c r="F107" i="13"/>
  <c r="M107" i="13" s="1"/>
  <c r="E107" i="13"/>
  <c r="J106" i="13"/>
  <c r="G106" i="13"/>
  <c r="F106" i="13"/>
  <c r="M106" i="13" s="1"/>
  <c r="E106" i="13"/>
  <c r="M105" i="13"/>
  <c r="F105" i="13"/>
  <c r="E105" i="13"/>
  <c r="G105" i="13" s="1"/>
  <c r="M104" i="13"/>
  <c r="F104" i="13"/>
  <c r="E104" i="13"/>
  <c r="G104" i="13" s="1"/>
  <c r="J104" i="13" s="1"/>
  <c r="G103" i="13"/>
  <c r="F103" i="13"/>
  <c r="M103" i="13" s="1"/>
  <c r="E103" i="13"/>
  <c r="G102" i="13"/>
  <c r="J102" i="13" s="1"/>
  <c r="F102" i="13"/>
  <c r="M102" i="13" s="1"/>
  <c r="E102" i="13"/>
  <c r="M101" i="13"/>
  <c r="J101" i="13"/>
  <c r="F101" i="13"/>
  <c r="E101" i="13"/>
  <c r="G101" i="13" s="1"/>
  <c r="F100" i="13"/>
  <c r="M100" i="13" s="1"/>
  <c r="E100" i="13"/>
  <c r="F99" i="13"/>
  <c r="M99" i="13" s="1"/>
  <c r="E99" i="13"/>
  <c r="J98" i="13"/>
  <c r="G98" i="13"/>
  <c r="F98" i="13"/>
  <c r="M98" i="13" s="1"/>
  <c r="E98" i="13"/>
  <c r="M97" i="13"/>
  <c r="F97" i="13"/>
  <c r="E97" i="13"/>
  <c r="G97" i="13" s="1"/>
  <c r="M96" i="13"/>
  <c r="F96" i="13"/>
  <c r="E96" i="13"/>
  <c r="G96" i="13" s="1"/>
  <c r="J96" i="13" s="1"/>
  <c r="G95" i="13"/>
  <c r="F95" i="13"/>
  <c r="M95" i="13" s="1"/>
  <c r="E95" i="13"/>
  <c r="G94" i="13"/>
  <c r="J94" i="13" s="1"/>
  <c r="F94" i="13"/>
  <c r="M94" i="13" s="1"/>
  <c r="E94" i="13"/>
  <c r="M93" i="13"/>
  <c r="J93" i="13"/>
  <c r="F93" i="13"/>
  <c r="E93" i="13"/>
  <c r="G93" i="13" s="1"/>
  <c r="F92" i="13"/>
  <c r="M92" i="13" s="1"/>
  <c r="E92" i="13"/>
  <c r="F91" i="13"/>
  <c r="M91" i="13" s="1"/>
  <c r="E91" i="13"/>
  <c r="J90" i="13"/>
  <c r="G90" i="13"/>
  <c r="F90" i="13"/>
  <c r="M90" i="13" s="1"/>
  <c r="E90" i="13"/>
  <c r="M89" i="13"/>
  <c r="F89" i="13"/>
  <c r="E89" i="13"/>
  <c r="G89" i="13" s="1"/>
  <c r="M88" i="13"/>
  <c r="F88" i="13"/>
  <c r="E88" i="13"/>
  <c r="G88" i="13" s="1"/>
  <c r="J88" i="13" s="1"/>
  <c r="G87" i="13"/>
  <c r="F87" i="13"/>
  <c r="M87" i="13" s="1"/>
  <c r="E87" i="13"/>
  <c r="G86" i="13"/>
  <c r="J86" i="13" s="1"/>
  <c r="F86" i="13"/>
  <c r="M86" i="13" s="1"/>
  <c r="E86" i="13"/>
  <c r="M85" i="13"/>
  <c r="J85" i="13"/>
  <c r="F85" i="13"/>
  <c r="E85" i="13"/>
  <c r="G85" i="13" s="1"/>
  <c r="M84" i="13"/>
  <c r="F84" i="13"/>
  <c r="E84" i="13"/>
  <c r="G84" i="13" s="1"/>
  <c r="J84" i="13" s="1"/>
  <c r="T89" i="4" s="1"/>
  <c r="M83" i="13"/>
  <c r="F83" i="13"/>
  <c r="E83" i="13"/>
  <c r="G83" i="13" s="1"/>
  <c r="J83" i="13" s="1"/>
  <c r="J82" i="13"/>
  <c r="G82" i="13"/>
  <c r="F82" i="13"/>
  <c r="M82" i="13" s="1"/>
  <c r="E82" i="13"/>
  <c r="M81" i="13"/>
  <c r="X86" i="4" s="1"/>
  <c r="F81" i="13"/>
  <c r="E81" i="13"/>
  <c r="G81" i="13" s="1"/>
  <c r="J81" i="13" s="1"/>
  <c r="F80" i="13"/>
  <c r="M80" i="13" s="1"/>
  <c r="E80" i="13"/>
  <c r="G80" i="13" s="1"/>
  <c r="F79" i="13"/>
  <c r="M79" i="13" s="1"/>
  <c r="E79" i="13"/>
  <c r="G79" i="13" s="1"/>
  <c r="J79" i="13" s="1"/>
  <c r="F78" i="13"/>
  <c r="M78" i="13" s="1"/>
  <c r="E78" i="13"/>
  <c r="M77" i="13"/>
  <c r="G77" i="13"/>
  <c r="J77" i="13" s="1"/>
  <c r="F77" i="13"/>
  <c r="E77" i="13"/>
  <c r="F76" i="13"/>
  <c r="M76" i="13" s="1"/>
  <c r="E76" i="13"/>
  <c r="F75" i="13"/>
  <c r="E75" i="13"/>
  <c r="F74" i="13"/>
  <c r="E74" i="13"/>
  <c r="M73" i="13"/>
  <c r="G73" i="13"/>
  <c r="F73" i="13"/>
  <c r="E73" i="13"/>
  <c r="M72" i="13"/>
  <c r="F72" i="13"/>
  <c r="E72" i="13"/>
  <c r="M71" i="13"/>
  <c r="G71" i="13"/>
  <c r="F71" i="13"/>
  <c r="E71" i="13"/>
  <c r="G70" i="13"/>
  <c r="J70" i="13" s="1"/>
  <c r="F70" i="13"/>
  <c r="M70" i="13" s="1"/>
  <c r="E70" i="13"/>
  <c r="M69" i="13"/>
  <c r="J69" i="13"/>
  <c r="F69" i="13"/>
  <c r="E69" i="13"/>
  <c r="G69" i="13" s="1"/>
  <c r="M68" i="13"/>
  <c r="F68" i="13"/>
  <c r="E68" i="13"/>
  <c r="G68" i="13" s="1"/>
  <c r="J68" i="13" s="1"/>
  <c r="T73" i="4" s="1"/>
  <c r="M67" i="13"/>
  <c r="F67" i="13"/>
  <c r="E67" i="13"/>
  <c r="G67" i="13" s="1"/>
  <c r="J67" i="13" s="1"/>
  <c r="J66" i="13"/>
  <c r="T71" i="4" s="1"/>
  <c r="G66" i="13"/>
  <c r="F66" i="13"/>
  <c r="M66" i="13" s="1"/>
  <c r="E66" i="13"/>
  <c r="M65" i="13"/>
  <c r="X70" i="4" s="1"/>
  <c r="F65" i="13"/>
  <c r="E65" i="13"/>
  <c r="G65" i="13" s="1"/>
  <c r="J65" i="13" s="1"/>
  <c r="F64" i="13"/>
  <c r="M64" i="13" s="1"/>
  <c r="E64" i="13"/>
  <c r="G64" i="13" s="1"/>
  <c r="F63" i="13"/>
  <c r="M63" i="13" s="1"/>
  <c r="E63" i="13"/>
  <c r="G63" i="13" s="1"/>
  <c r="J63" i="13" s="1"/>
  <c r="F62" i="13"/>
  <c r="M62" i="13" s="1"/>
  <c r="E62" i="13"/>
  <c r="M61" i="13"/>
  <c r="G61" i="13"/>
  <c r="J61" i="13" s="1"/>
  <c r="F61" i="13"/>
  <c r="E61" i="13"/>
  <c r="F60" i="13"/>
  <c r="M60" i="13" s="1"/>
  <c r="E60" i="13"/>
  <c r="F59" i="13"/>
  <c r="E59" i="13"/>
  <c r="F58" i="13"/>
  <c r="E58" i="13"/>
  <c r="M57" i="13"/>
  <c r="G57" i="13"/>
  <c r="F57" i="13"/>
  <c r="E57" i="13"/>
  <c r="M56" i="13"/>
  <c r="F56" i="13"/>
  <c r="E56" i="13"/>
  <c r="M55" i="13"/>
  <c r="G55" i="13"/>
  <c r="J55" i="13" s="1"/>
  <c r="T60" i="4" s="1"/>
  <c r="F55" i="13"/>
  <c r="E55" i="13"/>
  <c r="G54" i="13"/>
  <c r="J54" i="13" s="1"/>
  <c r="F54" i="13"/>
  <c r="M54" i="13" s="1"/>
  <c r="E54" i="13"/>
  <c r="M53" i="13"/>
  <c r="J53" i="13"/>
  <c r="F53" i="13"/>
  <c r="E53" i="13"/>
  <c r="G53" i="13" s="1"/>
  <c r="M52" i="13"/>
  <c r="F52" i="13"/>
  <c r="E52" i="13"/>
  <c r="G52" i="13" s="1"/>
  <c r="J52" i="13" s="1"/>
  <c r="T57" i="4" s="1"/>
  <c r="M51" i="13"/>
  <c r="F51" i="13"/>
  <c r="E51" i="13"/>
  <c r="G51" i="13" s="1"/>
  <c r="J51" i="13" s="1"/>
  <c r="J50" i="13"/>
  <c r="T55" i="4" s="1"/>
  <c r="G50" i="13"/>
  <c r="F50" i="13"/>
  <c r="M50" i="13" s="1"/>
  <c r="E50" i="13"/>
  <c r="M49" i="13"/>
  <c r="X54" i="4" s="1"/>
  <c r="F49" i="13"/>
  <c r="E49" i="13"/>
  <c r="G49" i="13" s="1"/>
  <c r="J49" i="13" s="1"/>
  <c r="F48" i="13"/>
  <c r="M48" i="13" s="1"/>
  <c r="E48" i="13"/>
  <c r="G48" i="13" s="1"/>
  <c r="F47" i="13"/>
  <c r="M47" i="13" s="1"/>
  <c r="E47" i="13"/>
  <c r="G47" i="13" s="1"/>
  <c r="J47" i="13" s="1"/>
  <c r="F46" i="13"/>
  <c r="M46" i="13" s="1"/>
  <c r="E46" i="13"/>
  <c r="M45" i="13"/>
  <c r="G45" i="13"/>
  <c r="J45" i="13" s="1"/>
  <c r="F45" i="13"/>
  <c r="E45" i="13"/>
  <c r="F44" i="13"/>
  <c r="M44" i="13" s="1"/>
  <c r="E44" i="13"/>
  <c r="F43" i="13"/>
  <c r="E43" i="13"/>
  <c r="F42" i="13"/>
  <c r="E42" i="13"/>
  <c r="M41" i="13"/>
  <c r="G41" i="13"/>
  <c r="F41" i="13"/>
  <c r="E41" i="13"/>
  <c r="M40" i="13"/>
  <c r="F40" i="13"/>
  <c r="E40" i="13"/>
  <c r="M39" i="13"/>
  <c r="G39" i="13"/>
  <c r="F39" i="13"/>
  <c r="E39" i="13"/>
  <c r="G38" i="13"/>
  <c r="J38" i="13" s="1"/>
  <c r="F38" i="13"/>
  <c r="M38" i="13" s="1"/>
  <c r="E38" i="13"/>
  <c r="M37" i="13"/>
  <c r="J37" i="13"/>
  <c r="F37" i="13"/>
  <c r="E37" i="13"/>
  <c r="G37" i="13" s="1"/>
  <c r="M36" i="13"/>
  <c r="F36" i="13"/>
  <c r="E36" i="13"/>
  <c r="G36" i="13" s="1"/>
  <c r="J36" i="13" s="1"/>
  <c r="T41" i="4" s="1"/>
  <c r="M35" i="13"/>
  <c r="F35" i="13"/>
  <c r="E35" i="13"/>
  <c r="G35" i="13" s="1"/>
  <c r="J35" i="13" s="1"/>
  <c r="J34" i="13"/>
  <c r="T39" i="4" s="1"/>
  <c r="G34" i="13"/>
  <c r="F34" i="13"/>
  <c r="M34" i="13" s="1"/>
  <c r="E34" i="13"/>
  <c r="M33" i="13"/>
  <c r="X38" i="4" s="1"/>
  <c r="F33" i="13"/>
  <c r="E33" i="13"/>
  <c r="G33" i="13" s="1"/>
  <c r="J33" i="13" s="1"/>
  <c r="F32" i="13"/>
  <c r="M32" i="13" s="1"/>
  <c r="E32" i="13"/>
  <c r="G32" i="13" s="1"/>
  <c r="F31" i="13"/>
  <c r="M31" i="13" s="1"/>
  <c r="E31" i="13"/>
  <c r="G31" i="13" s="1"/>
  <c r="J31" i="13" s="1"/>
  <c r="F30" i="13"/>
  <c r="M30" i="13" s="1"/>
  <c r="E30" i="13"/>
  <c r="M29" i="13"/>
  <c r="G29" i="13"/>
  <c r="J29" i="13" s="1"/>
  <c r="F29" i="13"/>
  <c r="E29" i="13"/>
  <c r="F28" i="13"/>
  <c r="M28" i="13" s="1"/>
  <c r="E28" i="13"/>
  <c r="F27" i="13"/>
  <c r="E27" i="13"/>
  <c r="F26" i="13"/>
  <c r="E26" i="13"/>
  <c r="M25" i="13"/>
  <c r="G25" i="13"/>
  <c r="F25" i="13"/>
  <c r="E25" i="13"/>
  <c r="M24" i="13"/>
  <c r="F24" i="13"/>
  <c r="E24" i="13"/>
  <c r="M23" i="13"/>
  <c r="G23" i="13"/>
  <c r="F23" i="13"/>
  <c r="E23" i="13"/>
  <c r="G22" i="13"/>
  <c r="J22" i="13" s="1"/>
  <c r="F22" i="13"/>
  <c r="M22" i="13" s="1"/>
  <c r="E22" i="13"/>
  <c r="M21" i="13"/>
  <c r="F21" i="13"/>
  <c r="E21" i="13"/>
  <c r="G21" i="13" s="1"/>
  <c r="J21" i="13" s="1"/>
  <c r="T26" i="4" s="1"/>
  <c r="M20" i="13"/>
  <c r="F20" i="13"/>
  <c r="E20" i="13"/>
  <c r="G20" i="13" s="1"/>
  <c r="J20" i="13" s="1"/>
  <c r="M19" i="13"/>
  <c r="F19" i="13"/>
  <c r="E19" i="13"/>
  <c r="G19" i="13" s="1"/>
  <c r="J19" i="13" s="1"/>
  <c r="J18" i="13"/>
  <c r="G18" i="13"/>
  <c r="F18" i="13"/>
  <c r="M18" i="13" s="1"/>
  <c r="E18" i="13"/>
  <c r="M17" i="13"/>
  <c r="F17" i="13"/>
  <c r="E17" i="13"/>
  <c r="G17" i="13" s="1"/>
  <c r="J17" i="13" s="1"/>
  <c r="F16" i="13"/>
  <c r="M16" i="13" s="1"/>
  <c r="E16" i="13"/>
  <c r="G16" i="13" s="1"/>
  <c r="J16" i="13" s="1"/>
  <c r="F15" i="13"/>
  <c r="M15" i="13" s="1"/>
  <c r="E15" i="13"/>
  <c r="G15" i="13" s="1"/>
  <c r="J15" i="13" s="1"/>
  <c r="F14" i="13"/>
  <c r="M14" i="13" s="1"/>
  <c r="E14" i="13"/>
  <c r="M13" i="13"/>
  <c r="G13" i="13"/>
  <c r="J13" i="13" s="1"/>
  <c r="F13" i="13"/>
  <c r="E13" i="13"/>
  <c r="F12" i="13"/>
  <c r="M12" i="13" s="1"/>
  <c r="E12" i="13"/>
  <c r="F11" i="13"/>
  <c r="E11" i="13"/>
  <c r="J10" i="13"/>
  <c r="I10" i="13"/>
  <c r="J3" i="13" s="1"/>
  <c r="F10" i="13"/>
  <c r="M10" i="13" s="1"/>
  <c r="E10" i="13"/>
  <c r="G10" i="13" s="1"/>
  <c r="M9" i="13"/>
  <c r="G9" i="13"/>
  <c r="J9" i="13" s="1"/>
  <c r="F9" i="13"/>
  <c r="E9" i="13"/>
  <c r="M8" i="13"/>
  <c r="L8" i="13"/>
  <c r="J8" i="13"/>
  <c r="I8" i="13"/>
  <c r="M7" i="13"/>
  <c r="L7" i="13"/>
  <c r="J7" i="13"/>
  <c r="I7" i="13"/>
  <c r="M6" i="13"/>
  <c r="L6" i="13"/>
  <c r="J6" i="13"/>
  <c r="I6" i="13"/>
  <c r="M5" i="13"/>
  <c r="L5" i="13"/>
  <c r="J5" i="13"/>
  <c r="I5" i="13"/>
  <c r="M4" i="13"/>
  <c r="L4" i="13"/>
  <c r="J4" i="13"/>
  <c r="I4" i="13"/>
  <c r="M3" i="13"/>
  <c r="L3" i="13"/>
  <c r="L10" i="13" s="1"/>
  <c r="I3" i="13"/>
  <c r="G112" i="12"/>
  <c r="J112" i="12" s="1"/>
  <c r="F112" i="12"/>
  <c r="M112" i="12" s="1"/>
  <c r="E112" i="12"/>
  <c r="M111" i="12"/>
  <c r="J111" i="12"/>
  <c r="F111" i="12"/>
  <c r="E111" i="12"/>
  <c r="G111" i="12" s="1"/>
  <c r="M110" i="12"/>
  <c r="F110" i="12"/>
  <c r="E110" i="12"/>
  <c r="G110" i="12" s="1"/>
  <c r="J110" i="12" s="1"/>
  <c r="M109" i="12"/>
  <c r="F109" i="12"/>
  <c r="E109" i="12"/>
  <c r="G109" i="12" s="1"/>
  <c r="J109" i="12" s="1"/>
  <c r="J108" i="12"/>
  <c r="G108" i="12"/>
  <c r="F108" i="12"/>
  <c r="M108" i="12" s="1"/>
  <c r="E108" i="12"/>
  <c r="M107" i="12"/>
  <c r="F107" i="12"/>
  <c r="E107" i="12"/>
  <c r="G107" i="12" s="1"/>
  <c r="J107" i="12" s="1"/>
  <c r="F106" i="12"/>
  <c r="M106" i="12" s="1"/>
  <c r="E106" i="12"/>
  <c r="G106" i="12" s="1"/>
  <c r="J106" i="12" s="1"/>
  <c r="F105" i="12"/>
  <c r="E105" i="12"/>
  <c r="M104" i="12"/>
  <c r="G104" i="12"/>
  <c r="J104" i="12" s="1"/>
  <c r="F104" i="12"/>
  <c r="E104" i="12"/>
  <c r="M103" i="12"/>
  <c r="J103" i="12"/>
  <c r="F103" i="12"/>
  <c r="E103" i="12"/>
  <c r="G103" i="12" s="1"/>
  <c r="M102" i="12"/>
  <c r="F102" i="12"/>
  <c r="E102" i="12"/>
  <c r="G102" i="12" s="1"/>
  <c r="J102" i="12" s="1"/>
  <c r="F101" i="12"/>
  <c r="E101" i="12"/>
  <c r="G100" i="12"/>
  <c r="J100" i="12" s="1"/>
  <c r="F100" i="12"/>
  <c r="M100" i="12" s="1"/>
  <c r="E100" i="12"/>
  <c r="M99" i="12"/>
  <c r="J99" i="12"/>
  <c r="F99" i="12"/>
  <c r="E99" i="12"/>
  <c r="G99" i="12" s="1"/>
  <c r="M98" i="12"/>
  <c r="F98" i="12"/>
  <c r="E98" i="12"/>
  <c r="G98" i="12" s="1"/>
  <c r="J98" i="12" s="1"/>
  <c r="F97" i="12"/>
  <c r="E97" i="12"/>
  <c r="M96" i="12"/>
  <c r="G96" i="12"/>
  <c r="J96" i="12" s="1"/>
  <c r="F96" i="12"/>
  <c r="E96" i="12"/>
  <c r="M95" i="12"/>
  <c r="F95" i="12"/>
  <c r="E95" i="12"/>
  <c r="G95" i="12" s="1"/>
  <c r="J95" i="12" s="1"/>
  <c r="M94" i="12"/>
  <c r="F94" i="12"/>
  <c r="E94" i="12"/>
  <c r="G94" i="12" s="1"/>
  <c r="J94" i="12" s="1"/>
  <c r="F93" i="12"/>
  <c r="E93" i="12"/>
  <c r="M92" i="12"/>
  <c r="G92" i="12"/>
  <c r="J92" i="12" s="1"/>
  <c r="F92" i="12"/>
  <c r="E92" i="12"/>
  <c r="M91" i="12"/>
  <c r="J91" i="12"/>
  <c r="F91" i="12"/>
  <c r="E91" i="12"/>
  <c r="G91" i="12" s="1"/>
  <c r="M90" i="12"/>
  <c r="F90" i="12"/>
  <c r="E90" i="12"/>
  <c r="G90" i="12" s="1"/>
  <c r="J90" i="12" s="1"/>
  <c r="F89" i="12"/>
  <c r="E89" i="12"/>
  <c r="G88" i="12"/>
  <c r="J88" i="12" s="1"/>
  <c r="F88" i="12"/>
  <c r="M88" i="12" s="1"/>
  <c r="E88" i="12"/>
  <c r="M87" i="12"/>
  <c r="J87" i="12"/>
  <c r="F87" i="12"/>
  <c r="E87" i="12"/>
  <c r="G87" i="12" s="1"/>
  <c r="M86" i="12"/>
  <c r="F86" i="12"/>
  <c r="E86" i="12"/>
  <c r="G86" i="12" s="1"/>
  <c r="J86" i="12" s="1"/>
  <c r="F85" i="12"/>
  <c r="E85" i="12"/>
  <c r="G84" i="12"/>
  <c r="J84" i="12" s="1"/>
  <c r="F84" i="12"/>
  <c r="M84" i="12" s="1"/>
  <c r="E84" i="12"/>
  <c r="M83" i="12"/>
  <c r="J83" i="12"/>
  <c r="F83" i="12"/>
  <c r="E83" i="12"/>
  <c r="G83" i="12" s="1"/>
  <c r="M82" i="12"/>
  <c r="F82" i="12"/>
  <c r="E82" i="12"/>
  <c r="G82" i="12" s="1"/>
  <c r="J82" i="12" s="1"/>
  <c r="F81" i="12"/>
  <c r="E81" i="12"/>
  <c r="M80" i="12"/>
  <c r="G80" i="12"/>
  <c r="J80" i="12" s="1"/>
  <c r="F80" i="12"/>
  <c r="E80" i="12"/>
  <c r="M79" i="12"/>
  <c r="J79" i="12"/>
  <c r="F79" i="12"/>
  <c r="E79" i="12"/>
  <c r="G79" i="12" s="1"/>
  <c r="M78" i="12"/>
  <c r="F78" i="12"/>
  <c r="E78" i="12"/>
  <c r="G78" i="12" s="1"/>
  <c r="J78" i="12" s="1"/>
  <c r="F77" i="12"/>
  <c r="E77" i="12"/>
  <c r="G76" i="12"/>
  <c r="J76" i="12" s="1"/>
  <c r="F76" i="12"/>
  <c r="M76" i="12" s="1"/>
  <c r="E76" i="12"/>
  <c r="M75" i="12"/>
  <c r="J75" i="12"/>
  <c r="F75" i="12"/>
  <c r="E75" i="12"/>
  <c r="G75" i="12" s="1"/>
  <c r="M74" i="12"/>
  <c r="F74" i="12"/>
  <c r="E74" i="12"/>
  <c r="G74" i="12" s="1"/>
  <c r="J74" i="12" s="1"/>
  <c r="F73" i="12"/>
  <c r="E73" i="12"/>
  <c r="G72" i="12"/>
  <c r="J72" i="12" s="1"/>
  <c r="F72" i="12"/>
  <c r="M72" i="12" s="1"/>
  <c r="E72" i="12"/>
  <c r="M71" i="12"/>
  <c r="J71" i="12"/>
  <c r="F71" i="12"/>
  <c r="E71" i="12"/>
  <c r="G71" i="12" s="1"/>
  <c r="M70" i="12"/>
  <c r="F70" i="12"/>
  <c r="E70" i="12"/>
  <c r="G70" i="12" s="1"/>
  <c r="J70" i="12" s="1"/>
  <c r="G69" i="12"/>
  <c r="J69" i="12" s="1"/>
  <c r="F69" i="12"/>
  <c r="M69" i="12" s="1"/>
  <c r="E69" i="12"/>
  <c r="G68" i="12"/>
  <c r="J68" i="12" s="1"/>
  <c r="F68" i="12"/>
  <c r="M68" i="12" s="1"/>
  <c r="E68" i="12"/>
  <c r="M67" i="12"/>
  <c r="F67" i="12"/>
  <c r="E67" i="12"/>
  <c r="G67" i="12" s="1"/>
  <c r="F66" i="12"/>
  <c r="M66" i="12" s="1"/>
  <c r="E66" i="12"/>
  <c r="G65" i="12"/>
  <c r="J65" i="12" s="1"/>
  <c r="F65" i="12"/>
  <c r="M65" i="12" s="1"/>
  <c r="E65" i="12"/>
  <c r="M64" i="12"/>
  <c r="J64" i="12"/>
  <c r="G64" i="12"/>
  <c r="F64" i="12"/>
  <c r="E64" i="12"/>
  <c r="M63" i="12"/>
  <c r="J63" i="12"/>
  <c r="F63" i="12"/>
  <c r="E63" i="12"/>
  <c r="G63" i="12" s="1"/>
  <c r="M62" i="12"/>
  <c r="F62" i="12"/>
  <c r="E62" i="12"/>
  <c r="G62" i="12" s="1"/>
  <c r="J62" i="12" s="1"/>
  <c r="F61" i="12"/>
  <c r="E61" i="12"/>
  <c r="J60" i="12"/>
  <c r="G60" i="12"/>
  <c r="F60" i="12"/>
  <c r="M60" i="12" s="1"/>
  <c r="E60" i="12"/>
  <c r="M59" i="12"/>
  <c r="F59" i="12"/>
  <c r="E59" i="12"/>
  <c r="G59" i="12" s="1"/>
  <c r="J59" i="12" s="1"/>
  <c r="F58" i="12"/>
  <c r="M58" i="12" s="1"/>
  <c r="E58" i="12"/>
  <c r="G58" i="12" s="1"/>
  <c r="F57" i="12"/>
  <c r="M57" i="12" s="1"/>
  <c r="E57" i="12"/>
  <c r="G57" i="12" s="1"/>
  <c r="J57" i="12" s="1"/>
  <c r="F56" i="12"/>
  <c r="E56" i="12"/>
  <c r="M55" i="12"/>
  <c r="G55" i="12"/>
  <c r="J55" i="12" s="1"/>
  <c r="F55" i="12"/>
  <c r="E55" i="12"/>
  <c r="F54" i="12"/>
  <c r="M54" i="12" s="1"/>
  <c r="E54" i="12"/>
  <c r="G54" i="12" s="1"/>
  <c r="J54" i="12" s="1"/>
  <c r="M53" i="12"/>
  <c r="F53" i="12"/>
  <c r="E53" i="12"/>
  <c r="G53" i="12" s="1"/>
  <c r="J53" i="12" s="1"/>
  <c r="F52" i="12"/>
  <c r="E52" i="12"/>
  <c r="G51" i="12"/>
  <c r="J51" i="12" s="1"/>
  <c r="F51" i="12"/>
  <c r="M51" i="12" s="1"/>
  <c r="E51" i="12"/>
  <c r="J50" i="12"/>
  <c r="F50" i="12"/>
  <c r="M50" i="12" s="1"/>
  <c r="E50" i="12"/>
  <c r="G50" i="12" s="1"/>
  <c r="M49" i="12"/>
  <c r="F49" i="12"/>
  <c r="E49" i="12"/>
  <c r="G49" i="12" s="1"/>
  <c r="J49" i="12" s="1"/>
  <c r="F48" i="12"/>
  <c r="M48" i="12" s="1"/>
  <c r="E48" i="12"/>
  <c r="G48" i="12" s="1"/>
  <c r="J48" i="12" s="1"/>
  <c r="G47" i="12"/>
  <c r="J47" i="12" s="1"/>
  <c r="F47" i="12"/>
  <c r="M47" i="12" s="1"/>
  <c r="E47" i="12"/>
  <c r="J46" i="12"/>
  <c r="F46" i="12"/>
  <c r="M46" i="12" s="1"/>
  <c r="E46" i="12"/>
  <c r="G46" i="12" s="1"/>
  <c r="M45" i="12"/>
  <c r="F45" i="12"/>
  <c r="E45" i="12"/>
  <c r="G45" i="12" s="1"/>
  <c r="J45" i="12" s="1"/>
  <c r="F44" i="12"/>
  <c r="M44" i="12" s="1"/>
  <c r="E44" i="12"/>
  <c r="G44" i="12" s="1"/>
  <c r="J44" i="12" s="1"/>
  <c r="G43" i="12"/>
  <c r="J43" i="12" s="1"/>
  <c r="F43" i="12"/>
  <c r="M43" i="12" s="1"/>
  <c r="E43" i="12"/>
  <c r="J42" i="12"/>
  <c r="G42" i="12"/>
  <c r="F42" i="12"/>
  <c r="M42" i="12" s="1"/>
  <c r="E42" i="12"/>
  <c r="M41" i="12"/>
  <c r="F41" i="12"/>
  <c r="E41" i="12"/>
  <c r="G41" i="12" s="1"/>
  <c r="J41" i="12" s="1"/>
  <c r="F40" i="12"/>
  <c r="M40" i="12" s="1"/>
  <c r="E40" i="12"/>
  <c r="G40" i="12" s="1"/>
  <c r="J40" i="12" s="1"/>
  <c r="G39" i="12"/>
  <c r="J39" i="12" s="1"/>
  <c r="F39" i="12"/>
  <c r="M39" i="12" s="1"/>
  <c r="E39" i="12"/>
  <c r="J38" i="12"/>
  <c r="G38" i="12"/>
  <c r="F38" i="12"/>
  <c r="M38" i="12" s="1"/>
  <c r="E38" i="12"/>
  <c r="M37" i="12"/>
  <c r="F37" i="12"/>
  <c r="E37" i="12"/>
  <c r="G37" i="12" s="1"/>
  <c r="J37" i="12" s="1"/>
  <c r="F36" i="12"/>
  <c r="M36" i="12" s="1"/>
  <c r="E36" i="12"/>
  <c r="G36" i="12" s="1"/>
  <c r="J36" i="12" s="1"/>
  <c r="G35" i="12"/>
  <c r="J35" i="12" s="1"/>
  <c r="F35" i="12"/>
  <c r="M35" i="12" s="1"/>
  <c r="E35" i="12"/>
  <c r="M34" i="12"/>
  <c r="J34" i="12"/>
  <c r="G34" i="12"/>
  <c r="F34" i="12"/>
  <c r="E34" i="12"/>
  <c r="M33" i="12"/>
  <c r="F33" i="12"/>
  <c r="E33" i="12"/>
  <c r="G33" i="12" s="1"/>
  <c r="J33" i="12" s="1"/>
  <c r="F32" i="12"/>
  <c r="M32" i="12" s="1"/>
  <c r="E32" i="12"/>
  <c r="G32" i="12" s="1"/>
  <c r="J32" i="12" s="1"/>
  <c r="G31" i="12"/>
  <c r="J31" i="12" s="1"/>
  <c r="F31" i="12"/>
  <c r="M31" i="12" s="1"/>
  <c r="E31" i="12"/>
  <c r="J30" i="12"/>
  <c r="G30" i="12"/>
  <c r="F30" i="12"/>
  <c r="M30" i="12" s="1"/>
  <c r="E30" i="12"/>
  <c r="M29" i="12"/>
  <c r="F29" i="12"/>
  <c r="E29" i="12"/>
  <c r="G29" i="12" s="1"/>
  <c r="J29" i="12" s="1"/>
  <c r="F28" i="12"/>
  <c r="M28" i="12" s="1"/>
  <c r="E28" i="12"/>
  <c r="G28" i="12" s="1"/>
  <c r="J28" i="12" s="1"/>
  <c r="G27" i="12"/>
  <c r="J27" i="12" s="1"/>
  <c r="F27" i="12"/>
  <c r="M27" i="12" s="1"/>
  <c r="E27" i="12"/>
  <c r="J26" i="12"/>
  <c r="G26" i="12"/>
  <c r="F26" i="12"/>
  <c r="M26" i="12" s="1"/>
  <c r="E26" i="12"/>
  <c r="M25" i="12"/>
  <c r="F25" i="12"/>
  <c r="E25" i="12"/>
  <c r="G25" i="12" s="1"/>
  <c r="J25" i="12" s="1"/>
  <c r="F24" i="12"/>
  <c r="M24" i="12" s="1"/>
  <c r="E24" i="12"/>
  <c r="G24" i="12" s="1"/>
  <c r="J24" i="12" s="1"/>
  <c r="G23" i="12"/>
  <c r="J23" i="12" s="1"/>
  <c r="F23" i="12"/>
  <c r="M23" i="12" s="1"/>
  <c r="E23" i="12"/>
  <c r="J22" i="12"/>
  <c r="F22" i="12"/>
  <c r="M22" i="12" s="1"/>
  <c r="E22" i="12"/>
  <c r="G22" i="12" s="1"/>
  <c r="M21" i="12"/>
  <c r="F21" i="12"/>
  <c r="E21" i="12"/>
  <c r="G21" i="12" s="1"/>
  <c r="J21" i="12" s="1"/>
  <c r="F20" i="12"/>
  <c r="M20" i="12" s="1"/>
  <c r="E20" i="12"/>
  <c r="G20" i="12" s="1"/>
  <c r="J20" i="12" s="1"/>
  <c r="G19" i="12"/>
  <c r="J19" i="12" s="1"/>
  <c r="F19" i="12"/>
  <c r="M19" i="12" s="1"/>
  <c r="E19" i="12"/>
  <c r="F18" i="12"/>
  <c r="M18" i="12" s="1"/>
  <c r="E18" i="12"/>
  <c r="G18" i="12" s="1"/>
  <c r="J18" i="12" s="1"/>
  <c r="M17" i="12"/>
  <c r="F17" i="12"/>
  <c r="E17" i="12"/>
  <c r="G17" i="12" s="1"/>
  <c r="J17" i="12" s="1"/>
  <c r="F16" i="12"/>
  <c r="M16" i="12" s="1"/>
  <c r="E16" i="12"/>
  <c r="G15" i="12"/>
  <c r="J15" i="12" s="1"/>
  <c r="F15" i="12"/>
  <c r="M15" i="12" s="1"/>
  <c r="E15" i="12"/>
  <c r="F14" i="12"/>
  <c r="M14" i="12" s="1"/>
  <c r="E14" i="12"/>
  <c r="G14" i="12" s="1"/>
  <c r="J14" i="12" s="1"/>
  <c r="T19" i="3" s="1"/>
  <c r="M13" i="12"/>
  <c r="F13" i="12"/>
  <c r="E13" i="12"/>
  <c r="G13" i="12" s="1"/>
  <c r="J13" i="12" s="1"/>
  <c r="F12" i="12"/>
  <c r="M12" i="12" s="1"/>
  <c r="E12" i="12"/>
  <c r="G12" i="12" s="1"/>
  <c r="J12" i="12" s="1"/>
  <c r="G11" i="12"/>
  <c r="J11" i="12" s="1"/>
  <c r="F11" i="12"/>
  <c r="M11" i="12" s="1"/>
  <c r="E11" i="12"/>
  <c r="L10" i="12"/>
  <c r="F10" i="12"/>
  <c r="M10" i="12" s="1"/>
  <c r="E10" i="12"/>
  <c r="G10" i="12" s="1"/>
  <c r="J10" i="12" s="1"/>
  <c r="G9" i="12"/>
  <c r="J9" i="12" s="1"/>
  <c r="F9" i="12"/>
  <c r="M9" i="12" s="1"/>
  <c r="E9" i="12"/>
  <c r="M8" i="12"/>
  <c r="L8" i="12"/>
  <c r="J8" i="12"/>
  <c r="I8" i="12"/>
  <c r="M7" i="12"/>
  <c r="L7" i="12"/>
  <c r="J7" i="12"/>
  <c r="I7" i="12"/>
  <c r="M6" i="12"/>
  <c r="L6" i="12"/>
  <c r="J6" i="12"/>
  <c r="I6" i="12"/>
  <c r="M5" i="12"/>
  <c r="L5" i="12"/>
  <c r="J5" i="12"/>
  <c r="I5" i="12"/>
  <c r="M4" i="12"/>
  <c r="L4" i="12"/>
  <c r="J4" i="12"/>
  <c r="I4" i="12"/>
  <c r="M3" i="12"/>
  <c r="L3" i="12"/>
  <c r="I3" i="12"/>
  <c r="I10" i="12" s="1"/>
  <c r="J3" i="12" s="1"/>
  <c r="F112" i="11"/>
  <c r="M112" i="11" s="1"/>
  <c r="E112" i="11"/>
  <c r="G112" i="11" s="1"/>
  <c r="J112" i="11" s="1"/>
  <c r="M111" i="11"/>
  <c r="F111" i="11"/>
  <c r="E111" i="11"/>
  <c r="G111" i="11" s="1"/>
  <c r="J111" i="11" s="1"/>
  <c r="F110" i="11"/>
  <c r="E110" i="11"/>
  <c r="M109" i="11"/>
  <c r="G109" i="11"/>
  <c r="J109" i="11" s="1"/>
  <c r="F109" i="11"/>
  <c r="E109" i="11"/>
  <c r="F108" i="11"/>
  <c r="M108" i="11" s="1"/>
  <c r="E108" i="11"/>
  <c r="G108" i="11" s="1"/>
  <c r="J108" i="11" s="1"/>
  <c r="M107" i="11"/>
  <c r="F107" i="11"/>
  <c r="E107" i="11"/>
  <c r="G107" i="11" s="1"/>
  <c r="J107" i="11" s="1"/>
  <c r="F106" i="11"/>
  <c r="M106" i="11" s="1"/>
  <c r="E106" i="11"/>
  <c r="G106" i="11" s="1"/>
  <c r="J106" i="11" s="1"/>
  <c r="M105" i="11"/>
  <c r="G105" i="11"/>
  <c r="J105" i="11" s="1"/>
  <c r="F105" i="11"/>
  <c r="E105" i="11"/>
  <c r="F104" i="11"/>
  <c r="M104" i="11" s="1"/>
  <c r="E104" i="11"/>
  <c r="G104" i="11" s="1"/>
  <c r="J104" i="11" s="1"/>
  <c r="M103" i="11"/>
  <c r="F103" i="11"/>
  <c r="E103" i="11"/>
  <c r="G103" i="11" s="1"/>
  <c r="J103" i="11" s="1"/>
  <c r="F102" i="11"/>
  <c r="E102" i="11"/>
  <c r="M101" i="11"/>
  <c r="G101" i="11"/>
  <c r="J101" i="11" s="1"/>
  <c r="F101" i="11"/>
  <c r="E101" i="11"/>
  <c r="F100" i="11"/>
  <c r="M100" i="11" s="1"/>
  <c r="E100" i="11"/>
  <c r="G100" i="11" s="1"/>
  <c r="J100" i="11" s="1"/>
  <c r="T105" i="2" s="1"/>
  <c r="M99" i="11"/>
  <c r="F99" i="11"/>
  <c r="E99" i="11"/>
  <c r="G99" i="11" s="1"/>
  <c r="J99" i="11" s="1"/>
  <c r="F98" i="11"/>
  <c r="M98" i="11" s="1"/>
  <c r="E98" i="11"/>
  <c r="G98" i="11" s="1"/>
  <c r="J98" i="11" s="1"/>
  <c r="G97" i="11"/>
  <c r="J97" i="11" s="1"/>
  <c r="F97" i="11"/>
  <c r="M97" i="11" s="1"/>
  <c r="E97" i="11"/>
  <c r="J96" i="11"/>
  <c r="F96" i="11"/>
  <c r="G96" i="11" s="1"/>
  <c r="E96" i="11"/>
  <c r="M95" i="11"/>
  <c r="F95" i="11"/>
  <c r="E95" i="11"/>
  <c r="G95" i="11" s="1"/>
  <c r="J95" i="11" s="1"/>
  <c r="F94" i="11"/>
  <c r="M94" i="11" s="1"/>
  <c r="E94" i="11"/>
  <c r="G94" i="11" s="1"/>
  <c r="J94" i="11" s="1"/>
  <c r="G93" i="11"/>
  <c r="J93" i="11" s="1"/>
  <c r="F93" i="11"/>
  <c r="M93" i="11" s="1"/>
  <c r="E93" i="11"/>
  <c r="J92" i="11"/>
  <c r="F92" i="11"/>
  <c r="M92" i="11" s="1"/>
  <c r="E92" i="11"/>
  <c r="G92" i="11" s="1"/>
  <c r="M91" i="11"/>
  <c r="F91" i="11"/>
  <c r="E91" i="11"/>
  <c r="G91" i="11" s="1"/>
  <c r="J91" i="11" s="1"/>
  <c r="F90" i="11"/>
  <c r="M90" i="11" s="1"/>
  <c r="E90" i="11"/>
  <c r="G90" i="11" s="1"/>
  <c r="J90" i="11" s="1"/>
  <c r="G89" i="11"/>
  <c r="J89" i="11" s="1"/>
  <c r="F89" i="11"/>
  <c r="M89" i="11" s="1"/>
  <c r="E89" i="11"/>
  <c r="F88" i="11"/>
  <c r="M88" i="11" s="1"/>
  <c r="E88" i="11"/>
  <c r="G88" i="11" s="1"/>
  <c r="M87" i="11"/>
  <c r="F87" i="11"/>
  <c r="E87" i="11"/>
  <c r="G87" i="11" s="1"/>
  <c r="J87" i="11" s="1"/>
  <c r="F86" i="11"/>
  <c r="E86" i="11"/>
  <c r="G85" i="11"/>
  <c r="J85" i="11" s="1"/>
  <c r="F85" i="11"/>
  <c r="M85" i="11" s="1"/>
  <c r="E85" i="11"/>
  <c r="M84" i="11"/>
  <c r="F84" i="11"/>
  <c r="E84" i="11"/>
  <c r="G84" i="11" s="1"/>
  <c r="J84" i="11" s="1"/>
  <c r="M83" i="11"/>
  <c r="F83" i="11"/>
  <c r="E83" i="11"/>
  <c r="G83" i="11" s="1"/>
  <c r="J83" i="11" s="1"/>
  <c r="F82" i="11"/>
  <c r="E82" i="11"/>
  <c r="G81" i="11"/>
  <c r="J81" i="11" s="1"/>
  <c r="F81" i="11"/>
  <c r="M81" i="11" s="1"/>
  <c r="E81" i="11"/>
  <c r="M80" i="11"/>
  <c r="J80" i="11"/>
  <c r="G80" i="11"/>
  <c r="F80" i="11"/>
  <c r="E80" i="11"/>
  <c r="M79" i="11"/>
  <c r="J79" i="11"/>
  <c r="F79" i="11"/>
  <c r="E79" i="11"/>
  <c r="G79" i="11" s="1"/>
  <c r="F78" i="11"/>
  <c r="M78" i="11" s="1"/>
  <c r="E78" i="11"/>
  <c r="G78" i="11" s="1"/>
  <c r="J78" i="11" s="1"/>
  <c r="F77" i="11"/>
  <c r="M77" i="11" s="1"/>
  <c r="E77" i="11"/>
  <c r="J76" i="11"/>
  <c r="G76" i="11"/>
  <c r="F76" i="11"/>
  <c r="M76" i="11" s="1"/>
  <c r="E76" i="11"/>
  <c r="M75" i="11"/>
  <c r="F75" i="11"/>
  <c r="E75" i="11"/>
  <c r="G75" i="11" s="1"/>
  <c r="J75" i="11" s="1"/>
  <c r="M74" i="11"/>
  <c r="F74" i="11"/>
  <c r="E74" i="11"/>
  <c r="G74" i="11" s="1"/>
  <c r="J74" i="11" s="1"/>
  <c r="F73" i="11"/>
  <c r="E73" i="11"/>
  <c r="G72" i="11"/>
  <c r="J72" i="11" s="1"/>
  <c r="F72" i="11"/>
  <c r="M72" i="11" s="1"/>
  <c r="E72" i="11"/>
  <c r="M71" i="11"/>
  <c r="J71" i="11"/>
  <c r="F71" i="11"/>
  <c r="E71" i="11"/>
  <c r="G71" i="11" s="1"/>
  <c r="F70" i="11"/>
  <c r="M70" i="11" s="1"/>
  <c r="E70" i="11"/>
  <c r="G70" i="11" s="1"/>
  <c r="J70" i="11" s="1"/>
  <c r="F69" i="11"/>
  <c r="M69" i="11" s="1"/>
  <c r="E69" i="11"/>
  <c r="J68" i="11"/>
  <c r="G68" i="11"/>
  <c r="F68" i="11"/>
  <c r="M68" i="11" s="1"/>
  <c r="E68" i="11"/>
  <c r="M67" i="11"/>
  <c r="F67" i="11"/>
  <c r="E67" i="11"/>
  <c r="G67" i="11" s="1"/>
  <c r="J67" i="11" s="1"/>
  <c r="M66" i="11"/>
  <c r="F66" i="11"/>
  <c r="E66" i="11"/>
  <c r="G66" i="11" s="1"/>
  <c r="J66" i="11" s="1"/>
  <c r="F65" i="11"/>
  <c r="E65" i="11"/>
  <c r="G64" i="11"/>
  <c r="J64" i="11" s="1"/>
  <c r="F64" i="11"/>
  <c r="M64" i="11" s="1"/>
  <c r="E64" i="11"/>
  <c r="M63" i="11"/>
  <c r="J63" i="11"/>
  <c r="F63" i="11"/>
  <c r="E63" i="11"/>
  <c r="G63" i="11" s="1"/>
  <c r="F62" i="11"/>
  <c r="M62" i="11" s="1"/>
  <c r="E62" i="11"/>
  <c r="G62" i="11" s="1"/>
  <c r="J62" i="11" s="1"/>
  <c r="F61" i="11"/>
  <c r="M61" i="11" s="1"/>
  <c r="E61" i="11"/>
  <c r="J60" i="11"/>
  <c r="G60" i="11"/>
  <c r="F60" i="11"/>
  <c r="M60" i="11" s="1"/>
  <c r="E60" i="11"/>
  <c r="M59" i="11"/>
  <c r="F59" i="11"/>
  <c r="E59" i="11"/>
  <c r="G59" i="11" s="1"/>
  <c r="J59" i="11" s="1"/>
  <c r="M58" i="11"/>
  <c r="F58" i="11"/>
  <c r="E58" i="11"/>
  <c r="G58" i="11" s="1"/>
  <c r="J58" i="11" s="1"/>
  <c r="F57" i="11"/>
  <c r="E57" i="11"/>
  <c r="M56" i="11"/>
  <c r="G56" i="11"/>
  <c r="J56" i="11" s="1"/>
  <c r="F56" i="11"/>
  <c r="E56" i="11"/>
  <c r="M55" i="11"/>
  <c r="J55" i="11"/>
  <c r="F55" i="11"/>
  <c r="E55" i="11"/>
  <c r="G55" i="11" s="1"/>
  <c r="F54" i="11"/>
  <c r="M54" i="11" s="1"/>
  <c r="E54" i="11"/>
  <c r="F53" i="11"/>
  <c r="M53" i="11" s="1"/>
  <c r="E53" i="11"/>
  <c r="G52" i="11"/>
  <c r="J52" i="11" s="1"/>
  <c r="F52" i="11"/>
  <c r="M52" i="11" s="1"/>
  <c r="E52" i="11"/>
  <c r="M51" i="11"/>
  <c r="F51" i="11"/>
  <c r="E51" i="11"/>
  <c r="G51" i="11" s="1"/>
  <c r="J51" i="11" s="1"/>
  <c r="F50" i="11"/>
  <c r="M50" i="11" s="1"/>
  <c r="E50" i="11"/>
  <c r="G50" i="11" s="1"/>
  <c r="J50" i="11" s="1"/>
  <c r="M49" i="11"/>
  <c r="F49" i="11"/>
  <c r="E49" i="11"/>
  <c r="G49" i="11" s="1"/>
  <c r="J49" i="11" s="1"/>
  <c r="F48" i="11"/>
  <c r="M48" i="11" s="1"/>
  <c r="E48" i="11"/>
  <c r="G48" i="11" s="1"/>
  <c r="J48" i="11" s="1"/>
  <c r="M47" i="11"/>
  <c r="F47" i="11"/>
  <c r="E47" i="11"/>
  <c r="G47" i="11" s="1"/>
  <c r="J47" i="11" s="1"/>
  <c r="F46" i="11"/>
  <c r="E46" i="11"/>
  <c r="M45" i="11"/>
  <c r="G45" i="11"/>
  <c r="J45" i="11" s="1"/>
  <c r="F45" i="11"/>
  <c r="E45" i="11"/>
  <c r="M44" i="11"/>
  <c r="J44" i="11"/>
  <c r="F44" i="11"/>
  <c r="E44" i="11"/>
  <c r="G44" i="11" s="1"/>
  <c r="M43" i="11"/>
  <c r="F43" i="11"/>
  <c r="E43" i="11"/>
  <c r="G43" i="11" s="1"/>
  <c r="J43" i="11" s="1"/>
  <c r="F42" i="11"/>
  <c r="E42" i="11"/>
  <c r="M41" i="11"/>
  <c r="G41" i="11"/>
  <c r="J41" i="11" s="1"/>
  <c r="F41" i="11"/>
  <c r="E41" i="11"/>
  <c r="M40" i="11"/>
  <c r="J40" i="11"/>
  <c r="F40" i="11"/>
  <c r="E40" i="11"/>
  <c r="G40" i="11" s="1"/>
  <c r="M39" i="11"/>
  <c r="F39" i="11"/>
  <c r="E39" i="11"/>
  <c r="G39" i="11" s="1"/>
  <c r="J39" i="11" s="1"/>
  <c r="F38" i="11"/>
  <c r="E38" i="11"/>
  <c r="M37" i="11"/>
  <c r="G37" i="11"/>
  <c r="J37" i="11" s="1"/>
  <c r="F37" i="11"/>
  <c r="E37" i="11"/>
  <c r="M36" i="11"/>
  <c r="F36" i="11"/>
  <c r="E36" i="11"/>
  <c r="G36" i="11" s="1"/>
  <c r="J36" i="11" s="1"/>
  <c r="M35" i="11"/>
  <c r="F35" i="11"/>
  <c r="E35" i="11"/>
  <c r="G35" i="11" s="1"/>
  <c r="J35" i="11" s="1"/>
  <c r="F34" i="11"/>
  <c r="E34" i="11"/>
  <c r="M33" i="11"/>
  <c r="G33" i="11"/>
  <c r="J33" i="11" s="1"/>
  <c r="F33" i="11"/>
  <c r="E33" i="11"/>
  <c r="M32" i="11"/>
  <c r="F32" i="11"/>
  <c r="E32" i="11"/>
  <c r="G32" i="11" s="1"/>
  <c r="J32" i="11" s="1"/>
  <c r="M31" i="11"/>
  <c r="F31" i="11"/>
  <c r="E31" i="11"/>
  <c r="G31" i="11" s="1"/>
  <c r="J31" i="11" s="1"/>
  <c r="F30" i="11"/>
  <c r="E30" i="11"/>
  <c r="M29" i="11"/>
  <c r="G29" i="11"/>
  <c r="J29" i="11" s="1"/>
  <c r="F29" i="11"/>
  <c r="E29" i="11"/>
  <c r="M28" i="11"/>
  <c r="J28" i="11"/>
  <c r="F28" i="11"/>
  <c r="E28" i="11"/>
  <c r="G28" i="11" s="1"/>
  <c r="M27" i="11"/>
  <c r="F27" i="11"/>
  <c r="E27" i="11"/>
  <c r="G27" i="11" s="1"/>
  <c r="J27" i="11" s="1"/>
  <c r="F26" i="11"/>
  <c r="E26" i="11"/>
  <c r="M25" i="11"/>
  <c r="G25" i="11"/>
  <c r="J25" i="11" s="1"/>
  <c r="F25" i="11"/>
  <c r="E25" i="11"/>
  <c r="M24" i="11"/>
  <c r="J24" i="11"/>
  <c r="F24" i="11"/>
  <c r="E24" i="11"/>
  <c r="G24" i="11" s="1"/>
  <c r="M23" i="11"/>
  <c r="F23" i="11"/>
  <c r="E23" i="11"/>
  <c r="G23" i="11" s="1"/>
  <c r="J23" i="11" s="1"/>
  <c r="F22" i="11"/>
  <c r="E22" i="11"/>
  <c r="M21" i="11"/>
  <c r="G21" i="11"/>
  <c r="J21" i="11" s="1"/>
  <c r="F21" i="11"/>
  <c r="E21" i="11"/>
  <c r="M20" i="11"/>
  <c r="F20" i="11"/>
  <c r="E20" i="11"/>
  <c r="G20" i="11" s="1"/>
  <c r="J20" i="11" s="1"/>
  <c r="M19" i="11"/>
  <c r="F19" i="11"/>
  <c r="E19" i="11"/>
  <c r="G19" i="11" s="1"/>
  <c r="J19" i="11" s="1"/>
  <c r="F18" i="11"/>
  <c r="E18" i="11"/>
  <c r="M17" i="11"/>
  <c r="G17" i="11"/>
  <c r="J17" i="11" s="1"/>
  <c r="F17" i="11"/>
  <c r="E17" i="11"/>
  <c r="M16" i="11"/>
  <c r="F16" i="11"/>
  <c r="E16" i="11"/>
  <c r="G16" i="11" s="1"/>
  <c r="J16" i="11" s="1"/>
  <c r="M15" i="11"/>
  <c r="F15" i="11"/>
  <c r="E15" i="11"/>
  <c r="G15" i="11" s="1"/>
  <c r="J15" i="11" s="1"/>
  <c r="F14" i="11"/>
  <c r="E14" i="11"/>
  <c r="M13" i="11"/>
  <c r="G13" i="11"/>
  <c r="J13" i="11" s="1"/>
  <c r="F13" i="11"/>
  <c r="E13" i="11"/>
  <c r="M12" i="11"/>
  <c r="J12" i="11"/>
  <c r="F12" i="11"/>
  <c r="E12" i="11"/>
  <c r="G12" i="11" s="1"/>
  <c r="M11" i="11"/>
  <c r="F11" i="11"/>
  <c r="E11" i="11"/>
  <c r="G11" i="11" s="1"/>
  <c r="J11" i="11" s="1"/>
  <c r="F10" i="11"/>
  <c r="M10" i="11" s="1"/>
  <c r="E10" i="11"/>
  <c r="G10" i="11" s="1"/>
  <c r="J10" i="11" s="1"/>
  <c r="M9" i="11"/>
  <c r="F9" i="11"/>
  <c r="E9" i="11"/>
  <c r="G9" i="11" s="1"/>
  <c r="J9" i="11" s="1"/>
  <c r="M8" i="11"/>
  <c r="L8" i="11"/>
  <c r="J8" i="11"/>
  <c r="I8" i="11"/>
  <c r="M7" i="11"/>
  <c r="L7" i="11"/>
  <c r="J7" i="11"/>
  <c r="I7" i="11"/>
  <c r="M6" i="11"/>
  <c r="L6" i="11"/>
  <c r="J6" i="11"/>
  <c r="I6" i="11"/>
  <c r="M5" i="11"/>
  <c r="L5" i="11"/>
  <c r="J5" i="11"/>
  <c r="I5" i="11"/>
  <c r="M4" i="11"/>
  <c r="L4" i="11"/>
  <c r="J4" i="11"/>
  <c r="I4" i="11"/>
  <c r="M3" i="11"/>
  <c r="L3" i="11"/>
  <c r="L10" i="11" s="1"/>
  <c r="I3" i="11"/>
  <c r="I10" i="11" s="1"/>
  <c r="J3" i="11" s="1"/>
  <c r="N117" i="10"/>
  <c r="Y117" i="10" s="1"/>
  <c r="M117" i="10"/>
  <c r="W117" i="10" s="1"/>
  <c r="K117" i="10"/>
  <c r="V117" i="10" s="1"/>
  <c r="J117" i="10"/>
  <c r="I117" i="10"/>
  <c r="Q117" i="10" s="1"/>
  <c r="G117" i="10"/>
  <c r="F117" i="10"/>
  <c r="H117" i="10" s="1"/>
  <c r="N116" i="10"/>
  <c r="K116" i="10"/>
  <c r="V116" i="10" s="1"/>
  <c r="J116" i="10"/>
  <c r="M116" i="10" s="1"/>
  <c r="W116" i="10" s="1"/>
  <c r="G116" i="10"/>
  <c r="I116" i="10" s="1"/>
  <c r="Q116" i="10" s="1"/>
  <c r="F116" i="10"/>
  <c r="H116" i="10" s="1"/>
  <c r="L116" i="10" s="1"/>
  <c r="Z116" i="10" s="1"/>
  <c r="Y115" i="10"/>
  <c r="N115" i="10"/>
  <c r="K115" i="10"/>
  <c r="V115" i="10" s="1"/>
  <c r="J115" i="10"/>
  <c r="H115" i="10"/>
  <c r="G115" i="10"/>
  <c r="F115" i="10"/>
  <c r="Y114" i="10"/>
  <c r="V114" i="10"/>
  <c r="N114" i="10"/>
  <c r="X114" i="10" s="1"/>
  <c r="M114" i="10"/>
  <c r="W114" i="10" s="1"/>
  <c r="K114" i="10"/>
  <c r="J114" i="10"/>
  <c r="I114" i="10"/>
  <c r="Q114" i="10" s="1"/>
  <c r="H114" i="10"/>
  <c r="L114" i="10" s="1"/>
  <c r="Z114" i="10" s="1"/>
  <c r="G114" i="10"/>
  <c r="F114" i="10"/>
  <c r="V113" i="10"/>
  <c r="N113" i="10"/>
  <c r="Y113" i="10" s="1"/>
  <c r="M113" i="10"/>
  <c r="W113" i="10" s="1"/>
  <c r="K113" i="10"/>
  <c r="J113" i="10"/>
  <c r="I113" i="10"/>
  <c r="Q113" i="10" s="1"/>
  <c r="G113" i="10"/>
  <c r="F113" i="10"/>
  <c r="H113" i="10" s="1"/>
  <c r="N112" i="10"/>
  <c r="Y112" i="10" s="1"/>
  <c r="K112" i="10"/>
  <c r="V112" i="10" s="1"/>
  <c r="J112" i="10"/>
  <c r="M112" i="10" s="1"/>
  <c r="W112" i="10" s="1"/>
  <c r="G112" i="10"/>
  <c r="I112" i="10" s="1"/>
  <c r="Q112" i="10" s="1"/>
  <c r="F112" i="10"/>
  <c r="Y111" i="10"/>
  <c r="N111" i="10"/>
  <c r="K111" i="10"/>
  <c r="V111" i="10" s="1"/>
  <c r="J111" i="10"/>
  <c r="H111" i="10"/>
  <c r="G111" i="10"/>
  <c r="I111" i="10" s="1"/>
  <c r="Q111" i="10" s="1"/>
  <c r="F111" i="10"/>
  <c r="V110" i="10"/>
  <c r="N110" i="10"/>
  <c r="Y110" i="10" s="1"/>
  <c r="M110" i="10"/>
  <c r="W110" i="10" s="1"/>
  <c r="K110" i="10"/>
  <c r="J110" i="10"/>
  <c r="I110" i="10"/>
  <c r="Q110" i="10" s="1"/>
  <c r="H110" i="10"/>
  <c r="L110" i="10" s="1"/>
  <c r="Z110" i="10" s="1"/>
  <c r="G110" i="10"/>
  <c r="F110" i="10"/>
  <c r="N109" i="10"/>
  <c r="Y109" i="10" s="1"/>
  <c r="M109" i="10"/>
  <c r="W109" i="10" s="1"/>
  <c r="K109" i="10"/>
  <c r="V109" i="10" s="1"/>
  <c r="J109" i="10"/>
  <c r="I109" i="10"/>
  <c r="Q109" i="10" s="1"/>
  <c r="G109" i="10"/>
  <c r="F109" i="10"/>
  <c r="H109" i="10" s="1"/>
  <c r="N108" i="10"/>
  <c r="K108" i="10"/>
  <c r="V108" i="10" s="1"/>
  <c r="J108" i="10"/>
  <c r="M108" i="10" s="1"/>
  <c r="W108" i="10" s="1"/>
  <c r="G108" i="10"/>
  <c r="I108" i="10" s="1"/>
  <c r="Q108" i="10" s="1"/>
  <c r="F108" i="10"/>
  <c r="H108" i="10" s="1"/>
  <c r="L108" i="10" s="1"/>
  <c r="Z108" i="10" s="1"/>
  <c r="Y107" i="10"/>
  <c r="N107" i="10"/>
  <c r="K107" i="10"/>
  <c r="V107" i="10" s="1"/>
  <c r="J107" i="10"/>
  <c r="H107" i="10"/>
  <c r="G107" i="10"/>
  <c r="F107" i="10"/>
  <c r="Y106" i="10"/>
  <c r="V106" i="10"/>
  <c r="N106" i="10"/>
  <c r="X106" i="10" s="1"/>
  <c r="M106" i="10"/>
  <c r="W106" i="10" s="1"/>
  <c r="K106" i="10"/>
  <c r="J106" i="10"/>
  <c r="I106" i="10"/>
  <c r="Q106" i="10" s="1"/>
  <c r="H106" i="10"/>
  <c r="L106" i="10" s="1"/>
  <c r="Z106" i="10" s="1"/>
  <c r="G106" i="10"/>
  <c r="F106" i="10"/>
  <c r="N105" i="10"/>
  <c r="Y105" i="10" s="1"/>
  <c r="M105" i="10"/>
  <c r="W105" i="10" s="1"/>
  <c r="K105" i="10"/>
  <c r="V105" i="10" s="1"/>
  <c r="J105" i="10"/>
  <c r="I105" i="10"/>
  <c r="Q105" i="10" s="1"/>
  <c r="G105" i="10"/>
  <c r="F105" i="10"/>
  <c r="H105" i="10" s="1"/>
  <c r="N104" i="10"/>
  <c r="K104" i="10"/>
  <c r="V104" i="10" s="1"/>
  <c r="J104" i="10"/>
  <c r="M104" i="10" s="1"/>
  <c r="W104" i="10" s="1"/>
  <c r="G104" i="10"/>
  <c r="I104" i="10" s="1"/>
  <c r="Q104" i="10" s="1"/>
  <c r="F104" i="10"/>
  <c r="H104" i="10" s="1"/>
  <c r="L104" i="10" s="1"/>
  <c r="Z104" i="10" s="1"/>
  <c r="Y103" i="10"/>
  <c r="N103" i="10"/>
  <c r="K103" i="10"/>
  <c r="V103" i="10" s="1"/>
  <c r="J103" i="10"/>
  <c r="H103" i="10"/>
  <c r="G103" i="10"/>
  <c r="F103" i="10"/>
  <c r="V102" i="10"/>
  <c r="N102" i="10"/>
  <c r="Y102" i="10" s="1"/>
  <c r="M102" i="10"/>
  <c r="W102" i="10" s="1"/>
  <c r="K102" i="10"/>
  <c r="J102" i="10"/>
  <c r="I102" i="10"/>
  <c r="Q102" i="10" s="1"/>
  <c r="H102" i="10"/>
  <c r="L102" i="10" s="1"/>
  <c r="Z102" i="10" s="1"/>
  <c r="G102" i="10"/>
  <c r="F102" i="10"/>
  <c r="N101" i="10"/>
  <c r="Y101" i="10" s="1"/>
  <c r="M101" i="10"/>
  <c r="W101" i="10" s="1"/>
  <c r="K101" i="10"/>
  <c r="V101" i="10" s="1"/>
  <c r="J101" i="10"/>
  <c r="I101" i="10"/>
  <c r="Q101" i="10" s="1"/>
  <c r="G101" i="10"/>
  <c r="F101" i="10"/>
  <c r="H101" i="10" s="1"/>
  <c r="L101" i="10" s="1"/>
  <c r="Z101" i="10" s="1"/>
  <c r="N100" i="10"/>
  <c r="Y100" i="10" s="1"/>
  <c r="K100" i="10"/>
  <c r="V100" i="10" s="1"/>
  <c r="J100" i="10"/>
  <c r="M100" i="10" s="1"/>
  <c r="W100" i="10" s="1"/>
  <c r="G100" i="10"/>
  <c r="I100" i="10" s="1"/>
  <c r="Q100" i="10" s="1"/>
  <c r="F100" i="10"/>
  <c r="H100" i="10" s="1"/>
  <c r="L100" i="10" s="1"/>
  <c r="Z100" i="10" s="1"/>
  <c r="Y99" i="10"/>
  <c r="N99" i="10"/>
  <c r="K99" i="10"/>
  <c r="V99" i="10" s="1"/>
  <c r="J99" i="10"/>
  <c r="M99" i="10" s="1"/>
  <c r="W99" i="10" s="1"/>
  <c r="H99" i="10"/>
  <c r="G99" i="10"/>
  <c r="F99" i="10"/>
  <c r="V98" i="10"/>
  <c r="N98" i="10"/>
  <c r="Y98" i="10" s="1"/>
  <c r="M98" i="10"/>
  <c r="W98" i="10" s="1"/>
  <c r="K98" i="10"/>
  <c r="J98" i="10"/>
  <c r="I98" i="10"/>
  <c r="Q98" i="10" s="1"/>
  <c r="H98" i="10"/>
  <c r="L98" i="10" s="1"/>
  <c r="G98" i="10"/>
  <c r="F98" i="10"/>
  <c r="W97" i="10"/>
  <c r="N97" i="10"/>
  <c r="Y97" i="10" s="1"/>
  <c r="M97" i="10"/>
  <c r="K97" i="10"/>
  <c r="V97" i="10" s="1"/>
  <c r="J97" i="10"/>
  <c r="I97" i="10"/>
  <c r="Q97" i="10" s="1"/>
  <c r="G97" i="10"/>
  <c r="F97" i="10"/>
  <c r="H97" i="10" s="1"/>
  <c r="L97" i="10" s="1"/>
  <c r="Z97" i="10" s="1"/>
  <c r="N96" i="10"/>
  <c r="Y96" i="10" s="1"/>
  <c r="K96" i="10"/>
  <c r="V96" i="10" s="1"/>
  <c r="J96" i="10"/>
  <c r="M96" i="10" s="1"/>
  <c r="W96" i="10" s="1"/>
  <c r="G96" i="10"/>
  <c r="I96" i="10" s="1"/>
  <c r="Q96" i="10" s="1"/>
  <c r="F96" i="10"/>
  <c r="Y95" i="10"/>
  <c r="Q95" i="10"/>
  <c r="N95" i="10"/>
  <c r="K95" i="10"/>
  <c r="V95" i="10" s="1"/>
  <c r="J95" i="10"/>
  <c r="M95" i="10" s="1"/>
  <c r="W95" i="10" s="1"/>
  <c r="H95" i="10"/>
  <c r="L95" i="10" s="1"/>
  <c r="Z95" i="10" s="1"/>
  <c r="G95" i="10"/>
  <c r="I95" i="10" s="1"/>
  <c r="F95" i="10"/>
  <c r="V94" i="10"/>
  <c r="N94" i="10"/>
  <c r="Y94" i="10" s="1"/>
  <c r="M94" i="10"/>
  <c r="W94" i="10" s="1"/>
  <c r="K94" i="10"/>
  <c r="J94" i="10"/>
  <c r="I94" i="10"/>
  <c r="Q94" i="10" s="1"/>
  <c r="H94" i="10"/>
  <c r="L94" i="10" s="1"/>
  <c r="Z94" i="10" s="1"/>
  <c r="G94" i="10"/>
  <c r="F94" i="10"/>
  <c r="W93" i="10"/>
  <c r="N93" i="10"/>
  <c r="Y93" i="10" s="1"/>
  <c r="M93" i="10"/>
  <c r="K93" i="10"/>
  <c r="V93" i="10" s="1"/>
  <c r="J93" i="10"/>
  <c r="I93" i="10"/>
  <c r="Q93" i="10" s="1"/>
  <c r="G93" i="10"/>
  <c r="F93" i="10"/>
  <c r="H93" i="10" s="1"/>
  <c r="N92" i="10"/>
  <c r="Y92" i="10" s="1"/>
  <c r="K92" i="10"/>
  <c r="V92" i="10" s="1"/>
  <c r="J92" i="10"/>
  <c r="M92" i="10" s="1"/>
  <c r="W92" i="10" s="1"/>
  <c r="G92" i="10"/>
  <c r="I92" i="10" s="1"/>
  <c r="Q92" i="10" s="1"/>
  <c r="F92" i="10"/>
  <c r="Y91" i="10"/>
  <c r="N91" i="10"/>
  <c r="K91" i="10"/>
  <c r="V91" i="10" s="1"/>
  <c r="J91" i="10"/>
  <c r="H91" i="10"/>
  <c r="G91" i="10"/>
  <c r="I91" i="10" s="1"/>
  <c r="Q91" i="10" s="1"/>
  <c r="F91" i="10"/>
  <c r="Y90" i="10"/>
  <c r="V90" i="10"/>
  <c r="N90" i="10"/>
  <c r="M90" i="10"/>
  <c r="W90" i="10" s="1"/>
  <c r="K90" i="10"/>
  <c r="J90" i="10"/>
  <c r="I90" i="10"/>
  <c r="Q90" i="10" s="1"/>
  <c r="H90" i="10"/>
  <c r="L90" i="10" s="1"/>
  <c r="Z90" i="10" s="1"/>
  <c r="G90" i="10"/>
  <c r="F90" i="10"/>
  <c r="W89" i="10"/>
  <c r="N89" i="10"/>
  <c r="Y89" i="10" s="1"/>
  <c r="M89" i="10"/>
  <c r="K89" i="10"/>
  <c r="V89" i="10" s="1"/>
  <c r="J89" i="10"/>
  <c r="I89" i="10"/>
  <c r="Q89" i="10" s="1"/>
  <c r="G89" i="10"/>
  <c r="F89" i="10"/>
  <c r="H89" i="10" s="1"/>
  <c r="N88" i="10"/>
  <c r="Y88" i="10" s="1"/>
  <c r="K88" i="10"/>
  <c r="V88" i="10" s="1"/>
  <c r="J88" i="10"/>
  <c r="M88" i="10" s="1"/>
  <c r="W88" i="10" s="1"/>
  <c r="G88" i="10"/>
  <c r="I88" i="10" s="1"/>
  <c r="Q88" i="10" s="1"/>
  <c r="F88" i="10"/>
  <c r="Y87" i="10"/>
  <c r="N87" i="10"/>
  <c r="K87" i="10"/>
  <c r="V87" i="10" s="1"/>
  <c r="J87" i="10"/>
  <c r="H87" i="10"/>
  <c r="G87" i="10"/>
  <c r="I87" i="10" s="1"/>
  <c r="Q87" i="10" s="1"/>
  <c r="F87" i="10"/>
  <c r="V86" i="10"/>
  <c r="N86" i="10"/>
  <c r="Y86" i="10" s="1"/>
  <c r="M86" i="10"/>
  <c r="W86" i="10" s="1"/>
  <c r="K86" i="10"/>
  <c r="J86" i="10"/>
  <c r="I86" i="10"/>
  <c r="Q86" i="10" s="1"/>
  <c r="H86" i="10"/>
  <c r="L86" i="10" s="1"/>
  <c r="Z86" i="10" s="1"/>
  <c r="G86" i="10"/>
  <c r="F86" i="10"/>
  <c r="N85" i="10"/>
  <c r="Y85" i="10" s="1"/>
  <c r="M85" i="10"/>
  <c r="W85" i="10" s="1"/>
  <c r="K85" i="10"/>
  <c r="V85" i="10" s="1"/>
  <c r="J85" i="10"/>
  <c r="I85" i="10"/>
  <c r="Q85" i="10" s="1"/>
  <c r="G85" i="10"/>
  <c r="F85" i="10"/>
  <c r="H85" i="10" s="1"/>
  <c r="N84" i="10"/>
  <c r="K84" i="10"/>
  <c r="V84" i="10" s="1"/>
  <c r="J84" i="10"/>
  <c r="M84" i="10" s="1"/>
  <c r="W84" i="10" s="1"/>
  <c r="G84" i="10"/>
  <c r="I84" i="10" s="1"/>
  <c r="Q84" i="10" s="1"/>
  <c r="F84" i="10"/>
  <c r="H84" i="10" s="1"/>
  <c r="L84" i="10" s="1"/>
  <c r="Z84" i="10" s="1"/>
  <c r="Y83" i="10"/>
  <c r="N83" i="10"/>
  <c r="K83" i="10"/>
  <c r="V83" i="10" s="1"/>
  <c r="J83" i="10"/>
  <c r="H83" i="10"/>
  <c r="G83" i="10"/>
  <c r="F83" i="10"/>
  <c r="V82" i="10"/>
  <c r="N82" i="10"/>
  <c r="Y82" i="10" s="1"/>
  <c r="M82" i="10"/>
  <c r="W82" i="10" s="1"/>
  <c r="K82" i="10"/>
  <c r="J82" i="10"/>
  <c r="I82" i="10"/>
  <c r="Q82" i="10" s="1"/>
  <c r="H82" i="10"/>
  <c r="L82" i="10" s="1"/>
  <c r="Z82" i="10" s="1"/>
  <c r="G82" i="10"/>
  <c r="F82" i="10"/>
  <c r="N81" i="10"/>
  <c r="Y81" i="10" s="1"/>
  <c r="M81" i="10"/>
  <c r="W81" i="10" s="1"/>
  <c r="K81" i="10"/>
  <c r="V81" i="10" s="1"/>
  <c r="J81" i="10"/>
  <c r="I81" i="10"/>
  <c r="Q81" i="10" s="1"/>
  <c r="G81" i="10"/>
  <c r="F81" i="10"/>
  <c r="H81" i="10" s="1"/>
  <c r="L81" i="10" s="1"/>
  <c r="Z81" i="10" s="1"/>
  <c r="N80" i="10"/>
  <c r="Y80" i="10" s="1"/>
  <c r="K80" i="10"/>
  <c r="V80" i="10" s="1"/>
  <c r="J80" i="10"/>
  <c r="M80" i="10" s="1"/>
  <c r="W80" i="10" s="1"/>
  <c r="G80" i="10"/>
  <c r="I80" i="10" s="1"/>
  <c r="Q80" i="10" s="1"/>
  <c r="F80" i="10"/>
  <c r="H80" i="10" s="1"/>
  <c r="L80" i="10" s="1"/>
  <c r="Z80" i="10" s="1"/>
  <c r="Y79" i="10"/>
  <c r="N79" i="10"/>
  <c r="K79" i="10"/>
  <c r="V79" i="10" s="1"/>
  <c r="J79" i="10"/>
  <c r="M79" i="10" s="1"/>
  <c r="W79" i="10" s="1"/>
  <c r="H79" i="10"/>
  <c r="G79" i="10"/>
  <c r="F79" i="10"/>
  <c r="Y78" i="10"/>
  <c r="V78" i="10"/>
  <c r="N78" i="10"/>
  <c r="M78" i="10"/>
  <c r="W78" i="10" s="1"/>
  <c r="K78" i="10"/>
  <c r="J78" i="10"/>
  <c r="I78" i="10"/>
  <c r="Q78" i="10" s="1"/>
  <c r="H78" i="10"/>
  <c r="L78" i="10" s="1"/>
  <c r="Z78" i="10" s="1"/>
  <c r="G78" i="10"/>
  <c r="F78" i="10"/>
  <c r="W77" i="10"/>
  <c r="N77" i="10"/>
  <c r="Y77" i="10" s="1"/>
  <c r="K77" i="10"/>
  <c r="V77" i="10" s="1"/>
  <c r="J77" i="10"/>
  <c r="M77" i="10" s="1"/>
  <c r="I77" i="10"/>
  <c r="Q77" i="10" s="1"/>
  <c r="G77" i="10"/>
  <c r="F77" i="10"/>
  <c r="N76" i="10"/>
  <c r="K76" i="10"/>
  <c r="V76" i="10" s="1"/>
  <c r="J76" i="10"/>
  <c r="M76" i="10" s="1"/>
  <c r="W76" i="10" s="1"/>
  <c r="I76" i="10"/>
  <c r="Q76" i="10" s="1"/>
  <c r="G76" i="10"/>
  <c r="F76" i="10"/>
  <c r="N75" i="10"/>
  <c r="Y75" i="10" s="1"/>
  <c r="M75" i="10"/>
  <c r="W75" i="10" s="1"/>
  <c r="K75" i="10"/>
  <c r="V75" i="10" s="1"/>
  <c r="J75" i="10"/>
  <c r="I75" i="10"/>
  <c r="Q75" i="10" s="1"/>
  <c r="G75" i="10"/>
  <c r="F75" i="10"/>
  <c r="H75" i="10" s="1"/>
  <c r="L75" i="10" s="1"/>
  <c r="Z75" i="10" s="1"/>
  <c r="N74" i="10"/>
  <c r="Y74" i="10" s="1"/>
  <c r="K74" i="10"/>
  <c r="V74" i="10" s="1"/>
  <c r="J74" i="10"/>
  <c r="M74" i="10" s="1"/>
  <c r="W74" i="10" s="1"/>
  <c r="G74" i="10"/>
  <c r="I74" i="10" s="1"/>
  <c r="Q74" i="10" s="1"/>
  <c r="F74" i="10"/>
  <c r="H74" i="10" s="1"/>
  <c r="L74" i="10" s="1"/>
  <c r="Z74" i="10" s="1"/>
  <c r="Y73" i="10"/>
  <c r="N73" i="10"/>
  <c r="K73" i="10"/>
  <c r="V73" i="10" s="1"/>
  <c r="J73" i="10"/>
  <c r="M73" i="10" s="1"/>
  <c r="W73" i="10" s="1"/>
  <c r="H73" i="10"/>
  <c r="G73" i="10"/>
  <c r="F73" i="10"/>
  <c r="V72" i="10"/>
  <c r="N72" i="10"/>
  <c r="Y72" i="10" s="1"/>
  <c r="M72" i="10"/>
  <c r="W72" i="10" s="1"/>
  <c r="K72" i="10"/>
  <c r="J72" i="10"/>
  <c r="I72" i="10"/>
  <c r="Q72" i="10" s="1"/>
  <c r="H72" i="10"/>
  <c r="L72" i="10" s="1"/>
  <c r="Z72" i="10" s="1"/>
  <c r="G72" i="10"/>
  <c r="F72" i="10"/>
  <c r="W71" i="10"/>
  <c r="N71" i="10"/>
  <c r="Y71" i="10" s="1"/>
  <c r="M71" i="10"/>
  <c r="K71" i="10"/>
  <c r="V71" i="10" s="1"/>
  <c r="J71" i="10"/>
  <c r="I71" i="10"/>
  <c r="Q71" i="10" s="1"/>
  <c r="G71" i="10"/>
  <c r="F71" i="10"/>
  <c r="H71" i="10" s="1"/>
  <c r="L71" i="10" s="1"/>
  <c r="Z71" i="10" s="1"/>
  <c r="N70" i="10"/>
  <c r="Y70" i="10" s="1"/>
  <c r="K70" i="10"/>
  <c r="V70" i="10" s="1"/>
  <c r="J70" i="10"/>
  <c r="M70" i="10" s="1"/>
  <c r="W70" i="10" s="1"/>
  <c r="G70" i="10"/>
  <c r="I70" i="10" s="1"/>
  <c r="Q70" i="10" s="1"/>
  <c r="F70" i="10"/>
  <c r="Y69" i="10"/>
  <c r="N69" i="10"/>
  <c r="K69" i="10"/>
  <c r="V69" i="10" s="1"/>
  <c r="J69" i="10"/>
  <c r="M69" i="10" s="1"/>
  <c r="W69" i="10" s="1"/>
  <c r="H69" i="10"/>
  <c r="G69" i="10"/>
  <c r="F69" i="10"/>
  <c r="V68" i="10"/>
  <c r="N68" i="10"/>
  <c r="Y68" i="10" s="1"/>
  <c r="M68" i="10"/>
  <c r="W68" i="10" s="1"/>
  <c r="K68" i="10"/>
  <c r="J68" i="10"/>
  <c r="I68" i="10"/>
  <c r="Q68" i="10" s="1"/>
  <c r="H68" i="10"/>
  <c r="L68" i="10" s="1"/>
  <c r="Z68" i="10" s="1"/>
  <c r="G68" i="10"/>
  <c r="F68" i="10"/>
  <c r="W67" i="10"/>
  <c r="N67" i="10"/>
  <c r="Y67" i="10" s="1"/>
  <c r="M67" i="10"/>
  <c r="K67" i="10"/>
  <c r="V67" i="10" s="1"/>
  <c r="J67" i="10"/>
  <c r="I67" i="10"/>
  <c r="Q67" i="10" s="1"/>
  <c r="G67" i="10"/>
  <c r="F67" i="10"/>
  <c r="H67" i="10" s="1"/>
  <c r="N66" i="10"/>
  <c r="Y66" i="10" s="1"/>
  <c r="K66" i="10"/>
  <c r="V66" i="10" s="1"/>
  <c r="J66" i="10"/>
  <c r="M66" i="10" s="1"/>
  <c r="W66" i="10" s="1"/>
  <c r="G66" i="10"/>
  <c r="I66" i="10" s="1"/>
  <c r="Q66" i="10" s="1"/>
  <c r="F66" i="10"/>
  <c r="Y65" i="10"/>
  <c r="N65" i="10"/>
  <c r="K65" i="10"/>
  <c r="V65" i="10" s="1"/>
  <c r="J65" i="10"/>
  <c r="M65" i="10" s="1"/>
  <c r="W65" i="10" s="1"/>
  <c r="H65" i="10"/>
  <c r="G65" i="10"/>
  <c r="I65" i="10" s="1"/>
  <c r="Q65" i="10" s="1"/>
  <c r="F65" i="10"/>
  <c r="V64" i="10"/>
  <c r="N64" i="10"/>
  <c r="Y64" i="10" s="1"/>
  <c r="M64" i="10"/>
  <c r="W64" i="10" s="1"/>
  <c r="K64" i="10"/>
  <c r="J64" i="10"/>
  <c r="I64" i="10"/>
  <c r="Q64" i="10" s="1"/>
  <c r="H64" i="10"/>
  <c r="L64" i="10" s="1"/>
  <c r="Z64" i="10" s="1"/>
  <c r="G64" i="10"/>
  <c r="F64" i="10"/>
  <c r="N63" i="10"/>
  <c r="Y63" i="10" s="1"/>
  <c r="M63" i="10"/>
  <c r="W63" i="10" s="1"/>
  <c r="K63" i="10"/>
  <c r="V63" i="10" s="1"/>
  <c r="J63" i="10"/>
  <c r="I63" i="10"/>
  <c r="Q63" i="10" s="1"/>
  <c r="G63" i="10"/>
  <c r="F63" i="10"/>
  <c r="H63" i="10" s="1"/>
  <c r="N62" i="10"/>
  <c r="K62" i="10"/>
  <c r="V62" i="10" s="1"/>
  <c r="J62" i="10"/>
  <c r="M62" i="10" s="1"/>
  <c r="W62" i="10" s="1"/>
  <c r="G62" i="10"/>
  <c r="I62" i="10" s="1"/>
  <c r="Q62" i="10" s="1"/>
  <c r="F62" i="10"/>
  <c r="H62" i="10" s="1"/>
  <c r="L62" i="10" s="1"/>
  <c r="Z62" i="10" s="1"/>
  <c r="Y61" i="10"/>
  <c r="N61" i="10"/>
  <c r="K61" i="10"/>
  <c r="V61" i="10" s="1"/>
  <c r="J61" i="10"/>
  <c r="H61" i="10"/>
  <c r="G61" i="10"/>
  <c r="F61" i="10"/>
  <c r="V60" i="10"/>
  <c r="N60" i="10"/>
  <c r="Y60" i="10" s="1"/>
  <c r="M60" i="10"/>
  <c r="W60" i="10" s="1"/>
  <c r="K60" i="10"/>
  <c r="J60" i="10"/>
  <c r="I60" i="10"/>
  <c r="Q60" i="10" s="1"/>
  <c r="H60" i="10"/>
  <c r="L60" i="10" s="1"/>
  <c r="Z60" i="10" s="1"/>
  <c r="G60" i="10"/>
  <c r="F60" i="10"/>
  <c r="N59" i="10"/>
  <c r="Y59" i="10" s="1"/>
  <c r="M59" i="10"/>
  <c r="W59" i="10" s="1"/>
  <c r="K59" i="10"/>
  <c r="V59" i="10" s="1"/>
  <c r="J59" i="10"/>
  <c r="I59" i="10"/>
  <c r="Q59" i="10" s="1"/>
  <c r="G59" i="10"/>
  <c r="F59" i="10"/>
  <c r="H59" i="10" s="1"/>
  <c r="L59" i="10" s="1"/>
  <c r="Z59" i="10" s="1"/>
  <c r="N58" i="10"/>
  <c r="Y58" i="10" s="1"/>
  <c r="K58" i="10"/>
  <c r="V58" i="10" s="1"/>
  <c r="J58" i="10"/>
  <c r="M58" i="10" s="1"/>
  <c r="W58" i="10" s="1"/>
  <c r="G58" i="10"/>
  <c r="I58" i="10" s="1"/>
  <c r="Q58" i="10" s="1"/>
  <c r="F58" i="10"/>
  <c r="H58" i="10" s="1"/>
  <c r="L58" i="10" s="1"/>
  <c r="Z58" i="10" s="1"/>
  <c r="Y57" i="10"/>
  <c r="N57" i="10"/>
  <c r="K57" i="10"/>
  <c r="V57" i="10" s="1"/>
  <c r="J57" i="10"/>
  <c r="M57" i="10" s="1"/>
  <c r="W57" i="10" s="1"/>
  <c r="H57" i="10"/>
  <c r="G57" i="10"/>
  <c r="F57" i="10"/>
  <c r="V56" i="10"/>
  <c r="N56" i="10"/>
  <c r="Y56" i="10" s="1"/>
  <c r="M56" i="10"/>
  <c r="W56" i="10" s="1"/>
  <c r="K56" i="10"/>
  <c r="J56" i="10"/>
  <c r="I56" i="10"/>
  <c r="Q56" i="10" s="1"/>
  <c r="H56" i="10"/>
  <c r="L56" i="10" s="1"/>
  <c r="Z56" i="10" s="1"/>
  <c r="G56" i="10"/>
  <c r="F56" i="10"/>
  <c r="W55" i="10"/>
  <c r="N55" i="10"/>
  <c r="Y55" i="10" s="1"/>
  <c r="M55" i="10"/>
  <c r="K55" i="10"/>
  <c r="V55" i="10" s="1"/>
  <c r="J55" i="10"/>
  <c r="I55" i="10"/>
  <c r="Q55" i="10" s="1"/>
  <c r="G55" i="10"/>
  <c r="F55" i="10"/>
  <c r="H55" i="10" s="1"/>
  <c r="L55" i="10" s="1"/>
  <c r="Z55" i="10" s="1"/>
  <c r="N54" i="10"/>
  <c r="Y54" i="10" s="1"/>
  <c r="K54" i="10"/>
  <c r="V54" i="10" s="1"/>
  <c r="J54" i="10"/>
  <c r="M54" i="10" s="1"/>
  <c r="W54" i="10" s="1"/>
  <c r="G54" i="10"/>
  <c r="I54" i="10" s="1"/>
  <c r="Q54" i="10" s="1"/>
  <c r="F54" i="10"/>
  <c r="Y53" i="10"/>
  <c r="Q53" i="10"/>
  <c r="N53" i="10"/>
  <c r="K53" i="10"/>
  <c r="V53" i="10" s="1"/>
  <c r="J53" i="10"/>
  <c r="M53" i="10" s="1"/>
  <c r="W53" i="10" s="1"/>
  <c r="H53" i="10"/>
  <c r="L53" i="10" s="1"/>
  <c r="Z53" i="10" s="1"/>
  <c r="G53" i="10"/>
  <c r="I53" i="10" s="1"/>
  <c r="F53" i="10"/>
  <c r="V52" i="10"/>
  <c r="N52" i="10"/>
  <c r="Y52" i="10" s="1"/>
  <c r="M52" i="10"/>
  <c r="W52" i="10" s="1"/>
  <c r="K52" i="10"/>
  <c r="J52" i="10"/>
  <c r="I52" i="10"/>
  <c r="Q52" i="10" s="1"/>
  <c r="H52" i="10"/>
  <c r="L52" i="10" s="1"/>
  <c r="Z52" i="10" s="1"/>
  <c r="G52" i="10"/>
  <c r="F52" i="10"/>
  <c r="W51" i="10"/>
  <c r="N51" i="10"/>
  <c r="Y51" i="10" s="1"/>
  <c r="M51" i="10"/>
  <c r="K51" i="10"/>
  <c r="V51" i="10" s="1"/>
  <c r="J51" i="10"/>
  <c r="I51" i="10"/>
  <c r="Q51" i="10" s="1"/>
  <c r="G51" i="10"/>
  <c r="F51" i="10"/>
  <c r="H51" i="10" s="1"/>
  <c r="N50" i="10"/>
  <c r="Y50" i="10" s="1"/>
  <c r="K50" i="10"/>
  <c r="V50" i="10" s="1"/>
  <c r="J50" i="10"/>
  <c r="M50" i="10" s="1"/>
  <c r="W50" i="10" s="1"/>
  <c r="G50" i="10"/>
  <c r="I50" i="10" s="1"/>
  <c r="Q50" i="10" s="1"/>
  <c r="F50" i="10"/>
  <c r="Y49" i="10"/>
  <c r="N49" i="10"/>
  <c r="K49" i="10"/>
  <c r="V49" i="10" s="1"/>
  <c r="J49" i="10"/>
  <c r="M49" i="10" s="1"/>
  <c r="W49" i="10" s="1"/>
  <c r="H49" i="10"/>
  <c r="G49" i="10"/>
  <c r="I49" i="10" s="1"/>
  <c r="Q49" i="10" s="1"/>
  <c r="F49" i="10"/>
  <c r="V48" i="10"/>
  <c r="N48" i="10"/>
  <c r="Y48" i="10" s="1"/>
  <c r="M48" i="10"/>
  <c r="W48" i="10" s="1"/>
  <c r="K48" i="10"/>
  <c r="J48" i="10"/>
  <c r="I48" i="10"/>
  <c r="Q48" i="10" s="1"/>
  <c r="H48" i="10"/>
  <c r="L48" i="10" s="1"/>
  <c r="Z48" i="10" s="1"/>
  <c r="G48" i="10"/>
  <c r="F48" i="10"/>
  <c r="N47" i="10"/>
  <c r="Y47" i="10" s="1"/>
  <c r="M47" i="10"/>
  <c r="W47" i="10" s="1"/>
  <c r="K47" i="10"/>
  <c r="V47" i="10" s="1"/>
  <c r="J47" i="10"/>
  <c r="I47" i="10"/>
  <c r="Q47" i="10" s="1"/>
  <c r="G47" i="10"/>
  <c r="F47" i="10"/>
  <c r="H47" i="10" s="1"/>
  <c r="N46" i="10"/>
  <c r="K46" i="10"/>
  <c r="V46" i="10" s="1"/>
  <c r="J46" i="10"/>
  <c r="M46" i="10" s="1"/>
  <c r="W46" i="10" s="1"/>
  <c r="G46" i="10"/>
  <c r="I46" i="10" s="1"/>
  <c r="Q46" i="10" s="1"/>
  <c r="F46" i="10"/>
  <c r="H46" i="10" s="1"/>
  <c r="L46" i="10" s="1"/>
  <c r="Z46" i="10" s="1"/>
  <c r="Y45" i="10"/>
  <c r="N45" i="10"/>
  <c r="K45" i="10"/>
  <c r="V45" i="10" s="1"/>
  <c r="J45" i="10"/>
  <c r="H45" i="10"/>
  <c r="G45" i="10"/>
  <c r="F45" i="10"/>
  <c r="V44" i="10"/>
  <c r="N44" i="10"/>
  <c r="Y44" i="10" s="1"/>
  <c r="M44" i="10"/>
  <c r="W44" i="10" s="1"/>
  <c r="K44" i="10"/>
  <c r="J44" i="10"/>
  <c r="I44" i="10"/>
  <c r="Q44" i="10" s="1"/>
  <c r="H44" i="10"/>
  <c r="L44" i="10" s="1"/>
  <c r="Z44" i="10" s="1"/>
  <c r="G44" i="10"/>
  <c r="F44" i="10"/>
  <c r="N43" i="10"/>
  <c r="Y43" i="10" s="1"/>
  <c r="M43" i="10"/>
  <c r="W43" i="10" s="1"/>
  <c r="K43" i="10"/>
  <c r="V43" i="10" s="1"/>
  <c r="J43" i="10"/>
  <c r="I43" i="10"/>
  <c r="Q43" i="10" s="1"/>
  <c r="G43" i="10"/>
  <c r="F43" i="10"/>
  <c r="H43" i="10" s="1"/>
  <c r="L43" i="10" s="1"/>
  <c r="Z43" i="10" s="1"/>
  <c r="N42" i="10"/>
  <c r="Y42" i="10" s="1"/>
  <c r="K42" i="10"/>
  <c r="V42" i="10" s="1"/>
  <c r="J42" i="10"/>
  <c r="M42" i="10" s="1"/>
  <c r="W42" i="10" s="1"/>
  <c r="G42" i="10"/>
  <c r="I42" i="10" s="1"/>
  <c r="Q42" i="10" s="1"/>
  <c r="F42" i="10"/>
  <c r="Y41" i="10"/>
  <c r="V41" i="10"/>
  <c r="N41" i="10"/>
  <c r="K41" i="10"/>
  <c r="J41" i="10"/>
  <c r="H41" i="10"/>
  <c r="G41" i="10"/>
  <c r="F41" i="10"/>
  <c r="W40" i="10"/>
  <c r="V40" i="10"/>
  <c r="N40" i="10"/>
  <c r="Y40" i="10" s="1"/>
  <c r="M40" i="10"/>
  <c r="K40" i="10"/>
  <c r="J40" i="10"/>
  <c r="I40" i="10"/>
  <c r="Q40" i="10" s="1"/>
  <c r="H40" i="10"/>
  <c r="L40" i="10" s="1"/>
  <c r="Z40" i="10" s="1"/>
  <c r="G40" i="10"/>
  <c r="F40" i="10"/>
  <c r="N39" i="10"/>
  <c r="Y39" i="10" s="1"/>
  <c r="M39" i="10"/>
  <c r="W39" i="10" s="1"/>
  <c r="K39" i="10"/>
  <c r="V39" i="10" s="1"/>
  <c r="J39" i="10"/>
  <c r="I39" i="10"/>
  <c r="Q39" i="10" s="1"/>
  <c r="G39" i="10"/>
  <c r="F39" i="10"/>
  <c r="H39" i="10" s="1"/>
  <c r="L39" i="10" s="1"/>
  <c r="N38" i="10"/>
  <c r="Y38" i="10" s="1"/>
  <c r="K38" i="10"/>
  <c r="V38" i="10" s="1"/>
  <c r="J38" i="10"/>
  <c r="M38" i="10" s="1"/>
  <c r="W38" i="10" s="1"/>
  <c r="G38" i="10"/>
  <c r="I38" i="10" s="1"/>
  <c r="Q38" i="10" s="1"/>
  <c r="F38" i="10"/>
  <c r="Y37" i="10"/>
  <c r="V37" i="10"/>
  <c r="N37" i="10"/>
  <c r="K37" i="10"/>
  <c r="J37" i="10"/>
  <c r="H37" i="10"/>
  <c r="G37" i="10"/>
  <c r="F37" i="10"/>
  <c r="W36" i="10"/>
  <c r="V36" i="10"/>
  <c r="N36" i="10"/>
  <c r="Y36" i="10" s="1"/>
  <c r="M36" i="10"/>
  <c r="K36" i="10"/>
  <c r="J36" i="10"/>
  <c r="I36" i="10"/>
  <c r="Q36" i="10" s="1"/>
  <c r="H36" i="10"/>
  <c r="L36" i="10" s="1"/>
  <c r="Z36" i="10" s="1"/>
  <c r="G36" i="10"/>
  <c r="F36" i="10"/>
  <c r="N35" i="10"/>
  <c r="Y35" i="10" s="1"/>
  <c r="M35" i="10"/>
  <c r="W35" i="10" s="1"/>
  <c r="K35" i="10"/>
  <c r="V35" i="10" s="1"/>
  <c r="J35" i="10"/>
  <c r="I35" i="10"/>
  <c r="Q35" i="10" s="1"/>
  <c r="G35" i="10"/>
  <c r="F35" i="10"/>
  <c r="H35" i="10" s="1"/>
  <c r="L35" i="10" s="1"/>
  <c r="N34" i="10"/>
  <c r="Y34" i="10" s="1"/>
  <c r="K34" i="10"/>
  <c r="V34" i="10" s="1"/>
  <c r="J34" i="10"/>
  <c r="M34" i="10" s="1"/>
  <c r="W34" i="10" s="1"/>
  <c r="G34" i="10"/>
  <c r="I34" i="10" s="1"/>
  <c r="Q34" i="10" s="1"/>
  <c r="F34" i="10"/>
  <c r="H34" i="10" s="1"/>
  <c r="L34" i="10" s="1"/>
  <c r="Z34" i="10" s="1"/>
  <c r="Y33" i="10"/>
  <c r="N33" i="10"/>
  <c r="K33" i="10"/>
  <c r="V33" i="10" s="1"/>
  <c r="J33" i="10"/>
  <c r="M33" i="10" s="1"/>
  <c r="W33" i="10" s="1"/>
  <c r="H33" i="10"/>
  <c r="G33" i="10"/>
  <c r="F33" i="10"/>
  <c r="V32" i="10"/>
  <c r="N32" i="10"/>
  <c r="Y32" i="10" s="1"/>
  <c r="M32" i="10"/>
  <c r="W32" i="10" s="1"/>
  <c r="K32" i="10"/>
  <c r="J32" i="10"/>
  <c r="I32" i="10"/>
  <c r="Q32" i="10" s="1"/>
  <c r="H32" i="10"/>
  <c r="L32" i="10" s="1"/>
  <c r="Z32" i="10" s="1"/>
  <c r="G32" i="10"/>
  <c r="F32" i="10"/>
  <c r="W31" i="10"/>
  <c r="N31" i="10"/>
  <c r="Y31" i="10" s="1"/>
  <c r="M31" i="10"/>
  <c r="K31" i="10"/>
  <c r="V31" i="10" s="1"/>
  <c r="J31" i="10"/>
  <c r="I31" i="10"/>
  <c r="Q31" i="10" s="1"/>
  <c r="G31" i="10"/>
  <c r="F31" i="10"/>
  <c r="H31" i="10" s="1"/>
  <c r="L31" i="10" s="1"/>
  <c r="Z31" i="10" s="1"/>
  <c r="N30" i="10"/>
  <c r="Y30" i="10" s="1"/>
  <c r="K30" i="10"/>
  <c r="V30" i="10" s="1"/>
  <c r="J30" i="10"/>
  <c r="M30" i="10" s="1"/>
  <c r="W30" i="10" s="1"/>
  <c r="G30" i="10"/>
  <c r="I30" i="10" s="1"/>
  <c r="Q30" i="10" s="1"/>
  <c r="F30" i="10"/>
  <c r="Y29" i="10"/>
  <c r="N29" i="10"/>
  <c r="K29" i="10"/>
  <c r="V29" i="10" s="1"/>
  <c r="J29" i="10"/>
  <c r="M29" i="10" s="1"/>
  <c r="W29" i="10" s="1"/>
  <c r="G29" i="10"/>
  <c r="I29" i="10" s="1"/>
  <c r="Q29" i="10" s="1"/>
  <c r="F29" i="10"/>
  <c r="H29" i="10" s="1"/>
  <c r="V28" i="10"/>
  <c r="N28" i="10"/>
  <c r="Y28" i="10" s="1"/>
  <c r="K28" i="10"/>
  <c r="J28" i="10"/>
  <c r="M28" i="10" s="1"/>
  <c r="W28" i="10" s="1"/>
  <c r="H28" i="10"/>
  <c r="L28" i="10" s="1"/>
  <c r="Z28" i="10" s="1"/>
  <c r="G28" i="10"/>
  <c r="I28" i="10" s="1"/>
  <c r="Q28" i="10" s="1"/>
  <c r="F28" i="10"/>
  <c r="Y27" i="10"/>
  <c r="N27" i="10"/>
  <c r="M27" i="10"/>
  <c r="W27" i="10" s="1"/>
  <c r="K27" i="10"/>
  <c r="V27" i="10" s="1"/>
  <c r="J27" i="10"/>
  <c r="I27" i="10"/>
  <c r="Q27" i="10" s="1"/>
  <c r="G27" i="10"/>
  <c r="F27" i="10"/>
  <c r="H27" i="10" s="1"/>
  <c r="L27" i="10" s="1"/>
  <c r="Z27" i="10" s="1"/>
  <c r="N26" i="10"/>
  <c r="Y26" i="10" s="1"/>
  <c r="K26" i="10"/>
  <c r="V26" i="10" s="1"/>
  <c r="J26" i="10"/>
  <c r="M26" i="10" s="1"/>
  <c r="W26" i="10" s="1"/>
  <c r="G26" i="10"/>
  <c r="I26" i="10" s="1"/>
  <c r="Q26" i="10" s="1"/>
  <c r="F26" i="10"/>
  <c r="H26" i="10" s="1"/>
  <c r="L26" i="10" s="1"/>
  <c r="Z26" i="10" s="1"/>
  <c r="Y25" i="10"/>
  <c r="N25" i="10"/>
  <c r="K25" i="10"/>
  <c r="V25" i="10" s="1"/>
  <c r="J25" i="10"/>
  <c r="M25" i="10" s="1"/>
  <c r="W25" i="10" s="1"/>
  <c r="H25" i="10"/>
  <c r="G25" i="10"/>
  <c r="F25" i="10"/>
  <c r="V24" i="10"/>
  <c r="N24" i="10"/>
  <c r="Y24" i="10" s="1"/>
  <c r="M24" i="10"/>
  <c r="W24" i="10" s="1"/>
  <c r="K24" i="10"/>
  <c r="J24" i="10"/>
  <c r="I24" i="10"/>
  <c r="Q24" i="10" s="1"/>
  <c r="G24" i="10"/>
  <c r="F24" i="10"/>
  <c r="H24" i="10" s="1"/>
  <c r="L24" i="10" s="1"/>
  <c r="Z24" i="10" s="1"/>
  <c r="Y23" i="10"/>
  <c r="U23" i="10"/>
  <c r="N23" i="10"/>
  <c r="K23" i="10"/>
  <c r="V23" i="10" s="1"/>
  <c r="J23" i="10"/>
  <c r="M23" i="10" s="1"/>
  <c r="W23" i="10" s="1"/>
  <c r="H23" i="10"/>
  <c r="G23" i="10"/>
  <c r="F23" i="10"/>
  <c r="V22" i="10"/>
  <c r="N22" i="10"/>
  <c r="Y22" i="10" s="1"/>
  <c r="M22" i="10"/>
  <c r="W22" i="10" s="1"/>
  <c r="K22" i="10"/>
  <c r="J22" i="10"/>
  <c r="I22" i="10"/>
  <c r="Q22" i="10" s="1"/>
  <c r="G22" i="10"/>
  <c r="F22" i="10"/>
  <c r="H22" i="10" s="1"/>
  <c r="L22" i="10" s="1"/>
  <c r="Z22" i="10" s="1"/>
  <c r="Y21" i="10"/>
  <c r="U21" i="10"/>
  <c r="N21" i="10"/>
  <c r="K21" i="10"/>
  <c r="V21" i="10" s="1"/>
  <c r="J21" i="10"/>
  <c r="M21" i="10" s="1"/>
  <c r="W21" i="10" s="1"/>
  <c r="H21" i="10"/>
  <c r="G21" i="10"/>
  <c r="F21" i="10"/>
  <c r="D21" i="10"/>
  <c r="D25" i="10" s="1"/>
  <c r="D29" i="10" s="1"/>
  <c r="D33" i="10" s="1"/>
  <c r="D37" i="10" s="1"/>
  <c r="D41" i="10" s="1"/>
  <c r="D45" i="10" s="1"/>
  <c r="D49" i="10" s="1"/>
  <c r="D53" i="10" s="1"/>
  <c r="D57" i="10" s="1"/>
  <c r="D61" i="10" s="1"/>
  <c r="D65" i="10" s="1"/>
  <c r="D69" i="10" s="1"/>
  <c r="D73" i="10" s="1"/>
  <c r="D77" i="10" s="1"/>
  <c r="D81" i="10" s="1"/>
  <c r="D85" i="10" s="1"/>
  <c r="D89" i="10" s="1"/>
  <c r="D93" i="10" s="1"/>
  <c r="D97" i="10" s="1"/>
  <c r="D101" i="10" s="1"/>
  <c r="D105" i="10" s="1"/>
  <c r="D109" i="10" s="1"/>
  <c r="D113" i="10" s="1"/>
  <c r="D117" i="10" s="1"/>
  <c r="C21" i="10"/>
  <c r="C25" i="10" s="1"/>
  <c r="C29" i="10" s="1"/>
  <c r="C33" i="10" s="1"/>
  <c r="C37" i="10" s="1"/>
  <c r="C41" i="10" s="1"/>
  <c r="C45" i="10" s="1"/>
  <c r="C49" i="10" s="1"/>
  <c r="C53" i="10" s="1"/>
  <c r="C57" i="10" s="1"/>
  <c r="C61" i="10" s="1"/>
  <c r="C65" i="10" s="1"/>
  <c r="C69" i="10" s="1"/>
  <c r="C73" i="10" s="1"/>
  <c r="C77" i="10" s="1"/>
  <c r="C81" i="10" s="1"/>
  <c r="C85" i="10" s="1"/>
  <c r="C89" i="10" s="1"/>
  <c r="C93" i="10" s="1"/>
  <c r="C97" i="10" s="1"/>
  <c r="C101" i="10" s="1"/>
  <c r="C105" i="10" s="1"/>
  <c r="C109" i="10" s="1"/>
  <c r="C113" i="10" s="1"/>
  <c r="C117" i="10" s="1"/>
  <c r="V20" i="10"/>
  <c r="N20" i="10"/>
  <c r="Y20" i="10" s="1"/>
  <c r="M20" i="10"/>
  <c r="W20" i="10" s="1"/>
  <c r="K20" i="10"/>
  <c r="J20" i="10"/>
  <c r="I20" i="10"/>
  <c r="Q20" i="10" s="1"/>
  <c r="G20" i="10"/>
  <c r="F20" i="10"/>
  <c r="H20" i="10" s="1"/>
  <c r="D20" i="10"/>
  <c r="D24" i="10" s="1"/>
  <c r="D28" i="10" s="1"/>
  <c r="D32" i="10" s="1"/>
  <c r="D36" i="10" s="1"/>
  <c r="D40" i="10" s="1"/>
  <c r="D44" i="10" s="1"/>
  <c r="D48" i="10" s="1"/>
  <c r="D52" i="10" s="1"/>
  <c r="D56" i="10" s="1"/>
  <c r="D60" i="10" s="1"/>
  <c r="D64" i="10" s="1"/>
  <c r="D68" i="10" s="1"/>
  <c r="D72" i="10" s="1"/>
  <c r="D76" i="10" s="1"/>
  <c r="D80" i="10" s="1"/>
  <c r="D84" i="10" s="1"/>
  <c r="D88" i="10" s="1"/>
  <c r="D92" i="10" s="1"/>
  <c r="D96" i="10" s="1"/>
  <c r="D100" i="10" s="1"/>
  <c r="D104" i="10" s="1"/>
  <c r="D108" i="10" s="1"/>
  <c r="D112" i="10" s="1"/>
  <c r="D116" i="10" s="1"/>
  <c r="C20" i="10"/>
  <c r="C24" i="10" s="1"/>
  <c r="C28" i="10" s="1"/>
  <c r="C32" i="10" s="1"/>
  <c r="C36" i="10" s="1"/>
  <c r="C40" i="10" s="1"/>
  <c r="C44" i="10" s="1"/>
  <c r="C48" i="10" s="1"/>
  <c r="C52" i="10" s="1"/>
  <c r="C56" i="10" s="1"/>
  <c r="C60" i="10" s="1"/>
  <c r="C64" i="10" s="1"/>
  <c r="C68" i="10" s="1"/>
  <c r="C72" i="10" s="1"/>
  <c r="C76" i="10" s="1"/>
  <c r="C80" i="10" s="1"/>
  <c r="C84" i="10" s="1"/>
  <c r="C88" i="10" s="1"/>
  <c r="C92" i="10" s="1"/>
  <c r="C96" i="10" s="1"/>
  <c r="C100" i="10" s="1"/>
  <c r="C104" i="10" s="1"/>
  <c r="C108" i="10" s="1"/>
  <c r="C112" i="10" s="1"/>
  <c r="C116" i="10" s="1"/>
  <c r="Y19" i="10"/>
  <c r="U19" i="10"/>
  <c r="Q19" i="10"/>
  <c r="N19" i="10"/>
  <c r="K19" i="10"/>
  <c r="V19" i="10" s="1"/>
  <c r="J19" i="10"/>
  <c r="M19" i="10" s="1"/>
  <c r="W19" i="10" s="1"/>
  <c r="H19" i="10"/>
  <c r="L19" i="10" s="1"/>
  <c r="G19" i="10"/>
  <c r="I19" i="10" s="1"/>
  <c r="F19" i="10"/>
  <c r="D19" i="10"/>
  <c r="D23" i="10" s="1"/>
  <c r="D27" i="10" s="1"/>
  <c r="D31" i="10" s="1"/>
  <c r="D35" i="10" s="1"/>
  <c r="D39" i="10" s="1"/>
  <c r="D43" i="10" s="1"/>
  <c r="D47" i="10" s="1"/>
  <c r="D51" i="10" s="1"/>
  <c r="D55" i="10" s="1"/>
  <c r="D59" i="10" s="1"/>
  <c r="D63" i="10" s="1"/>
  <c r="D67" i="10" s="1"/>
  <c r="D71" i="10" s="1"/>
  <c r="D75" i="10" s="1"/>
  <c r="D79" i="10" s="1"/>
  <c r="D83" i="10" s="1"/>
  <c r="D87" i="10" s="1"/>
  <c r="D91" i="10" s="1"/>
  <c r="D95" i="10" s="1"/>
  <c r="D99" i="10" s="1"/>
  <c r="D103" i="10" s="1"/>
  <c r="D107" i="10" s="1"/>
  <c r="D111" i="10" s="1"/>
  <c r="D115" i="10" s="1"/>
  <c r="C19" i="10"/>
  <c r="C23" i="10" s="1"/>
  <c r="C27" i="10" s="1"/>
  <c r="C31" i="10" s="1"/>
  <c r="C35" i="10" s="1"/>
  <c r="C39" i="10" s="1"/>
  <c r="C43" i="10" s="1"/>
  <c r="C47" i="10" s="1"/>
  <c r="C51" i="10" s="1"/>
  <c r="C55" i="10" s="1"/>
  <c r="C59" i="10" s="1"/>
  <c r="C63" i="10" s="1"/>
  <c r="C67" i="10" s="1"/>
  <c r="C71" i="10" s="1"/>
  <c r="C75" i="10" s="1"/>
  <c r="C79" i="10" s="1"/>
  <c r="C83" i="10" s="1"/>
  <c r="C87" i="10" s="1"/>
  <c r="C91" i="10" s="1"/>
  <c r="C95" i="10" s="1"/>
  <c r="C99" i="10" s="1"/>
  <c r="C103" i="10" s="1"/>
  <c r="C107" i="10" s="1"/>
  <c r="C111" i="10" s="1"/>
  <c r="C115" i="10" s="1"/>
  <c r="V18" i="10"/>
  <c r="N18" i="10"/>
  <c r="Y18" i="10" s="1"/>
  <c r="M18" i="10"/>
  <c r="W18" i="10" s="1"/>
  <c r="K18" i="10"/>
  <c r="J18" i="10"/>
  <c r="I18" i="10"/>
  <c r="Q18" i="10" s="1"/>
  <c r="G18" i="10"/>
  <c r="F18" i="10"/>
  <c r="H18" i="10" s="1"/>
  <c r="L18" i="10" s="1"/>
  <c r="Z18" i="10" s="1"/>
  <c r="D18" i="10"/>
  <c r="D22" i="10" s="1"/>
  <c r="D26" i="10" s="1"/>
  <c r="D30" i="10" s="1"/>
  <c r="D34" i="10" s="1"/>
  <c r="D38" i="10" s="1"/>
  <c r="D42" i="10" s="1"/>
  <c r="D46" i="10" s="1"/>
  <c r="D50" i="10" s="1"/>
  <c r="D54" i="10" s="1"/>
  <c r="D58" i="10" s="1"/>
  <c r="D62" i="10" s="1"/>
  <c r="D66" i="10" s="1"/>
  <c r="D70" i="10" s="1"/>
  <c r="D74" i="10" s="1"/>
  <c r="D78" i="10" s="1"/>
  <c r="D82" i="10" s="1"/>
  <c r="D86" i="10" s="1"/>
  <c r="D90" i="10" s="1"/>
  <c r="D94" i="10" s="1"/>
  <c r="D98" i="10" s="1"/>
  <c r="D102" i="10" s="1"/>
  <c r="D106" i="10" s="1"/>
  <c r="D110" i="10" s="1"/>
  <c r="D114" i="10" s="1"/>
  <c r="C18" i="10"/>
  <c r="C22" i="10" s="1"/>
  <c r="C26" i="10" s="1"/>
  <c r="C30" i="10" s="1"/>
  <c r="C34" i="10" s="1"/>
  <c r="C38" i="10" s="1"/>
  <c r="C42" i="10" s="1"/>
  <c r="C46" i="10" s="1"/>
  <c r="C50" i="10" s="1"/>
  <c r="C54" i="10" s="1"/>
  <c r="C58" i="10" s="1"/>
  <c r="C62" i="10" s="1"/>
  <c r="C66" i="10" s="1"/>
  <c r="C70" i="10" s="1"/>
  <c r="C74" i="10" s="1"/>
  <c r="C78" i="10" s="1"/>
  <c r="C82" i="10" s="1"/>
  <c r="C86" i="10" s="1"/>
  <c r="C90" i="10" s="1"/>
  <c r="C94" i="10" s="1"/>
  <c r="C98" i="10" s="1"/>
  <c r="C102" i="10" s="1"/>
  <c r="C106" i="10" s="1"/>
  <c r="C110" i="10" s="1"/>
  <c r="C114" i="10" s="1"/>
  <c r="Y17" i="10"/>
  <c r="U17" i="10"/>
  <c r="N17" i="10"/>
  <c r="K17" i="10"/>
  <c r="V17" i="10" s="1"/>
  <c r="J17" i="10"/>
  <c r="H17" i="10"/>
  <c r="G17" i="10"/>
  <c r="I17" i="10" s="1"/>
  <c r="Q17" i="10" s="1"/>
  <c r="F17" i="10"/>
  <c r="Y16" i="10"/>
  <c r="U16" i="10"/>
  <c r="N16" i="10"/>
  <c r="K16" i="10"/>
  <c r="V16" i="10" s="1"/>
  <c r="J16" i="10"/>
  <c r="M16" i="10" s="1"/>
  <c r="W16" i="10" s="1"/>
  <c r="H16" i="10"/>
  <c r="G16" i="10"/>
  <c r="F16" i="10"/>
  <c r="N15" i="10"/>
  <c r="Y15" i="10" s="1"/>
  <c r="K15" i="10"/>
  <c r="V15" i="10" s="1"/>
  <c r="J15" i="10"/>
  <c r="M15" i="10" s="1"/>
  <c r="W15" i="10" s="1"/>
  <c r="G15" i="10"/>
  <c r="I15" i="10" s="1"/>
  <c r="Q15" i="10" s="1"/>
  <c r="F15" i="10"/>
  <c r="N14" i="10"/>
  <c r="Y14" i="10" s="1"/>
  <c r="M14" i="10"/>
  <c r="W14" i="10" s="1"/>
  <c r="K14" i="10"/>
  <c r="J14" i="10"/>
  <c r="I14" i="10"/>
  <c r="Q14" i="10" s="1"/>
  <c r="G14" i="10"/>
  <c r="F14" i="10"/>
  <c r="H14" i="10" s="1"/>
  <c r="M13" i="10"/>
  <c r="I13" i="10"/>
  <c r="H13" i="10"/>
  <c r="Q12" i="10"/>
  <c r="M12" i="10"/>
  <c r="I12" i="10"/>
  <c r="H12" i="10"/>
  <c r="L12" i="10" s="1"/>
  <c r="Q11" i="10"/>
  <c r="M11" i="10"/>
  <c r="I11" i="10"/>
  <c r="H11" i="10"/>
  <c r="L11" i="10" s="1"/>
  <c r="M10" i="10"/>
  <c r="I10" i="10"/>
  <c r="H10" i="10"/>
  <c r="Y9" i="10"/>
  <c r="U9" i="10"/>
  <c r="P9" i="10"/>
  <c r="M9" i="10"/>
  <c r="I9" i="10"/>
  <c r="Q9" i="10" s="1"/>
  <c r="H9" i="10"/>
  <c r="L9" i="10" s="1"/>
  <c r="Z9" i="10" s="1"/>
  <c r="D9" i="10"/>
  <c r="C9" i="10"/>
  <c r="Y8" i="10"/>
  <c r="U8" i="10"/>
  <c r="P8" i="10"/>
  <c r="M8" i="10"/>
  <c r="I8" i="10"/>
  <c r="Q8" i="10" s="1"/>
  <c r="H8" i="10"/>
  <c r="L8" i="10" s="1"/>
  <c r="D8" i="10"/>
  <c r="C8" i="10"/>
  <c r="Y7" i="10"/>
  <c r="X7" i="10"/>
  <c r="U7" i="10"/>
  <c r="P7" i="10"/>
  <c r="M7" i="10"/>
  <c r="I7" i="10"/>
  <c r="Q7" i="10" s="1"/>
  <c r="H7" i="10"/>
  <c r="L7" i="10" s="1"/>
  <c r="Z7" i="10" s="1"/>
  <c r="Y6" i="10"/>
  <c r="U6" i="10"/>
  <c r="M6" i="10"/>
  <c r="I6" i="10"/>
  <c r="H6" i="10"/>
  <c r="Y5" i="10"/>
  <c r="U5" i="10"/>
  <c r="P5" i="10"/>
  <c r="M5" i="10"/>
  <c r="I5" i="10"/>
  <c r="Q5" i="10" s="1"/>
  <c r="H5" i="10"/>
  <c r="L5" i="10" s="1"/>
  <c r="Z5" i="10" s="1"/>
  <c r="Y4" i="10"/>
  <c r="U4" i="10"/>
  <c r="U12" i="10" s="1"/>
  <c r="Q4" i="10"/>
  <c r="M4" i="10"/>
  <c r="I4" i="10"/>
  <c r="H4" i="10"/>
  <c r="N117" i="9"/>
  <c r="K117" i="9"/>
  <c r="V117" i="9" s="1"/>
  <c r="J117" i="9"/>
  <c r="M117" i="9" s="1"/>
  <c r="W117" i="9" s="1"/>
  <c r="G117" i="9"/>
  <c r="I117" i="9" s="1"/>
  <c r="Q117" i="9" s="1"/>
  <c r="F117" i="9"/>
  <c r="H117" i="9" s="1"/>
  <c r="L117" i="9" s="1"/>
  <c r="Z117" i="9" s="1"/>
  <c r="Y116" i="9"/>
  <c r="N116" i="9"/>
  <c r="K116" i="9"/>
  <c r="V116" i="9" s="1"/>
  <c r="J116" i="9"/>
  <c r="H116" i="9"/>
  <c r="G116" i="9"/>
  <c r="F116" i="9"/>
  <c r="Y115" i="9"/>
  <c r="V115" i="9"/>
  <c r="N115" i="9"/>
  <c r="X115" i="9" s="1"/>
  <c r="M115" i="9"/>
  <c r="W115" i="9" s="1"/>
  <c r="K115" i="9"/>
  <c r="J115" i="9"/>
  <c r="I115" i="9"/>
  <c r="Q115" i="9" s="1"/>
  <c r="H115" i="9"/>
  <c r="L115" i="9" s="1"/>
  <c r="Z115" i="9" s="1"/>
  <c r="G115" i="9"/>
  <c r="F115" i="9"/>
  <c r="V114" i="9"/>
  <c r="N114" i="9"/>
  <c r="Y114" i="9" s="1"/>
  <c r="M114" i="9"/>
  <c r="W114" i="9" s="1"/>
  <c r="K114" i="9"/>
  <c r="J114" i="9"/>
  <c r="I114" i="9"/>
  <c r="Q114" i="9" s="1"/>
  <c r="G114" i="9"/>
  <c r="F114" i="9"/>
  <c r="H114" i="9" s="1"/>
  <c r="N113" i="9"/>
  <c r="Y113" i="9" s="1"/>
  <c r="K113" i="9"/>
  <c r="V113" i="9" s="1"/>
  <c r="J113" i="9"/>
  <c r="M113" i="9" s="1"/>
  <c r="W113" i="9" s="1"/>
  <c r="G113" i="9"/>
  <c r="I113" i="9" s="1"/>
  <c r="Q113" i="9" s="1"/>
  <c r="F113" i="9"/>
  <c r="H113" i="9" s="1"/>
  <c r="Y112" i="9"/>
  <c r="N112" i="9"/>
  <c r="K112" i="9"/>
  <c r="V112" i="9" s="1"/>
  <c r="J112" i="9"/>
  <c r="H112" i="9"/>
  <c r="G112" i="9"/>
  <c r="I112" i="9" s="1"/>
  <c r="Q112" i="9" s="1"/>
  <c r="F112" i="9"/>
  <c r="V111" i="9"/>
  <c r="N111" i="9"/>
  <c r="Y111" i="9" s="1"/>
  <c r="M111" i="9"/>
  <c r="W111" i="9" s="1"/>
  <c r="K111" i="9"/>
  <c r="J111" i="9"/>
  <c r="I111" i="9"/>
  <c r="Q111" i="9" s="1"/>
  <c r="H111" i="9"/>
  <c r="L111" i="9" s="1"/>
  <c r="Z111" i="9" s="1"/>
  <c r="G111" i="9"/>
  <c r="F111" i="9"/>
  <c r="N110" i="9"/>
  <c r="Y110" i="9" s="1"/>
  <c r="M110" i="9"/>
  <c r="W110" i="9" s="1"/>
  <c r="K110" i="9"/>
  <c r="V110" i="9" s="1"/>
  <c r="J110" i="9"/>
  <c r="I110" i="9"/>
  <c r="Q110" i="9" s="1"/>
  <c r="G110" i="9"/>
  <c r="F110" i="9"/>
  <c r="H110" i="9" s="1"/>
  <c r="L110" i="9" s="1"/>
  <c r="Z110" i="9" s="1"/>
  <c r="N109" i="9"/>
  <c r="K109" i="9"/>
  <c r="V109" i="9" s="1"/>
  <c r="J109" i="9"/>
  <c r="M109" i="9" s="1"/>
  <c r="W109" i="9" s="1"/>
  <c r="G109" i="9"/>
  <c r="I109" i="9" s="1"/>
  <c r="Q109" i="9" s="1"/>
  <c r="F109" i="9"/>
  <c r="H109" i="9" s="1"/>
  <c r="L109" i="9" s="1"/>
  <c r="Z109" i="9" s="1"/>
  <c r="Y108" i="9"/>
  <c r="N108" i="9"/>
  <c r="K108" i="9"/>
  <c r="V108" i="9" s="1"/>
  <c r="J108" i="9"/>
  <c r="H108" i="9"/>
  <c r="G108" i="9"/>
  <c r="F108" i="9"/>
  <c r="Y107" i="9"/>
  <c r="V107" i="9"/>
  <c r="N107" i="9"/>
  <c r="M107" i="9"/>
  <c r="W107" i="9" s="1"/>
  <c r="K107" i="9"/>
  <c r="J107" i="9"/>
  <c r="I107" i="9"/>
  <c r="Q107" i="9" s="1"/>
  <c r="H107" i="9"/>
  <c r="L107" i="9" s="1"/>
  <c r="Z107" i="9" s="1"/>
  <c r="G107" i="9"/>
  <c r="F107" i="9"/>
  <c r="N106" i="9"/>
  <c r="Y106" i="9" s="1"/>
  <c r="M106" i="9"/>
  <c r="W106" i="9" s="1"/>
  <c r="K106" i="9"/>
  <c r="V106" i="9" s="1"/>
  <c r="J106" i="9"/>
  <c r="I106" i="9"/>
  <c r="Q106" i="9" s="1"/>
  <c r="G106" i="9"/>
  <c r="F106" i="9"/>
  <c r="H106" i="9" s="1"/>
  <c r="L106" i="9" s="1"/>
  <c r="Z106" i="9" s="1"/>
  <c r="N105" i="9"/>
  <c r="K105" i="9"/>
  <c r="V105" i="9" s="1"/>
  <c r="J105" i="9"/>
  <c r="M105" i="9" s="1"/>
  <c r="W105" i="9" s="1"/>
  <c r="G105" i="9"/>
  <c r="I105" i="9" s="1"/>
  <c r="Q105" i="9" s="1"/>
  <c r="F105" i="9"/>
  <c r="H105" i="9" s="1"/>
  <c r="L105" i="9" s="1"/>
  <c r="Z105" i="9" s="1"/>
  <c r="Y104" i="9"/>
  <c r="N104" i="9"/>
  <c r="K104" i="9"/>
  <c r="V104" i="9" s="1"/>
  <c r="J104" i="9"/>
  <c r="H104" i="9"/>
  <c r="G104" i="9"/>
  <c r="F104" i="9"/>
  <c r="V103" i="9"/>
  <c r="N103" i="9"/>
  <c r="Y103" i="9" s="1"/>
  <c r="M103" i="9"/>
  <c r="W103" i="9" s="1"/>
  <c r="K103" i="9"/>
  <c r="J103" i="9"/>
  <c r="I103" i="9"/>
  <c r="Q103" i="9" s="1"/>
  <c r="H103" i="9"/>
  <c r="L103" i="9" s="1"/>
  <c r="Z103" i="9" s="1"/>
  <c r="G103" i="9"/>
  <c r="F103" i="9"/>
  <c r="W102" i="9"/>
  <c r="N102" i="9"/>
  <c r="Y102" i="9" s="1"/>
  <c r="M102" i="9"/>
  <c r="K102" i="9"/>
  <c r="V102" i="9" s="1"/>
  <c r="J102" i="9"/>
  <c r="I102" i="9"/>
  <c r="Q102" i="9" s="1"/>
  <c r="G102" i="9"/>
  <c r="F102" i="9"/>
  <c r="H102" i="9" s="1"/>
  <c r="L102" i="9" s="1"/>
  <c r="Z102" i="9" s="1"/>
  <c r="N101" i="9"/>
  <c r="Y101" i="9" s="1"/>
  <c r="K101" i="9"/>
  <c r="V101" i="9" s="1"/>
  <c r="J101" i="9"/>
  <c r="M101" i="9" s="1"/>
  <c r="W101" i="9" s="1"/>
  <c r="G101" i="9"/>
  <c r="I101" i="9" s="1"/>
  <c r="Q101" i="9" s="1"/>
  <c r="F101" i="9"/>
  <c r="Y100" i="9"/>
  <c r="N100" i="9"/>
  <c r="K100" i="9"/>
  <c r="V100" i="9" s="1"/>
  <c r="J100" i="9"/>
  <c r="M100" i="9" s="1"/>
  <c r="H100" i="9"/>
  <c r="G100" i="9"/>
  <c r="F100" i="9"/>
  <c r="V99" i="9"/>
  <c r="N99" i="9"/>
  <c r="Y99" i="9" s="1"/>
  <c r="M99" i="9"/>
  <c r="W99" i="9" s="1"/>
  <c r="K99" i="9"/>
  <c r="J99" i="9"/>
  <c r="I99" i="9"/>
  <c r="Q99" i="9" s="1"/>
  <c r="H99" i="9"/>
  <c r="L99" i="9" s="1"/>
  <c r="G99" i="9"/>
  <c r="F99" i="9"/>
  <c r="W98" i="9"/>
  <c r="N98" i="9"/>
  <c r="Y98" i="9" s="1"/>
  <c r="M98" i="9"/>
  <c r="K98" i="9"/>
  <c r="V98" i="9" s="1"/>
  <c r="J98" i="9"/>
  <c r="I98" i="9"/>
  <c r="Q98" i="9" s="1"/>
  <c r="G98" i="9"/>
  <c r="F98" i="9"/>
  <c r="H98" i="9" s="1"/>
  <c r="N97" i="9"/>
  <c r="Y97" i="9" s="1"/>
  <c r="K97" i="9"/>
  <c r="V97" i="9" s="1"/>
  <c r="J97" i="9"/>
  <c r="M97" i="9" s="1"/>
  <c r="W97" i="9" s="1"/>
  <c r="G97" i="9"/>
  <c r="I97" i="9" s="1"/>
  <c r="Q97" i="9" s="1"/>
  <c r="F97" i="9"/>
  <c r="Y96" i="9"/>
  <c r="Q96" i="9"/>
  <c r="N96" i="9"/>
  <c r="K96" i="9"/>
  <c r="V96" i="9" s="1"/>
  <c r="J96" i="9"/>
  <c r="M96" i="9" s="1"/>
  <c r="W96" i="9" s="1"/>
  <c r="H96" i="9"/>
  <c r="L96" i="9" s="1"/>
  <c r="Z96" i="9" s="1"/>
  <c r="G96" i="9"/>
  <c r="I96" i="9" s="1"/>
  <c r="F96" i="9"/>
  <c r="V95" i="9"/>
  <c r="N95" i="9"/>
  <c r="Y95" i="9" s="1"/>
  <c r="M95" i="9"/>
  <c r="W95" i="9" s="1"/>
  <c r="K95" i="9"/>
  <c r="J95" i="9"/>
  <c r="I95" i="9"/>
  <c r="Q95" i="9" s="1"/>
  <c r="H95" i="9"/>
  <c r="L95" i="9" s="1"/>
  <c r="Z95" i="9" s="1"/>
  <c r="G95" i="9"/>
  <c r="F95" i="9"/>
  <c r="N94" i="9"/>
  <c r="Y94" i="9" s="1"/>
  <c r="M94" i="9"/>
  <c r="W94" i="9" s="1"/>
  <c r="K94" i="9"/>
  <c r="V94" i="9" s="1"/>
  <c r="J94" i="9"/>
  <c r="I94" i="9"/>
  <c r="Q94" i="9" s="1"/>
  <c r="G94" i="9"/>
  <c r="F94" i="9"/>
  <c r="H94" i="9" s="1"/>
  <c r="N93" i="9"/>
  <c r="Y93" i="9" s="1"/>
  <c r="K93" i="9"/>
  <c r="V93" i="9" s="1"/>
  <c r="J93" i="9"/>
  <c r="M93" i="9" s="1"/>
  <c r="W93" i="9" s="1"/>
  <c r="G93" i="9"/>
  <c r="I93" i="9" s="1"/>
  <c r="Q93" i="9" s="1"/>
  <c r="F93" i="9"/>
  <c r="H93" i="9" s="1"/>
  <c r="Y92" i="9"/>
  <c r="N92" i="9"/>
  <c r="K92" i="9"/>
  <c r="V92" i="9" s="1"/>
  <c r="J92" i="9"/>
  <c r="H92" i="9"/>
  <c r="G92" i="9"/>
  <c r="I92" i="9" s="1"/>
  <c r="Q92" i="9" s="1"/>
  <c r="F92" i="9"/>
  <c r="V91" i="9"/>
  <c r="N91" i="9"/>
  <c r="Y91" i="9" s="1"/>
  <c r="M91" i="9"/>
  <c r="W91" i="9" s="1"/>
  <c r="K91" i="9"/>
  <c r="J91" i="9"/>
  <c r="I91" i="9"/>
  <c r="Q91" i="9" s="1"/>
  <c r="H91" i="9"/>
  <c r="L91" i="9" s="1"/>
  <c r="Z91" i="9" s="1"/>
  <c r="G91" i="9"/>
  <c r="F91" i="9"/>
  <c r="N90" i="9"/>
  <c r="Y90" i="9" s="1"/>
  <c r="M90" i="9"/>
  <c r="W90" i="9" s="1"/>
  <c r="K90" i="9"/>
  <c r="V90" i="9" s="1"/>
  <c r="J90" i="9"/>
  <c r="I90" i="9"/>
  <c r="Q90" i="9" s="1"/>
  <c r="G90" i="9"/>
  <c r="F90" i="9"/>
  <c r="H90" i="9" s="1"/>
  <c r="L90" i="9" s="1"/>
  <c r="Z90" i="9" s="1"/>
  <c r="N89" i="9"/>
  <c r="K89" i="9"/>
  <c r="V89" i="9" s="1"/>
  <c r="J89" i="9"/>
  <c r="M89" i="9" s="1"/>
  <c r="W89" i="9" s="1"/>
  <c r="G89" i="9"/>
  <c r="I89" i="9" s="1"/>
  <c r="Q89" i="9" s="1"/>
  <c r="F89" i="9"/>
  <c r="H89" i="9" s="1"/>
  <c r="L89" i="9" s="1"/>
  <c r="Z89" i="9" s="1"/>
  <c r="Y88" i="9"/>
  <c r="N88" i="9"/>
  <c r="K88" i="9"/>
  <c r="V88" i="9" s="1"/>
  <c r="J88" i="9"/>
  <c r="H88" i="9"/>
  <c r="G88" i="9"/>
  <c r="F88" i="9"/>
  <c r="V87" i="9"/>
  <c r="N87" i="9"/>
  <c r="Y87" i="9" s="1"/>
  <c r="M87" i="9"/>
  <c r="W87" i="9" s="1"/>
  <c r="K87" i="9"/>
  <c r="J87" i="9"/>
  <c r="I87" i="9"/>
  <c r="Q87" i="9" s="1"/>
  <c r="H87" i="9"/>
  <c r="L87" i="9" s="1"/>
  <c r="Z87" i="9" s="1"/>
  <c r="G87" i="9"/>
  <c r="F87" i="9"/>
  <c r="W86" i="9"/>
  <c r="N86" i="9"/>
  <c r="Y86" i="9" s="1"/>
  <c r="M86" i="9"/>
  <c r="K86" i="9"/>
  <c r="V86" i="9" s="1"/>
  <c r="J86" i="9"/>
  <c r="I86" i="9"/>
  <c r="Q86" i="9" s="1"/>
  <c r="G86" i="9"/>
  <c r="F86" i="9"/>
  <c r="H86" i="9" s="1"/>
  <c r="L86" i="9" s="1"/>
  <c r="Z86" i="9" s="1"/>
  <c r="N85" i="9"/>
  <c r="Y85" i="9" s="1"/>
  <c r="K85" i="9"/>
  <c r="V85" i="9" s="1"/>
  <c r="J85" i="9"/>
  <c r="M85" i="9" s="1"/>
  <c r="W85" i="9" s="1"/>
  <c r="G85" i="9"/>
  <c r="I85" i="9" s="1"/>
  <c r="Q85" i="9" s="1"/>
  <c r="F85" i="9"/>
  <c r="Y84" i="9"/>
  <c r="N84" i="9"/>
  <c r="K84" i="9"/>
  <c r="V84" i="9" s="1"/>
  <c r="J84" i="9"/>
  <c r="M84" i="9" s="1"/>
  <c r="W84" i="9" s="1"/>
  <c r="H84" i="9"/>
  <c r="G84" i="9"/>
  <c r="F84" i="9"/>
  <c r="V83" i="9"/>
  <c r="N83" i="9"/>
  <c r="Y83" i="9" s="1"/>
  <c r="M83" i="9"/>
  <c r="W83" i="9" s="1"/>
  <c r="K83" i="9"/>
  <c r="J83" i="9"/>
  <c r="I83" i="9"/>
  <c r="Q83" i="9" s="1"/>
  <c r="H83" i="9"/>
  <c r="L83" i="9" s="1"/>
  <c r="Z83" i="9" s="1"/>
  <c r="G83" i="9"/>
  <c r="F83" i="9"/>
  <c r="W82" i="9"/>
  <c r="N82" i="9"/>
  <c r="Y82" i="9" s="1"/>
  <c r="M82" i="9"/>
  <c r="K82" i="9"/>
  <c r="V82" i="9" s="1"/>
  <c r="J82" i="9"/>
  <c r="I82" i="9"/>
  <c r="Q82" i="9" s="1"/>
  <c r="G82" i="9"/>
  <c r="F82" i="9"/>
  <c r="H82" i="9" s="1"/>
  <c r="N81" i="9"/>
  <c r="Y81" i="9" s="1"/>
  <c r="K81" i="9"/>
  <c r="V81" i="9" s="1"/>
  <c r="J81" i="9"/>
  <c r="M81" i="9" s="1"/>
  <c r="W81" i="9" s="1"/>
  <c r="G81" i="9"/>
  <c r="I81" i="9" s="1"/>
  <c r="Q81" i="9" s="1"/>
  <c r="F81" i="9"/>
  <c r="Y80" i="9"/>
  <c r="Q80" i="9"/>
  <c r="N80" i="9"/>
  <c r="K80" i="9"/>
  <c r="V80" i="9" s="1"/>
  <c r="J80" i="9"/>
  <c r="M80" i="9" s="1"/>
  <c r="W80" i="9" s="1"/>
  <c r="H80" i="9"/>
  <c r="L80" i="9" s="1"/>
  <c r="Z80" i="9" s="1"/>
  <c r="G80" i="9"/>
  <c r="I80" i="9" s="1"/>
  <c r="F80" i="9"/>
  <c r="V79" i="9"/>
  <c r="N79" i="9"/>
  <c r="Y79" i="9" s="1"/>
  <c r="M79" i="9"/>
  <c r="W79" i="9" s="1"/>
  <c r="K79" i="9"/>
  <c r="J79" i="9"/>
  <c r="I79" i="9"/>
  <c r="Q79" i="9" s="1"/>
  <c r="H79" i="9"/>
  <c r="L79" i="9" s="1"/>
  <c r="Z79" i="9" s="1"/>
  <c r="G79" i="9"/>
  <c r="F79" i="9"/>
  <c r="N78" i="9"/>
  <c r="Y78" i="9" s="1"/>
  <c r="M78" i="9"/>
  <c r="W78" i="9" s="1"/>
  <c r="K78" i="9"/>
  <c r="V78" i="9" s="1"/>
  <c r="J78" i="9"/>
  <c r="I78" i="9"/>
  <c r="Q78" i="9" s="1"/>
  <c r="G78" i="9"/>
  <c r="F78" i="9"/>
  <c r="H78" i="9" s="1"/>
  <c r="N77" i="9"/>
  <c r="Y77" i="9" s="1"/>
  <c r="K77" i="9"/>
  <c r="V77" i="9" s="1"/>
  <c r="J77" i="9"/>
  <c r="M77" i="9" s="1"/>
  <c r="W77" i="9" s="1"/>
  <c r="G77" i="9"/>
  <c r="I77" i="9" s="1"/>
  <c r="Q77" i="9" s="1"/>
  <c r="F77" i="9"/>
  <c r="H77" i="9" s="1"/>
  <c r="Y76" i="9"/>
  <c r="N76" i="9"/>
  <c r="X76" i="9" s="1"/>
  <c r="K76" i="9"/>
  <c r="V76" i="9" s="1"/>
  <c r="J76" i="9"/>
  <c r="M76" i="9" s="1"/>
  <c r="W76" i="9" s="1"/>
  <c r="H76" i="9"/>
  <c r="L76" i="9" s="1"/>
  <c r="Z76" i="9" s="1"/>
  <c r="G76" i="9"/>
  <c r="I76" i="9" s="1"/>
  <c r="Q76" i="9" s="1"/>
  <c r="F76" i="9"/>
  <c r="Y75" i="9"/>
  <c r="V75" i="9"/>
  <c r="N75" i="9"/>
  <c r="M75" i="9"/>
  <c r="W75" i="9" s="1"/>
  <c r="K75" i="9"/>
  <c r="J75" i="9"/>
  <c r="I75" i="9"/>
  <c r="Q75" i="9" s="1"/>
  <c r="H75" i="9"/>
  <c r="L75" i="9" s="1"/>
  <c r="Z75" i="9" s="1"/>
  <c r="G75" i="9"/>
  <c r="F75" i="9"/>
  <c r="N74" i="9"/>
  <c r="Y74" i="9" s="1"/>
  <c r="K74" i="9"/>
  <c r="V74" i="9" s="1"/>
  <c r="J74" i="9"/>
  <c r="M74" i="9" s="1"/>
  <c r="W74" i="9" s="1"/>
  <c r="I74" i="9"/>
  <c r="Q74" i="9" s="1"/>
  <c r="G74" i="9"/>
  <c r="F74" i="9"/>
  <c r="Y73" i="9"/>
  <c r="N73" i="9"/>
  <c r="K73" i="9"/>
  <c r="V73" i="9" s="1"/>
  <c r="J73" i="9"/>
  <c r="M73" i="9" s="1"/>
  <c r="W73" i="9" s="1"/>
  <c r="G73" i="9"/>
  <c r="F73" i="9"/>
  <c r="H73" i="9" s="1"/>
  <c r="Y72" i="9"/>
  <c r="V72" i="9"/>
  <c r="N72" i="9"/>
  <c r="K72" i="9"/>
  <c r="M72" i="9" s="1"/>
  <c r="W72" i="9" s="1"/>
  <c r="J72" i="9"/>
  <c r="H72" i="9"/>
  <c r="G72" i="9"/>
  <c r="I72" i="9" s="1"/>
  <c r="Q72" i="9" s="1"/>
  <c r="F72" i="9"/>
  <c r="W71" i="9"/>
  <c r="V71" i="9"/>
  <c r="N71" i="9"/>
  <c r="Y71" i="9" s="1"/>
  <c r="M71" i="9"/>
  <c r="K71" i="9"/>
  <c r="J71" i="9"/>
  <c r="I71" i="9"/>
  <c r="Q71" i="9" s="1"/>
  <c r="H71" i="9"/>
  <c r="G71" i="9"/>
  <c r="F71" i="9"/>
  <c r="N70" i="9"/>
  <c r="Y70" i="9" s="1"/>
  <c r="K70" i="9"/>
  <c r="V70" i="9" s="1"/>
  <c r="J70" i="9"/>
  <c r="M70" i="9" s="1"/>
  <c r="W70" i="9" s="1"/>
  <c r="I70" i="9"/>
  <c r="Q70" i="9" s="1"/>
  <c r="G70" i="9"/>
  <c r="F70" i="9"/>
  <c r="Y69" i="9"/>
  <c r="N69" i="9"/>
  <c r="K69" i="9"/>
  <c r="V69" i="9" s="1"/>
  <c r="J69" i="9"/>
  <c r="M69" i="9" s="1"/>
  <c r="W69" i="9" s="1"/>
  <c r="G69" i="9"/>
  <c r="F69" i="9"/>
  <c r="H69" i="9" s="1"/>
  <c r="Y68" i="9"/>
  <c r="V68" i="9"/>
  <c r="N68" i="9"/>
  <c r="K68" i="9"/>
  <c r="M68" i="9" s="1"/>
  <c r="W68" i="9" s="1"/>
  <c r="J68" i="9"/>
  <c r="H68" i="9"/>
  <c r="G68" i="9"/>
  <c r="I68" i="9" s="1"/>
  <c r="Q68" i="9" s="1"/>
  <c r="F68" i="9"/>
  <c r="V67" i="9"/>
  <c r="N67" i="9"/>
  <c r="Y67" i="9" s="1"/>
  <c r="M67" i="9"/>
  <c r="W67" i="9" s="1"/>
  <c r="K67" i="9"/>
  <c r="J67" i="9"/>
  <c r="I67" i="9"/>
  <c r="Q67" i="9" s="1"/>
  <c r="H67" i="9"/>
  <c r="G67" i="9"/>
  <c r="F67" i="9"/>
  <c r="N66" i="9"/>
  <c r="Y66" i="9" s="1"/>
  <c r="K66" i="9"/>
  <c r="V66" i="9" s="1"/>
  <c r="J66" i="9"/>
  <c r="M66" i="9" s="1"/>
  <c r="W66" i="9" s="1"/>
  <c r="I66" i="9"/>
  <c r="Q66" i="9" s="1"/>
  <c r="G66" i="9"/>
  <c r="F66" i="9"/>
  <c r="Y65" i="9"/>
  <c r="N65" i="9"/>
  <c r="K65" i="9"/>
  <c r="V65" i="9" s="1"/>
  <c r="J65" i="9"/>
  <c r="M65" i="9" s="1"/>
  <c r="W65" i="9" s="1"/>
  <c r="G65" i="9"/>
  <c r="F65" i="9"/>
  <c r="H65" i="9" s="1"/>
  <c r="Y64" i="9"/>
  <c r="V64" i="9"/>
  <c r="N64" i="9"/>
  <c r="K64" i="9"/>
  <c r="M64" i="9" s="1"/>
  <c r="W64" i="9" s="1"/>
  <c r="J64" i="9"/>
  <c r="H64" i="9"/>
  <c r="G64" i="9"/>
  <c r="I64" i="9" s="1"/>
  <c r="Q64" i="9" s="1"/>
  <c r="F64" i="9"/>
  <c r="V63" i="9"/>
  <c r="N63" i="9"/>
  <c r="Y63" i="9" s="1"/>
  <c r="M63" i="9"/>
  <c r="W63" i="9" s="1"/>
  <c r="K63" i="9"/>
  <c r="J63" i="9"/>
  <c r="I63" i="9"/>
  <c r="Q63" i="9" s="1"/>
  <c r="H63" i="9"/>
  <c r="G63" i="9"/>
  <c r="F63" i="9"/>
  <c r="N62" i="9"/>
  <c r="Y62" i="9" s="1"/>
  <c r="K62" i="9"/>
  <c r="V62" i="9" s="1"/>
  <c r="J62" i="9"/>
  <c r="M62" i="9" s="1"/>
  <c r="W62" i="9" s="1"/>
  <c r="I62" i="9"/>
  <c r="Q62" i="9" s="1"/>
  <c r="G62" i="9"/>
  <c r="F62" i="9"/>
  <c r="Y61" i="9"/>
  <c r="N61" i="9"/>
  <c r="K61" i="9"/>
  <c r="V61" i="9" s="1"/>
  <c r="J61" i="9"/>
  <c r="M61" i="9" s="1"/>
  <c r="W61" i="9" s="1"/>
  <c r="G61" i="9"/>
  <c r="F61" i="9"/>
  <c r="H61" i="9" s="1"/>
  <c r="Y60" i="9"/>
  <c r="V60" i="9"/>
  <c r="N60" i="9"/>
  <c r="K60" i="9"/>
  <c r="J60" i="9"/>
  <c r="M60" i="9" s="1"/>
  <c r="W60" i="9" s="1"/>
  <c r="H60" i="9"/>
  <c r="G60" i="9"/>
  <c r="I60" i="9" s="1"/>
  <c r="Q60" i="9" s="1"/>
  <c r="F60" i="9"/>
  <c r="Y59" i="9"/>
  <c r="W59" i="9"/>
  <c r="V59" i="9"/>
  <c r="N59" i="9"/>
  <c r="M59" i="9"/>
  <c r="K59" i="9"/>
  <c r="J59" i="9"/>
  <c r="I59" i="9"/>
  <c r="Q59" i="9" s="1"/>
  <c r="H59" i="9"/>
  <c r="G59" i="9"/>
  <c r="F59" i="9"/>
  <c r="N58" i="9"/>
  <c r="Y58" i="9" s="1"/>
  <c r="K58" i="9"/>
  <c r="V58" i="9" s="1"/>
  <c r="J58" i="9"/>
  <c r="M58" i="9" s="1"/>
  <c r="W58" i="9" s="1"/>
  <c r="I58" i="9"/>
  <c r="Q58" i="9" s="1"/>
  <c r="G58" i="9"/>
  <c r="F58" i="9"/>
  <c r="H58" i="9" s="1"/>
  <c r="L58" i="9" s="1"/>
  <c r="Z58" i="9" s="1"/>
  <c r="Y57" i="9"/>
  <c r="N57" i="9"/>
  <c r="K57" i="9"/>
  <c r="V57" i="9" s="1"/>
  <c r="J57" i="9"/>
  <c r="G57" i="9"/>
  <c r="F57" i="9"/>
  <c r="H57" i="9" s="1"/>
  <c r="Y56" i="9"/>
  <c r="V56" i="9"/>
  <c r="N56" i="9"/>
  <c r="K56" i="9"/>
  <c r="J56" i="9"/>
  <c r="M56" i="9" s="1"/>
  <c r="W56" i="9" s="1"/>
  <c r="H56" i="9"/>
  <c r="G56" i="9"/>
  <c r="I56" i="9" s="1"/>
  <c r="Q56" i="9" s="1"/>
  <c r="F56" i="9"/>
  <c r="W55" i="9"/>
  <c r="V55" i="9"/>
  <c r="N55" i="9"/>
  <c r="Y55" i="9" s="1"/>
  <c r="M55" i="9"/>
  <c r="K55" i="9"/>
  <c r="J55" i="9"/>
  <c r="I55" i="9"/>
  <c r="Q55" i="9" s="1"/>
  <c r="H55" i="9"/>
  <c r="L55" i="9" s="1"/>
  <c r="Z55" i="9" s="1"/>
  <c r="G55" i="9"/>
  <c r="F55" i="9"/>
  <c r="N54" i="9"/>
  <c r="Y54" i="9" s="1"/>
  <c r="K54" i="9"/>
  <c r="V54" i="9" s="1"/>
  <c r="J54" i="9"/>
  <c r="M54" i="9" s="1"/>
  <c r="W54" i="9" s="1"/>
  <c r="I54" i="9"/>
  <c r="Q54" i="9" s="1"/>
  <c r="G54" i="9"/>
  <c r="F54" i="9"/>
  <c r="H54" i="9" s="1"/>
  <c r="L54" i="9" s="1"/>
  <c r="Z54" i="9" s="1"/>
  <c r="Y53" i="9"/>
  <c r="N53" i="9"/>
  <c r="K53" i="9"/>
  <c r="V53" i="9" s="1"/>
  <c r="J53" i="9"/>
  <c r="G53" i="9"/>
  <c r="F53" i="9"/>
  <c r="H53" i="9" s="1"/>
  <c r="Y52" i="9"/>
  <c r="V52" i="9"/>
  <c r="N52" i="9"/>
  <c r="K52" i="9"/>
  <c r="J52" i="9"/>
  <c r="M52" i="9" s="1"/>
  <c r="W52" i="9" s="1"/>
  <c r="H52" i="9"/>
  <c r="G52" i="9"/>
  <c r="I52" i="9" s="1"/>
  <c r="Q52" i="9" s="1"/>
  <c r="F52" i="9"/>
  <c r="W51" i="9"/>
  <c r="V51" i="9"/>
  <c r="N51" i="9"/>
  <c r="Y51" i="9" s="1"/>
  <c r="M51" i="9"/>
  <c r="K51" i="9"/>
  <c r="J51" i="9"/>
  <c r="I51" i="9"/>
  <c r="Q51" i="9" s="1"/>
  <c r="H51" i="9"/>
  <c r="L51" i="9" s="1"/>
  <c r="Z51" i="9" s="1"/>
  <c r="G51" i="9"/>
  <c r="F51" i="9"/>
  <c r="N50" i="9"/>
  <c r="Y50" i="9" s="1"/>
  <c r="K50" i="9"/>
  <c r="V50" i="9" s="1"/>
  <c r="J50" i="9"/>
  <c r="M50" i="9" s="1"/>
  <c r="W50" i="9" s="1"/>
  <c r="I50" i="9"/>
  <c r="Q50" i="9" s="1"/>
  <c r="G50" i="9"/>
  <c r="F50" i="9"/>
  <c r="H50" i="9" s="1"/>
  <c r="L50" i="9" s="1"/>
  <c r="Z50" i="9" s="1"/>
  <c r="Y49" i="9"/>
  <c r="N49" i="9"/>
  <c r="K49" i="9"/>
  <c r="V49" i="9" s="1"/>
  <c r="J49" i="9"/>
  <c r="G49" i="9"/>
  <c r="F49" i="9"/>
  <c r="H49" i="9" s="1"/>
  <c r="Y48" i="9"/>
  <c r="V48" i="9"/>
  <c r="N48" i="9"/>
  <c r="K48" i="9"/>
  <c r="J48" i="9"/>
  <c r="M48" i="9" s="1"/>
  <c r="W48" i="9" s="1"/>
  <c r="H48" i="9"/>
  <c r="G48" i="9"/>
  <c r="I48" i="9" s="1"/>
  <c r="Q48" i="9" s="1"/>
  <c r="F48" i="9"/>
  <c r="W47" i="9"/>
  <c r="V47" i="9"/>
  <c r="N47" i="9"/>
  <c r="Y47" i="9" s="1"/>
  <c r="M47" i="9"/>
  <c r="K47" i="9"/>
  <c r="J47" i="9"/>
  <c r="I47" i="9"/>
  <c r="Q47" i="9" s="1"/>
  <c r="H47" i="9"/>
  <c r="L47" i="9" s="1"/>
  <c r="Z47" i="9" s="1"/>
  <c r="G47" i="9"/>
  <c r="F47" i="9"/>
  <c r="N46" i="9"/>
  <c r="Y46" i="9" s="1"/>
  <c r="K46" i="9"/>
  <c r="V46" i="9" s="1"/>
  <c r="J46" i="9"/>
  <c r="M46" i="9" s="1"/>
  <c r="W46" i="9" s="1"/>
  <c r="I46" i="9"/>
  <c r="Q46" i="9" s="1"/>
  <c r="G46" i="9"/>
  <c r="F46" i="9"/>
  <c r="H46" i="9" s="1"/>
  <c r="L46" i="9" s="1"/>
  <c r="Z46" i="9" s="1"/>
  <c r="Y45" i="9"/>
  <c r="N45" i="9"/>
  <c r="K45" i="9"/>
  <c r="V45" i="9" s="1"/>
  <c r="J45" i="9"/>
  <c r="G45" i="9"/>
  <c r="F45" i="9"/>
  <c r="H45" i="9" s="1"/>
  <c r="Y44" i="9"/>
  <c r="V44" i="9"/>
  <c r="N44" i="9"/>
  <c r="K44" i="9"/>
  <c r="J44" i="9"/>
  <c r="M44" i="9" s="1"/>
  <c r="W44" i="9" s="1"/>
  <c r="H44" i="9"/>
  <c r="G44" i="9"/>
  <c r="I44" i="9" s="1"/>
  <c r="Q44" i="9" s="1"/>
  <c r="F44" i="9"/>
  <c r="Y43" i="9"/>
  <c r="W43" i="9"/>
  <c r="V43" i="9"/>
  <c r="N43" i="9"/>
  <c r="M43" i="9"/>
  <c r="K43" i="9"/>
  <c r="J43" i="9"/>
  <c r="I43" i="9"/>
  <c r="Q43" i="9" s="1"/>
  <c r="H43" i="9"/>
  <c r="L43" i="9" s="1"/>
  <c r="Z43" i="9" s="1"/>
  <c r="G43" i="9"/>
  <c r="F43" i="9"/>
  <c r="N42" i="9"/>
  <c r="K42" i="9"/>
  <c r="V42" i="9" s="1"/>
  <c r="J42" i="9"/>
  <c r="M42" i="9" s="1"/>
  <c r="W42" i="9" s="1"/>
  <c r="I42" i="9"/>
  <c r="Q42" i="9" s="1"/>
  <c r="G42" i="9"/>
  <c r="F42" i="9"/>
  <c r="Y41" i="9"/>
  <c r="N41" i="9"/>
  <c r="K41" i="9"/>
  <c r="V41" i="9" s="1"/>
  <c r="J41" i="9"/>
  <c r="M41" i="9" s="1"/>
  <c r="W41" i="9" s="1"/>
  <c r="G41" i="9"/>
  <c r="I41" i="9" s="1"/>
  <c r="Q41" i="9" s="1"/>
  <c r="F41" i="9"/>
  <c r="H41" i="9" s="1"/>
  <c r="L41" i="9" s="1"/>
  <c r="Z41" i="9" s="1"/>
  <c r="Y40" i="9"/>
  <c r="V40" i="9"/>
  <c r="N40" i="9"/>
  <c r="X40" i="9" s="1"/>
  <c r="K40" i="9"/>
  <c r="J40" i="9"/>
  <c r="M40" i="9" s="1"/>
  <c r="W40" i="9" s="1"/>
  <c r="H40" i="9"/>
  <c r="L40" i="9" s="1"/>
  <c r="Z40" i="9" s="1"/>
  <c r="G40" i="9"/>
  <c r="I40" i="9" s="1"/>
  <c r="Q40" i="9" s="1"/>
  <c r="F40" i="9"/>
  <c r="W39" i="9"/>
  <c r="V39" i="9"/>
  <c r="N39" i="9"/>
  <c r="Y39" i="9" s="1"/>
  <c r="M39" i="9"/>
  <c r="K39" i="9"/>
  <c r="J39" i="9"/>
  <c r="I39" i="9"/>
  <c r="Q39" i="9" s="1"/>
  <c r="H39" i="9"/>
  <c r="L39" i="9" s="1"/>
  <c r="Z39" i="9" s="1"/>
  <c r="G39" i="9"/>
  <c r="F39" i="9"/>
  <c r="N38" i="9"/>
  <c r="K38" i="9"/>
  <c r="V38" i="9" s="1"/>
  <c r="J38" i="9"/>
  <c r="M38" i="9" s="1"/>
  <c r="W38" i="9" s="1"/>
  <c r="I38" i="9"/>
  <c r="Q38" i="9" s="1"/>
  <c r="G38" i="9"/>
  <c r="F38" i="9"/>
  <c r="Y37" i="9"/>
  <c r="N37" i="9"/>
  <c r="K37" i="9"/>
  <c r="V37" i="9" s="1"/>
  <c r="J37" i="9"/>
  <c r="M37" i="9" s="1"/>
  <c r="W37" i="9" s="1"/>
  <c r="G37" i="9"/>
  <c r="I37" i="9" s="1"/>
  <c r="Q37" i="9" s="1"/>
  <c r="F37" i="9"/>
  <c r="H37" i="9" s="1"/>
  <c r="L37" i="9" s="1"/>
  <c r="Z37" i="9" s="1"/>
  <c r="Y36" i="9"/>
  <c r="V36" i="9"/>
  <c r="N36" i="9"/>
  <c r="K36" i="9"/>
  <c r="J36" i="9"/>
  <c r="M36" i="9" s="1"/>
  <c r="W36" i="9" s="1"/>
  <c r="H36" i="9"/>
  <c r="L36" i="9" s="1"/>
  <c r="Z36" i="9" s="1"/>
  <c r="G36" i="9"/>
  <c r="I36" i="9" s="1"/>
  <c r="Q36" i="9" s="1"/>
  <c r="F36" i="9"/>
  <c r="W35" i="9"/>
  <c r="V35" i="9"/>
  <c r="N35" i="9"/>
  <c r="Y35" i="9" s="1"/>
  <c r="M35" i="9"/>
  <c r="K35" i="9"/>
  <c r="J35" i="9"/>
  <c r="I35" i="9"/>
  <c r="Q35" i="9" s="1"/>
  <c r="H35" i="9"/>
  <c r="L35" i="9" s="1"/>
  <c r="Z35" i="9" s="1"/>
  <c r="G35" i="9"/>
  <c r="F35" i="9"/>
  <c r="N34" i="9"/>
  <c r="K34" i="9"/>
  <c r="V34" i="9" s="1"/>
  <c r="J34" i="9"/>
  <c r="M34" i="9" s="1"/>
  <c r="W34" i="9" s="1"/>
  <c r="I34" i="9"/>
  <c r="Q34" i="9" s="1"/>
  <c r="G34" i="9"/>
  <c r="F34" i="9"/>
  <c r="Y33" i="9"/>
  <c r="N33" i="9"/>
  <c r="K33" i="9"/>
  <c r="V33" i="9" s="1"/>
  <c r="J33" i="9"/>
  <c r="M33" i="9" s="1"/>
  <c r="W33" i="9" s="1"/>
  <c r="G33" i="9"/>
  <c r="I33" i="9" s="1"/>
  <c r="Q33" i="9" s="1"/>
  <c r="F33" i="9"/>
  <c r="H33" i="9" s="1"/>
  <c r="L33" i="9" s="1"/>
  <c r="Z33" i="9" s="1"/>
  <c r="Y32" i="9"/>
  <c r="V32" i="9"/>
  <c r="N32" i="9"/>
  <c r="X32" i="9" s="1"/>
  <c r="K32" i="9"/>
  <c r="J32" i="9"/>
  <c r="M32" i="9" s="1"/>
  <c r="W32" i="9" s="1"/>
  <c r="H32" i="9"/>
  <c r="L32" i="9" s="1"/>
  <c r="Z32" i="9" s="1"/>
  <c r="G32" i="9"/>
  <c r="I32" i="9" s="1"/>
  <c r="Q32" i="9" s="1"/>
  <c r="F32" i="9"/>
  <c r="W31" i="9"/>
  <c r="V31" i="9"/>
  <c r="N31" i="9"/>
  <c r="Y31" i="9" s="1"/>
  <c r="M31" i="9"/>
  <c r="K31" i="9"/>
  <c r="J31" i="9"/>
  <c r="I31" i="9"/>
  <c r="Q31" i="9" s="1"/>
  <c r="H31" i="9"/>
  <c r="L31" i="9" s="1"/>
  <c r="Z31" i="9" s="1"/>
  <c r="G31" i="9"/>
  <c r="F31" i="9"/>
  <c r="N30" i="9"/>
  <c r="K30" i="9"/>
  <c r="V30" i="9" s="1"/>
  <c r="J30" i="9"/>
  <c r="M30" i="9" s="1"/>
  <c r="W30" i="9" s="1"/>
  <c r="I30" i="9"/>
  <c r="Q30" i="9" s="1"/>
  <c r="G30" i="9"/>
  <c r="F30" i="9"/>
  <c r="Y29" i="9"/>
  <c r="N29" i="9"/>
  <c r="K29" i="9"/>
  <c r="V29" i="9" s="1"/>
  <c r="J29" i="9"/>
  <c r="M29" i="9" s="1"/>
  <c r="W29" i="9" s="1"/>
  <c r="G29" i="9"/>
  <c r="I29" i="9" s="1"/>
  <c r="Q29" i="9" s="1"/>
  <c r="F29" i="9"/>
  <c r="H29" i="9" s="1"/>
  <c r="L29" i="9" s="1"/>
  <c r="Z29" i="9" s="1"/>
  <c r="Y28" i="9"/>
  <c r="V28" i="9"/>
  <c r="N28" i="9"/>
  <c r="K28" i="9"/>
  <c r="J28" i="9"/>
  <c r="M28" i="9" s="1"/>
  <c r="W28" i="9" s="1"/>
  <c r="H28" i="9"/>
  <c r="L28" i="9" s="1"/>
  <c r="Z28" i="9" s="1"/>
  <c r="G28" i="9"/>
  <c r="I28" i="9" s="1"/>
  <c r="Q28" i="9" s="1"/>
  <c r="F28" i="9"/>
  <c r="W27" i="9"/>
  <c r="V27" i="9"/>
  <c r="N27" i="9"/>
  <c r="Y27" i="9" s="1"/>
  <c r="M27" i="9"/>
  <c r="K27" i="9"/>
  <c r="J27" i="9"/>
  <c r="I27" i="9"/>
  <c r="Q27" i="9" s="1"/>
  <c r="H27" i="9"/>
  <c r="L27" i="9" s="1"/>
  <c r="Z27" i="9" s="1"/>
  <c r="G27" i="9"/>
  <c r="F27" i="9"/>
  <c r="N26" i="9"/>
  <c r="K26" i="9"/>
  <c r="V26" i="9" s="1"/>
  <c r="J26" i="9"/>
  <c r="M26" i="9" s="1"/>
  <c r="W26" i="9" s="1"/>
  <c r="I26" i="9"/>
  <c r="Q26" i="9" s="1"/>
  <c r="G26" i="9"/>
  <c r="F26" i="9"/>
  <c r="Y25" i="9"/>
  <c r="N25" i="9"/>
  <c r="K25" i="9"/>
  <c r="V25" i="9" s="1"/>
  <c r="J25" i="9"/>
  <c r="M25" i="9" s="1"/>
  <c r="W25" i="9" s="1"/>
  <c r="G25" i="9"/>
  <c r="I25" i="9" s="1"/>
  <c r="Q25" i="9" s="1"/>
  <c r="F25" i="9"/>
  <c r="H25" i="9" s="1"/>
  <c r="L25" i="9" s="1"/>
  <c r="Z25" i="9" s="1"/>
  <c r="Y24" i="9"/>
  <c r="V24" i="9"/>
  <c r="U24" i="9"/>
  <c r="N24" i="9"/>
  <c r="M24" i="9"/>
  <c r="W24" i="9" s="1"/>
  <c r="K24" i="9"/>
  <c r="J24" i="9"/>
  <c r="I24" i="9"/>
  <c r="Q24" i="9" s="1"/>
  <c r="H24" i="9"/>
  <c r="L24" i="9" s="1"/>
  <c r="Z24" i="9" s="1"/>
  <c r="G24" i="9"/>
  <c r="F24" i="9"/>
  <c r="N23" i="9"/>
  <c r="Y23" i="9" s="1"/>
  <c r="K23" i="9"/>
  <c r="V23" i="9" s="1"/>
  <c r="J23" i="9"/>
  <c r="M23" i="9" s="1"/>
  <c r="W23" i="9" s="1"/>
  <c r="G23" i="9"/>
  <c r="I23" i="9" s="1"/>
  <c r="Q23" i="9" s="1"/>
  <c r="F23" i="9"/>
  <c r="H23" i="9" s="1"/>
  <c r="L23" i="9" s="1"/>
  <c r="Y22" i="9"/>
  <c r="V22" i="9"/>
  <c r="U22" i="9"/>
  <c r="N22" i="9"/>
  <c r="M22" i="9"/>
  <c r="W22" i="9" s="1"/>
  <c r="K22" i="9"/>
  <c r="J22" i="9"/>
  <c r="I22" i="9"/>
  <c r="Q22" i="9" s="1"/>
  <c r="H22" i="9"/>
  <c r="L22" i="9" s="1"/>
  <c r="Z22" i="9" s="1"/>
  <c r="G22" i="9"/>
  <c r="F22" i="9"/>
  <c r="N21" i="9"/>
  <c r="Y21" i="9" s="1"/>
  <c r="K21" i="9"/>
  <c r="V21" i="9" s="1"/>
  <c r="J21" i="9"/>
  <c r="M21" i="9" s="1"/>
  <c r="W21" i="9" s="1"/>
  <c r="G21" i="9"/>
  <c r="I21" i="9" s="1"/>
  <c r="Q21" i="9" s="1"/>
  <c r="F21" i="9"/>
  <c r="H21" i="9" s="1"/>
  <c r="L21" i="9" s="1"/>
  <c r="D21" i="9"/>
  <c r="D25" i="9" s="1"/>
  <c r="D29" i="9" s="1"/>
  <c r="D33" i="9" s="1"/>
  <c r="D37" i="9" s="1"/>
  <c r="D41" i="9" s="1"/>
  <c r="D45" i="9" s="1"/>
  <c r="D49" i="9" s="1"/>
  <c r="D53" i="9" s="1"/>
  <c r="D57" i="9" s="1"/>
  <c r="D61" i="9" s="1"/>
  <c r="D65" i="9" s="1"/>
  <c r="D69" i="9" s="1"/>
  <c r="D73" i="9" s="1"/>
  <c r="D77" i="9" s="1"/>
  <c r="D81" i="9" s="1"/>
  <c r="D85" i="9" s="1"/>
  <c r="D89" i="9" s="1"/>
  <c r="D93" i="9" s="1"/>
  <c r="D97" i="9" s="1"/>
  <c r="D101" i="9" s="1"/>
  <c r="D105" i="9" s="1"/>
  <c r="D109" i="9" s="1"/>
  <c r="D113" i="9" s="1"/>
  <c r="D117" i="9" s="1"/>
  <c r="C21" i="9"/>
  <c r="C25" i="9" s="1"/>
  <c r="C29" i="9" s="1"/>
  <c r="C33" i="9" s="1"/>
  <c r="C37" i="9" s="1"/>
  <c r="C41" i="9" s="1"/>
  <c r="C45" i="9" s="1"/>
  <c r="C49" i="9" s="1"/>
  <c r="C53" i="9" s="1"/>
  <c r="C57" i="9" s="1"/>
  <c r="C61" i="9" s="1"/>
  <c r="C65" i="9" s="1"/>
  <c r="C69" i="9" s="1"/>
  <c r="C73" i="9" s="1"/>
  <c r="C77" i="9" s="1"/>
  <c r="C81" i="9" s="1"/>
  <c r="C85" i="9" s="1"/>
  <c r="C89" i="9" s="1"/>
  <c r="C93" i="9" s="1"/>
  <c r="C97" i="9" s="1"/>
  <c r="C101" i="9" s="1"/>
  <c r="C105" i="9" s="1"/>
  <c r="C109" i="9" s="1"/>
  <c r="C113" i="9" s="1"/>
  <c r="C117" i="9" s="1"/>
  <c r="Y20" i="9"/>
  <c r="V20" i="9"/>
  <c r="U20" i="9"/>
  <c r="N20" i="9"/>
  <c r="M20" i="9"/>
  <c r="W20" i="9" s="1"/>
  <c r="K20" i="9"/>
  <c r="J20" i="9"/>
  <c r="I20" i="9"/>
  <c r="Q20" i="9" s="1"/>
  <c r="H20" i="9"/>
  <c r="L20" i="9" s="1"/>
  <c r="Z20" i="9" s="1"/>
  <c r="G20" i="9"/>
  <c r="F20" i="9"/>
  <c r="D20" i="9"/>
  <c r="D24" i="9" s="1"/>
  <c r="D28" i="9" s="1"/>
  <c r="D32" i="9" s="1"/>
  <c r="D36" i="9" s="1"/>
  <c r="D40" i="9" s="1"/>
  <c r="D44" i="9" s="1"/>
  <c r="D48" i="9" s="1"/>
  <c r="D52" i="9" s="1"/>
  <c r="D56" i="9" s="1"/>
  <c r="D60" i="9" s="1"/>
  <c r="D64" i="9" s="1"/>
  <c r="D68" i="9" s="1"/>
  <c r="D72" i="9" s="1"/>
  <c r="D76" i="9" s="1"/>
  <c r="D80" i="9" s="1"/>
  <c r="D84" i="9" s="1"/>
  <c r="D88" i="9" s="1"/>
  <c r="D92" i="9" s="1"/>
  <c r="D96" i="9" s="1"/>
  <c r="D100" i="9" s="1"/>
  <c r="D104" i="9" s="1"/>
  <c r="D108" i="9" s="1"/>
  <c r="D112" i="9" s="1"/>
  <c r="D116" i="9" s="1"/>
  <c r="C20" i="9"/>
  <c r="C24" i="9" s="1"/>
  <c r="C28" i="9" s="1"/>
  <c r="C32" i="9" s="1"/>
  <c r="C36" i="9" s="1"/>
  <c r="C40" i="9" s="1"/>
  <c r="C44" i="9" s="1"/>
  <c r="C48" i="9" s="1"/>
  <c r="C52" i="9" s="1"/>
  <c r="C56" i="9" s="1"/>
  <c r="C60" i="9" s="1"/>
  <c r="C64" i="9" s="1"/>
  <c r="C68" i="9" s="1"/>
  <c r="C72" i="9" s="1"/>
  <c r="C76" i="9" s="1"/>
  <c r="C80" i="9" s="1"/>
  <c r="C84" i="9" s="1"/>
  <c r="C88" i="9" s="1"/>
  <c r="C92" i="9" s="1"/>
  <c r="C96" i="9" s="1"/>
  <c r="C100" i="9" s="1"/>
  <c r="C104" i="9" s="1"/>
  <c r="C108" i="9" s="1"/>
  <c r="C112" i="9" s="1"/>
  <c r="C116" i="9" s="1"/>
  <c r="N19" i="9"/>
  <c r="Y19" i="9" s="1"/>
  <c r="K19" i="9"/>
  <c r="V19" i="9" s="1"/>
  <c r="J19" i="9"/>
  <c r="G19" i="9"/>
  <c r="F19" i="9"/>
  <c r="H19" i="9" s="1"/>
  <c r="D19" i="9"/>
  <c r="D23" i="9" s="1"/>
  <c r="D27" i="9" s="1"/>
  <c r="D31" i="9" s="1"/>
  <c r="D35" i="9" s="1"/>
  <c r="D39" i="9" s="1"/>
  <c r="D43" i="9" s="1"/>
  <c r="D47" i="9" s="1"/>
  <c r="D51" i="9" s="1"/>
  <c r="D55" i="9" s="1"/>
  <c r="D59" i="9" s="1"/>
  <c r="D63" i="9" s="1"/>
  <c r="D67" i="9" s="1"/>
  <c r="D71" i="9" s="1"/>
  <c r="D75" i="9" s="1"/>
  <c r="D79" i="9" s="1"/>
  <c r="D83" i="9" s="1"/>
  <c r="D87" i="9" s="1"/>
  <c r="D91" i="9" s="1"/>
  <c r="D95" i="9" s="1"/>
  <c r="D99" i="9" s="1"/>
  <c r="D103" i="9" s="1"/>
  <c r="D107" i="9" s="1"/>
  <c r="D111" i="9" s="1"/>
  <c r="D115" i="9" s="1"/>
  <c r="C19" i="9"/>
  <c r="C23" i="9" s="1"/>
  <c r="C27" i="9" s="1"/>
  <c r="C31" i="9" s="1"/>
  <c r="C35" i="9" s="1"/>
  <c r="C39" i="9" s="1"/>
  <c r="C43" i="9" s="1"/>
  <c r="C47" i="9" s="1"/>
  <c r="C51" i="9" s="1"/>
  <c r="C55" i="9" s="1"/>
  <c r="C59" i="9" s="1"/>
  <c r="C63" i="9" s="1"/>
  <c r="C67" i="9" s="1"/>
  <c r="C71" i="9" s="1"/>
  <c r="C75" i="9" s="1"/>
  <c r="C79" i="9" s="1"/>
  <c r="C83" i="9" s="1"/>
  <c r="C87" i="9" s="1"/>
  <c r="C91" i="9" s="1"/>
  <c r="C95" i="9" s="1"/>
  <c r="C99" i="9" s="1"/>
  <c r="C103" i="9" s="1"/>
  <c r="C107" i="9" s="1"/>
  <c r="C111" i="9" s="1"/>
  <c r="C115" i="9" s="1"/>
  <c r="Y18" i="9"/>
  <c r="V18" i="9"/>
  <c r="U18" i="9"/>
  <c r="N18" i="9"/>
  <c r="M18" i="9"/>
  <c r="W18" i="9" s="1"/>
  <c r="K18" i="9"/>
  <c r="J18" i="9"/>
  <c r="I18" i="9"/>
  <c r="Q18" i="9" s="1"/>
  <c r="H18" i="9"/>
  <c r="L18" i="9" s="1"/>
  <c r="Z18" i="9" s="1"/>
  <c r="G18" i="9"/>
  <c r="F18" i="9"/>
  <c r="D18" i="9"/>
  <c r="D22" i="9" s="1"/>
  <c r="D26" i="9" s="1"/>
  <c r="D30" i="9" s="1"/>
  <c r="D34" i="9" s="1"/>
  <c r="D38" i="9" s="1"/>
  <c r="D42" i="9" s="1"/>
  <c r="D46" i="9" s="1"/>
  <c r="D50" i="9" s="1"/>
  <c r="D54" i="9" s="1"/>
  <c r="D58" i="9" s="1"/>
  <c r="D62" i="9" s="1"/>
  <c r="D66" i="9" s="1"/>
  <c r="D70" i="9" s="1"/>
  <c r="D74" i="9" s="1"/>
  <c r="D78" i="9" s="1"/>
  <c r="D82" i="9" s="1"/>
  <c r="D86" i="9" s="1"/>
  <c r="D90" i="9" s="1"/>
  <c r="D94" i="9" s="1"/>
  <c r="D98" i="9" s="1"/>
  <c r="D102" i="9" s="1"/>
  <c r="D106" i="9" s="1"/>
  <c r="D110" i="9" s="1"/>
  <c r="D114" i="9" s="1"/>
  <c r="C18" i="9"/>
  <c r="C22" i="9" s="1"/>
  <c r="C26" i="9" s="1"/>
  <c r="C30" i="9" s="1"/>
  <c r="C34" i="9" s="1"/>
  <c r="C38" i="9" s="1"/>
  <c r="C42" i="9" s="1"/>
  <c r="C46" i="9" s="1"/>
  <c r="C50" i="9" s="1"/>
  <c r="C54" i="9" s="1"/>
  <c r="C58" i="9" s="1"/>
  <c r="C62" i="9" s="1"/>
  <c r="C66" i="9" s="1"/>
  <c r="C70" i="9" s="1"/>
  <c r="C74" i="9" s="1"/>
  <c r="C78" i="9" s="1"/>
  <c r="C82" i="9" s="1"/>
  <c r="C86" i="9" s="1"/>
  <c r="C90" i="9" s="1"/>
  <c r="C94" i="9" s="1"/>
  <c r="C98" i="9" s="1"/>
  <c r="C102" i="9" s="1"/>
  <c r="C106" i="9" s="1"/>
  <c r="C110" i="9" s="1"/>
  <c r="C114" i="9" s="1"/>
  <c r="N17" i="9"/>
  <c r="Y17" i="9" s="1"/>
  <c r="K17" i="9"/>
  <c r="V17" i="9" s="1"/>
  <c r="J17" i="9"/>
  <c r="M17" i="9" s="1"/>
  <c r="W17" i="9" s="1"/>
  <c r="G17" i="9"/>
  <c r="F17" i="9"/>
  <c r="H17" i="9" s="1"/>
  <c r="N16" i="9"/>
  <c r="Y16" i="9" s="1"/>
  <c r="K16" i="9"/>
  <c r="V16" i="9" s="1"/>
  <c r="J16" i="9"/>
  <c r="M16" i="9" s="1"/>
  <c r="W16" i="9" s="1"/>
  <c r="G16" i="9"/>
  <c r="I16" i="9" s="1"/>
  <c r="Q16" i="9" s="1"/>
  <c r="D16" i="3" s="1"/>
  <c r="F16" i="9"/>
  <c r="H16" i="9" s="1"/>
  <c r="N15" i="9"/>
  <c r="Y15" i="9" s="1"/>
  <c r="K15" i="9"/>
  <c r="V15" i="9" s="1"/>
  <c r="J15" i="9"/>
  <c r="M15" i="9" s="1"/>
  <c r="W15" i="9" s="1"/>
  <c r="I15" i="9"/>
  <c r="Q15" i="9" s="1"/>
  <c r="G15" i="9"/>
  <c r="F15" i="9"/>
  <c r="H15" i="9" s="1"/>
  <c r="L15" i="9" s="1"/>
  <c r="Z15" i="9" s="1"/>
  <c r="N14" i="9"/>
  <c r="Y14" i="9" s="1"/>
  <c r="M14" i="9"/>
  <c r="W14" i="9" s="1"/>
  <c r="K14" i="9"/>
  <c r="J14" i="9"/>
  <c r="I14" i="9"/>
  <c r="Q14" i="9" s="1"/>
  <c r="H14" i="9"/>
  <c r="L14" i="9" s="1"/>
  <c r="Z14" i="9" s="1"/>
  <c r="G14" i="9"/>
  <c r="F14" i="9"/>
  <c r="M13" i="9"/>
  <c r="I13" i="9"/>
  <c r="Q13" i="9" s="1"/>
  <c r="H13" i="9"/>
  <c r="M12" i="9"/>
  <c r="L12" i="9"/>
  <c r="I12" i="9"/>
  <c r="Q12" i="9" s="1"/>
  <c r="H12" i="9"/>
  <c r="Q11" i="9"/>
  <c r="M11" i="9"/>
  <c r="I11" i="9"/>
  <c r="H11" i="9"/>
  <c r="L11" i="9" s="1"/>
  <c r="M10" i="9"/>
  <c r="I10" i="9"/>
  <c r="Q10" i="9" s="1"/>
  <c r="H10" i="9"/>
  <c r="L10" i="9" s="1"/>
  <c r="Y9" i="9"/>
  <c r="X9" i="9"/>
  <c r="U9" i="9"/>
  <c r="M9" i="9"/>
  <c r="L9" i="9"/>
  <c r="Z9" i="9" s="1"/>
  <c r="I9" i="9"/>
  <c r="Q9" i="9" s="1"/>
  <c r="H9" i="9"/>
  <c r="D9" i="9"/>
  <c r="C9" i="9"/>
  <c r="Y8" i="9"/>
  <c r="X8" i="9"/>
  <c r="U8" i="9"/>
  <c r="M8" i="9"/>
  <c r="L8" i="9"/>
  <c r="Z8" i="9" s="1"/>
  <c r="I8" i="9"/>
  <c r="Q8" i="9" s="1"/>
  <c r="H8" i="9"/>
  <c r="D8" i="9"/>
  <c r="C8" i="9"/>
  <c r="Y7" i="9"/>
  <c r="X7" i="9"/>
  <c r="U7" i="9"/>
  <c r="M7" i="9"/>
  <c r="L7" i="9"/>
  <c r="Z7" i="9" s="1"/>
  <c r="I7" i="9"/>
  <c r="Q7" i="9" s="1"/>
  <c r="H7" i="9"/>
  <c r="Y6" i="9"/>
  <c r="U6" i="9"/>
  <c r="M6" i="9"/>
  <c r="I6" i="9"/>
  <c r="P6" i="9" s="1"/>
  <c r="H6" i="9"/>
  <c r="L6" i="9" s="1"/>
  <c r="Y5" i="9"/>
  <c r="X5" i="9"/>
  <c r="U5" i="9"/>
  <c r="M5" i="9"/>
  <c r="L5" i="9"/>
  <c r="Z5" i="9" s="1"/>
  <c r="I5" i="9"/>
  <c r="Q5" i="9" s="1"/>
  <c r="H5" i="9"/>
  <c r="Z4" i="9"/>
  <c r="Y4" i="9"/>
  <c r="U4" i="9"/>
  <c r="U12" i="9" s="1"/>
  <c r="Q4" i="9"/>
  <c r="M4" i="9"/>
  <c r="I4" i="9"/>
  <c r="P4" i="9" s="1"/>
  <c r="H4" i="9"/>
  <c r="L4" i="9" s="1"/>
  <c r="N117" i="8"/>
  <c r="K117" i="8"/>
  <c r="V117" i="8" s="1"/>
  <c r="J117" i="8"/>
  <c r="M117" i="8" s="1"/>
  <c r="W117" i="8" s="1"/>
  <c r="I117" i="8"/>
  <c r="Q117" i="8" s="1"/>
  <c r="G117" i="8"/>
  <c r="F117" i="8"/>
  <c r="H117" i="8" s="1"/>
  <c r="L117" i="8" s="1"/>
  <c r="Z117" i="8" s="1"/>
  <c r="Y116" i="8"/>
  <c r="N116" i="8"/>
  <c r="K116" i="8"/>
  <c r="V116" i="8" s="1"/>
  <c r="J116" i="8"/>
  <c r="G116" i="8"/>
  <c r="I116" i="8" s="1"/>
  <c r="Q116" i="8" s="1"/>
  <c r="F116" i="8"/>
  <c r="H116" i="8" s="1"/>
  <c r="L116" i="8" s="1"/>
  <c r="Y115" i="8"/>
  <c r="V115" i="8"/>
  <c r="N115" i="8"/>
  <c r="X115" i="8" s="1"/>
  <c r="K115" i="8"/>
  <c r="J115" i="8"/>
  <c r="M115" i="8" s="1"/>
  <c r="W115" i="8" s="1"/>
  <c r="H115" i="8"/>
  <c r="L115" i="8" s="1"/>
  <c r="Z115" i="8" s="1"/>
  <c r="G115" i="8"/>
  <c r="I115" i="8" s="1"/>
  <c r="Q115" i="8" s="1"/>
  <c r="F115" i="8"/>
  <c r="Y114" i="8"/>
  <c r="V114" i="8"/>
  <c r="N114" i="8"/>
  <c r="M114" i="8"/>
  <c r="K114" i="8"/>
  <c r="J114" i="8"/>
  <c r="I114" i="8"/>
  <c r="Q114" i="8" s="1"/>
  <c r="H114" i="8"/>
  <c r="L114" i="8" s="1"/>
  <c r="G114" i="8"/>
  <c r="F114" i="8"/>
  <c r="N113" i="8"/>
  <c r="Y113" i="8" s="1"/>
  <c r="K113" i="8"/>
  <c r="V113" i="8" s="1"/>
  <c r="J113" i="8"/>
  <c r="M113" i="8" s="1"/>
  <c r="W113" i="8" s="1"/>
  <c r="I113" i="8"/>
  <c r="Q113" i="8" s="1"/>
  <c r="G113" i="8"/>
  <c r="F113" i="8"/>
  <c r="Y112" i="8"/>
  <c r="N112" i="8"/>
  <c r="K112" i="8"/>
  <c r="V112" i="8" s="1"/>
  <c r="J112" i="8"/>
  <c r="M112" i="8" s="1"/>
  <c r="W112" i="8" s="1"/>
  <c r="G112" i="8"/>
  <c r="I112" i="8" s="1"/>
  <c r="Q112" i="8" s="1"/>
  <c r="D112" i="4" s="1"/>
  <c r="F112" i="8"/>
  <c r="H112" i="8" s="1"/>
  <c r="Y111" i="8"/>
  <c r="V111" i="8"/>
  <c r="N111" i="8"/>
  <c r="K111" i="8"/>
  <c r="J111" i="8"/>
  <c r="M111" i="8" s="1"/>
  <c r="W111" i="8" s="1"/>
  <c r="H111" i="8"/>
  <c r="L111" i="8" s="1"/>
  <c r="Z111" i="8" s="1"/>
  <c r="G111" i="8"/>
  <c r="I111" i="8" s="1"/>
  <c r="Q111" i="8" s="1"/>
  <c r="F111" i="8"/>
  <c r="Y110" i="8"/>
  <c r="V110" i="8"/>
  <c r="N110" i="8"/>
  <c r="M110" i="8"/>
  <c r="W110" i="8" s="1"/>
  <c r="K110" i="8"/>
  <c r="J110" i="8"/>
  <c r="I110" i="8"/>
  <c r="H110" i="8"/>
  <c r="G110" i="8"/>
  <c r="F110" i="8"/>
  <c r="D110" i="8"/>
  <c r="D114" i="8" s="1"/>
  <c r="N109" i="8"/>
  <c r="Y109" i="8" s="1"/>
  <c r="K109" i="8"/>
  <c r="V109" i="8" s="1"/>
  <c r="J109" i="8"/>
  <c r="M109" i="8" s="1"/>
  <c r="W109" i="8" s="1"/>
  <c r="I109" i="8"/>
  <c r="Q109" i="8" s="1"/>
  <c r="G109" i="8"/>
  <c r="F109" i="8"/>
  <c r="Y108" i="8"/>
  <c r="N108" i="8"/>
  <c r="K108" i="8"/>
  <c r="V108" i="8" s="1"/>
  <c r="J108" i="8"/>
  <c r="M108" i="8" s="1"/>
  <c r="W108" i="8" s="1"/>
  <c r="G108" i="8"/>
  <c r="F108" i="8"/>
  <c r="H108" i="8" s="1"/>
  <c r="Y107" i="8"/>
  <c r="V107" i="8"/>
  <c r="N107" i="8"/>
  <c r="K107" i="8"/>
  <c r="J107" i="8"/>
  <c r="M107" i="8" s="1"/>
  <c r="W107" i="8" s="1"/>
  <c r="H107" i="8"/>
  <c r="G107" i="8"/>
  <c r="I107" i="8" s="1"/>
  <c r="Q107" i="8" s="1"/>
  <c r="F107" i="8"/>
  <c r="Y106" i="8"/>
  <c r="W106" i="8"/>
  <c r="V106" i="8"/>
  <c r="N106" i="8"/>
  <c r="M106" i="8"/>
  <c r="K106" i="8"/>
  <c r="J106" i="8"/>
  <c r="I106" i="8"/>
  <c r="Q106" i="8" s="1"/>
  <c r="H106" i="8"/>
  <c r="G106" i="8"/>
  <c r="F106" i="8"/>
  <c r="N105" i="8"/>
  <c r="Y105" i="8" s="1"/>
  <c r="K105" i="8"/>
  <c r="V105" i="8" s="1"/>
  <c r="J105" i="8"/>
  <c r="M105" i="8" s="1"/>
  <c r="W105" i="8" s="1"/>
  <c r="I105" i="8"/>
  <c r="Q105" i="8" s="1"/>
  <c r="G105" i="8"/>
  <c r="F105" i="8"/>
  <c r="H105" i="8" s="1"/>
  <c r="L105" i="8" s="1"/>
  <c r="Z105" i="8" s="1"/>
  <c r="Y104" i="8"/>
  <c r="N104" i="8"/>
  <c r="K104" i="8"/>
  <c r="J104" i="8"/>
  <c r="G104" i="8"/>
  <c r="F104" i="8"/>
  <c r="H104" i="8" s="1"/>
  <c r="Y103" i="8"/>
  <c r="V103" i="8"/>
  <c r="N103" i="8"/>
  <c r="K103" i="8"/>
  <c r="J103" i="8"/>
  <c r="M103" i="8" s="1"/>
  <c r="W103" i="8" s="1"/>
  <c r="H103" i="8"/>
  <c r="G103" i="8"/>
  <c r="I103" i="8" s="1"/>
  <c r="Q103" i="8" s="1"/>
  <c r="D103" i="4" s="1"/>
  <c r="F103" i="8"/>
  <c r="W102" i="8"/>
  <c r="V102" i="8"/>
  <c r="N102" i="8"/>
  <c r="Y102" i="8" s="1"/>
  <c r="M102" i="8"/>
  <c r="K102" i="8"/>
  <c r="J102" i="8"/>
  <c r="I102" i="8"/>
  <c r="Q102" i="8" s="1"/>
  <c r="H102" i="8"/>
  <c r="G102" i="8"/>
  <c r="F102" i="8"/>
  <c r="N101" i="8"/>
  <c r="Y101" i="8" s="1"/>
  <c r="K101" i="8"/>
  <c r="V101" i="8" s="1"/>
  <c r="J101" i="8"/>
  <c r="M101" i="8" s="1"/>
  <c r="W101" i="8" s="1"/>
  <c r="I101" i="8"/>
  <c r="Q101" i="8" s="1"/>
  <c r="G101" i="8"/>
  <c r="F101" i="8"/>
  <c r="H101" i="8" s="1"/>
  <c r="L101" i="8" s="1"/>
  <c r="Z101" i="8" s="1"/>
  <c r="Y100" i="8"/>
  <c r="N100" i="8"/>
  <c r="K100" i="8"/>
  <c r="J100" i="8"/>
  <c r="G100" i="8"/>
  <c r="F100" i="8"/>
  <c r="H100" i="8" s="1"/>
  <c r="Y99" i="8"/>
  <c r="V99" i="8"/>
  <c r="N99" i="8"/>
  <c r="K99" i="8"/>
  <c r="J99" i="8"/>
  <c r="M99" i="8" s="1"/>
  <c r="W99" i="8" s="1"/>
  <c r="H99" i="8"/>
  <c r="G99" i="8"/>
  <c r="I99" i="8" s="1"/>
  <c r="F99" i="8"/>
  <c r="W98" i="8"/>
  <c r="V98" i="8"/>
  <c r="N98" i="8"/>
  <c r="Y98" i="8" s="1"/>
  <c r="M98" i="8"/>
  <c r="K98" i="8"/>
  <c r="J98" i="8"/>
  <c r="I98" i="8"/>
  <c r="Q98" i="8" s="1"/>
  <c r="H98" i="8"/>
  <c r="G98" i="8"/>
  <c r="F98" i="8"/>
  <c r="N97" i="8"/>
  <c r="Y97" i="8" s="1"/>
  <c r="K97" i="8"/>
  <c r="V97" i="8" s="1"/>
  <c r="J97" i="8"/>
  <c r="M97" i="8" s="1"/>
  <c r="W97" i="8" s="1"/>
  <c r="I97" i="8"/>
  <c r="Q97" i="8" s="1"/>
  <c r="G97" i="8"/>
  <c r="F97" i="8"/>
  <c r="H97" i="8" s="1"/>
  <c r="L97" i="8" s="1"/>
  <c r="Z97" i="8" s="1"/>
  <c r="Y96" i="8"/>
  <c r="N96" i="8"/>
  <c r="K96" i="8"/>
  <c r="J96" i="8"/>
  <c r="G96" i="8"/>
  <c r="F96" i="8"/>
  <c r="H96" i="8" s="1"/>
  <c r="Y95" i="8"/>
  <c r="V95" i="8"/>
  <c r="N95" i="8"/>
  <c r="K95" i="8"/>
  <c r="J95" i="8"/>
  <c r="M95" i="8" s="1"/>
  <c r="W95" i="8" s="1"/>
  <c r="H95" i="8"/>
  <c r="G95" i="8"/>
  <c r="I95" i="8" s="1"/>
  <c r="Q95" i="8" s="1"/>
  <c r="D95" i="4" s="1"/>
  <c r="F95" i="8"/>
  <c r="W94" i="8"/>
  <c r="V94" i="8"/>
  <c r="N94" i="8"/>
  <c r="Y94" i="8" s="1"/>
  <c r="M94" i="8"/>
  <c r="K94" i="8"/>
  <c r="J94" i="8"/>
  <c r="I94" i="8"/>
  <c r="Q94" i="8" s="1"/>
  <c r="H94" i="8"/>
  <c r="L94" i="8" s="1"/>
  <c r="Z94" i="8" s="1"/>
  <c r="G94" i="8"/>
  <c r="F94" i="8"/>
  <c r="N93" i="8"/>
  <c r="Y93" i="8" s="1"/>
  <c r="K93" i="8"/>
  <c r="V93" i="8" s="1"/>
  <c r="J93" i="8"/>
  <c r="M93" i="8" s="1"/>
  <c r="W93" i="8" s="1"/>
  <c r="I93" i="8"/>
  <c r="Q93" i="8" s="1"/>
  <c r="G93" i="8"/>
  <c r="F93" i="8"/>
  <c r="H93" i="8" s="1"/>
  <c r="L93" i="8" s="1"/>
  <c r="Z93" i="8" s="1"/>
  <c r="Y92" i="8"/>
  <c r="N92" i="8"/>
  <c r="K92" i="8"/>
  <c r="V92" i="8" s="1"/>
  <c r="H92" i="4" s="1"/>
  <c r="J92" i="8"/>
  <c r="G92" i="8"/>
  <c r="F92" i="8"/>
  <c r="H92" i="8" s="1"/>
  <c r="Y91" i="8"/>
  <c r="V91" i="8"/>
  <c r="N91" i="8"/>
  <c r="K91" i="8"/>
  <c r="J91" i="8"/>
  <c r="M91" i="8" s="1"/>
  <c r="W91" i="8" s="1"/>
  <c r="H91" i="8"/>
  <c r="G91" i="8"/>
  <c r="I91" i="8" s="1"/>
  <c r="F91" i="8"/>
  <c r="W90" i="8"/>
  <c r="V90" i="8"/>
  <c r="N90" i="8"/>
  <c r="Y90" i="8" s="1"/>
  <c r="M90" i="8"/>
  <c r="K90" i="8"/>
  <c r="J90" i="8"/>
  <c r="I90" i="8"/>
  <c r="Q90" i="8" s="1"/>
  <c r="H90" i="8"/>
  <c r="L90" i="8" s="1"/>
  <c r="Z90" i="8" s="1"/>
  <c r="G90" i="8"/>
  <c r="F90" i="8"/>
  <c r="X89" i="8"/>
  <c r="P89" i="4" s="1"/>
  <c r="N89" i="8"/>
  <c r="Y89" i="8" s="1"/>
  <c r="M89" i="8"/>
  <c r="W89" i="8" s="1"/>
  <c r="K89" i="8"/>
  <c r="V89" i="8" s="1"/>
  <c r="J89" i="8"/>
  <c r="I89" i="8"/>
  <c r="Q89" i="8" s="1"/>
  <c r="G89" i="8"/>
  <c r="F89" i="8"/>
  <c r="H89" i="8" s="1"/>
  <c r="L89" i="8" s="1"/>
  <c r="Z89" i="8" s="1"/>
  <c r="N88" i="8"/>
  <c r="Y88" i="8" s="1"/>
  <c r="K88" i="8"/>
  <c r="V88" i="8" s="1"/>
  <c r="J88" i="8"/>
  <c r="M88" i="8" s="1"/>
  <c r="W88" i="8" s="1"/>
  <c r="J88" i="4" s="1"/>
  <c r="G88" i="8"/>
  <c r="I88" i="8" s="1"/>
  <c r="Q88" i="8" s="1"/>
  <c r="F88" i="8"/>
  <c r="Y87" i="8"/>
  <c r="Q87" i="8"/>
  <c r="D87" i="4" s="1"/>
  <c r="N87" i="8"/>
  <c r="K87" i="8"/>
  <c r="J87" i="8"/>
  <c r="H87" i="8"/>
  <c r="L87" i="8" s="1"/>
  <c r="G87" i="8"/>
  <c r="I87" i="8" s="1"/>
  <c r="F87" i="8"/>
  <c r="V86" i="8"/>
  <c r="H86" i="4" s="1"/>
  <c r="N86" i="8"/>
  <c r="Y86" i="8" s="1"/>
  <c r="M86" i="8"/>
  <c r="W86" i="8" s="1"/>
  <c r="K86" i="8"/>
  <c r="J86" i="8"/>
  <c r="I86" i="8"/>
  <c r="Q86" i="8" s="1"/>
  <c r="H86" i="8"/>
  <c r="L86" i="8" s="1"/>
  <c r="G86" i="8"/>
  <c r="F86" i="8"/>
  <c r="W85" i="8"/>
  <c r="N85" i="8"/>
  <c r="Y85" i="8" s="1"/>
  <c r="M85" i="8"/>
  <c r="K85" i="8"/>
  <c r="V85" i="8" s="1"/>
  <c r="J85" i="8"/>
  <c r="I85" i="8"/>
  <c r="G85" i="8"/>
  <c r="F85" i="8"/>
  <c r="H85" i="8" s="1"/>
  <c r="N84" i="8"/>
  <c r="Y84" i="8" s="1"/>
  <c r="K84" i="8"/>
  <c r="V84" i="8" s="1"/>
  <c r="J84" i="8"/>
  <c r="M84" i="8" s="1"/>
  <c r="W84" i="8" s="1"/>
  <c r="G84" i="8"/>
  <c r="I84" i="8" s="1"/>
  <c r="Q84" i="8" s="1"/>
  <c r="D84" i="4" s="1"/>
  <c r="F84" i="8"/>
  <c r="Y83" i="8"/>
  <c r="N83" i="8"/>
  <c r="K83" i="8"/>
  <c r="V83" i="8" s="1"/>
  <c r="J83" i="8"/>
  <c r="H83" i="8"/>
  <c r="G83" i="8"/>
  <c r="I83" i="8" s="1"/>
  <c r="F83" i="8"/>
  <c r="V82" i="8"/>
  <c r="N82" i="8"/>
  <c r="Y82" i="8" s="1"/>
  <c r="M82" i="8"/>
  <c r="W82" i="8" s="1"/>
  <c r="K82" i="8"/>
  <c r="J82" i="8"/>
  <c r="I82" i="8"/>
  <c r="Q82" i="8" s="1"/>
  <c r="H82" i="8"/>
  <c r="L82" i="8" s="1"/>
  <c r="G82" i="8"/>
  <c r="F82" i="8"/>
  <c r="N81" i="8"/>
  <c r="Y81" i="8" s="1"/>
  <c r="M81" i="8"/>
  <c r="K81" i="8"/>
  <c r="V81" i="8" s="1"/>
  <c r="J81" i="8"/>
  <c r="I81" i="8"/>
  <c r="Q81" i="8" s="1"/>
  <c r="G81" i="8"/>
  <c r="F81" i="8"/>
  <c r="H81" i="8" s="1"/>
  <c r="N80" i="8"/>
  <c r="K80" i="8"/>
  <c r="V80" i="8" s="1"/>
  <c r="J80" i="8"/>
  <c r="M80" i="8" s="1"/>
  <c r="W80" i="8" s="1"/>
  <c r="G80" i="8"/>
  <c r="I80" i="8" s="1"/>
  <c r="Q80" i="8" s="1"/>
  <c r="F80" i="8"/>
  <c r="H80" i="8" s="1"/>
  <c r="L80" i="8" s="1"/>
  <c r="Z80" i="8" s="1"/>
  <c r="Y79" i="8"/>
  <c r="N79" i="8"/>
  <c r="K79" i="8"/>
  <c r="V79" i="8" s="1"/>
  <c r="J79" i="8"/>
  <c r="H79" i="8"/>
  <c r="G79" i="8"/>
  <c r="F79" i="8"/>
  <c r="V78" i="8"/>
  <c r="N78" i="8"/>
  <c r="Y78" i="8" s="1"/>
  <c r="M78" i="8"/>
  <c r="W78" i="8" s="1"/>
  <c r="J78" i="4" s="1"/>
  <c r="K78" i="8"/>
  <c r="J78" i="8"/>
  <c r="I78" i="8"/>
  <c r="Q78" i="8" s="1"/>
  <c r="H78" i="8"/>
  <c r="L78" i="8" s="1"/>
  <c r="G78" i="8"/>
  <c r="F78" i="8"/>
  <c r="N77" i="8"/>
  <c r="Y77" i="8" s="1"/>
  <c r="M77" i="8"/>
  <c r="W77" i="8" s="1"/>
  <c r="K77" i="8"/>
  <c r="V77" i="8" s="1"/>
  <c r="J77" i="8"/>
  <c r="I77" i="8"/>
  <c r="Q77" i="8" s="1"/>
  <c r="G77" i="8"/>
  <c r="F77" i="8"/>
  <c r="H77" i="8" s="1"/>
  <c r="L77" i="8" s="1"/>
  <c r="Z77" i="8" s="1"/>
  <c r="N76" i="8"/>
  <c r="Y76" i="8" s="1"/>
  <c r="K76" i="8"/>
  <c r="V76" i="8" s="1"/>
  <c r="H76" i="4" s="1"/>
  <c r="J76" i="8"/>
  <c r="M76" i="8" s="1"/>
  <c r="W76" i="8" s="1"/>
  <c r="G76" i="8"/>
  <c r="I76" i="8" s="1"/>
  <c r="Q76" i="8" s="1"/>
  <c r="F76" i="8"/>
  <c r="H76" i="8" s="1"/>
  <c r="L76" i="8" s="1"/>
  <c r="Z76" i="8" s="1"/>
  <c r="Y75" i="8"/>
  <c r="N75" i="8"/>
  <c r="K75" i="8"/>
  <c r="V75" i="8" s="1"/>
  <c r="J75" i="8"/>
  <c r="M75" i="8" s="1"/>
  <c r="W75" i="8" s="1"/>
  <c r="H75" i="8"/>
  <c r="G75" i="8"/>
  <c r="F75" i="8"/>
  <c r="V74" i="8"/>
  <c r="N74" i="8"/>
  <c r="Y74" i="8" s="1"/>
  <c r="M74" i="8"/>
  <c r="W74" i="8" s="1"/>
  <c r="K74" i="8"/>
  <c r="J74" i="8"/>
  <c r="I74" i="8"/>
  <c r="Q74" i="8" s="1"/>
  <c r="H74" i="8"/>
  <c r="L74" i="8" s="1"/>
  <c r="G74" i="8"/>
  <c r="F74" i="8"/>
  <c r="W73" i="8"/>
  <c r="N73" i="8"/>
  <c r="Y73" i="8" s="1"/>
  <c r="M73" i="8"/>
  <c r="K73" i="8"/>
  <c r="V73" i="8" s="1"/>
  <c r="J73" i="8"/>
  <c r="I73" i="8"/>
  <c r="Q73" i="8" s="1"/>
  <c r="G73" i="8"/>
  <c r="F73" i="8"/>
  <c r="H73" i="8" s="1"/>
  <c r="L73" i="8" s="1"/>
  <c r="Z73" i="8" s="1"/>
  <c r="N72" i="8"/>
  <c r="Y72" i="8" s="1"/>
  <c r="K72" i="8"/>
  <c r="V72" i="8" s="1"/>
  <c r="J72" i="8"/>
  <c r="M72" i="8" s="1"/>
  <c r="W72" i="8" s="1"/>
  <c r="G72" i="8"/>
  <c r="I72" i="8" s="1"/>
  <c r="Q72" i="8" s="1"/>
  <c r="F72" i="8"/>
  <c r="Y71" i="8"/>
  <c r="Q71" i="8"/>
  <c r="N71" i="8"/>
  <c r="K71" i="8"/>
  <c r="V71" i="8" s="1"/>
  <c r="J71" i="8"/>
  <c r="M71" i="8" s="1"/>
  <c r="W71" i="8" s="1"/>
  <c r="H71" i="8"/>
  <c r="L71" i="8" s="1"/>
  <c r="Z71" i="8" s="1"/>
  <c r="G71" i="8"/>
  <c r="I71" i="8" s="1"/>
  <c r="F71" i="8"/>
  <c r="V70" i="8"/>
  <c r="H70" i="4" s="1"/>
  <c r="N70" i="8"/>
  <c r="Y70" i="8" s="1"/>
  <c r="M70" i="8"/>
  <c r="W70" i="8" s="1"/>
  <c r="K70" i="8"/>
  <c r="J70" i="8"/>
  <c r="I70" i="8"/>
  <c r="Q70" i="8" s="1"/>
  <c r="H70" i="8"/>
  <c r="L70" i="8" s="1"/>
  <c r="Z70" i="8" s="1"/>
  <c r="G70" i="8"/>
  <c r="F70" i="8"/>
  <c r="W69" i="8"/>
  <c r="N69" i="8"/>
  <c r="Y69" i="8" s="1"/>
  <c r="M69" i="8"/>
  <c r="K69" i="8"/>
  <c r="V69" i="8" s="1"/>
  <c r="J69" i="8"/>
  <c r="I69" i="8"/>
  <c r="Q69" i="8" s="1"/>
  <c r="G69" i="8"/>
  <c r="F69" i="8"/>
  <c r="H69" i="8" s="1"/>
  <c r="N68" i="8"/>
  <c r="Y68" i="8" s="1"/>
  <c r="K68" i="8"/>
  <c r="V68" i="8" s="1"/>
  <c r="J68" i="8"/>
  <c r="M68" i="8" s="1"/>
  <c r="W68" i="8" s="1"/>
  <c r="G68" i="8"/>
  <c r="I68" i="8" s="1"/>
  <c r="Q68" i="8" s="1"/>
  <c r="F68" i="8"/>
  <c r="Y67" i="8"/>
  <c r="N67" i="8"/>
  <c r="K67" i="8"/>
  <c r="V67" i="8" s="1"/>
  <c r="J67" i="8"/>
  <c r="H67" i="8"/>
  <c r="G67" i="8"/>
  <c r="I67" i="8" s="1"/>
  <c r="F67" i="8"/>
  <c r="V66" i="8"/>
  <c r="N66" i="8"/>
  <c r="Y66" i="8" s="1"/>
  <c r="M66" i="8"/>
  <c r="W66" i="8" s="1"/>
  <c r="K66" i="8"/>
  <c r="J66" i="8"/>
  <c r="I66" i="8"/>
  <c r="Q66" i="8" s="1"/>
  <c r="H66" i="8"/>
  <c r="L66" i="8" s="1"/>
  <c r="G66" i="8"/>
  <c r="F66" i="8"/>
  <c r="N65" i="8"/>
  <c r="Y65" i="8" s="1"/>
  <c r="M65" i="8"/>
  <c r="K65" i="8"/>
  <c r="V65" i="8" s="1"/>
  <c r="J65" i="8"/>
  <c r="I65" i="8"/>
  <c r="Q65" i="8" s="1"/>
  <c r="G65" i="8"/>
  <c r="F65" i="8"/>
  <c r="H65" i="8" s="1"/>
  <c r="N64" i="8"/>
  <c r="K64" i="8"/>
  <c r="V64" i="8" s="1"/>
  <c r="J64" i="8"/>
  <c r="M64" i="8" s="1"/>
  <c r="W64" i="8" s="1"/>
  <c r="G64" i="8"/>
  <c r="I64" i="8" s="1"/>
  <c r="Q64" i="8" s="1"/>
  <c r="F64" i="8"/>
  <c r="H64" i="8" s="1"/>
  <c r="L64" i="8" s="1"/>
  <c r="Z64" i="8" s="1"/>
  <c r="Y63" i="8"/>
  <c r="N63" i="8"/>
  <c r="K63" i="8"/>
  <c r="V63" i="8" s="1"/>
  <c r="J63" i="8"/>
  <c r="H63" i="8"/>
  <c r="G63" i="8"/>
  <c r="F63" i="8"/>
  <c r="V62" i="8"/>
  <c r="N62" i="8"/>
  <c r="Y62" i="8" s="1"/>
  <c r="M62" i="8"/>
  <c r="W62" i="8" s="1"/>
  <c r="J62" i="4" s="1"/>
  <c r="K62" i="8"/>
  <c r="J62" i="8"/>
  <c r="I62" i="8"/>
  <c r="Q62" i="8" s="1"/>
  <c r="H62" i="8"/>
  <c r="L62" i="8" s="1"/>
  <c r="G62" i="8"/>
  <c r="F62" i="8"/>
  <c r="N61" i="8"/>
  <c r="Y61" i="8" s="1"/>
  <c r="M61" i="8"/>
  <c r="W61" i="8" s="1"/>
  <c r="K61" i="8"/>
  <c r="V61" i="8" s="1"/>
  <c r="J61" i="8"/>
  <c r="I61" i="8"/>
  <c r="Q61" i="8" s="1"/>
  <c r="G61" i="8"/>
  <c r="F61" i="8"/>
  <c r="H61" i="8" s="1"/>
  <c r="L61" i="8" s="1"/>
  <c r="Z61" i="8" s="1"/>
  <c r="N60" i="8"/>
  <c r="Y60" i="8" s="1"/>
  <c r="K60" i="8"/>
  <c r="V60" i="8" s="1"/>
  <c r="H60" i="4" s="1"/>
  <c r="J60" i="8"/>
  <c r="M60" i="8" s="1"/>
  <c r="W60" i="8" s="1"/>
  <c r="G60" i="8"/>
  <c r="I60" i="8" s="1"/>
  <c r="Q60" i="8" s="1"/>
  <c r="F60" i="8"/>
  <c r="H60" i="8" s="1"/>
  <c r="L60" i="8" s="1"/>
  <c r="Z60" i="8" s="1"/>
  <c r="Y59" i="8"/>
  <c r="N59" i="8"/>
  <c r="K59" i="8"/>
  <c r="V59" i="8" s="1"/>
  <c r="J59" i="8"/>
  <c r="M59" i="8" s="1"/>
  <c r="W59" i="8" s="1"/>
  <c r="H59" i="8"/>
  <c r="G59" i="8"/>
  <c r="F59" i="8"/>
  <c r="V58" i="8"/>
  <c r="N58" i="8"/>
  <c r="Y58" i="8" s="1"/>
  <c r="M58" i="8"/>
  <c r="W58" i="8" s="1"/>
  <c r="K58" i="8"/>
  <c r="J58" i="8"/>
  <c r="I58" i="8"/>
  <c r="Q58" i="8" s="1"/>
  <c r="H58" i="8"/>
  <c r="L58" i="8" s="1"/>
  <c r="G58" i="8"/>
  <c r="F58" i="8"/>
  <c r="W57" i="8"/>
  <c r="N57" i="8"/>
  <c r="Y57" i="8" s="1"/>
  <c r="M57" i="8"/>
  <c r="K57" i="8"/>
  <c r="V57" i="8" s="1"/>
  <c r="J57" i="8"/>
  <c r="I57" i="8"/>
  <c r="Q57" i="8" s="1"/>
  <c r="G57" i="8"/>
  <c r="F57" i="8"/>
  <c r="H57" i="8" s="1"/>
  <c r="L57" i="8" s="1"/>
  <c r="Z57" i="8" s="1"/>
  <c r="N56" i="8"/>
  <c r="Y56" i="8" s="1"/>
  <c r="K56" i="8"/>
  <c r="V56" i="8" s="1"/>
  <c r="J56" i="8"/>
  <c r="M56" i="8" s="1"/>
  <c r="W56" i="8" s="1"/>
  <c r="G56" i="8"/>
  <c r="I56" i="8" s="1"/>
  <c r="Q56" i="8" s="1"/>
  <c r="F56" i="8"/>
  <c r="Y55" i="8"/>
  <c r="Q55" i="8"/>
  <c r="N55" i="8"/>
  <c r="K55" i="8"/>
  <c r="V55" i="8" s="1"/>
  <c r="J55" i="8"/>
  <c r="M55" i="8" s="1"/>
  <c r="W55" i="8" s="1"/>
  <c r="H55" i="8"/>
  <c r="L55" i="8" s="1"/>
  <c r="Z55" i="8" s="1"/>
  <c r="G55" i="8"/>
  <c r="I55" i="8" s="1"/>
  <c r="F55" i="8"/>
  <c r="Y54" i="8"/>
  <c r="V54" i="8"/>
  <c r="N54" i="8"/>
  <c r="M54" i="8"/>
  <c r="W54" i="8" s="1"/>
  <c r="K54" i="8"/>
  <c r="J54" i="8"/>
  <c r="I54" i="8"/>
  <c r="Q54" i="8" s="1"/>
  <c r="H54" i="8"/>
  <c r="L54" i="8" s="1"/>
  <c r="G54" i="8"/>
  <c r="F54" i="8"/>
  <c r="W53" i="8"/>
  <c r="N53" i="8"/>
  <c r="Y53" i="8" s="1"/>
  <c r="M53" i="8"/>
  <c r="K53" i="8"/>
  <c r="V53" i="8" s="1"/>
  <c r="J53" i="8"/>
  <c r="I53" i="8"/>
  <c r="Q53" i="8" s="1"/>
  <c r="G53" i="8"/>
  <c r="F53" i="8"/>
  <c r="H53" i="8" s="1"/>
  <c r="L53" i="8" s="1"/>
  <c r="Z53" i="8" s="1"/>
  <c r="N52" i="8"/>
  <c r="Y52" i="8" s="1"/>
  <c r="K52" i="8"/>
  <c r="V52" i="8" s="1"/>
  <c r="J52" i="8"/>
  <c r="M52" i="8" s="1"/>
  <c r="W52" i="8" s="1"/>
  <c r="G52" i="8"/>
  <c r="I52" i="8" s="1"/>
  <c r="Q52" i="8" s="1"/>
  <c r="F52" i="8"/>
  <c r="Y51" i="8"/>
  <c r="Q51" i="8"/>
  <c r="N51" i="8"/>
  <c r="K51" i="8"/>
  <c r="V51" i="8" s="1"/>
  <c r="J51" i="8"/>
  <c r="M51" i="8" s="1"/>
  <c r="W51" i="8" s="1"/>
  <c r="H51" i="8"/>
  <c r="L51" i="8" s="1"/>
  <c r="Z51" i="8" s="1"/>
  <c r="G51" i="8"/>
  <c r="I51" i="8" s="1"/>
  <c r="F51" i="8"/>
  <c r="V50" i="8"/>
  <c r="N50" i="8"/>
  <c r="Y50" i="8" s="1"/>
  <c r="M50" i="8"/>
  <c r="W50" i="8" s="1"/>
  <c r="K50" i="8"/>
  <c r="J50" i="8"/>
  <c r="I50" i="8"/>
  <c r="Q50" i="8" s="1"/>
  <c r="H50" i="8"/>
  <c r="L50" i="8" s="1"/>
  <c r="Z50" i="8" s="1"/>
  <c r="G50" i="8"/>
  <c r="F50" i="8"/>
  <c r="W49" i="8"/>
  <c r="N49" i="8"/>
  <c r="Y49" i="8" s="1"/>
  <c r="M49" i="8"/>
  <c r="K49" i="8"/>
  <c r="V49" i="8" s="1"/>
  <c r="J49" i="8"/>
  <c r="I49" i="8"/>
  <c r="Q49" i="8" s="1"/>
  <c r="G49" i="8"/>
  <c r="F49" i="8"/>
  <c r="H49" i="8" s="1"/>
  <c r="N48" i="8"/>
  <c r="Y48" i="8" s="1"/>
  <c r="K48" i="8"/>
  <c r="V48" i="8" s="1"/>
  <c r="J48" i="8"/>
  <c r="M48" i="8" s="1"/>
  <c r="W48" i="8" s="1"/>
  <c r="G48" i="8"/>
  <c r="I48" i="8" s="1"/>
  <c r="Q48" i="8" s="1"/>
  <c r="F48" i="8"/>
  <c r="Y47" i="8"/>
  <c r="N47" i="8"/>
  <c r="K47" i="8"/>
  <c r="V47" i="8" s="1"/>
  <c r="J47" i="8"/>
  <c r="H47" i="8"/>
  <c r="G47" i="8"/>
  <c r="I47" i="8" s="1"/>
  <c r="Q47" i="8" s="1"/>
  <c r="F47" i="8"/>
  <c r="V46" i="8"/>
  <c r="N46" i="8"/>
  <c r="Y46" i="8" s="1"/>
  <c r="M46" i="8"/>
  <c r="W46" i="8" s="1"/>
  <c r="K46" i="8"/>
  <c r="J46" i="8"/>
  <c r="I46" i="8"/>
  <c r="Q46" i="8" s="1"/>
  <c r="H46" i="8"/>
  <c r="L46" i="8" s="1"/>
  <c r="Z46" i="8" s="1"/>
  <c r="G46" i="8"/>
  <c r="F46" i="8"/>
  <c r="N45" i="8"/>
  <c r="Y45" i="8" s="1"/>
  <c r="M45" i="8"/>
  <c r="W45" i="8" s="1"/>
  <c r="K45" i="8"/>
  <c r="V45" i="8" s="1"/>
  <c r="J45" i="8"/>
  <c r="I45" i="8"/>
  <c r="Q45" i="8" s="1"/>
  <c r="G45" i="8"/>
  <c r="F45" i="8"/>
  <c r="H45" i="8" s="1"/>
  <c r="N44" i="8"/>
  <c r="K44" i="8"/>
  <c r="V44" i="8" s="1"/>
  <c r="J44" i="8"/>
  <c r="M44" i="8" s="1"/>
  <c r="W44" i="8" s="1"/>
  <c r="G44" i="8"/>
  <c r="I44" i="8" s="1"/>
  <c r="Q44" i="8" s="1"/>
  <c r="F44" i="8"/>
  <c r="H44" i="8" s="1"/>
  <c r="L44" i="8" s="1"/>
  <c r="Z44" i="8" s="1"/>
  <c r="Y43" i="8"/>
  <c r="N43" i="8"/>
  <c r="K43" i="8"/>
  <c r="V43" i="8" s="1"/>
  <c r="J43" i="8"/>
  <c r="H43" i="8"/>
  <c r="G43" i="8"/>
  <c r="F43" i="8"/>
  <c r="V42" i="8"/>
  <c r="N42" i="8"/>
  <c r="Y42" i="8" s="1"/>
  <c r="M42" i="8"/>
  <c r="W42" i="8" s="1"/>
  <c r="K42" i="8"/>
  <c r="J42" i="8"/>
  <c r="I42" i="8"/>
  <c r="Q42" i="8" s="1"/>
  <c r="H42" i="8"/>
  <c r="L42" i="8" s="1"/>
  <c r="Z42" i="8" s="1"/>
  <c r="G42" i="8"/>
  <c r="F42" i="8"/>
  <c r="C42" i="8"/>
  <c r="C46" i="8" s="1"/>
  <c r="C50" i="8" s="1"/>
  <c r="C54" i="8" s="1"/>
  <c r="C58" i="8" s="1"/>
  <c r="C62" i="8" s="1"/>
  <c r="C66" i="8" s="1"/>
  <c r="C70" i="8" s="1"/>
  <c r="C74" i="8" s="1"/>
  <c r="C78" i="8" s="1"/>
  <c r="C82" i="8" s="1"/>
  <c r="C86" i="8" s="1"/>
  <c r="C90" i="8" s="1"/>
  <c r="C94" i="8" s="1"/>
  <c r="C98" i="8" s="1"/>
  <c r="C102" i="8" s="1"/>
  <c r="C106" i="8" s="1"/>
  <c r="C110" i="8" s="1"/>
  <c r="C114" i="8" s="1"/>
  <c r="N41" i="8"/>
  <c r="Y41" i="8" s="1"/>
  <c r="M41" i="8"/>
  <c r="W41" i="8" s="1"/>
  <c r="K41" i="8"/>
  <c r="V41" i="8" s="1"/>
  <c r="J41" i="8"/>
  <c r="I41" i="8"/>
  <c r="Q41" i="8" s="1"/>
  <c r="G41" i="8"/>
  <c r="F41" i="8"/>
  <c r="H41" i="8" s="1"/>
  <c r="L41" i="8" s="1"/>
  <c r="Z41" i="8" s="1"/>
  <c r="N40" i="8"/>
  <c r="Y40" i="8" s="1"/>
  <c r="K40" i="8"/>
  <c r="V40" i="8" s="1"/>
  <c r="J40" i="8"/>
  <c r="M40" i="8" s="1"/>
  <c r="W40" i="8" s="1"/>
  <c r="G40" i="8"/>
  <c r="I40" i="8" s="1"/>
  <c r="Q40" i="8" s="1"/>
  <c r="F40" i="8"/>
  <c r="H40" i="8" s="1"/>
  <c r="L40" i="8" s="1"/>
  <c r="Z40" i="8" s="1"/>
  <c r="Y39" i="8"/>
  <c r="N39" i="8"/>
  <c r="K39" i="8"/>
  <c r="V39" i="8" s="1"/>
  <c r="J39" i="8"/>
  <c r="M39" i="8" s="1"/>
  <c r="H39" i="8"/>
  <c r="G39" i="8"/>
  <c r="F39" i="8"/>
  <c r="V38" i="8"/>
  <c r="N38" i="8"/>
  <c r="Y38" i="8" s="1"/>
  <c r="M38" i="8"/>
  <c r="W38" i="8" s="1"/>
  <c r="K38" i="8"/>
  <c r="J38" i="8"/>
  <c r="I38" i="8"/>
  <c r="Q38" i="8" s="1"/>
  <c r="H38" i="8"/>
  <c r="L38" i="8" s="1"/>
  <c r="G38" i="8"/>
  <c r="F38" i="8"/>
  <c r="W37" i="8"/>
  <c r="N37" i="8"/>
  <c r="Y37" i="8" s="1"/>
  <c r="M37" i="8"/>
  <c r="K37" i="8"/>
  <c r="V37" i="8" s="1"/>
  <c r="J37" i="8"/>
  <c r="I37" i="8"/>
  <c r="Q37" i="8" s="1"/>
  <c r="G37" i="8"/>
  <c r="F37" i="8"/>
  <c r="H37" i="8" s="1"/>
  <c r="L37" i="8" s="1"/>
  <c r="Z37" i="8" s="1"/>
  <c r="N36" i="8"/>
  <c r="Y36" i="8" s="1"/>
  <c r="K36" i="8"/>
  <c r="V36" i="8" s="1"/>
  <c r="J36" i="8"/>
  <c r="M36" i="8" s="1"/>
  <c r="W36" i="8" s="1"/>
  <c r="G36" i="8"/>
  <c r="I36" i="8" s="1"/>
  <c r="Q36" i="8" s="1"/>
  <c r="F36" i="8"/>
  <c r="Y35" i="8"/>
  <c r="Q35" i="8"/>
  <c r="N35" i="8"/>
  <c r="K35" i="8"/>
  <c r="V35" i="8" s="1"/>
  <c r="J35" i="8"/>
  <c r="M35" i="8" s="1"/>
  <c r="W35" i="8" s="1"/>
  <c r="H35" i="8"/>
  <c r="L35" i="8" s="1"/>
  <c r="Z35" i="8" s="1"/>
  <c r="G35" i="8"/>
  <c r="I35" i="8" s="1"/>
  <c r="F35" i="8"/>
  <c r="Y34" i="8"/>
  <c r="V34" i="8"/>
  <c r="N34" i="8"/>
  <c r="M34" i="8"/>
  <c r="W34" i="8" s="1"/>
  <c r="K34" i="8"/>
  <c r="J34" i="8"/>
  <c r="I34" i="8"/>
  <c r="Q34" i="8" s="1"/>
  <c r="H34" i="8"/>
  <c r="L34" i="8" s="1"/>
  <c r="G34" i="8"/>
  <c r="F34" i="8"/>
  <c r="W33" i="8"/>
  <c r="J33" i="4" s="1"/>
  <c r="N33" i="8"/>
  <c r="Y33" i="8" s="1"/>
  <c r="M33" i="8"/>
  <c r="K33" i="8"/>
  <c r="V33" i="8" s="1"/>
  <c r="J33" i="8"/>
  <c r="I33" i="8"/>
  <c r="Q33" i="8" s="1"/>
  <c r="G33" i="8"/>
  <c r="F33" i="8"/>
  <c r="H33" i="8" s="1"/>
  <c r="L33" i="8" s="1"/>
  <c r="Z33" i="8" s="1"/>
  <c r="D33" i="8"/>
  <c r="D37" i="8" s="1"/>
  <c r="D41" i="8" s="1"/>
  <c r="D45" i="8" s="1"/>
  <c r="D49" i="8" s="1"/>
  <c r="D53" i="8" s="1"/>
  <c r="D57" i="8" s="1"/>
  <c r="D61" i="8" s="1"/>
  <c r="D65" i="8" s="1"/>
  <c r="D69" i="8" s="1"/>
  <c r="D73" i="8" s="1"/>
  <c r="D77" i="8" s="1"/>
  <c r="D81" i="8" s="1"/>
  <c r="D85" i="8" s="1"/>
  <c r="D89" i="8" s="1"/>
  <c r="D93" i="8" s="1"/>
  <c r="D97" i="8" s="1"/>
  <c r="D101" i="8" s="1"/>
  <c r="D105" i="8" s="1"/>
  <c r="D109" i="8" s="1"/>
  <c r="D113" i="8" s="1"/>
  <c r="D117" i="8" s="1"/>
  <c r="N32" i="8"/>
  <c r="Y32" i="8" s="1"/>
  <c r="K32" i="8"/>
  <c r="V32" i="8" s="1"/>
  <c r="J32" i="8"/>
  <c r="M32" i="8" s="1"/>
  <c r="W32" i="8" s="1"/>
  <c r="G32" i="8"/>
  <c r="I32" i="8" s="1"/>
  <c r="Q32" i="8" s="1"/>
  <c r="F32" i="8"/>
  <c r="Y31" i="8"/>
  <c r="Q31" i="8"/>
  <c r="N31" i="8"/>
  <c r="K31" i="8"/>
  <c r="V31" i="8" s="1"/>
  <c r="J31" i="8"/>
  <c r="M31" i="8" s="1"/>
  <c r="W31" i="8" s="1"/>
  <c r="H31" i="8"/>
  <c r="L31" i="8" s="1"/>
  <c r="Z31" i="8" s="1"/>
  <c r="G31" i="8"/>
  <c r="I31" i="8" s="1"/>
  <c r="F31" i="8"/>
  <c r="V30" i="8"/>
  <c r="N30" i="8"/>
  <c r="Y30" i="8" s="1"/>
  <c r="M30" i="8"/>
  <c r="W30" i="8" s="1"/>
  <c r="K30" i="8"/>
  <c r="J30" i="8"/>
  <c r="I30" i="8"/>
  <c r="Q30" i="8" s="1"/>
  <c r="H30" i="8"/>
  <c r="L30" i="8" s="1"/>
  <c r="G30" i="8"/>
  <c r="F30" i="8"/>
  <c r="W29" i="8"/>
  <c r="N29" i="8"/>
  <c r="Y29" i="8" s="1"/>
  <c r="M29" i="8"/>
  <c r="K29" i="8"/>
  <c r="V29" i="8" s="1"/>
  <c r="J29" i="8"/>
  <c r="I29" i="8"/>
  <c r="G29" i="8"/>
  <c r="F29" i="8"/>
  <c r="H29" i="8" s="1"/>
  <c r="N28" i="8"/>
  <c r="Y28" i="8" s="1"/>
  <c r="K28" i="8"/>
  <c r="V28" i="8" s="1"/>
  <c r="J28" i="8"/>
  <c r="M28" i="8" s="1"/>
  <c r="W28" i="8" s="1"/>
  <c r="G28" i="8"/>
  <c r="I28" i="8" s="1"/>
  <c r="Q28" i="8" s="1"/>
  <c r="F28" i="8"/>
  <c r="Y27" i="8"/>
  <c r="N27" i="8"/>
  <c r="K27" i="8"/>
  <c r="V27" i="8" s="1"/>
  <c r="J27" i="8"/>
  <c r="H27" i="8"/>
  <c r="G27" i="8"/>
  <c r="I27" i="8" s="1"/>
  <c r="Q27" i="8" s="1"/>
  <c r="F27" i="8"/>
  <c r="V26" i="8"/>
  <c r="N26" i="8"/>
  <c r="Y26" i="8" s="1"/>
  <c r="M26" i="8"/>
  <c r="W26" i="8" s="1"/>
  <c r="K26" i="8"/>
  <c r="J26" i="8"/>
  <c r="I26" i="8"/>
  <c r="Q26" i="8" s="1"/>
  <c r="H26" i="8"/>
  <c r="L26" i="8" s="1"/>
  <c r="Z26" i="8" s="1"/>
  <c r="G26" i="8"/>
  <c r="F26" i="8"/>
  <c r="N25" i="8"/>
  <c r="Y25" i="8" s="1"/>
  <c r="M25" i="8"/>
  <c r="W25" i="8" s="1"/>
  <c r="K25" i="8"/>
  <c r="V25" i="8" s="1"/>
  <c r="J25" i="8"/>
  <c r="I25" i="8"/>
  <c r="Q25" i="8" s="1"/>
  <c r="G25" i="8"/>
  <c r="F25" i="8"/>
  <c r="H25" i="8" s="1"/>
  <c r="Y24" i="8"/>
  <c r="U24" i="8"/>
  <c r="N24" i="8"/>
  <c r="K24" i="8"/>
  <c r="J24" i="8"/>
  <c r="H24" i="8"/>
  <c r="G24" i="8"/>
  <c r="F24" i="8"/>
  <c r="V23" i="8"/>
  <c r="N23" i="8"/>
  <c r="Y23" i="8" s="1"/>
  <c r="M23" i="8"/>
  <c r="W23" i="8" s="1"/>
  <c r="K23" i="8"/>
  <c r="J23" i="8"/>
  <c r="I23" i="8"/>
  <c r="Q23" i="8" s="1"/>
  <c r="G23" i="8"/>
  <c r="F23" i="8"/>
  <c r="H23" i="8" s="1"/>
  <c r="Y22" i="8"/>
  <c r="U22" i="8"/>
  <c r="N22" i="8"/>
  <c r="K22" i="8"/>
  <c r="V22" i="8" s="1"/>
  <c r="J22" i="8"/>
  <c r="H22" i="8"/>
  <c r="G22" i="8"/>
  <c r="F22" i="8"/>
  <c r="V21" i="8"/>
  <c r="N21" i="8"/>
  <c r="Y21" i="8" s="1"/>
  <c r="M21" i="8"/>
  <c r="K21" i="8"/>
  <c r="J21" i="8"/>
  <c r="I21" i="8"/>
  <c r="Q21" i="8" s="1"/>
  <c r="G21" i="8"/>
  <c r="F21" i="8"/>
  <c r="H21" i="8" s="1"/>
  <c r="D21" i="8"/>
  <c r="D25" i="8" s="1"/>
  <c r="D29" i="8" s="1"/>
  <c r="C21" i="8"/>
  <c r="C25" i="8" s="1"/>
  <c r="C29" i="8" s="1"/>
  <c r="C33" i="8" s="1"/>
  <c r="C37" i="8" s="1"/>
  <c r="C41" i="8" s="1"/>
  <c r="C45" i="8" s="1"/>
  <c r="C49" i="8" s="1"/>
  <c r="C53" i="8" s="1"/>
  <c r="C57" i="8" s="1"/>
  <c r="C61" i="8" s="1"/>
  <c r="C65" i="8" s="1"/>
  <c r="C69" i="8" s="1"/>
  <c r="C73" i="8" s="1"/>
  <c r="C77" i="8" s="1"/>
  <c r="C81" i="8" s="1"/>
  <c r="C85" i="8" s="1"/>
  <c r="C89" i="8" s="1"/>
  <c r="C93" i="8" s="1"/>
  <c r="C97" i="8" s="1"/>
  <c r="C101" i="8" s="1"/>
  <c r="C105" i="8" s="1"/>
  <c r="C109" i="8" s="1"/>
  <c r="C113" i="8" s="1"/>
  <c r="C117" i="8" s="1"/>
  <c r="Y20" i="8"/>
  <c r="U20" i="8"/>
  <c r="N20" i="8"/>
  <c r="K20" i="8"/>
  <c r="V20" i="8" s="1"/>
  <c r="J20" i="8"/>
  <c r="H20" i="8"/>
  <c r="G20" i="8"/>
  <c r="I20" i="8" s="1"/>
  <c r="Q20" i="8" s="1"/>
  <c r="F20" i="8"/>
  <c r="D20" i="8"/>
  <c r="D24" i="8" s="1"/>
  <c r="D28" i="8" s="1"/>
  <c r="D32" i="8" s="1"/>
  <c r="D36" i="8" s="1"/>
  <c r="D40" i="8" s="1"/>
  <c r="D44" i="8" s="1"/>
  <c r="D48" i="8" s="1"/>
  <c r="D52" i="8" s="1"/>
  <c r="D56" i="8" s="1"/>
  <c r="D60" i="8" s="1"/>
  <c r="D64" i="8" s="1"/>
  <c r="D68" i="8" s="1"/>
  <c r="D72" i="8" s="1"/>
  <c r="D76" i="8" s="1"/>
  <c r="D80" i="8" s="1"/>
  <c r="D84" i="8" s="1"/>
  <c r="D88" i="8" s="1"/>
  <c r="D92" i="8" s="1"/>
  <c r="D96" i="8" s="1"/>
  <c r="D100" i="8" s="1"/>
  <c r="D104" i="8" s="1"/>
  <c r="D108" i="8" s="1"/>
  <c r="D112" i="8" s="1"/>
  <c r="D116" i="8" s="1"/>
  <c r="C20" i="8"/>
  <c r="C24" i="8" s="1"/>
  <c r="C28" i="8" s="1"/>
  <c r="C32" i="8" s="1"/>
  <c r="C36" i="8" s="1"/>
  <c r="C40" i="8" s="1"/>
  <c r="C44" i="8" s="1"/>
  <c r="C48" i="8" s="1"/>
  <c r="C52" i="8" s="1"/>
  <c r="C56" i="8" s="1"/>
  <c r="C60" i="8" s="1"/>
  <c r="C64" i="8" s="1"/>
  <c r="C68" i="8" s="1"/>
  <c r="C72" i="8" s="1"/>
  <c r="C76" i="8" s="1"/>
  <c r="C80" i="8" s="1"/>
  <c r="C84" i="8" s="1"/>
  <c r="C88" i="8" s="1"/>
  <c r="C92" i="8" s="1"/>
  <c r="C96" i="8" s="1"/>
  <c r="C100" i="8" s="1"/>
  <c r="C104" i="8" s="1"/>
  <c r="C108" i="8" s="1"/>
  <c r="C112" i="8" s="1"/>
  <c r="C116" i="8" s="1"/>
  <c r="V19" i="8"/>
  <c r="N19" i="8"/>
  <c r="Y19" i="8" s="1"/>
  <c r="M19" i="8"/>
  <c r="W19" i="8" s="1"/>
  <c r="K19" i="8"/>
  <c r="J19" i="8"/>
  <c r="I19" i="8"/>
  <c r="Q19" i="8" s="1"/>
  <c r="G19" i="8"/>
  <c r="F19" i="8"/>
  <c r="H19" i="8" s="1"/>
  <c r="L19" i="8" s="1"/>
  <c r="Z19" i="8" s="1"/>
  <c r="D19" i="8"/>
  <c r="D23" i="8" s="1"/>
  <c r="D27" i="8" s="1"/>
  <c r="D31" i="8" s="1"/>
  <c r="D35" i="8" s="1"/>
  <c r="D39" i="8" s="1"/>
  <c r="D43" i="8" s="1"/>
  <c r="D47" i="8" s="1"/>
  <c r="D51" i="8" s="1"/>
  <c r="D55" i="8" s="1"/>
  <c r="D59" i="8" s="1"/>
  <c r="D63" i="8" s="1"/>
  <c r="D67" i="8" s="1"/>
  <c r="D71" i="8" s="1"/>
  <c r="D75" i="8" s="1"/>
  <c r="D79" i="8" s="1"/>
  <c r="D83" i="8" s="1"/>
  <c r="D87" i="8" s="1"/>
  <c r="D91" i="8" s="1"/>
  <c r="D95" i="8" s="1"/>
  <c r="D99" i="8" s="1"/>
  <c r="D103" i="8" s="1"/>
  <c r="D107" i="8" s="1"/>
  <c r="D111" i="8" s="1"/>
  <c r="D115" i="8" s="1"/>
  <c r="C19" i="8"/>
  <c r="C23" i="8" s="1"/>
  <c r="C27" i="8" s="1"/>
  <c r="C31" i="8" s="1"/>
  <c r="C35" i="8" s="1"/>
  <c r="C39" i="8" s="1"/>
  <c r="C43" i="8" s="1"/>
  <c r="C47" i="8" s="1"/>
  <c r="C51" i="8" s="1"/>
  <c r="C55" i="8" s="1"/>
  <c r="C59" i="8" s="1"/>
  <c r="C63" i="8" s="1"/>
  <c r="C67" i="8" s="1"/>
  <c r="C71" i="8" s="1"/>
  <c r="C75" i="8" s="1"/>
  <c r="C79" i="8" s="1"/>
  <c r="C83" i="8" s="1"/>
  <c r="C87" i="8" s="1"/>
  <c r="C91" i="8" s="1"/>
  <c r="C95" i="8" s="1"/>
  <c r="C99" i="8" s="1"/>
  <c r="C103" i="8" s="1"/>
  <c r="C107" i="8" s="1"/>
  <c r="C111" i="8" s="1"/>
  <c r="C115" i="8" s="1"/>
  <c r="Y18" i="8"/>
  <c r="U18" i="8"/>
  <c r="N18" i="8"/>
  <c r="K18" i="8"/>
  <c r="V18" i="8" s="1"/>
  <c r="J18" i="8"/>
  <c r="H18" i="8"/>
  <c r="G18" i="8"/>
  <c r="F18" i="8"/>
  <c r="D18" i="8"/>
  <c r="D22" i="8" s="1"/>
  <c r="D26" i="8" s="1"/>
  <c r="D30" i="8" s="1"/>
  <c r="D34" i="8" s="1"/>
  <c r="D38" i="8" s="1"/>
  <c r="D42" i="8" s="1"/>
  <c r="D46" i="8" s="1"/>
  <c r="D50" i="8" s="1"/>
  <c r="D54" i="8" s="1"/>
  <c r="D58" i="8" s="1"/>
  <c r="D62" i="8" s="1"/>
  <c r="D66" i="8" s="1"/>
  <c r="D70" i="8" s="1"/>
  <c r="D74" i="8" s="1"/>
  <c r="D78" i="8" s="1"/>
  <c r="D82" i="8" s="1"/>
  <c r="D86" i="8" s="1"/>
  <c r="D90" i="8" s="1"/>
  <c r="D94" i="8" s="1"/>
  <c r="D98" i="8" s="1"/>
  <c r="D102" i="8" s="1"/>
  <c r="D106" i="8" s="1"/>
  <c r="C18" i="8"/>
  <c r="C22" i="8" s="1"/>
  <c r="C26" i="8" s="1"/>
  <c r="C30" i="8" s="1"/>
  <c r="C34" i="8" s="1"/>
  <c r="C38" i="8" s="1"/>
  <c r="V17" i="8"/>
  <c r="H17" i="4" s="1"/>
  <c r="N17" i="8"/>
  <c r="Y17" i="8" s="1"/>
  <c r="M17" i="8"/>
  <c r="W17" i="8" s="1"/>
  <c r="K17" i="8"/>
  <c r="J17" i="8"/>
  <c r="I17" i="8"/>
  <c r="Q17" i="8" s="1"/>
  <c r="G17" i="8"/>
  <c r="F17" i="8"/>
  <c r="H17" i="8" s="1"/>
  <c r="L17" i="8" s="1"/>
  <c r="Z17" i="8" s="1"/>
  <c r="V16" i="8"/>
  <c r="N16" i="8"/>
  <c r="Y16" i="8" s="1"/>
  <c r="M16" i="8"/>
  <c r="W16" i="8" s="1"/>
  <c r="K16" i="8"/>
  <c r="J16" i="8"/>
  <c r="I16" i="8"/>
  <c r="Q16" i="8" s="1"/>
  <c r="G16" i="8"/>
  <c r="F16" i="8"/>
  <c r="H16" i="8" s="1"/>
  <c r="L16" i="8" s="1"/>
  <c r="N16" i="4" s="1"/>
  <c r="V15" i="8"/>
  <c r="N15" i="8"/>
  <c r="Y15" i="8" s="1"/>
  <c r="M15" i="8"/>
  <c r="W15" i="8" s="1"/>
  <c r="K15" i="8"/>
  <c r="J15" i="8"/>
  <c r="I15" i="8"/>
  <c r="Q15" i="8" s="1"/>
  <c r="H15" i="8"/>
  <c r="L15" i="8" s="1"/>
  <c r="Z15" i="8" s="1"/>
  <c r="G15" i="8"/>
  <c r="F15" i="8"/>
  <c r="Y14" i="8"/>
  <c r="N14" i="8"/>
  <c r="K14" i="8"/>
  <c r="J14" i="8"/>
  <c r="M14" i="8" s="1"/>
  <c r="W14" i="8" s="1"/>
  <c r="H14" i="8"/>
  <c r="G14" i="8"/>
  <c r="F14" i="8"/>
  <c r="M13" i="8"/>
  <c r="I13" i="8"/>
  <c r="Q13" i="8" s="1"/>
  <c r="H13" i="8"/>
  <c r="L13" i="8" s="1"/>
  <c r="M12" i="8"/>
  <c r="I12" i="8"/>
  <c r="H12" i="8"/>
  <c r="M11" i="8"/>
  <c r="L11" i="8"/>
  <c r="I11" i="8"/>
  <c r="Q11" i="8" s="1"/>
  <c r="H11" i="8"/>
  <c r="Q10" i="8"/>
  <c r="M10" i="8"/>
  <c r="I10" i="8"/>
  <c r="H10" i="8"/>
  <c r="L10" i="8" s="1"/>
  <c r="Y9" i="8"/>
  <c r="U9" i="8"/>
  <c r="M9" i="8"/>
  <c r="I9" i="8"/>
  <c r="H9" i="8"/>
  <c r="D9" i="8"/>
  <c r="C9" i="8"/>
  <c r="Y8" i="8"/>
  <c r="U8" i="8"/>
  <c r="Q8" i="8"/>
  <c r="M8" i="8"/>
  <c r="I8" i="8"/>
  <c r="P8" i="8" s="1"/>
  <c r="H8" i="8"/>
  <c r="D8" i="8"/>
  <c r="C8" i="8"/>
  <c r="Y7" i="8"/>
  <c r="U7" i="8"/>
  <c r="M7" i="8"/>
  <c r="I7" i="8"/>
  <c r="H7" i="8"/>
  <c r="Y6" i="8"/>
  <c r="U6" i="8"/>
  <c r="P6" i="8"/>
  <c r="M6" i="8"/>
  <c r="I6" i="8"/>
  <c r="Q6" i="8" s="1"/>
  <c r="H6" i="8"/>
  <c r="L6" i="8" s="1"/>
  <c r="Y5" i="8"/>
  <c r="U5" i="8"/>
  <c r="Q5" i="8"/>
  <c r="M5" i="8"/>
  <c r="I5" i="8"/>
  <c r="P5" i="8" s="1"/>
  <c r="H5" i="8"/>
  <c r="Y4" i="8"/>
  <c r="U4" i="8"/>
  <c r="P4" i="8"/>
  <c r="M4" i="8"/>
  <c r="I4" i="8"/>
  <c r="Q4" i="8" s="1"/>
  <c r="H4" i="8"/>
  <c r="L4" i="8" s="1"/>
  <c r="Z4" i="8" s="1"/>
  <c r="B152" i="7"/>
  <c r="B153" i="7" s="1"/>
  <c r="B154" i="7" s="1"/>
  <c r="B155" i="7" s="1"/>
  <c r="B156" i="7" s="1"/>
  <c r="B157" i="7" s="1"/>
  <c r="B158" i="7" s="1"/>
  <c r="B159" i="7" s="1"/>
  <c r="B160" i="7" s="1"/>
  <c r="B161" i="7" s="1"/>
  <c r="B162" i="7" s="1"/>
  <c r="B163" i="7" s="1"/>
  <c r="B164" i="7" s="1"/>
  <c r="B165" i="7" s="1"/>
  <c r="B166" i="7" s="1"/>
  <c r="B167" i="7" s="1"/>
  <c r="B168" i="7" s="1"/>
  <c r="B169" i="7" s="1"/>
  <c r="B170" i="7" s="1"/>
  <c r="B171" i="7" s="1"/>
  <c r="B172" i="7" s="1"/>
  <c r="B173" i="7" s="1"/>
  <c r="B151" i="7"/>
  <c r="F150" i="7"/>
  <c r="F149" i="7"/>
  <c r="G146" i="7"/>
  <c r="F146" i="7"/>
  <c r="E146" i="7"/>
  <c r="D146" i="7"/>
  <c r="C146" i="7"/>
  <c r="F145" i="7"/>
  <c r="F173" i="7" s="1"/>
  <c r="B135" i="7"/>
  <c r="B136" i="7" s="1"/>
  <c r="B137" i="7" s="1"/>
  <c r="B138" i="7" s="1"/>
  <c r="B139" i="7" s="1"/>
  <c r="B140" i="7" s="1"/>
  <c r="B141" i="7" s="1"/>
  <c r="B142" i="7" s="1"/>
  <c r="B143" i="7" s="1"/>
  <c r="B144" i="7" s="1"/>
  <c r="B145" i="7" s="1"/>
  <c r="B127" i="7"/>
  <c r="B128" i="7" s="1"/>
  <c r="B129" i="7" s="1"/>
  <c r="B130" i="7" s="1"/>
  <c r="B131" i="7" s="1"/>
  <c r="B132" i="7" s="1"/>
  <c r="B133" i="7" s="1"/>
  <c r="B134" i="7" s="1"/>
  <c r="F123" i="7"/>
  <c r="F151" i="7" s="1"/>
  <c r="B123" i="7"/>
  <c r="B124" i="7" s="1"/>
  <c r="B125" i="7" s="1"/>
  <c r="B126" i="7" s="1"/>
  <c r="F122" i="7"/>
  <c r="F121" i="7"/>
  <c r="F120" i="7"/>
  <c r="F148" i="7" s="1"/>
  <c r="F119" i="7"/>
  <c r="F147" i="7" s="1"/>
  <c r="Q112" i="7"/>
  <c r="P112" i="7"/>
  <c r="O112" i="7"/>
  <c r="N112" i="7"/>
  <c r="M112" i="7"/>
  <c r="L112" i="7"/>
  <c r="K112" i="7"/>
  <c r="J112" i="7"/>
  <c r="I112" i="7"/>
  <c r="H112" i="7"/>
  <c r="G112" i="7"/>
  <c r="F112" i="7"/>
  <c r="E112" i="7"/>
  <c r="D112" i="7"/>
  <c r="F137" i="7" s="1"/>
  <c r="F165" i="7" s="1"/>
  <c r="A36" i="5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13" i="5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9" i="5"/>
  <c r="A10" i="5" s="1"/>
  <c r="A11" i="5" s="1"/>
  <c r="A12" i="5" s="1"/>
  <c r="BI117" i="4"/>
  <c r="AZ117" i="4"/>
  <c r="AW117" i="4"/>
  <c r="AY117" i="4" s="1"/>
  <c r="X117" i="4"/>
  <c r="V117" i="4"/>
  <c r="T117" i="4"/>
  <c r="R117" i="4"/>
  <c r="N117" i="4"/>
  <c r="L117" i="4"/>
  <c r="J117" i="4"/>
  <c r="I117" i="4"/>
  <c r="H117" i="4"/>
  <c r="G117" i="4"/>
  <c r="F117" i="4"/>
  <c r="D117" i="4"/>
  <c r="BI116" i="4"/>
  <c r="BA116" i="4"/>
  <c r="AZ116" i="4"/>
  <c r="BA117" i="4" s="1"/>
  <c r="AW116" i="4"/>
  <c r="AY116" i="4" s="1"/>
  <c r="X116" i="4"/>
  <c r="V116" i="4"/>
  <c r="L116" i="4"/>
  <c r="H116" i="4"/>
  <c r="G116" i="4"/>
  <c r="F116" i="4"/>
  <c r="D116" i="4"/>
  <c r="BI115" i="4"/>
  <c r="AZ115" i="4"/>
  <c r="BA115" i="4" s="1"/>
  <c r="AY115" i="4"/>
  <c r="AW115" i="4"/>
  <c r="X115" i="4"/>
  <c r="V115" i="4"/>
  <c r="T115" i="4"/>
  <c r="AB115" i="4" s="1"/>
  <c r="R115" i="4"/>
  <c r="Z115" i="4" s="1"/>
  <c r="P115" i="4"/>
  <c r="N115" i="4"/>
  <c r="L115" i="4"/>
  <c r="J115" i="4"/>
  <c r="I115" i="4"/>
  <c r="H115" i="4"/>
  <c r="G115" i="4"/>
  <c r="F115" i="4"/>
  <c r="D115" i="4"/>
  <c r="BI114" i="4"/>
  <c r="BA114" i="4"/>
  <c r="AZ114" i="4"/>
  <c r="AW114" i="4"/>
  <c r="AY114" i="4" s="1"/>
  <c r="X114" i="4"/>
  <c r="V114" i="4"/>
  <c r="T114" i="4"/>
  <c r="R114" i="4"/>
  <c r="L114" i="4"/>
  <c r="H114" i="4"/>
  <c r="G114" i="4"/>
  <c r="F114" i="4"/>
  <c r="D114" i="4"/>
  <c r="BI113" i="4"/>
  <c r="AZ113" i="4"/>
  <c r="BA113" i="4" s="1"/>
  <c r="AW113" i="4"/>
  <c r="X113" i="4"/>
  <c r="V113" i="4"/>
  <c r="L113" i="4"/>
  <c r="J113" i="4"/>
  <c r="I113" i="4"/>
  <c r="H113" i="4"/>
  <c r="G113" i="4"/>
  <c r="F113" i="4"/>
  <c r="D113" i="4"/>
  <c r="BI112" i="4"/>
  <c r="AZ112" i="4"/>
  <c r="BA112" i="4" s="1"/>
  <c r="AY112" i="4"/>
  <c r="AW112" i="4"/>
  <c r="AY113" i="4" s="1"/>
  <c r="X112" i="4"/>
  <c r="V112" i="4"/>
  <c r="L112" i="4"/>
  <c r="J112" i="4"/>
  <c r="I112" i="4"/>
  <c r="H112" i="4"/>
  <c r="G112" i="4"/>
  <c r="F112" i="4"/>
  <c r="BI111" i="4"/>
  <c r="BA111" i="4"/>
  <c r="AZ111" i="4"/>
  <c r="AW111" i="4"/>
  <c r="AY111" i="4" s="1"/>
  <c r="X111" i="4"/>
  <c r="V111" i="4"/>
  <c r="T111" i="4"/>
  <c r="R111" i="4"/>
  <c r="Z111" i="4" s="1"/>
  <c r="N111" i="4"/>
  <c r="L111" i="4"/>
  <c r="J111" i="4"/>
  <c r="I111" i="4"/>
  <c r="H111" i="4"/>
  <c r="G111" i="4"/>
  <c r="F111" i="4"/>
  <c r="D111" i="4"/>
  <c r="AZ110" i="4"/>
  <c r="BA110" i="4" s="1"/>
  <c r="AW110" i="4"/>
  <c r="X110" i="4"/>
  <c r="V110" i="4"/>
  <c r="L110" i="4"/>
  <c r="J110" i="4"/>
  <c r="I110" i="4"/>
  <c r="H110" i="4"/>
  <c r="G110" i="4"/>
  <c r="AZ109" i="4"/>
  <c r="BA109" i="4" s="1"/>
  <c r="AW109" i="4"/>
  <c r="AY109" i="4" s="1"/>
  <c r="X109" i="4"/>
  <c r="V109" i="4"/>
  <c r="T109" i="4"/>
  <c r="R109" i="4"/>
  <c r="L109" i="4"/>
  <c r="J109" i="4"/>
  <c r="I109" i="4"/>
  <c r="H109" i="4"/>
  <c r="G109" i="4"/>
  <c r="F109" i="4"/>
  <c r="D109" i="4"/>
  <c r="BA108" i="4"/>
  <c r="AZ108" i="4"/>
  <c r="AW108" i="4"/>
  <c r="AY108" i="4" s="1"/>
  <c r="X108" i="4"/>
  <c r="V108" i="4"/>
  <c r="L108" i="4"/>
  <c r="J108" i="4"/>
  <c r="I108" i="4"/>
  <c r="H108" i="4"/>
  <c r="G108" i="4"/>
  <c r="AZ107" i="4"/>
  <c r="BA107" i="4" s="1"/>
  <c r="AY107" i="4"/>
  <c r="AW107" i="4"/>
  <c r="X107" i="4"/>
  <c r="V107" i="4"/>
  <c r="T107" i="4"/>
  <c r="R107" i="4"/>
  <c r="L107" i="4"/>
  <c r="J107" i="4"/>
  <c r="I107" i="4"/>
  <c r="H107" i="4"/>
  <c r="G107" i="4"/>
  <c r="F107" i="4"/>
  <c r="D107" i="4"/>
  <c r="BA106" i="4"/>
  <c r="AZ106" i="4"/>
  <c r="AW106" i="4"/>
  <c r="AY106" i="4" s="1"/>
  <c r="X106" i="4"/>
  <c r="V106" i="4"/>
  <c r="T106" i="4"/>
  <c r="R106" i="4"/>
  <c r="L106" i="4"/>
  <c r="J106" i="4"/>
  <c r="I106" i="4"/>
  <c r="H106" i="4"/>
  <c r="G106" i="4"/>
  <c r="F106" i="4"/>
  <c r="D106" i="4"/>
  <c r="AZ105" i="4"/>
  <c r="BA105" i="4" s="1"/>
  <c r="AW105" i="4"/>
  <c r="AY105" i="4" s="1"/>
  <c r="X105" i="4"/>
  <c r="V105" i="4"/>
  <c r="N105" i="4"/>
  <c r="L105" i="4"/>
  <c r="J105" i="4"/>
  <c r="I105" i="4"/>
  <c r="H105" i="4"/>
  <c r="G105" i="4"/>
  <c r="F105" i="4"/>
  <c r="D105" i="4"/>
  <c r="AZ104" i="4"/>
  <c r="BA104" i="4" s="1"/>
  <c r="AY104" i="4"/>
  <c r="AW104" i="4"/>
  <c r="X104" i="4"/>
  <c r="V104" i="4"/>
  <c r="L104" i="4"/>
  <c r="BA103" i="4"/>
  <c r="AZ103" i="4"/>
  <c r="AW103" i="4"/>
  <c r="AY103" i="4" s="1"/>
  <c r="X103" i="4"/>
  <c r="V103" i="4"/>
  <c r="T103" i="4"/>
  <c r="R103" i="4"/>
  <c r="L103" i="4"/>
  <c r="J103" i="4"/>
  <c r="I103" i="4"/>
  <c r="H103" i="4"/>
  <c r="G103" i="4"/>
  <c r="F103" i="4"/>
  <c r="AZ102" i="4"/>
  <c r="BA102" i="4" s="1"/>
  <c r="AY102" i="4"/>
  <c r="AW102" i="4"/>
  <c r="X102" i="4"/>
  <c r="V102" i="4"/>
  <c r="L102" i="4"/>
  <c r="J102" i="4"/>
  <c r="I102" i="4"/>
  <c r="H102" i="4"/>
  <c r="G102" i="4"/>
  <c r="F102" i="4"/>
  <c r="D102" i="4"/>
  <c r="AZ101" i="4"/>
  <c r="BA101" i="4" s="1"/>
  <c r="AW101" i="4"/>
  <c r="AY101" i="4" s="1"/>
  <c r="X101" i="4"/>
  <c r="V101" i="4"/>
  <c r="T101" i="4"/>
  <c r="R101" i="4"/>
  <c r="N101" i="4"/>
  <c r="L101" i="4"/>
  <c r="J101" i="4"/>
  <c r="I101" i="4"/>
  <c r="H101" i="4"/>
  <c r="G101" i="4"/>
  <c r="F101" i="4"/>
  <c r="D101" i="4"/>
  <c r="BA100" i="4"/>
  <c r="AZ100" i="4"/>
  <c r="AW100" i="4"/>
  <c r="AY100" i="4" s="1"/>
  <c r="X100" i="4"/>
  <c r="V100" i="4"/>
  <c r="L100" i="4"/>
  <c r="AZ99" i="4"/>
  <c r="BA99" i="4" s="1"/>
  <c r="AY99" i="4"/>
  <c r="AW99" i="4"/>
  <c r="X99" i="4"/>
  <c r="V99" i="4"/>
  <c r="T99" i="4"/>
  <c r="R99" i="4"/>
  <c r="L99" i="4"/>
  <c r="J99" i="4"/>
  <c r="I99" i="4"/>
  <c r="H99" i="4"/>
  <c r="G99" i="4"/>
  <c r="AZ98" i="4"/>
  <c r="AW98" i="4"/>
  <c r="AY98" i="4" s="1"/>
  <c r="X98" i="4"/>
  <c r="V98" i="4"/>
  <c r="T98" i="4"/>
  <c r="R98" i="4"/>
  <c r="L98" i="4"/>
  <c r="J98" i="4"/>
  <c r="I98" i="4"/>
  <c r="H98" i="4"/>
  <c r="G98" i="4"/>
  <c r="F98" i="4"/>
  <c r="D98" i="4"/>
  <c r="AZ97" i="4"/>
  <c r="AW97" i="4"/>
  <c r="AY97" i="4" s="1"/>
  <c r="X97" i="4"/>
  <c r="V97" i="4"/>
  <c r="N97" i="4"/>
  <c r="L97" i="4"/>
  <c r="J97" i="4"/>
  <c r="I97" i="4"/>
  <c r="H97" i="4"/>
  <c r="G97" i="4"/>
  <c r="F97" i="4"/>
  <c r="D97" i="4"/>
  <c r="AZ96" i="4"/>
  <c r="BA96" i="4" s="1"/>
  <c r="AY96" i="4"/>
  <c r="AW96" i="4"/>
  <c r="X96" i="4"/>
  <c r="V96" i="4"/>
  <c r="L96" i="4"/>
  <c r="BA95" i="4"/>
  <c r="AZ95" i="4"/>
  <c r="AW95" i="4"/>
  <c r="AY95" i="4" s="1"/>
  <c r="X95" i="4"/>
  <c r="V95" i="4"/>
  <c r="T95" i="4"/>
  <c r="R95" i="4"/>
  <c r="L95" i="4"/>
  <c r="J95" i="4"/>
  <c r="I95" i="4"/>
  <c r="H95" i="4"/>
  <c r="G95" i="4"/>
  <c r="F95" i="4"/>
  <c r="AZ94" i="4"/>
  <c r="BA94" i="4" s="1"/>
  <c r="AW94" i="4"/>
  <c r="X94" i="4"/>
  <c r="V94" i="4"/>
  <c r="N94" i="4"/>
  <c r="L94" i="4"/>
  <c r="J94" i="4"/>
  <c r="I94" i="4"/>
  <c r="H94" i="4"/>
  <c r="G94" i="4"/>
  <c r="F94" i="4"/>
  <c r="D94" i="4"/>
  <c r="AZ93" i="4"/>
  <c r="BA93" i="4" s="1"/>
  <c r="AW93" i="4"/>
  <c r="AY93" i="4" s="1"/>
  <c r="X93" i="4"/>
  <c r="V93" i="4"/>
  <c r="T93" i="4"/>
  <c r="R93" i="4"/>
  <c r="Z93" i="4" s="1"/>
  <c r="N93" i="4"/>
  <c r="L93" i="4"/>
  <c r="J93" i="4"/>
  <c r="I93" i="4"/>
  <c r="H93" i="4"/>
  <c r="G93" i="4"/>
  <c r="F93" i="4"/>
  <c r="D93" i="4"/>
  <c r="BA92" i="4"/>
  <c r="AZ92" i="4"/>
  <c r="AW92" i="4"/>
  <c r="AY92" i="4" s="1"/>
  <c r="X92" i="4"/>
  <c r="V92" i="4"/>
  <c r="L92" i="4"/>
  <c r="G92" i="4"/>
  <c r="AZ91" i="4"/>
  <c r="BA91" i="4" s="1"/>
  <c r="AW91" i="4"/>
  <c r="X91" i="4"/>
  <c r="V91" i="4"/>
  <c r="T91" i="4"/>
  <c r="R91" i="4"/>
  <c r="L91" i="4"/>
  <c r="J91" i="4"/>
  <c r="I91" i="4"/>
  <c r="H91" i="4"/>
  <c r="G91" i="4"/>
  <c r="BA90" i="4"/>
  <c r="AZ90" i="4"/>
  <c r="AW90" i="4"/>
  <c r="AY90" i="4" s="1"/>
  <c r="X90" i="4"/>
  <c r="V90" i="4"/>
  <c r="T90" i="4"/>
  <c r="R90" i="4"/>
  <c r="N90" i="4"/>
  <c r="L90" i="4"/>
  <c r="J90" i="4"/>
  <c r="I90" i="4"/>
  <c r="H90" i="4"/>
  <c r="G90" i="4"/>
  <c r="F90" i="4"/>
  <c r="D90" i="4"/>
  <c r="BA89" i="4"/>
  <c r="AZ89" i="4"/>
  <c r="AW89" i="4"/>
  <c r="AY89" i="4" s="1"/>
  <c r="X89" i="4"/>
  <c r="V89" i="4"/>
  <c r="R89" i="4"/>
  <c r="N89" i="4"/>
  <c r="L89" i="4"/>
  <c r="J89" i="4"/>
  <c r="I89" i="4"/>
  <c r="H89" i="4"/>
  <c r="G89" i="4"/>
  <c r="F89" i="4"/>
  <c r="D89" i="4"/>
  <c r="AZ88" i="4"/>
  <c r="BA88" i="4" s="1"/>
  <c r="AW88" i="4"/>
  <c r="X88" i="4"/>
  <c r="V88" i="4"/>
  <c r="T88" i="4"/>
  <c r="R88" i="4"/>
  <c r="L88" i="4"/>
  <c r="I88" i="4"/>
  <c r="H88" i="4"/>
  <c r="G88" i="4"/>
  <c r="F88" i="4"/>
  <c r="D88" i="4"/>
  <c r="AZ87" i="4"/>
  <c r="AW87" i="4"/>
  <c r="AY87" i="4" s="1"/>
  <c r="X87" i="4"/>
  <c r="V87" i="4"/>
  <c r="T87" i="4"/>
  <c r="R87" i="4"/>
  <c r="L87" i="4"/>
  <c r="G87" i="4"/>
  <c r="F87" i="4"/>
  <c r="AZ86" i="4"/>
  <c r="BA86" i="4" s="1"/>
  <c r="AW86" i="4"/>
  <c r="V86" i="4"/>
  <c r="T86" i="4"/>
  <c r="R86" i="4"/>
  <c r="L86" i="4"/>
  <c r="J86" i="4"/>
  <c r="I86" i="4"/>
  <c r="G86" i="4"/>
  <c r="F86" i="4"/>
  <c r="D86" i="4"/>
  <c r="AZ85" i="4"/>
  <c r="BA85" i="4" s="1"/>
  <c r="AY85" i="4"/>
  <c r="AW85" i="4"/>
  <c r="AY86" i="4" s="1"/>
  <c r="X85" i="4"/>
  <c r="V85" i="4"/>
  <c r="L85" i="4"/>
  <c r="J85" i="4"/>
  <c r="I85" i="4"/>
  <c r="H85" i="4"/>
  <c r="G85" i="4"/>
  <c r="BA84" i="4"/>
  <c r="AZ84" i="4"/>
  <c r="AW84" i="4"/>
  <c r="AY84" i="4" s="1"/>
  <c r="X84" i="4"/>
  <c r="V84" i="4"/>
  <c r="T84" i="4"/>
  <c r="R84" i="4"/>
  <c r="L84" i="4"/>
  <c r="J84" i="4"/>
  <c r="I84" i="4"/>
  <c r="H84" i="4"/>
  <c r="G84" i="4"/>
  <c r="F84" i="4"/>
  <c r="AZ83" i="4"/>
  <c r="BA83" i="4" s="1"/>
  <c r="AW83" i="4"/>
  <c r="X83" i="4"/>
  <c r="V83" i="4"/>
  <c r="L83" i="4"/>
  <c r="H83" i="4"/>
  <c r="G83" i="4"/>
  <c r="AZ82" i="4"/>
  <c r="AW82" i="4"/>
  <c r="X82" i="4"/>
  <c r="V82" i="4"/>
  <c r="T82" i="4"/>
  <c r="R82" i="4"/>
  <c r="L82" i="4"/>
  <c r="J82" i="4"/>
  <c r="I82" i="4"/>
  <c r="H82" i="4"/>
  <c r="G82" i="4"/>
  <c r="F82" i="4"/>
  <c r="D82" i="4"/>
  <c r="AZ81" i="4"/>
  <c r="AW81" i="4"/>
  <c r="AY81" i="4" s="1"/>
  <c r="X81" i="4"/>
  <c r="V81" i="4"/>
  <c r="L81" i="4"/>
  <c r="H81" i="4"/>
  <c r="G81" i="4"/>
  <c r="F81" i="4"/>
  <c r="D81" i="4"/>
  <c r="BA80" i="4"/>
  <c r="AZ80" i="4"/>
  <c r="AY80" i="4"/>
  <c r="AW80" i="4"/>
  <c r="V80" i="4"/>
  <c r="N80" i="4"/>
  <c r="L80" i="4"/>
  <c r="J80" i="4"/>
  <c r="I80" i="4"/>
  <c r="H80" i="4"/>
  <c r="G80" i="4"/>
  <c r="F80" i="4"/>
  <c r="D80" i="4"/>
  <c r="BA79" i="4"/>
  <c r="AZ79" i="4"/>
  <c r="AY79" i="4"/>
  <c r="AW79" i="4"/>
  <c r="V79" i="4"/>
  <c r="L79" i="4"/>
  <c r="H79" i="4"/>
  <c r="G79" i="4"/>
  <c r="AZ78" i="4"/>
  <c r="AW78" i="4"/>
  <c r="X78" i="4"/>
  <c r="V78" i="4"/>
  <c r="L78" i="4"/>
  <c r="I78" i="4"/>
  <c r="H78" i="4"/>
  <c r="G78" i="4"/>
  <c r="F78" i="4"/>
  <c r="D78" i="4"/>
  <c r="AZ77" i="4"/>
  <c r="BA77" i="4" s="1"/>
  <c r="AW77" i="4"/>
  <c r="X77" i="4"/>
  <c r="V77" i="4"/>
  <c r="N77" i="4"/>
  <c r="L77" i="4"/>
  <c r="J77" i="4"/>
  <c r="I77" i="4"/>
  <c r="H77" i="4"/>
  <c r="G77" i="4"/>
  <c r="F77" i="4"/>
  <c r="D77" i="4"/>
  <c r="BA76" i="4"/>
  <c r="AZ76" i="4"/>
  <c r="AY76" i="4"/>
  <c r="AW76" i="4"/>
  <c r="X76" i="4"/>
  <c r="V76" i="4"/>
  <c r="N76" i="4"/>
  <c r="L76" i="4"/>
  <c r="J76" i="4"/>
  <c r="I76" i="4"/>
  <c r="G76" i="4"/>
  <c r="F76" i="4"/>
  <c r="D76" i="4"/>
  <c r="BA75" i="4"/>
  <c r="AZ75" i="4"/>
  <c r="AY75" i="4"/>
  <c r="AW75" i="4"/>
  <c r="X75" i="4"/>
  <c r="V75" i="4"/>
  <c r="T75" i="4"/>
  <c r="R75" i="4"/>
  <c r="L75" i="4"/>
  <c r="J75" i="4"/>
  <c r="I75" i="4"/>
  <c r="H75" i="4"/>
  <c r="G75" i="4"/>
  <c r="AZ74" i="4"/>
  <c r="AW74" i="4"/>
  <c r="X74" i="4"/>
  <c r="V74" i="4"/>
  <c r="T74" i="4"/>
  <c r="R74" i="4"/>
  <c r="L74" i="4"/>
  <c r="J74" i="4"/>
  <c r="I74" i="4"/>
  <c r="H74" i="4"/>
  <c r="G74" i="4"/>
  <c r="F74" i="4"/>
  <c r="D74" i="4"/>
  <c r="AZ73" i="4"/>
  <c r="BA73" i="4" s="1"/>
  <c r="AW73" i="4"/>
  <c r="AY73" i="4" s="1"/>
  <c r="X73" i="4"/>
  <c r="V73" i="4"/>
  <c r="R73" i="4"/>
  <c r="N73" i="4"/>
  <c r="L73" i="4"/>
  <c r="J73" i="4"/>
  <c r="I73" i="4"/>
  <c r="H73" i="4"/>
  <c r="G73" i="4"/>
  <c r="F73" i="4"/>
  <c r="D73" i="4"/>
  <c r="BA72" i="4"/>
  <c r="AZ72" i="4"/>
  <c r="AY72" i="4"/>
  <c r="AW72" i="4"/>
  <c r="X72" i="4"/>
  <c r="V72" i="4"/>
  <c r="T72" i="4"/>
  <c r="R72" i="4"/>
  <c r="L72" i="4"/>
  <c r="J72" i="4"/>
  <c r="I72" i="4"/>
  <c r="H72" i="4"/>
  <c r="G72" i="4"/>
  <c r="F72" i="4"/>
  <c r="D72" i="4"/>
  <c r="BA71" i="4"/>
  <c r="AZ71" i="4"/>
  <c r="AY71" i="4"/>
  <c r="AW71" i="4"/>
  <c r="X71" i="4"/>
  <c r="V71" i="4"/>
  <c r="R71" i="4"/>
  <c r="N71" i="4"/>
  <c r="L71" i="4"/>
  <c r="J71" i="4"/>
  <c r="I71" i="4"/>
  <c r="H71" i="4"/>
  <c r="G71" i="4"/>
  <c r="F71" i="4"/>
  <c r="D71" i="4"/>
  <c r="AZ70" i="4"/>
  <c r="AY70" i="4"/>
  <c r="AW70" i="4"/>
  <c r="V70" i="4"/>
  <c r="T70" i="4"/>
  <c r="R70" i="4"/>
  <c r="Z70" i="4" s="1"/>
  <c r="N70" i="4"/>
  <c r="L70" i="4"/>
  <c r="J70" i="4"/>
  <c r="I70" i="4"/>
  <c r="G70" i="4"/>
  <c r="F70" i="4"/>
  <c r="D70" i="4"/>
  <c r="AZ69" i="4"/>
  <c r="BA69" i="4" s="1"/>
  <c r="AW69" i="4"/>
  <c r="AY69" i="4" s="1"/>
  <c r="X69" i="4"/>
  <c r="V69" i="4"/>
  <c r="L69" i="4"/>
  <c r="J69" i="4"/>
  <c r="I69" i="4"/>
  <c r="H69" i="4"/>
  <c r="G69" i="4"/>
  <c r="F69" i="4"/>
  <c r="D69" i="4"/>
  <c r="BA68" i="4"/>
  <c r="AZ68" i="4"/>
  <c r="AY68" i="4"/>
  <c r="AW68" i="4"/>
  <c r="X68" i="4"/>
  <c r="V68" i="4"/>
  <c r="T68" i="4"/>
  <c r="R68" i="4"/>
  <c r="L68" i="4"/>
  <c r="J68" i="4"/>
  <c r="I68" i="4"/>
  <c r="H68" i="4"/>
  <c r="G68" i="4"/>
  <c r="F68" i="4"/>
  <c r="D68" i="4"/>
  <c r="BA67" i="4"/>
  <c r="AZ67" i="4"/>
  <c r="AY67" i="4"/>
  <c r="AW67" i="4"/>
  <c r="X67" i="4"/>
  <c r="V67" i="4"/>
  <c r="L67" i="4"/>
  <c r="H67" i="4"/>
  <c r="G67" i="4"/>
  <c r="BA66" i="4"/>
  <c r="AZ66" i="4"/>
  <c r="AW66" i="4"/>
  <c r="X66" i="4"/>
  <c r="V66" i="4"/>
  <c r="T66" i="4"/>
  <c r="R66" i="4"/>
  <c r="L66" i="4"/>
  <c r="J66" i="4"/>
  <c r="I66" i="4"/>
  <c r="H66" i="4"/>
  <c r="G66" i="4"/>
  <c r="F66" i="4"/>
  <c r="D66" i="4"/>
  <c r="A66" i="4"/>
  <c r="A70" i="4" s="1"/>
  <c r="A74" i="4" s="1"/>
  <c r="A78" i="4" s="1"/>
  <c r="A82" i="4" s="1"/>
  <c r="A86" i="4" s="1"/>
  <c r="A90" i="4" s="1"/>
  <c r="A94" i="4" s="1"/>
  <c r="A98" i="4" s="1"/>
  <c r="A102" i="4" s="1"/>
  <c r="A106" i="4" s="1"/>
  <c r="A110" i="4" s="1"/>
  <c r="A114" i="4" s="1"/>
  <c r="AZ65" i="4"/>
  <c r="BA65" i="4" s="1"/>
  <c r="AW65" i="4"/>
  <c r="AY65" i="4" s="1"/>
  <c r="X65" i="4"/>
  <c r="V65" i="4"/>
  <c r="L65" i="4"/>
  <c r="H65" i="4"/>
  <c r="G65" i="4"/>
  <c r="F65" i="4"/>
  <c r="D65" i="4"/>
  <c r="BA64" i="4"/>
  <c r="AZ64" i="4"/>
  <c r="AY64" i="4"/>
  <c r="AW64" i="4"/>
  <c r="V64" i="4"/>
  <c r="N64" i="4"/>
  <c r="L64" i="4"/>
  <c r="J64" i="4"/>
  <c r="I64" i="4"/>
  <c r="H64" i="4"/>
  <c r="G64" i="4"/>
  <c r="F64" i="4"/>
  <c r="D64" i="4"/>
  <c r="BA63" i="4"/>
  <c r="AZ63" i="4"/>
  <c r="AY63" i="4"/>
  <c r="AW63" i="4"/>
  <c r="V63" i="4"/>
  <c r="L63" i="4"/>
  <c r="H63" i="4"/>
  <c r="G63" i="4"/>
  <c r="AZ62" i="4"/>
  <c r="AY62" i="4"/>
  <c r="AW62" i="4"/>
  <c r="X62" i="4"/>
  <c r="V62" i="4"/>
  <c r="L62" i="4"/>
  <c r="I62" i="4"/>
  <c r="H62" i="4"/>
  <c r="G62" i="4"/>
  <c r="F62" i="4"/>
  <c r="D62" i="4"/>
  <c r="AZ61" i="4"/>
  <c r="BA61" i="4" s="1"/>
  <c r="AW61" i="4"/>
  <c r="AY61" i="4" s="1"/>
  <c r="X61" i="4"/>
  <c r="V61" i="4"/>
  <c r="N61" i="4"/>
  <c r="L61" i="4"/>
  <c r="J61" i="4"/>
  <c r="I61" i="4"/>
  <c r="H61" i="4"/>
  <c r="G61" i="4"/>
  <c r="F61" i="4"/>
  <c r="D61" i="4"/>
  <c r="BA60" i="4"/>
  <c r="AZ60" i="4"/>
  <c r="AY60" i="4"/>
  <c r="AW60" i="4"/>
  <c r="X60" i="4"/>
  <c r="V60" i="4"/>
  <c r="R60" i="4"/>
  <c r="Z60" i="4" s="1"/>
  <c r="N60" i="4"/>
  <c r="L60" i="4"/>
  <c r="J60" i="4"/>
  <c r="I60" i="4"/>
  <c r="G60" i="4"/>
  <c r="F60" i="4"/>
  <c r="D60" i="4"/>
  <c r="BA59" i="4"/>
  <c r="AZ59" i="4"/>
  <c r="AY59" i="4"/>
  <c r="AW59" i="4"/>
  <c r="X59" i="4"/>
  <c r="V59" i="4"/>
  <c r="T59" i="4"/>
  <c r="R59" i="4"/>
  <c r="L59" i="4"/>
  <c r="J59" i="4"/>
  <c r="I59" i="4"/>
  <c r="H59" i="4"/>
  <c r="G59" i="4"/>
  <c r="BA58" i="4"/>
  <c r="AZ58" i="4"/>
  <c r="AY58" i="4"/>
  <c r="AW58" i="4"/>
  <c r="X58" i="4"/>
  <c r="V58" i="4"/>
  <c r="T58" i="4"/>
  <c r="R58" i="4"/>
  <c r="L58" i="4"/>
  <c r="J58" i="4"/>
  <c r="I58" i="4"/>
  <c r="H58" i="4"/>
  <c r="G58" i="4"/>
  <c r="F58" i="4"/>
  <c r="D58" i="4"/>
  <c r="BG57" i="4"/>
  <c r="BA57" i="4"/>
  <c r="AZ57" i="4"/>
  <c r="AW57" i="4"/>
  <c r="X57" i="4"/>
  <c r="V57" i="4"/>
  <c r="R57" i="4"/>
  <c r="Z57" i="4" s="1"/>
  <c r="N57" i="4"/>
  <c r="L57" i="4"/>
  <c r="J57" i="4"/>
  <c r="I57" i="4"/>
  <c r="H57" i="4"/>
  <c r="G57" i="4"/>
  <c r="F57" i="4"/>
  <c r="D57" i="4"/>
  <c r="AZ56" i="4"/>
  <c r="BA56" i="4" s="1"/>
  <c r="AW56" i="4"/>
  <c r="X56" i="4"/>
  <c r="V56" i="4"/>
  <c r="T56" i="4"/>
  <c r="R56" i="4"/>
  <c r="L56" i="4"/>
  <c r="J56" i="4"/>
  <c r="I56" i="4"/>
  <c r="H56" i="4"/>
  <c r="G56" i="4"/>
  <c r="F56" i="4"/>
  <c r="D56" i="4"/>
  <c r="AZ55" i="4"/>
  <c r="AW55" i="4"/>
  <c r="AY55" i="4" s="1"/>
  <c r="X55" i="4"/>
  <c r="V55" i="4"/>
  <c r="R55" i="4"/>
  <c r="Z55" i="4" s="1"/>
  <c r="N55" i="4"/>
  <c r="L55" i="4"/>
  <c r="J55" i="4"/>
  <c r="I55" i="4"/>
  <c r="H55" i="4"/>
  <c r="G55" i="4"/>
  <c r="F55" i="4"/>
  <c r="D55" i="4"/>
  <c r="AZ54" i="4"/>
  <c r="BA54" i="4" s="1"/>
  <c r="AW54" i="4"/>
  <c r="AY54" i="4" s="1"/>
  <c r="V54" i="4"/>
  <c r="T54" i="4"/>
  <c r="R54" i="4"/>
  <c r="L54" i="4"/>
  <c r="J54" i="4"/>
  <c r="I54" i="4"/>
  <c r="H54" i="4"/>
  <c r="G54" i="4"/>
  <c r="F54" i="4"/>
  <c r="D54" i="4"/>
  <c r="BG53" i="4"/>
  <c r="AZ53" i="4"/>
  <c r="AY53" i="4"/>
  <c r="AW53" i="4"/>
  <c r="X53" i="4"/>
  <c r="V53" i="4"/>
  <c r="N53" i="4"/>
  <c r="L53" i="4"/>
  <c r="J53" i="4"/>
  <c r="I53" i="4"/>
  <c r="H53" i="4"/>
  <c r="G53" i="4"/>
  <c r="F53" i="4"/>
  <c r="D53" i="4"/>
  <c r="BB52" i="4"/>
  <c r="AZ52" i="4"/>
  <c r="BA52" i="4" s="1"/>
  <c r="AW52" i="4"/>
  <c r="AY52" i="4" s="1"/>
  <c r="X52" i="4"/>
  <c r="V52" i="4"/>
  <c r="T52" i="4"/>
  <c r="R52" i="4"/>
  <c r="L52" i="4"/>
  <c r="J52" i="4"/>
  <c r="I52" i="4"/>
  <c r="H52" i="4"/>
  <c r="G52" i="4"/>
  <c r="F52" i="4"/>
  <c r="D52" i="4"/>
  <c r="BB51" i="4"/>
  <c r="AZ51" i="4"/>
  <c r="BA51" i="4" s="1"/>
  <c r="AW51" i="4"/>
  <c r="X51" i="4"/>
  <c r="V51" i="4"/>
  <c r="N51" i="4"/>
  <c r="L51" i="4"/>
  <c r="J51" i="4"/>
  <c r="I51" i="4"/>
  <c r="H51" i="4"/>
  <c r="G51" i="4"/>
  <c r="F51" i="4"/>
  <c r="D51" i="4"/>
  <c r="BB50" i="4"/>
  <c r="AZ50" i="4"/>
  <c r="BA50" i="4" s="1"/>
  <c r="AW50" i="4"/>
  <c r="AY50" i="4" s="1"/>
  <c r="X50" i="4"/>
  <c r="V50" i="4"/>
  <c r="T50" i="4"/>
  <c r="R50" i="4"/>
  <c r="N50" i="4"/>
  <c r="L50" i="4"/>
  <c r="J50" i="4"/>
  <c r="I50" i="4"/>
  <c r="H50" i="4"/>
  <c r="G50" i="4"/>
  <c r="F50" i="4"/>
  <c r="D50" i="4"/>
  <c r="B50" i="4"/>
  <c r="B54" i="4" s="1"/>
  <c r="B58" i="4" s="1"/>
  <c r="B62" i="4" s="1"/>
  <c r="B66" i="4" s="1"/>
  <c r="B70" i="4" s="1"/>
  <c r="B74" i="4" s="1"/>
  <c r="B78" i="4" s="1"/>
  <c r="B82" i="4" s="1"/>
  <c r="B86" i="4" s="1"/>
  <c r="B90" i="4" s="1"/>
  <c r="B94" i="4" s="1"/>
  <c r="B98" i="4" s="1"/>
  <c r="B102" i="4" s="1"/>
  <c r="B106" i="4" s="1"/>
  <c r="B110" i="4" s="1"/>
  <c r="B114" i="4" s="1"/>
  <c r="BG49" i="4"/>
  <c r="AZ49" i="4"/>
  <c r="AW49" i="4"/>
  <c r="X49" i="4"/>
  <c r="V49" i="4"/>
  <c r="L49" i="4"/>
  <c r="J49" i="4"/>
  <c r="I49" i="4"/>
  <c r="H49" i="4"/>
  <c r="G49" i="4"/>
  <c r="F49" i="4"/>
  <c r="D49" i="4"/>
  <c r="BB48" i="4"/>
  <c r="AZ48" i="4"/>
  <c r="BA48" i="4" s="1"/>
  <c r="AW48" i="4"/>
  <c r="V48" i="4"/>
  <c r="L48" i="4"/>
  <c r="J48" i="4"/>
  <c r="I48" i="4"/>
  <c r="H48" i="4"/>
  <c r="G48" i="4"/>
  <c r="F48" i="4"/>
  <c r="D48" i="4"/>
  <c r="BB47" i="4"/>
  <c r="AZ47" i="4"/>
  <c r="BA47" i="4" s="1"/>
  <c r="AW47" i="4"/>
  <c r="AY47" i="4" s="1"/>
  <c r="V47" i="4"/>
  <c r="L47" i="4"/>
  <c r="H47" i="4"/>
  <c r="G47" i="4"/>
  <c r="F47" i="4"/>
  <c r="D47" i="4"/>
  <c r="BB46" i="4"/>
  <c r="AZ46" i="4"/>
  <c r="BA46" i="4" s="1"/>
  <c r="AW46" i="4"/>
  <c r="AY46" i="4" s="1"/>
  <c r="X46" i="4"/>
  <c r="V46" i="4"/>
  <c r="N46" i="4"/>
  <c r="L46" i="4"/>
  <c r="J46" i="4"/>
  <c r="I46" i="4"/>
  <c r="H46" i="4"/>
  <c r="G46" i="4"/>
  <c r="F46" i="4"/>
  <c r="D46" i="4"/>
  <c r="BG45" i="4"/>
  <c r="BA45" i="4"/>
  <c r="AZ45" i="4"/>
  <c r="AY45" i="4"/>
  <c r="AW45" i="4"/>
  <c r="X45" i="4"/>
  <c r="V45" i="4"/>
  <c r="L45" i="4"/>
  <c r="J45" i="4"/>
  <c r="I45" i="4"/>
  <c r="H45" i="4"/>
  <c r="G45" i="4"/>
  <c r="F45" i="4"/>
  <c r="D45" i="4"/>
  <c r="BB44" i="4"/>
  <c r="BA44" i="4"/>
  <c r="AZ44" i="4"/>
  <c r="AY44" i="4"/>
  <c r="AW44" i="4"/>
  <c r="X44" i="4"/>
  <c r="V44" i="4"/>
  <c r="N44" i="4"/>
  <c r="L44" i="4"/>
  <c r="J44" i="4"/>
  <c r="I44" i="4"/>
  <c r="H44" i="4"/>
  <c r="G44" i="4"/>
  <c r="F44" i="4"/>
  <c r="D44" i="4"/>
  <c r="BB43" i="4"/>
  <c r="BA43" i="4"/>
  <c r="AZ43" i="4"/>
  <c r="AY43" i="4"/>
  <c r="AW43" i="4"/>
  <c r="X43" i="4"/>
  <c r="V43" i="4"/>
  <c r="T43" i="4"/>
  <c r="R43" i="4"/>
  <c r="L43" i="4"/>
  <c r="H43" i="4"/>
  <c r="G43" i="4"/>
  <c r="BB42" i="4"/>
  <c r="AZ42" i="4"/>
  <c r="AW42" i="4"/>
  <c r="X42" i="4"/>
  <c r="V42" i="4"/>
  <c r="T42" i="4"/>
  <c r="R42" i="4"/>
  <c r="Z42" i="4" s="1"/>
  <c r="N42" i="4"/>
  <c r="L42" i="4"/>
  <c r="J42" i="4"/>
  <c r="I42" i="4"/>
  <c r="H42" i="4"/>
  <c r="G42" i="4"/>
  <c r="F42" i="4"/>
  <c r="D42" i="4"/>
  <c r="BG41" i="4"/>
  <c r="AZ41" i="4"/>
  <c r="BA41" i="4" s="1"/>
  <c r="AW41" i="4"/>
  <c r="AY41" i="4" s="1"/>
  <c r="X41" i="4"/>
  <c r="V41" i="4"/>
  <c r="R41" i="4"/>
  <c r="N41" i="4"/>
  <c r="L41" i="4"/>
  <c r="J41" i="4"/>
  <c r="I41" i="4"/>
  <c r="H41" i="4"/>
  <c r="G41" i="4"/>
  <c r="F41" i="4"/>
  <c r="D41" i="4"/>
  <c r="BB40" i="4"/>
  <c r="BA40" i="4"/>
  <c r="AZ40" i="4"/>
  <c r="AY40" i="4"/>
  <c r="AW40" i="4"/>
  <c r="X40" i="4"/>
  <c r="V40" i="4"/>
  <c r="T40" i="4"/>
  <c r="R40" i="4"/>
  <c r="Z40" i="4" s="1"/>
  <c r="N40" i="4"/>
  <c r="L40" i="4"/>
  <c r="J40" i="4"/>
  <c r="I40" i="4"/>
  <c r="H40" i="4"/>
  <c r="G40" i="4"/>
  <c r="F40" i="4"/>
  <c r="D40" i="4"/>
  <c r="BB39" i="4"/>
  <c r="BA39" i="4"/>
  <c r="AZ39" i="4"/>
  <c r="AY39" i="4"/>
  <c r="AW39" i="4"/>
  <c r="X39" i="4"/>
  <c r="V39" i="4"/>
  <c r="R39" i="4"/>
  <c r="L39" i="4"/>
  <c r="H39" i="4"/>
  <c r="G39" i="4"/>
  <c r="BB38" i="4"/>
  <c r="BA38" i="4"/>
  <c r="AZ38" i="4"/>
  <c r="AY38" i="4"/>
  <c r="AW38" i="4"/>
  <c r="V38" i="4"/>
  <c r="T38" i="4"/>
  <c r="R38" i="4"/>
  <c r="L38" i="4"/>
  <c r="J38" i="4"/>
  <c r="I38" i="4"/>
  <c r="H38" i="4"/>
  <c r="G38" i="4"/>
  <c r="F38" i="4"/>
  <c r="D38" i="4"/>
  <c r="BA37" i="4"/>
  <c r="AZ37" i="4"/>
  <c r="AY37" i="4"/>
  <c r="AW37" i="4"/>
  <c r="X37" i="4"/>
  <c r="V37" i="4"/>
  <c r="N37" i="4"/>
  <c r="L37" i="4"/>
  <c r="J37" i="4"/>
  <c r="I37" i="4"/>
  <c r="H37" i="4"/>
  <c r="G37" i="4"/>
  <c r="F37" i="4"/>
  <c r="D37" i="4"/>
  <c r="BA36" i="4"/>
  <c r="AZ36" i="4"/>
  <c r="AY36" i="4"/>
  <c r="AW36" i="4"/>
  <c r="X36" i="4"/>
  <c r="V36" i="4"/>
  <c r="T36" i="4"/>
  <c r="R36" i="4"/>
  <c r="L36" i="4"/>
  <c r="J36" i="4"/>
  <c r="I36" i="4"/>
  <c r="H36" i="4"/>
  <c r="G36" i="4"/>
  <c r="F36" i="4"/>
  <c r="D36" i="4"/>
  <c r="BG35" i="4"/>
  <c r="AZ35" i="4"/>
  <c r="AY35" i="4"/>
  <c r="AW35" i="4"/>
  <c r="X35" i="4"/>
  <c r="V35" i="4"/>
  <c r="N35" i="4"/>
  <c r="L35" i="4"/>
  <c r="J35" i="4"/>
  <c r="I35" i="4"/>
  <c r="H35" i="4"/>
  <c r="G35" i="4"/>
  <c r="F35" i="4"/>
  <c r="D35" i="4"/>
  <c r="AZ34" i="4"/>
  <c r="AW34" i="4"/>
  <c r="AY34" i="4" s="1"/>
  <c r="X34" i="4"/>
  <c r="V34" i="4"/>
  <c r="T34" i="4"/>
  <c r="R34" i="4"/>
  <c r="L34" i="4"/>
  <c r="J34" i="4"/>
  <c r="I34" i="4"/>
  <c r="H34" i="4"/>
  <c r="G34" i="4"/>
  <c r="F34" i="4"/>
  <c r="D34" i="4"/>
  <c r="BA33" i="4"/>
  <c r="AZ33" i="4"/>
  <c r="AY33" i="4"/>
  <c r="AW33" i="4"/>
  <c r="X33" i="4"/>
  <c r="V33" i="4"/>
  <c r="N33" i="4"/>
  <c r="L33" i="4"/>
  <c r="I33" i="4"/>
  <c r="H33" i="4"/>
  <c r="G33" i="4"/>
  <c r="F33" i="4"/>
  <c r="D33" i="4"/>
  <c r="BB32" i="4"/>
  <c r="BB33" i="4" s="1"/>
  <c r="BA32" i="4"/>
  <c r="AZ32" i="4"/>
  <c r="AW32" i="4"/>
  <c r="V32" i="4"/>
  <c r="L32" i="4"/>
  <c r="J32" i="4"/>
  <c r="I32" i="4"/>
  <c r="H32" i="4"/>
  <c r="G32" i="4"/>
  <c r="F32" i="4"/>
  <c r="D32" i="4"/>
  <c r="A32" i="4"/>
  <c r="A36" i="4" s="1"/>
  <c r="A40" i="4" s="1"/>
  <c r="A44" i="4" s="1"/>
  <c r="A48" i="4" s="1"/>
  <c r="A52" i="4" s="1"/>
  <c r="A56" i="4" s="1"/>
  <c r="A60" i="4" s="1"/>
  <c r="A64" i="4" s="1"/>
  <c r="A68" i="4" s="1"/>
  <c r="A72" i="4" s="1"/>
  <c r="A76" i="4" s="1"/>
  <c r="A80" i="4" s="1"/>
  <c r="A84" i="4" s="1"/>
  <c r="A88" i="4" s="1"/>
  <c r="A92" i="4" s="1"/>
  <c r="A96" i="4" s="1"/>
  <c r="A100" i="4" s="1"/>
  <c r="A104" i="4" s="1"/>
  <c r="A108" i="4" s="1"/>
  <c r="A112" i="4" s="1"/>
  <c r="A116" i="4" s="1"/>
  <c r="BC31" i="4"/>
  <c r="BD31" i="4" s="1"/>
  <c r="BE31" i="4" s="1"/>
  <c r="AZ31" i="4"/>
  <c r="BA31" i="4" s="1"/>
  <c r="AW31" i="4"/>
  <c r="AF31" i="4"/>
  <c r="AE31" i="4"/>
  <c r="V31" i="4"/>
  <c r="N31" i="4"/>
  <c r="L31" i="4"/>
  <c r="J31" i="4"/>
  <c r="I31" i="4"/>
  <c r="H31" i="4"/>
  <c r="G31" i="4"/>
  <c r="F31" i="4"/>
  <c r="D31" i="4"/>
  <c r="BD30" i="4"/>
  <c r="BC30" i="4"/>
  <c r="BA30" i="4"/>
  <c r="AZ30" i="4"/>
  <c r="AW30" i="4"/>
  <c r="AF30" i="4"/>
  <c r="AE30" i="4"/>
  <c r="X30" i="4"/>
  <c r="V30" i="4"/>
  <c r="L30" i="4"/>
  <c r="J30" i="4"/>
  <c r="I30" i="4"/>
  <c r="H30" i="4"/>
  <c r="G30" i="4"/>
  <c r="F30" i="4"/>
  <c r="D30" i="4"/>
  <c r="BG29" i="4"/>
  <c r="BC29" i="4"/>
  <c r="BD29" i="4" s="1"/>
  <c r="AZ29" i="4"/>
  <c r="BA29" i="4" s="1"/>
  <c r="AW29" i="4"/>
  <c r="AM29" i="4"/>
  <c r="AF29" i="4"/>
  <c r="AE29" i="4"/>
  <c r="X29" i="4"/>
  <c r="V29" i="4"/>
  <c r="L29" i="4"/>
  <c r="J29" i="4"/>
  <c r="I29" i="4"/>
  <c r="H29" i="4"/>
  <c r="G29" i="4"/>
  <c r="B29" i="4"/>
  <c r="B33" i="4" s="1"/>
  <c r="B37" i="4" s="1"/>
  <c r="B41" i="4" s="1"/>
  <c r="B45" i="4" s="1"/>
  <c r="B49" i="4" s="1"/>
  <c r="B53" i="4" s="1"/>
  <c r="B57" i="4" s="1"/>
  <c r="B61" i="4" s="1"/>
  <c r="B65" i="4" s="1"/>
  <c r="B69" i="4" s="1"/>
  <c r="B73" i="4" s="1"/>
  <c r="B77" i="4" s="1"/>
  <c r="B81" i="4" s="1"/>
  <c r="B85" i="4" s="1"/>
  <c r="B89" i="4" s="1"/>
  <c r="B93" i="4" s="1"/>
  <c r="B97" i="4" s="1"/>
  <c r="B101" i="4" s="1"/>
  <c r="B105" i="4" s="1"/>
  <c r="B109" i="4" s="1"/>
  <c r="B113" i="4" s="1"/>
  <c r="B117" i="4" s="1"/>
  <c r="BC28" i="4"/>
  <c r="BD28" i="4" s="1"/>
  <c r="AZ28" i="4"/>
  <c r="BA28" i="4" s="1"/>
  <c r="AW28" i="4"/>
  <c r="AM28" i="4"/>
  <c r="AF28" i="4"/>
  <c r="AE28" i="4"/>
  <c r="X28" i="4"/>
  <c r="V28" i="4"/>
  <c r="L28" i="4"/>
  <c r="J28" i="4"/>
  <c r="I28" i="4"/>
  <c r="H28" i="4"/>
  <c r="G28" i="4"/>
  <c r="F28" i="4"/>
  <c r="D28" i="4"/>
  <c r="C28" i="4" s="1"/>
  <c r="BC27" i="4"/>
  <c r="BD27" i="4" s="1"/>
  <c r="AZ27" i="4"/>
  <c r="BA27" i="4" s="1"/>
  <c r="AW27" i="4"/>
  <c r="AY27" i="4" s="1"/>
  <c r="AM27" i="4"/>
  <c r="AF27" i="4"/>
  <c r="AE27" i="4"/>
  <c r="X27" i="4"/>
  <c r="V27" i="4"/>
  <c r="T27" i="4"/>
  <c r="R27" i="4"/>
  <c r="L27" i="4"/>
  <c r="H27" i="4"/>
  <c r="G27" i="4"/>
  <c r="F27" i="4"/>
  <c r="D27" i="4"/>
  <c r="C27" i="4" s="1"/>
  <c r="BC26" i="4"/>
  <c r="BD26" i="4" s="1"/>
  <c r="BE26" i="4" s="1"/>
  <c r="AZ26" i="4"/>
  <c r="BA26" i="4" s="1"/>
  <c r="AW26" i="4"/>
  <c r="AY26" i="4" s="1"/>
  <c r="AM26" i="4"/>
  <c r="AF26" i="4"/>
  <c r="AE26" i="4"/>
  <c r="X26" i="4"/>
  <c r="V26" i="4"/>
  <c r="R26" i="4"/>
  <c r="N26" i="4"/>
  <c r="L26" i="4"/>
  <c r="J26" i="4"/>
  <c r="I26" i="4"/>
  <c r="H26" i="4"/>
  <c r="G26" i="4"/>
  <c r="F26" i="4"/>
  <c r="D26" i="4"/>
  <c r="C26" i="4"/>
  <c r="BD25" i="4"/>
  <c r="BE25" i="4" s="1"/>
  <c r="BC25" i="4"/>
  <c r="BA25" i="4"/>
  <c r="AZ25" i="4"/>
  <c r="AY25" i="4"/>
  <c r="AW25" i="4"/>
  <c r="AM25" i="4"/>
  <c r="AF25" i="4"/>
  <c r="AE25" i="4"/>
  <c r="X25" i="4"/>
  <c r="V25" i="4"/>
  <c r="T25" i="4"/>
  <c r="R25" i="4"/>
  <c r="L25" i="4"/>
  <c r="J25" i="4"/>
  <c r="I25" i="4"/>
  <c r="H25" i="4"/>
  <c r="G25" i="4"/>
  <c r="F25" i="4"/>
  <c r="D25" i="4"/>
  <c r="BD24" i="4"/>
  <c r="BE24" i="4" s="1"/>
  <c r="BC24" i="4"/>
  <c r="BA24" i="4"/>
  <c r="AZ24" i="4"/>
  <c r="AY24" i="4"/>
  <c r="AW24" i="4"/>
  <c r="AM24" i="4"/>
  <c r="AF24" i="4"/>
  <c r="AE24" i="4"/>
  <c r="X24" i="4"/>
  <c r="V24" i="4"/>
  <c r="T24" i="4"/>
  <c r="R24" i="4"/>
  <c r="L24" i="4"/>
  <c r="BD23" i="4"/>
  <c r="BE23" i="4" s="1"/>
  <c r="BC23" i="4"/>
  <c r="BA23" i="4"/>
  <c r="AZ23" i="4"/>
  <c r="AY23" i="4"/>
  <c r="AW23" i="4"/>
  <c r="AM23" i="4"/>
  <c r="AF23" i="4"/>
  <c r="AE23" i="4"/>
  <c r="X23" i="4"/>
  <c r="V23" i="4"/>
  <c r="T23" i="4"/>
  <c r="R23" i="4"/>
  <c r="L23" i="4"/>
  <c r="J23" i="4"/>
  <c r="I23" i="4"/>
  <c r="H23" i="4"/>
  <c r="G23" i="4"/>
  <c r="F23" i="4"/>
  <c r="D23" i="4"/>
  <c r="BD22" i="4"/>
  <c r="BE22" i="4" s="1"/>
  <c r="BC22" i="4"/>
  <c r="BA22" i="4"/>
  <c r="AZ22" i="4"/>
  <c r="AY22" i="4"/>
  <c r="AW22" i="4"/>
  <c r="AM22" i="4"/>
  <c r="AF22" i="4"/>
  <c r="AE22" i="4"/>
  <c r="X22" i="4"/>
  <c r="V22" i="4"/>
  <c r="T22" i="4"/>
  <c r="R22" i="4"/>
  <c r="L22" i="4"/>
  <c r="H22" i="4"/>
  <c r="G22" i="4"/>
  <c r="A22" i="4"/>
  <c r="A26" i="4" s="1"/>
  <c r="A30" i="4" s="1"/>
  <c r="A34" i="4" s="1"/>
  <c r="A38" i="4" s="1"/>
  <c r="A42" i="4" s="1"/>
  <c r="A46" i="4" s="1"/>
  <c r="A50" i="4" s="1"/>
  <c r="A54" i="4" s="1"/>
  <c r="A58" i="4" s="1"/>
  <c r="A62" i="4" s="1"/>
  <c r="BD21" i="4"/>
  <c r="BE21" i="4" s="1"/>
  <c r="BC21" i="4"/>
  <c r="BA21" i="4"/>
  <c r="AZ21" i="4"/>
  <c r="AY21" i="4"/>
  <c r="AW21" i="4"/>
  <c r="AM21" i="4"/>
  <c r="AF21" i="4"/>
  <c r="AE21" i="4"/>
  <c r="X21" i="4"/>
  <c r="V21" i="4"/>
  <c r="T21" i="4"/>
  <c r="R21" i="4"/>
  <c r="L21" i="4"/>
  <c r="H21" i="4"/>
  <c r="G21" i="4"/>
  <c r="F21" i="4"/>
  <c r="D21" i="4"/>
  <c r="B21" i="4"/>
  <c r="B25" i="4" s="1"/>
  <c r="A21" i="4"/>
  <c r="A25" i="4" s="1"/>
  <c r="A29" i="4" s="1"/>
  <c r="A33" i="4" s="1"/>
  <c r="A37" i="4" s="1"/>
  <c r="A41" i="4" s="1"/>
  <c r="A45" i="4" s="1"/>
  <c r="A49" i="4" s="1"/>
  <c r="A53" i="4" s="1"/>
  <c r="A57" i="4" s="1"/>
  <c r="A61" i="4" s="1"/>
  <c r="A65" i="4" s="1"/>
  <c r="A69" i="4" s="1"/>
  <c r="A73" i="4" s="1"/>
  <c r="A77" i="4" s="1"/>
  <c r="A81" i="4" s="1"/>
  <c r="A85" i="4" s="1"/>
  <c r="A89" i="4" s="1"/>
  <c r="A93" i="4" s="1"/>
  <c r="A97" i="4" s="1"/>
  <c r="A101" i="4" s="1"/>
  <c r="A105" i="4" s="1"/>
  <c r="A109" i="4" s="1"/>
  <c r="A113" i="4" s="1"/>
  <c r="A117" i="4" s="1"/>
  <c r="BD20" i="4"/>
  <c r="BC20" i="4"/>
  <c r="BA20" i="4"/>
  <c r="AZ20" i="4"/>
  <c r="AY20" i="4"/>
  <c r="AW20" i="4"/>
  <c r="AM20" i="4"/>
  <c r="AK20" i="4"/>
  <c r="AK21" i="4" s="1"/>
  <c r="AK22" i="4" s="1"/>
  <c r="AK23" i="4" s="1"/>
  <c r="AK24" i="4" s="1"/>
  <c r="AK25" i="4" s="1"/>
  <c r="AK26" i="4" s="1"/>
  <c r="AK27" i="4" s="1"/>
  <c r="AK28" i="4" s="1"/>
  <c r="AK29" i="4" s="1"/>
  <c r="AF20" i="4"/>
  <c r="AE20" i="4"/>
  <c r="X20" i="4"/>
  <c r="V20" i="4"/>
  <c r="T20" i="4"/>
  <c r="R20" i="4"/>
  <c r="L20" i="4"/>
  <c r="H20" i="4"/>
  <c r="G20" i="4"/>
  <c r="F20" i="4"/>
  <c r="D20" i="4"/>
  <c r="B20" i="4"/>
  <c r="B24" i="4" s="1"/>
  <c r="B28" i="4" s="1"/>
  <c r="B32" i="4" s="1"/>
  <c r="B36" i="4" s="1"/>
  <c r="B40" i="4" s="1"/>
  <c r="B44" i="4" s="1"/>
  <c r="B48" i="4" s="1"/>
  <c r="B52" i="4" s="1"/>
  <c r="B56" i="4" s="1"/>
  <c r="B60" i="4" s="1"/>
  <c r="B64" i="4" s="1"/>
  <c r="B68" i="4" s="1"/>
  <c r="B72" i="4" s="1"/>
  <c r="B76" i="4" s="1"/>
  <c r="B80" i="4" s="1"/>
  <c r="B84" i="4" s="1"/>
  <c r="B88" i="4" s="1"/>
  <c r="B92" i="4" s="1"/>
  <c r="B96" i="4" s="1"/>
  <c r="B100" i="4" s="1"/>
  <c r="B104" i="4" s="1"/>
  <c r="B108" i="4" s="1"/>
  <c r="B112" i="4" s="1"/>
  <c r="B116" i="4" s="1"/>
  <c r="A20" i="4"/>
  <c r="A24" i="4" s="1"/>
  <c r="A28" i="4" s="1"/>
  <c r="BD19" i="4"/>
  <c r="BC19" i="4"/>
  <c r="AZ19" i="4"/>
  <c r="AY19" i="4"/>
  <c r="AW19" i="4"/>
  <c r="AM19" i="4"/>
  <c r="AF19" i="4"/>
  <c r="AE19" i="4"/>
  <c r="X19" i="4"/>
  <c r="V19" i="4"/>
  <c r="N19" i="4"/>
  <c r="L19" i="4"/>
  <c r="J19" i="4"/>
  <c r="I19" i="4"/>
  <c r="H19" i="4"/>
  <c r="G19" i="4"/>
  <c r="F19" i="4"/>
  <c r="D19" i="4"/>
  <c r="B19" i="4"/>
  <c r="B23" i="4" s="1"/>
  <c r="B27" i="4" s="1"/>
  <c r="B31" i="4" s="1"/>
  <c r="B35" i="4" s="1"/>
  <c r="B39" i="4" s="1"/>
  <c r="B43" i="4" s="1"/>
  <c r="B47" i="4" s="1"/>
  <c r="B51" i="4" s="1"/>
  <c r="B55" i="4" s="1"/>
  <c r="B59" i="4" s="1"/>
  <c r="B63" i="4" s="1"/>
  <c r="B67" i="4" s="1"/>
  <c r="B71" i="4" s="1"/>
  <c r="B75" i="4" s="1"/>
  <c r="B79" i="4" s="1"/>
  <c r="B83" i="4" s="1"/>
  <c r="B87" i="4" s="1"/>
  <c r="B91" i="4" s="1"/>
  <c r="B95" i="4" s="1"/>
  <c r="B99" i="4" s="1"/>
  <c r="B103" i="4" s="1"/>
  <c r="B107" i="4" s="1"/>
  <c r="B111" i="4" s="1"/>
  <c r="B115" i="4" s="1"/>
  <c r="A19" i="4"/>
  <c r="A23" i="4" s="1"/>
  <c r="A27" i="4" s="1"/>
  <c r="A31" i="4" s="1"/>
  <c r="A35" i="4" s="1"/>
  <c r="A39" i="4" s="1"/>
  <c r="A43" i="4" s="1"/>
  <c r="A47" i="4" s="1"/>
  <c r="A51" i="4" s="1"/>
  <c r="A55" i="4" s="1"/>
  <c r="A59" i="4" s="1"/>
  <c r="A63" i="4" s="1"/>
  <c r="A67" i="4" s="1"/>
  <c r="A71" i="4" s="1"/>
  <c r="A75" i="4" s="1"/>
  <c r="A79" i="4" s="1"/>
  <c r="A83" i="4" s="1"/>
  <c r="A87" i="4" s="1"/>
  <c r="A91" i="4" s="1"/>
  <c r="A95" i="4" s="1"/>
  <c r="A99" i="4" s="1"/>
  <c r="A103" i="4" s="1"/>
  <c r="A107" i="4" s="1"/>
  <c r="A111" i="4" s="1"/>
  <c r="A115" i="4" s="1"/>
  <c r="BC18" i="4"/>
  <c r="BD18" i="4" s="1"/>
  <c r="AZ18" i="4"/>
  <c r="AW18" i="4"/>
  <c r="AY18" i="4" s="1"/>
  <c r="AM18" i="4"/>
  <c r="AF18" i="4"/>
  <c r="AE18" i="4"/>
  <c r="X18" i="4"/>
  <c r="V18" i="4"/>
  <c r="T18" i="4"/>
  <c r="R18" i="4"/>
  <c r="L18" i="4"/>
  <c r="H18" i="4"/>
  <c r="G18" i="4"/>
  <c r="B18" i="4"/>
  <c r="B22" i="4" s="1"/>
  <c r="B26" i="4" s="1"/>
  <c r="B30" i="4" s="1"/>
  <c r="B34" i="4" s="1"/>
  <c r="B38" i="4" s="1"/>
  <c r="B42" i="4" s="1"/>
  <c r="B46" i="4" s="1"/>
  <c r="A18" i="4"/>
  <c r="AZ17" i="4"/>
  <c r="AY17" i="4"/>
  <c r="AW17" i="4"/>
  <c r="AM17" i="4"/>
  <c r="AF17" i="4"/>
  <c r="AE17" i="4"/>
  <c r="AD17" i="4"/>
  <c r="X17" i="4"/>
  <c r="V17" i="4"/>
  <c r="N17" i="4"/>
  <c r="L17" i="4"/>
  <c r="J17" i="4"/>
  <c r="I17" i="4"/>
  <c r="G17" i="4"/>
  <c r="F17" i="4"/>
  <c r="D17" i="4"/>
  <c r="AZ16" i="4"/>
  <c r="AW16" i="4"/>
  <c r="AY16" i="4" s="1"/>
  <c r="AM16" i="4"/>
  <c r="AF16" i="4"/>
  <c r="AE16" i="4"/>
  <c r="AD16" i="4"/>
  <c r="V16" i="4"/>
  <c r="L16" i="4"/>
  <c r="J16" i="4"/>
  <c r="I16" i="4"/>
  <c r="H16" i="4"/>
  <c r="G16" i="4"/>
  <c r="F16" i="4"/>
  <c r="D16" i="4"/>
  <c r="BA15" i="4"/>
  <c r="AZ15" i="4"/>
  <c r="AY15" i="4"/>
  <c r="AW15" i="4"/>
  <c r="AM15" i="4"/>
  <c r="AF15" i="4"/>
  <c r="AE15" i="4"/>
  <c r="AD15" i="4"/>
  <c r="X15" i="4"/>
  <c r="V15" i="4"/>
  <c r="T15" i="4"/>
  <c r="R15" i="4"/>
  <c r="Z15" i="4" s="1"/>
  <c r="N15" i="4"/>
  <c r="L15" i="4"/>
  <c r="J15" i="4"/>
  <c r="I15" i="4"/>
  <c r="H15" i="4"/>
  <c r="G15" i="4"/>
  <c r="F15" i="4"/>
  <c r="D15" i="4"/>
  <c r="AZ14" i="4"/>
  <c r="AY14" i="4"/>
  <c r="AW14" i="4"/>
  <c r="AM14" i="4"/>
  <c r="AK14" i="4"/>
  <c r="AK15" i="4" s="1"/>
  <c r="AK16" i="4" s="1"/>
  <c r="AK17" i="4" s="1"/>
  <c r="AK18" i="4" s="1"/>
  <c r="AK19" i="4" s="1"/>
  <c r="AF14" i="4"/>
  <c r="AE14" i="4"/>
  <c r="AD14" i="4"/>
  <c r="X14" i="4"/>
  <c r="V14" i="4"/>
  <c r="T14" i="4"/>
  <c r="R14" i="4"/>
  <c r="L14" i="4"/>
  <c r="J14" i="4"/>
  <c r="I14" i="4"/>
  <c r="G14" i="4"/>
  <c r="AM13" i="4"/>
  <c r="AX12" i="4"/>
  <c r="AM12" i="4"/>
  <c r="AX11" i="4"/>
  <c r="AM11" i="4"/>
  <c r="AX10" i="4"/>
  <c r="AM10" i="4"/>
  <c r="AX9" i="4"/>
  <c r="AM9" i="4"/>
  <c r="BJ8" i="4"/>
  <c r="BJ9" i="4" s="1"/>
  <c r="BJ10" i="4" s="1"/>
  <c r="BJ11" i="4" s="1"/>
  <c r="BJ12" i="4" s="1"/>
  <c r="BJ13" i="4" s="1"/>
  <c r="BJ14" i="4" s="1"/>
  <c r="BJ15" i="4" s="1"/>
  <c r="BJ16" i="4" s="1"/>
  <c r="BJ17" i="4" s="1"/>
  <c r="BJ18" i="4" s="1"/>
  <c r="BJ19" i="4" s="1"/>
  <c r="BJ20" i="4" s="1"/>
  <c r="BJ21" i="4" s="1"/>
  <c r="BJ22" i="4" s="1"/>
  <c r="BJ23" i="4" s="1"/>
  <c r="BJ24" i="4" s="1"/>
  <c r="BJ25" i="4" s="1"/>
  <c r="BJ26" i="4" s="1"/>
  <c r="BJ27" i="4" s="1"/>
  <c r="BJ28" i="4" s="1"/>
  <c r="BJ29" i="4" s="1"/>
  <c r="AX8" i="4"/>
  <c r="AM8" i="4"/>
  <c r="AK8" i="4"/>
  <c r="AK9" i="4" s="1"/>
  <c r="AK10" i="4" s="1"/>
  <c r="AK11" i="4" s="1"/>
  <c r="AK12" i="4" s="1"/>
  <c r="AK13" i="4" s="1"/>
  <c r="AA8" i="4"/>
  <c r="Y8" i="4"/>
  <c r="BJ7" i="4"/>
  <c r="AX7" i="4"/>
  <c r="AM7" i="4"/>
  <c r="AK7" i="4"/>
  <c r="AA7" i="4"/>
  <c r="Y7" i="4"/>
  <c r="AX6" i="4"/>
  <c r="AQ6" i="4"/>
  <c r="AF6" i="4"/>
  <c r="AE6" i="4"/>
  <c r="AD6" i="4"/>
  <c r="AA6" i="4"/>
  <c r="Y6" i="4"/>
  <c r="AX5" i="4"/>
  <c r="AQ5" i="4"/>
  <c r="AF5" i="4"/>
  <c r="AE5" i="4"/>
  <c r="AD5" i="4"/>
  <c r="AA5" i="4"/>
  <c r="Y5" i="4"/>
  <c r="AX4" i="4"/>
  <c r="AQ4" i="4"/>
  <c r="AF4" i="4"/>
  <c r="AE4" i="4"/>
  <c r="AD4" i="4"/>
  <c r="AA4" i="4"/>
  <c r="Y4" i="4"/>
  <c r="AF3" i="4"/>
  <c r="AE3" i="4"/>
  <c r="AD3" i="4"/>
  <c r="AA3" i="4"/>
  <c r="Y3" i="4"/>
  <c r="BD1" i="4"/>
  <c r="BC1" i="4"/>
  <c r="BB1" i="4"/>
  <c r="AG1" i="4"/>
  <c r="AE1" i="4"/>
  <c r="BI117" i="3"/>
  <c r="BA117" i="3"/>
  <c r="AZ117" i="3"/>
  <c r="AW117" i="3"/>
  <c r="X117" i="3"/>
  <c r="V117" i="3"/>
  <c r="T117" i="3"/>
  <c r="R117" i="3"/>
  <c r="N117" i="3"/>
  <c r="L117" i="3"/>
  <c r="J117" i="3"/>
  <c r="I117" i="3"/>
  <c r="H117" i="3"/>
  <c r="G117" i="3"/>
  <c r="F117" i="3"/>
  <c r="D117" i="3"/>
  <c r="BI116" i="3"/>
  <c r="AZ116" i="3"/>
  <c r="BA116" i="3" s="1"/>
  <c r="AW116" i="3"/>
  <c r="X116" i="3"/>
  <c r="V116" i="3"/>
  <c r="T116" i="3"/>
  <c r="R116" i="3"/>
  <c r="L116" i="3"/>
  <c r="H116" i="3"/>
  <c r="G116" i="3"/>
  <c r="BI115" i="3"/>
  <c r="AZ115" i="3"/>
  <c r="BA115" i="3" s="1"/>
  <c r="AW115" i="3"/>
  <c r="AY115" i="3" s="1"/>
  <c r="X115" i="3"/>
  <c r="V115" i="3"/>
  <c r="T115" i="3"/>
  <c r="AB115" i="3" s="1"/>
  <c r="R115" i="3"/>
  <c r="P115" i="3"/>
  <c r="N115" i="3"/>
  <c r="L115" i="3"/>
  <c r="J115" i="3"/>
  <c r="I115" i="3"/>
  <c r="H115" i="3"/>
  <c r="G115" i="3"/>
  <c r="F115" i="3"/>
  <c r="D115" i="3"/>
  <c r="BI114" i="3"/>
  <c r="AZ114" i="3"/>
  <c r="BA114" i="3" s="1"/>
  <c r="AW114" i="3"/>
  <c r="AY114" i="3" s="1"/>
  <c r="X114" i="3"/>
  <c r="V114" i="3"/>
  <c r="T114" i="3"/>
  <c r="R114" i="3"/>
  <c r="L114" i="3"/>
  <c r="J114" i="3"/>
  <c r="I114" i="3"/>
  <c r="H114" i="3"/>
  <c r="G114" i="3"/>
  <c r="F114" i="3"/>
  <c r="D114" i="3"/>
  <c r="BI113" i="3"/>
  <c r="AZ113" i="3"/>
  <c r="AY113" i="3"/>
  <c r="AW113" i="3"/>
  <c r="X113" i="3"/>
  <c r="V113" i="3"/>
  <c r="T113" i="3"/>
  <c r="R113" i="3"/>
  <c r="L113" i="3"/>
  <c r="J113" i="3"/>
  <c r="I113" i="3"/>
  <c r="H113" i="3"/>
  <c r="G113" i="3"/>
  <c r="F113" i="3"/>
  <c r="D113" i="3"/>
  <c r="BI112" i="3"/>
  <c r="AZ112" i="3"/>
  <c r="BA112" i="3" s="1"/>
  <c r="AW112" i="3"/>
  <c r="AY112" i="3" s="1"/>
  <c r="X112" i="3"/>
  <c r="V112" i="3"/>
  <c r="T112" i="3"/>
  <c r="R112" i="3"/>
  <c r="L112" i="3"/>
  <c r="H112" i="3"/>
  <c r="G112" i="3"/>
  <c r="F112" i="3"/>
  <c r="D112" i="3"/>
  <c r="BI111" i="3"/>
  <c r="AZ111" i="3"/>
  <c r="BA111" i="3" s="1"/>
  <c r="AW111" i="3"/>
  <c r="AY111" i="3" s="1"/>
  <c r="X111" i="3"/>
  <c r="V111" i="3"/>
  <c r="T111" i="3"/>
  <c r="R111" i="3"/>
  <c r="Z111" i="3" s="1"/>
  <c r="N111" i="3"/>
  <c r="L111" i="3"/>
  <c r="J111" i="3"/>
  <c r="I111" i="3"/>
  <c r="H111" i="3"/>
  <c r="G111" i="3"/>
  <c r="F111" i="3"/>
  <c r="D111" i="3"/>
  <c r="AZ110" i="3"/>
  <c r="BA110" i="3" s="1"/>
  <c r="AW110" i="3"/>
  <c r="AY110" i="3" s="1"/>
  <c r="V110" i="3"/>
  <c r="N110" i="3"/>
  <c r="L110" i="3"/>
  <c r="J110" i="3"/>
  <c r="I110" i="3"/>
  <c r="H110" i="3"/>
  <c r="G110" i="3"/>
  <c r="F110" i="3"/>
  <c r="D110" i="3"/>
  <c r="BA109" i="3"/>
  <c r="AZ109" i="3"/>
  <c r="AW109" i="3"/>
  <c r="X109" i="3"/>
  <c r="V109" i="3"/>
  <c r="T109" i="3"/>
  <c r="R109" i="3"/>
  <c r="Z109" i="3" s="1"/>
  <c r="N109" i="3"/>
  <c r="L109" i="3"/>
  <c r="J109" i="3"/>
  <c r="I109" i="3"/>
  <c r="H109" i="3"/>
  <c r="G109" i="3"/>
  <c r="F109" i="3"/>
  <c r="D109" i="3"/>
  <c r="AZ108" i="3"/>
  <c r="BA108" i="3" s="1"/>
  <c r="AW108" i="3"/>
  <c r="AY108" i="3" s="1"/>
  <c r="X108" i="3"/>
  <c r="V108" i="3"/>
  <c r="T108" i="3"/>
  <c r="R108" i="3"/>
  <c r="L108" i="3"/>
  <c r="H108" i="3"/>
  <c r="G108" i="3"/>
  <c r="AZ107" i="3"/>
  <c r="AW107" i="3"/>
  <c r="AY107" i="3" s="1"/>
  <c r="X107" i="3"/>
  <c r="V107" i="3"/>
  <c r="T107" i="3"/>
  <c r="R107" i="3"/>
  <c r="N107" i="3"/>
  <c r="L107" i="3"/>
  <c r="J107" i="3"/>
  <c r="I107" i="3"/>
  <c r="H107" i="3"/>
  <c r="G107" i="3"/>
  <c r="F107" i="3"/>
  <c r="D107" i="3"/>
  <c r="AZ106" i="3"/>
  <c r="BA106" i="3" s="1"/>
  <c r="AW106" i="3"/>
  <c r="AY106" i="3" s="1"/>
  <c r="V106" i="3"/>
  <c r="N106" i="3"/>
  <c r="L106" i="3"/>
  <c r="J106" i="3"/>
  <c r="I106" i="3"/>
  <c r="H106" i="3"/>
  <c r="G106" i="3"/>
  <c r="F106" i="3"/>
  <c r="D106" i="3"/>
  <c r="AZ105" i="3"/>
  <c r="AY105" i="3"/>
  <c r="AW105" i="3"/>
  <c r="X105" i="3"/>
  <c r="V105" i="3"/>
  <c r="T105" i="3"/>
  <c r="R105" i="3"/>
  <c r="Z105" i="3" s="1"/>
  <c r="N105" i="3"/>
  <c r="L105" i="3"/>
  <c r="J105" i="3"/>
  <c r="I105" i="3"/>
  <c r="H105" i="3"/>
  <c r="G105" i="3"/>
  <c r="F105" i="3"/>
  <c r="D105" i="3"/>
  <c r="AZ104" i="3"/>
  <c r="AW104" i="3"/>
  <c r="AY104" i="3" s="1"/>
  <c r="X104" i="3"/>
  <c r="V104" i="3"/>
  <c r="T104" i="3"/>
  <c r="R104" i="3"/>
  <c r="L104" i="3"/>
  <c r="H104" i="3"/>
  <c r="G104" i="3"/>
  <c r="AZ103" i="3"/>
  <c r="BA103" i="3" s="1"/>
  <c r="AW103" i="3"/>
  <c r="X103" i="3"/>
  <c r="V103" i="3"/>
  <c r="T103" i="3"/>
  <c r="R103" i="3"/>
  <c r="Z103" i="3" s="1"/>
  <c r="N103" i="3"/>
  <c r="L103" i="3"/>
  <c r="J103" i="3"/>
  <c r="I103" i="3"/>
  <c r="H103" i="3"/>
  <c r="G103" i="3"/>
  <c r="F103" i="3"/>
  <c r="D103" i="3"/>
  <c r="AZ102" i="3"/>
  <c r="BA102" i="3" s="1"/>
  <c r="AW102" i="3"/>
  <c r="AY102" i="3" s="1"/>
  <c r="V102" i="3"/>
  <c r="N102" i="3"/>
  <c r="L102" i="3"/>
  <c r="J102" i="3"/>
  <c r="I102" i="3"/>
  <c r="H102" i="3"/>
  <c r="G102" i="3"/>
  <c r="F102" i="3"/>
  <c r="D102" i="3"/>
  <c r="AZ101" i="3"/>
  <c r="AW101" i="3"/>
  <c r="X101" i="3"/>
  <c r="V101" i="3"/>
  <c r="T101" i="3"/>
  <c r="R101" i="3"/>
  <c r="L101" i="3"/>
  <c r="J101" i="3"/>
  <c r="I101" i="3"/>
  <c r="H101" i="3"/>
  <c r="G101" i="3"/>
  <c r="F101" i="3"/>
  <c r="D101" i="3"/>
  <c r="AZ100" i="3"/>
  <c r="AW100" i="3"/>
  <c r="AY100" i="3" s="1"/>
  <c r="X100" i="3"/>
  <c r="V100" i="3"/>
  <c r="T100" i="3"/>
  <c r="R100" i="3"/>
  <c r="L100" i="3"/>
  <c r="H100" i="3"/>
  <c r="G100" i="3"/>
  <c r="AZ99" i="3"/>
  <c r="AW99" i="3"/>
  <c r="AY99" i="3" s="1"/>
  <c r="X99" i="3"/>
  <c r="V99" i="3"/>
  <c r="T99" i="3"/>
  <c r="R99" i="3"/>
  <c r="L99" i="3"/>
  <c r="J99" i="3"/>
  <c r="I99" i="3"/>
  <c r="H99" i="3"/>
  <c r="G99" i="3"/>
  <c r="F99" i="3"/>
  <c r="D99" i="3"/>
  <c r="AZ98" i="3"/>
  <c r="BA98" i="3" s="1"/>
  <c r="AW98" i="3"/>
  <c r="AY98" i="3" s="1"/>
  <c r="V98" i="3"/>
  <c r="L98" i="3"/>
  <c r="J98" i="3"/>
  <c r="I98" i="3"/>
  <c r="H98" i="3"/>
  <c r="G98" i="3"/>
  <c r="F98" i="3"/>
  <c r="D98" i="3"/>
  <c r="AZ97" i="3"/>
  <c r="AY97" i="3"/>
  <c r="AW97" i="3"/>
  <c r="X97" i="3"/>
  <c r="V97" i="3"/>
  <c r="T97" i="3"/>
  <c r="R97" i="3"/>
  <c r="L97" i="3"/>
  <c r="J97" i="3"/>
  <c r="I97" i="3"/>
  <c r="H97" i="3"/>
  <c r="G97" i="3"/>
  <c r="F97" i="3"/>
  <c r="D97" i="3"/>
  <c r="AZ96" i="3"/>
  <c r="BA96" i="3" s="1"/>
  <c r="AW96" i="3"/>
  <c r="AY96" i="3" s="1"/>
  <c r="X96" i="3"/>
  <c r="V96" i="3"/>
  <c r="T96" i="3"/>
  <c r="R96" i="3"/>
  <c r="N96" i="3"/>
  <c r="L96" i="3"/>
  <c r="J96" i="3"/>
  <c r="I96" i="3"/>
  <c r="H96" i="3"/>
  <c r="G96" i="3"/>
  <c r="F96" i="3"/>
  <c r="D96" i="3"/>
  <c r="AZ95" i="3"/>
  <c r="BA95" i="3" s="1"/>
  <c r="AW95" i="3"/>
  <c r="AY95" i="3" s="1"/>
  <c r="X95" i="3"/>
  <c r="V95" i="3"/>
  <c r="T95" i="3"/>
  <c r="R95" i="3"/>
  <c r="Z95" i="3" s="1"/>
  <c r="N95" i="3"/>
  <c r="L95" i="3"/>
  <c r="J95" i="3"/>
  <c r="I95" i="3"/>
  <c r="H95" i="3"/>
  <c r="G95" i="3"/>
  <c r="F95" i="3"/>
  <c r="D95" i="3"/>
  <c r="AZ94" i="3"/>
  <c r="BA94" i="3" s="1"/>
  <c r="AW94" i="3"/>
  <c r="AY94" i="3" s="1"/>
  <c r="V94" i="3"/>
  <c r="L94" i="3"/>
  <c r="J94" i="3"/>
  <c r="I94" i="3"/>
  <c r="H94" i="3"/>
  <c r="G94" i="3"/>
  <c r="F94" i="3"/>
  <c r="D94" i="3"/>
  <c r="AZ93" i="3"/>
  <c r="AW93" i="3"/>
  <c r="X93" i="3"/>
  <c r="V93" i="3"/>
  <c r="T93" i="3"/>
  <c r="R93" i="3"/>
  <c r="L93" i="3"/>
  <c r="J93" i="3"/>
  <c r="I93" i="3"/>
  <c r="H93" i="3"/>
  <c r="G93" i="3"/>
  <c r="F93" i="3"/>
  <c r="D93" i="3"/>
  <c r="AZ92" i="3"/>
  <c r="BA92" i="3" s="1"/>
  <c r="AW92" i="3"/>
  <c r="AY92" i="3" s="1"/>
  <c r="X92" i="3"/>
  <c r="V92" i="3"/>
  <c r="T92" i="3"/>
  <c r="R92" i="3"/>
  <c r="L92" i="3"/>
  <c r="H92" i="3"/>
  <c r="G92" i="3"/>
  <c r="F92" i="3"/>
  <c r="D92" i="3"/>
  <c r="AZ91" i="3"/>
  <c r="AW91" i="3"/>
  <c r="AY91" i="3" s="1"/>
  <c r="X91" i="3"/>
  <c r="V91" i="3"/>
  <c r="T91" i="3"/>
  <c r="R91" i="3"/>
  <c r="Z91" i="3" s="1"/>
  <c r="N91" i="3"/>
  <c r="L91" i="3"/>
  <c r="J91" i="3"/>
  <c r="I91" i="3"/>
  <c r="H91" i="3"/>
  <c r="G91" i="3"/>
  <c r="F91" i="3"/>
  <c r="D91" i="3"/>
  <c r="AZ90" i="3"/>
  <c r="BA90" i="3" s="1"/>
  <c r="AW90" i="3"/>
  <c r="AY90" i="3" s="1"/>
  <c r="V90" i="3"/>
  <c r="N90" i="3"/>
  <c r="L90" i="3"/>
  <c r="J90" i="3"/>
  <c r="I90" i="3"/>
  <c r="H90" i="3"/>
  <c r="G90" i="3"/>
  <c r="F90" i="3"/>
  <c r="D90" i="3"/>
  <c r="AZ89" i="3"/>
  <c r="AW89" i="3"/>
  <c r="X89" i="3"/>
  <c r="V89" i="3"/>
  <c r="T89" i="3"/>
  <c r="R89" i="3"/>
  <c r="Z89" i="3" s="1"/>
  <c r="N89" i="3"/>
  <c r="L89" i="3"/>
  <c r="J89" i="3"/>
  <c r="I89" i="3"/>
  <c r="H89" i="3"/>
  <c r="G89" i="3"/>
  <c r="F89" i="3"/>
  <c r="D89" i="3"/>
  <c r="AZ88" i="3"/>
  <c r="AW88" i="3"/>
  <c r="X88" i="3"/>
  <c r="V88" i="3"/>
  <c r="T88" i="3"/>
  <c r="R88" i="3"/>
  <c r="L88" i="3"/>
  <c r="H88" i="3"/>
  <c r="G88" i="3"/>
  <c r="AZ87" i="3"/>
  <c r="BA87" i="3" s="1"/>
  <c r="AW87" i="3"/>
  <c r="X87" i="3"/>
  <c r="V87" i="3"/>
  <c r="T87" i="3"/>
  <c r="R87" i="3"/>
  <c r="Z87" i="3" s="1"/>
  <c r="N87" i="3"/>
  <c r="L87" i="3"/>
  <c r="J87" i="3"/>
  <c r="I87" i="3"/>
  <c r="H87" i="3"/>
  <c r="G87" i="3"/>
  <c r="F87" i="3"/>
  <c r="D87" i="3"/>
  <c r="AZ86" i="3"/>
  <c r="BA86" i="3" s="1"/>
  <c r="AW86" i="3"/>
  <c r="AY86" i="3" s="1"/>
  <c r="V86" i="3"/>
  <c r="N86" i="3"/>
  <c r="L86" i="3"/>
  <c r="J86" i="3"/>
  <c r="I86" i="3"/>
  <c r="H86" i="3"/>
  <c r="G86" i="3"/>
  <c r="F86" i="3"/>
  <c r="D86" i="3"/>
  <c r="BA85" i="3"/>
  <c r="AZ85" i="3"/>
  <c r="AW85" i="3"/>
  <c r="X85" i="3"/>
  <c r="V85" i="3"/>
  <c r="T85" i="3"/>
  <c r="R85" i="3"/>
  <c r="L85" i="3"/>
  <c r="J85" i="3"/>
  <c r="I85" i="3"/>
  <c r="H85" i="3"/>
  <c r="G85" i="3"/>
  <c r="F85" i="3"/>
  <c r="D85" i="3"/>
  <c r="AZ84" i="3"/>
  <c r="BA84" i="3" s="1"/>
  <c r="AW84" i="3"/>
  <c r="X84" i="3"/>
  <c r="V84" i="3"/>
  <c r="T84" i="3"/>
  <c r="R84" i="3"/>
  <c r="L84" i="3"/>
  <c r="J84" i="3"/>
  <c r="I84" i="3"/>
  <c r="H84" i="3"/>
  <c r="G84" i="3"/>
  <c r="AZ83" i="3"/>
  <c r="AW83" i="3"/>
  <c r="AY83" i="3" s="1"/>
  <c r="X83" i="3"/>
  <c r="V83" i="3"/>
  <c r="T83" i="3"/>
  <c r="R83" i="3"/>
  <c r="N83" i="3"/>
  <c r="L83" i="3"/>
  <c r="J83" i="3"/>
  <c r="I83" i="3"/>
  <c r="H83" i="3"/>
  <c r="G83" i="3"/>
  <c r="F83" i="3"/>
  <c r="D83" i="3"/>
  <c r="AZ82" i="3"/>
  <c r="BA82" i="3" s="1"/>
  <c r="AW82" i="3"/>
  <c r="AY82" i="3" s="1"/>
  <c r="V82" i="3"/>
  <c r="L82" i="3"/>
  <c r="J82" i="3"/>
  <c r="I82" i="3"/>
  <c r="H82" i="3"/>
  <c r="G82" i="3"/>
  <c r="F82" i="3"/>
  <c r="D82" i="3"/>
  <c r="AZ81" i="3"/>
  <c r="AW81" i="3"/>
  <c r="X81" i="3"/>
  <c r="V81" i="3"/>
  <c r="T81" i="3"/>
  <c r="R81" i="3"/>
  <c r="L81" i="3"/>
  <c r="J81" i="3"/>
  <c r="I81" i="3"/>
  <c r="H81" i="3"/>
  <c r="G81" i="3"/>
  <c r="F81" i="3"/>
  <c r="D81" i="3"/>
  <c r="AZ80" i="3"/>
  <c r="AW80" i="3"/>
  <c r="X80" i="3"/>
  <c r="V80" i="3"/>
  <c r="T80" i="3"/>
  <c r="R80" i="3"/>
  <c r="Z80" i="3" s="1"/>
  <c r="N80" i="3"/>
  <c r="L80" i="3"/>
  <c r="J80" i="3"/>
  <c r="I80" i="3"/>
  <c r="H80" i="3"/>
  <c r="G80" i="3"/>
  <c r="F80" i="3"/>
  <c r="D80" i="3"/>
  <c r="AZ79" i="3"/>
  <c r="BA79" i="3" s="1"/>
  <c r="AW79" i="3"/>
  <c r="AY79" i="3" s="1"/>
  <c r="X79" i="3"/>
  <c r="V79" i="3"/>
  <c r="T79" i="3"/>
  <c r="R79" i="3"/>
  <c r="Z79" i="3" s="1"/>
  <c r="N79" i="3"/>
  <c r="L79" i="3"/>
  <c r="J79" i="3"/>
  <c r="I79" i="3"/>
  <c r="H79" i="3"/>
  <c r="G79" i="3"/>
  <c r="F79" i="3"/>
  <c r="D79" i="3"/>
  <c r="AZ78" i="3"/>
  <c r="BA78" i="3" s="1"/>
  <c r="AW78" i="3"/>
  <c r="AY78" i="3" s="1"/>
  <c r="V78" i="3"/>
  <c r="L78" i="3"/>
  <c r="J78" i="3"/>
  <c r="I78" i="3"/>
  <c r="H78" i="3"/>
  <c r="G78" i="3"/>
  <c r="F78" i="3"/>
  <c r="D78" i="3"/>
  <c r="BA77" i="3"/>
  <c r="AZ77" i="3"/>
  <c r="AW77" i="3"/>
  <c r="X77" i="3"/>
  <c r="V77" i="3"/>
  <c r="T77" i="3"/>
  <c r="R77" i="3"/>
  <c r="L77" i="3"/>
  <c r="J77" i="3"/>
  <c r="I77" i="3"/>
  <c r="H77" i="3"/>
  <c r="G77" i="3"/>
  <c r="F77" i="3"/>
  <c r="D77" i="3"/>
  <c r="AZ76" i="3"/>
  <c r="BA76" i="3" s="1"/>
  <c r="AW76" i="3"/>
  <c r="X76" i="3"/>
  <c r="V76" i="3"/>
  <c r="T76" i="3"/>
  <c r="R76" i="3"/>
  <c r="Z76" i="3" s="1"/>
  <c r="P76" i="3"/>
  <c r="N76" i="3"/>
  <c r="L76" i="3"/>
  <c r="J76" i="3"/>
  <c r="I76" i="3"/>
  <c r="H76" i="3"/>
  <c r="G76" i="3"/>
  <c r="F76" i="3"/>
  <c r="D76" i="3"/>
  <c r="AZ75" i="3"/>
  <c r="AW75" i="3"/>
  <c r="AY75" i="3" s="1"/>
  <c r="X75" i="3"/>
  <c r="V75" i="3"/>
  <c r="T75" i="3"/>
  <c r="R75" i="3"/>
  <c r="Z75" i="3" s="1"/>
  <c r="N75" i="3"/>
  <c r="L75" i="3"/>
  <c r="J75" i="3"/>
  <c r="I75" i="3"/>
  <c r="H75" i="3"/>
  <c r="G75" i="3"/>
  <c r="F75" i="3"/>
  <c r="D75" i="3"/>
  <c r="AZ74" i="3"/>
  <c r="BA74" i="3" s="1"/>
  <c r="AW74" i="3"/>
  <c r="AY74" i="3" s="1"/>
  <c r="X74" i="3"/>
  <c r="V74" i="3"/>
  <c r="T74" i="3"/>
  <c r="R74" i="3"/>
  <c r="L74" i="3"/>
  <c r="J74" i="3"/>
  <c r="I74" i="3"/>
  <c r="H74" i="3"/>
  <c r="G74" i="3"/>
  <c r="F74" i="3"/>
  <c r="D74" i="3"/>
  <c r="AZ73" i="3"/>
  <c r="AY73" i="3"/>
  <c r="AW73" i="3"/>
  <c r="X73" i="3"/>
  <c r="V73" i="3"/>
  <c r="T73" i="3"/>
  <c r="R73" i="3"/>
  <c r="L73" i="3"/>
  <c r="J73" i="3"/>
  <c r="I73" i="3"/>
  <c r="H73" i="3"/>
  <c r="G73" i="3"/>
  <c r="AZ72" i="3"/>
  <c r="AW72" i="3"/>
  <c r="AY72" i="3" s="1"/>
  <c r="X72" i="3"/>
  <c r="V72" i="3"/>
  <c r="L72" i="3"/>
  <c r="J72" i="3"/>
  <c r="I72" i="3"/>
  <c r="H72" i="3"/>
  <c r="G72" i="3"/>
  <c r="F72" i="3"/>
  <c r="D72" i="3"/>
  <c r="AZ71" i="3"/>
  <c r="BA71" i="3" s="1"/>
  <c r="AW71" i="3"/>
  <c r="X71" i="3"/>
  <c r="V71" i="3"/>
  <c r="L71" i="3"/>
  <c r="J71" i="3"/>
  <c r="I71" i="3"/>
  <c r="H71" i="3"/>
  <c r="G71" i="3"/>
  <c r="F71" i="3"/>
  <c r="D71" i="3"/>
  <c r="AZ70" i="3"/>
  <c r="BA70" i="3" s="1"/>
  <c r="AW70" i="3"/>
  <c r="AY70" i="3" s="1"/>
  <c r="X70" i="3"/>
  <c r="V70" i="3"/>
  <c r="T70" i="3"/>
  <c r="R70" i="3"/>
  <c r="L70" i="3"/>
  <c r="J70" i="3"/>
  <c r="I70" i="3"/>
  <c r="H70" i="3"/>
  <c r="G70" i="3"/>
  <c r="F70" i="3"/>
  <c r="D70" i="3"/>
  <c r="AZ69" i="3"/>
  <c r="AW69" i="3"/>
  <c r="X69" i="3"/>
  <c r="V69" i="3"/>
  <c r="T69" i="3"/>
  <c r="R69" i="3"/>
  <c r="L69" i="3"/>
  <c r="J69" i="3"/>
  <c r="I69" i="3"/>
  <c r="H69" i="3"/>
  <c r="G69" i="3"/>
  <c r="AZ68" i="3"/>
  <c r="BA68" i="3" s="1"/>
  <c r="AW68" i="3"/>
  <c r="AY69" i="3" s="1"/>
  <c r="X68" i="3"/>
  <c r="V68" i="3"/>
  <c r="T68" i="3"/>
  <c r="R68" i="3"/>
  <c r="L68" i="3"/>
  <c r="J68" i="3"/>
  <c r="I68" i="3"/>
  <c r="H68" i="3"/>
  <c r="G68" i="3"/>
  <c r="F68" i="3"/>
  <c r="D68" i="3"/>
  <c r="AZ67" i="3"/>
  <c r="AW67" i="3"/>
  <c r="X67" i="3"/>
  <c r="V67" i="3"/>
  <c r="T67" i="3"/>
  <c r="R67" i="3"/>
  <c r="L67" i="3"/>
  <c r="J67" i="3"/>
  <c r="I67" i="3"/>
  <c r="H67" i="3"/>
  <c r="G67" i="3"/>
  <c r="F67" i="3"/>
  <c r="D67" i="3"/>
  <c r="AZ66" i="3"/>
  <c r="AW66" i="3"/>
  <c r="AY66" i="3" s="1"/>
  <c r="V66" i="3"/>
  <c r="L66" i="3"/>
  <c r="J66" i="3"/>
  <c r="I66" i="3"/>
  <c r="H66" i="3"/>
  <c r="G66" i="3"/>
  <c r="F66" i="3"/>
  <c r="D66" i="3"/>
  <c r="BA65" i="3"/>
  <c r="AZ65" i="3"/>
  <c r="BA66" i="3" s="1"/>
  <c r="AW65" i="3"/>
  <c r="AY65" i="3" s="1"/>
  <c r="X65" i="3"/>
  <c r="V65" i="3"/>
  <c r="T65" i="3"/>
  <c r="R65" i="3"/>
  <c r="L65" i="3"/>
  <c r="J65" i="3"/>
  <c r="I65" i="3"/>
  <c r="H65" i="3"/>
  <c r="G65" i="3"/>
  <c r="AZ64" i="3"/>
  <c r="BA64" i="3" s="1"/>
  <c r="AW64" i="3"/>
  <c r="X64" i="3"/>
  <c r="V64" i="3"/>
  <c r="T64" i="3"/>
  <c r="R64" i="3"/>
  <c r="L64" i="3"/>
  <c r="J64" i="3"/>
  <c r="I64" i="3"/>
  <c r="H64" i="3"/>
  <c r="G64" i="3"/>
  <c r="F64" i="3"/>
  <c r="D64" i="3"/>
  <c r="AZ63" i="3"/>
  <c r="AW63" i="3"/>
  <c r="X63" i="3"/>
  <c r="V63" i="3"/>
  <c r="L63" i="3"/>
  <c r="J63" i="3"/>
  <c r="I63" i="3"/>
  <c r="H63" i="3"/>
  <c r="G63" i="3"/>
  <c r="F63" i="3"/>
  <c r="D63" i="3"/>
  <c r="AZ62" i="3"/>
  <c r="AW62" i="3"/>
  <c r="X62" i="3"/>
  <c r="V62" i="3"/>
  <c r="T62" i="3"/>
  <c r="R62" i="3"/>
  <c r="L62" i="3"/>
  <c r="J62" i="3"/>
  <c r="I62" i="3"/>
  <c r="H62" i="3"/>
  <c r="G62" i="3"/>
  <c r="F62" i="3"/>
  <c r="D62" i="3"/>
  <c r="AZ61" i="3"/>
  <c r="BA61" i="3" s="1"/>
  <c r="AW61" i="3"/>
  <c r="AY62" i="3" s="1"/>
  <c r="V61" i="3"/>
  <c r="L61" i="3"/>
  <c r="J61" i="3"/>
  <c r="I61" i="3"/>
  <c r="H61" i="3"/>
  <c r="G61" i="3"/>
  <c r="AZ60" i="3"/>
  <c r="AW60" i="3"/>
  <c r="AY60" i="3" s="1"/>
  <c r="X60" i="3"/>
  <c r="V60" i="3"/>
  <c r="T60" i="3"/>
  <c r="R60" i="3"/>
  <c r="L60" i="3"/>
  <c r="J60" i="3"/>
  <c r="I60" i="3"/>
  <c r="H60" i="3"/>
  <c r="G60" i="3"/>
  <c r="F60" i="3"/>
  <c r="D60" i="3"/>
  <c r="AZ59" i="3"/>
  <c r="AW59" i="3"/>
  <c r="X59" i="3"/>
  <c r="V59" i="3"/>
  <c r="T59" i="3"/>
  <c r="R59" i="3"/>
  <c r="L59" i="3"/>
  <c r="J59" i="3"/>
  <c r="I59" i="3"/>
  <c r="H59" i="3"/>
  <c r="G59" i="3"/>
  <c r="F59" i="3"/>
  <c r="D59" i="3"/>
  <c r="BA58" i="3"/>
  <c r="AZ58" i="3"/>
  <c r="AW58" i="3"/>
  <c r="X58" i="3"/>
  <c r="V58" i="3"/>
  <c r="T58" i="3"/>
  <c r="R58" i="3"/>
  <c r="N58" i="3"/>
  <c r="L58" i="3"/>
  <c r="J58" i="3"/>
  <c r="I58" i="3"/>
  <c r="H58" i="3"/>
  <c r="G58" i="3"/>
  <c r="F58" i="3"/>
  <c r="D58" i="3"/>
  <c r="BG57" i="3"/>
  <c r="AZ57" i="3"/>
  <c r="AW57" i="3"/>
  <c r="AY57" i="3" s="1"/>
  <c r="V57" i="3"/>
  <c r="L57" i="3"/>
  <c r="H57" i="3"/>
  <c r="G57" i="3"/>
  <c r="BA56" i="3"/>
  <c r="AZ56" i="3"/>
  <c r="BA57" i="3" s="1"/>
  <c r="AW56" i="3"/>
  <c r="AY56" i="3" s="1"/>
  <c r="X56" i="3"/>
  <c r="V56" i="3"/>
  <c r="T56" i="3"/>
  <c r="R56" i="3"/>
  <c r="L56" i="3"/>
  <c r="J56" i="3"/>
  <c r="I56" i="3"/>
  <c r="H56" i="3"/>
  <c r="G56" i="3"/>
  <c r="F56" i="3"/>
  <c r="D56" i="3"/>
  <c r="AZ55" i="3"/>
  <c r="BA55" i="3" s="1"/>
  <c r="AY55" i="3"/>
  <c r="AW55" i="3"/>
  <c r="X55" i="3"/>
  <c r="V55" i="3"/>
  <c r="T55" i="3"/>
  <c r="R55" i="3"/>
  <c r="N55" i="3"/>
  <c r="L55" i="3"/>
  <c r="J55" i="3"/>
  <c r="I55" i="3"/>
  <c r="H55" i="3"/>
  <c r="G55" i="3"/>
  <c r="F55" i="3"/>
  <c r="D55" i="3"/>
  <c r="BA54" i="3"/>
  <c r="AZ54" i="3"/>
  <c r="AW54" i="3"/>
  <c r="AY54" i="3" s="1"/>
  <c r="X54" i="3"/>
  <c r="V54" i="3"/>
  <c r="T54" i="3"/>
  <c r="R54" i="3"/>
  <c r="Z54" i="3" s="1"/>
  <c r="N54" i="3"/>
  <c r="L54" i="3"/>
  <c r="J54" i="3"/>
  <c r="I54" i="3"/>
  <c r="H54" i="3"/>
  <c r="G54" i="3"/>
  <c r="F54" i="3"/>
  <c r="D54" i="3"/>
  <c r="BG53" i="3"/>
  <c r="AZ53" i="3"/>
  <c r="BA53" i="3" s="1"/>
  <c r="AW53" i="3"/>
  <c r="X53" i="3"/>
  <c r="V53" i="3"/>
  <c r="T53" i="3"/>
  <c r="R53" i="3"/>
  <c r="L53" i="3"/>
  <c r="H53" i="3"/>
  <c r="G53" i="3"/>
  <c r="BB52" i="3"/>
  <c r="AZ52" i="3"/>
  <c r="BA52" i="3" s="1"/>
  <c r="AY52" i="3"/>
  <c r="AW52" i="3"/>
  <c r="AY53" i="3" s="1"/>
  <c r="X52" i="3"/>
  <c r="V52" i="3"/>
  <c r="T52" i="3"/>
  <c r="R52" i="3"/>
  <c r="L52" i="3"/>
  <c r="J52" i="3"/>
  <c r="I52" i="3"/>
  <c r="H52" i="3"/>
  <c r="G52" i="3"/>
  <c r="F52" i="3"/>
  <c r="D52" i="3"/>
  <c r="B52" i="3"/>
  <c r="B56" i="3" s="1"/>
  <c r="B60" i="3" s="1"/>
  <c r="B64" i="3" s="1"/>
  <c r="B68" i="3" s="1"/>
  <c r="B72" i="3" s="1"/>
  <c r="B76" i="3" s="1"/>
  <c r="B80" i="3" s="1"/>
  <c r="B84" i="3" s="1"/>
  <c r="B88" i="3" s="1"/>
  <c r="B92" i="3" s="1"/>
  <c r="B96" i="3" s="1"/>
  <c r="B100" i="3" s="1"/>
  <c r="B104" i="3" s="1"/>
  <c r="B108" i="3" s="1"/>
  <c r="B112" i="3" s="1"/>
  <c r="B116" i="3" s="1"/>
  <c r="BB51" i="3"/>
  <c r="BA51" i="3"/>
  <c r="AZ51" i="3"/>
  <c r="AW51" i="3"/>
  <c r="AY51" i="3" s="1"/>
  <c r="X51" i="3"/>
  <c r="V51" i="3"/>
  <c r="T51" i="3"/>
  <c r="R51" i="3"/>
  <c r="Z51" i="3" s="1"/>
  <c r="N51" i="3"/>
  <c r="L51" i="3"/>
  <c r="J51" i="3"/>
  <c r="I51" i="3"/>
  <c r="H51" i="3"/>
  <c r="G51" i="3"/>
  <c r="F51" i="3"/>
  <c r="D51" i="3"/>
  <c r="BB50" i="3"/>
  <c r="AZ50" i="3"/>
  <c r="BA50" i="3" s="1"/>
  <c r="AY50" i="3"/>
  <c r="AW50" i="3"/>
  <c r="X50" i="3"/>
  <c r="V50" i="3"/>
  <c r="T50" i="3"/>
  <c r="R50" i="3"/>
  <c r="Z50" i="3" s="1"/>
  <c r="N50" i="3"/>
  <c r="L50" i="3"/>
  <c r="J50" i="3"/>
  <c r="I50" i="3"/>
  <c r="H50" i="3"/>
  <c r="G50" i="3"/>
  <c r="F50" i="3"/>
  <c r="D50" i="3"/>
  <c r="BG49" i="3"/>
  <c r="AZ49" i="3"/>
  <c r="AW49" i="3"/>
  <c r="AY49" i="3" s="1"/>
  <c r="X49" i="3"/>
  <c r="V49" i="3"/>
  <c r="T49" i="3"/>
  <c r="R49" i="3"/>
  <c r="L49" i="3"/>
  <c r="H49" i="3"/>
  <c r="G49" i="3"/>
  <c r="BB48" i="3"/>
  <c r="BA48" i="3"/>
  <c r="AZ48" i="3"/>
  <c r="BA49" i="3" s="1"/>
  <c r="AW48" i="3"/>
  <c r="AY48" i="3" s="1"/>
  <c r="X48" i="3"/>
  <c r="V48" i="3"/>
  <c r="T48" i="3"/>
  <c r="R48" i="3"/>
  <c r="L48" i="3"/>
  <c r="J48" i="3"/>
  <c r="I48" i="3"/>
  <c r="H48" i="3"/>
  <c r="G48" i="3"/>
  <c r="F48" i="3"/>
  <c r="D48" i="3"/>
  <c r="BB47" i="3"/>
  <c r="AZ47" i="3"/>
  <c r="BA47" i="3" s="1"/>
  <c r="AY47" i="3"/>
  <c r="AW47" i="3"/>
  <c r="X47" i="3"/>
  <c r="V47" i="3"/>
  <c r="T47" i="3"/>
  <c r="R47" i="3"/>
  <c r="N47" i="3"/>
  <c r="L47" i="3"/>
  <c r="J47" i="3"/>
  <c r="I47" i="3"/>
  <c r="H47" i="3"/>
  <c r="G47" i="3"/>
  <c r="F47" i="3"/>
  <c r="D47" i="3"/>
  <c r="BB46" i="3"/>
  <c r="AZ46" i="3"/>
  <c r="AW46" i="3"/>
  <c r="AY46" i="3" s="1"/>
  <c r="X46" i="3"/>
  <c r="V46" i="3"/>
  <c r="T46" i="3"/>
  <c r="R46" i="3"/>
  <c r="N46" i="3"/>
  <c r="L46" i="3"/>
  <c r="J46" i="3"/>
  <c r="I46" i="3"/>
  <c r="H46" i="3"/>
  <c r="G46" i="3"/>
  <c r="F46" i="3"/>
  <c r="D46" i="3"/>
  <c r="BG45" i="3"/>
  <c r="AZ45" i="3"/>
  <c r="AY45" i="3"/>
  <c r="AW45" i="3"/>
  <c r="X45" i="3"/>
  <c r="V45" i="3"/>
  <c r="T45" i="3"/>
  <c r="R45" i="3"/>
  <c r="L45" i="3"/>
  <c r="H45" i="3"/>
  <c r="G45" i="3"/>
  <c r="BB44" i="3"/>
  <c r="AZ44" i="3"/>
  <c r="BA44" i="3" s="1"/>
  <c r="AW44" i="3"/>
  <c r="X44" i="3"/>
  <c r="V44" i="3"/>
  <c r="T44" i="3"/>
  <c r="R44" i="3"/>
  <c r="L44" i="3"/>
  <c r="J44" i="3"/>
  <c r="I44" i="3"/>
  <c r="H44" i="3"/>
  <c r="G44" i="3"/>
  <c r="F44" i="3"/>
  <c r="D44" i="3"/>
  <c r="BB43" i="3"/>
  <c r="AZ43" i="3"/>
  <c r="AW43" i="3"/>
  <c r="X43" i="3"/>
  <c r="V43" i="3"/>
  <c r="T43" i="3"/>
  <c r="R43" i="3"/>
  <c r="N43" i="3"/>
  <c r="L43" i="3"/>
  <c r="J43" i="3"/>
  <c r="I43" i="3"/>
  <c r="H43" i="3"/>
  <c r="G43" i="3"/>
  <c r="F43" i="3"/>
  <c r="D43" i="3"/>
  <c r="BB42" i="3"/>
  <c r="AZ42" i="3"/>
  <c r="AW42" i="3"/>
  <c r="X42" i="3"/>
  <c r="V42" i="3"/>
  <c r="T42" i="3"/>
  <c r="R42" i="3"/>
  <c r="L42" i="3"/>
  <c r="J42" i="3"/>
  <c r="I42" i="3"/>
  <c r="H42" i="3"/>
  <c r="G42" i="3"/>
  <c r="F42" i="3"/>
  <c r="D42" i="3"/>
  <c r="BG41" i="3"/>
  <c r="AZ41" i="3"/>
  <c r="BA41" i="3" s="1"/>
  <c r="AY41" i="3"/>
  <c r="AW41" i="3"/>
  <c r="AY42" i="3" s="1"/>
  <c r="X41" i="3"/>
  <c r="V41" i="3"/>
  <c r="T41" i="3"/>
  <c r="R41" i="3"/>
  <c r="Z41" i="3" s="1"/>
  <c r="N41" i="3"/>
  <c r="L41" i="3"/>
  <c r="J41" i="3"/>
  <c r="I41" i="3"/>
  <c r="H41" i="3"/>
  <c r="G41" i="3"/>
  <c r="F41" i="3"/>
  <c r="D41" i="3"/>
  <c r="BB40" i="3"/>
  <c r="AZ40" i="3"/>
  <c r="AW40" i="3"/>
  <c r="AY40" i="3" s="1"/>
  <c r="AB40" i="3"/>
  <c r="X40" i="3"/>
  <c r="V40" i="3"/>
  <c r="T40" i="3"/>
  <c r="R40" i="3"/>
  <c r="Z40" i="3" s="1"/>
  <c r="P40" i="3"/>
  <c r="N40" i="3"/>
  <c r="L40" i="3"/>
  <c r="J40" i="3"/>
  <c r="I40" i="3"/>
  <c r="H40" i="3"/>
  <c r="G40" i="3"/>
  <c r="F40" i="3"/>
  <c r="D40" i="3"/>
  <c r="BB39" i="3"/>
  <c r="AZ39" i="3"/>
  <c r="AW39" i="3"/>
  <c r="X39" i="3"/>
  <c r="V39" i="3"/>
  <c r="T39" i="3"/>
  <c r="R39" i="3"/>
  <c r="Z39" i="3" s="1"/>
  <c r="N39" i="3"/>
  <c r="L39" i="3"/>
  <c r="J39" i="3"/>
  <c r="I39" i="3"/>
  <c r="H39" i="3"/>
  <c r="G39" i="3"/>
  <c r="F39" i="3"/>
  <c r="D39" i="3"/>
  <c r="BB38" i="3"/>
  <c r="AZ38" i="3"/>
  <c r="AW38" i="3"/>
  <c r="X38" i="3"/>
  <c r="V38" i="3"/>
  <c r="T38" i="3"/>
  <c r="R38" i="3"/>
  <c r="L38" i="3"/>
  <c r="J38" i="3"/>
  <c r="I38" i="3"/>
  <c r="H38" i="3"/>
  <c r="G38" i="3"/>
  <c r="F38" i="3"/>
  <c r="D38" i="3"/>
  <c r="AZ37" i="3"/>
  <c r="AW37" i="3"/>
  <c r="X37" i="3"/>
  <c r="V37" i="3"/>
  <c r="T37" i="3"/>
  <c r="R37" i="3"/>
  <c r="Z37" i="3" s="1"/>
  <c r="N37" i="3"/>
  <c r="L37" i="3"/>
  <c r="J37" i="3"/>
  <c r="I37" i="3"/>
  <c r="H37" i="3"/>
  <c r="G37" i="3"/>
  <c r="F37" i="3"/>
  <c r="D37" i="3"/>
  <c r="AZ36" i="3"/>
  <c r="AW36" i="3"/>
  <c r="X36" i="3"/>
  <c r="V36" i="3"/>
  <c r="T36" i="3"/>
  <c r="R36" i="3"/>
  <c r="Z36" i="3" s="1"/>
  <c r="N36" i="3"/>
  <c r="L36" i="3"/>
  <c r="J36" i="3"/>
  <c r="I36" i="3"/>
  <c r="H36" i="3"/>
  <c r="G36" i="3"/>
  <c r="F36" i="3"/>
  <c r="D36" i="3"/>
  <c r="BG35" i="3"/>
  <c r="AZ35" i="3"/>
  <c r="AY35" i="3"/>
  <c r="AW35" i="3"/>
  <c r="X35" i="3"/>
  <c r="V35" i="3"/>
  <c r="T35" i="3"/>
  <c r="R35" i="3"/>
  <c r="Z35" i="3" s="1"/>
  <c r="N35" i="3"/>
  <c r="L35" i="3"/>
  <c r="J35" i="3"/>
  <c r="I35" i="3"/>
  <c r="H35" i="3"/>
  <c r="G35" i="3"/>
  <c r="F35" i="3"/>
  <c r="D35" i="3"/>
  <c r="AZ34" i="3"/>
  <c r="AW34" i="3"/>
  <c r="AY34" i="3" s="1"/>
  <c r="X34" i="3"/>
  <c r="V34" i="3"/>
  <c r="T34" i="3"/>
  <c r="R34" i="3"/>
  <c r="L34" i="3"/>
  <c r="J34" i="3"/>
  <c r="I34" i="3"/>
  <c r="H34" i="3"/>
  <c r="G34" i="3"/>
  <c r="F34" i="3"/>
  <c r="D34" i="3"/>
  <c r="AZ33" i="3"/>
  <c r="AW33" i="3"/>
  <c r="X33" i="3"/>
  <c r="V33" i="3"/>
  <c r="T33" i="3"/>
  <c r="R33" i="3"/>
  <c r="Z33" i="3" s="1"/>
  <c r="N33" i="3"/>
  <c r="L33" i="3"/>
  <c r="J33" i="3"/>
  <c r="I33" i="3"/>
  <c r="H33" i="3"/>
  <c r="G33" i="3"/>
  <c r="F33" i="3"/>
  <c r="D33" i="3"/>
  <c r="BB32" i="3"/>
  <c r="AZ32" i="3"/>
  <c r="AW32" i="3"/>
  <c r="AF32" i="3"/>
  <c r="X32" i="3"/>
  <c r="V32" i="3"/>
  <c r="T32" i="3"/>
  <c r="AB32" i="3" s="1"/>
  <c r="R32" i="3"/>
  <c r="Z32" i="3" s="1"/>
  <c r="P32" i="3"/>
  <c r="N32" i="3"/>
  <c r="L32" i="3"/>
  <c r="J32" i="3"/>
  <c r="I32" i="3"/>
  <c r="H32" i="3"/>
  <c r="G32" i="3"/>
  <c r="F32" i="3"/>
  <c r="D32" i="3"/>
  <c r="BE31" i="3"/>
  <c r="BD31" i="3"/>
  <c r="BC31" i="3"/>
  <c r="BB31" i="3"/>
  <c r="BA31" i="3"/>
  <c r="AZ31" i="3"/>
  <c r="BA32" i="3" s="1"/>
  <c r="AW31" i="3"/>
  <c r="AY31" i="3" s="1"/>
  <c r="AF31" i="3"/>
  <c r="AE31" i="3"/>
  <c r="AG31" i="3" s="1"/>
  <c r="X31" i="3"/>
  <c r="V31" i="3"/>
  <c r="T31" i="3"/>
  <c r="R31" i="3"/>
  <c r="Z31" i="3" s="1"/>
  <c r="N31" i="3"/>
  <c r="L31" i="3"/>
  <c r="J31" i="3"/>
  <c r="I31" i="3"/>
  <c r="H31" i="3"/>
  <c r="G31" i="3"/>
  <c r="F31" i="3"/>
  <c r="D31" i="3"/>
  <c r="BD30" i="3"/>
  <c r="BC30" i="3"/>
  <c r="BC32" i="3" s="1"/>
  <c r="BC33" i="3" s="1"/>
  <c r="BB30" i="3"/>
  <c r="BA30" i="3"/>
  <c r="AZ30" i="3"/>
  <c r="AW30" i="3"/>
  <c r="AY30" i="3" s="1"/>
  <c r="AG30" i="3"/>
  <c r="AF30" i="3"/>
  <c r="AE30" i="3"/>
  <c r="X30" i="3"/>
  <c r="V30" i="3"/>
  <c r="T30" i="3"/>
  <c r="R30" i="3"/>
  <c r="L30" i="3"/>
  <c r="J30" i="3"/>
  <c r="I30" i="3"/>
  <c r="H30" i="3"/>
  <c r="G30" i="3"/>
  <c r="F30" i="3"/>
  <c r="D30" i="3"/>
  <c r="BC29" i="3"/>
  <c r="BB29" i="3"/>
  <c r="BG29" i="3" s="1"/>
  <c r="AZ29" i="3"/>
  <c r="BA29" i="3" s="1"/>
  <c r="AY29" i="3"/>
  <c r="AW29" i="3"/>
  <c r="AM29" i="3"/>
  <c r="AF29" i="3"/>
  <c r="AE29" i="3"/>
  <c r="X29" i="3"/>
  <c r="V29" i="3"/>
  <c r="T29" i="3"/>
  <c r="R29" i="3"/>
  <c r="N29" i="3"/>
  <c r="L29" i="3"/>
  <c r="J29" i="3"/>
  <c r="I29" i="3"/>
  <c r="H29" i="3"/>
  <c r="G29" i="3"/>
  <c r="F29" i="3"/>
  <c r="D29" i="3"/>
  <c r="C29" i="3"/>
  <c r="BD28" i="3"/>
  <c r="BE28" i="3" s="1"/>
  <c r="BC28" i="3"/>
  <c r="BB28" i="3"/>
  <c r="AZ28" i="3"/>
  <c r="BA28" i="3" s="1"/>
  <c r="AY28" i="3"/>
  <c r="AW28" i="3"/>
  <c r="AM28" i="3"/>
  <c r="AF28" i="3"/>
  <c r="AE28" i="3"/>
  <c r="AG28" i="3" s="1"/>
  <c r="X28" i="3"/>
  <c r="V28" i="3"/>
  <c r="T28" i="3"/>
  <c r="R28" i="3"/>
  <c r="Z28" i="3" s="1"/>
  <c r="N28" i="3"/>
  <c r="L28" i="3"/>
  <c r="J28" i="3"/>
  <c r="I28" i="3"/>
  <c r="H28" i="3"/>
  <c r="G28" i="3"/>
  <c r="F28" i="3"/>
  <c r="D28" i="3"/>
  <c r="BD27" i="3"/>
  <c r="BC27" i="3"/>
  <c r="BB27" i="3"/>
  <c r="BA27" i="3"/>
  <c r="AZ27" i="3"/>
  <c r="AW27" i="3"/>
  <c r="AM27" i="3"/>
  <c r="AF27" i="3"/>
  <c r="AE27" i="3"/>
  <c r="AG27" i="3" s="1"/>
  <c r="X27" i="3"/>
  <c r="V27" i="3"/>
  <c r="T27" i="3"/>
  <c r="R27" i="3"/>
  <c r="Z27" i="3" s="1"/>
  <c r="N27" i="3"/>
  <c r="L27" i="3"/>
  <c r="J27" i="3"/>
  <c r="I27" i="3"/>
  <c r="H27" i="3"/>
  <c r="G27" i="3"/>
  <c r="F27" i="3"/>
  <c r="D27" i="3"/>
  <c r="C27" i="3" s="1"/>
  <c r="BC26" i="3"/>
  <c r="BB26" i="3"/>
  <c r="BD26" i="3" s="1"/>
  <c r="AZ26" i="3"/>
  <c r="AW26" i="3"/>
  <c r="AY26" i="3" s="1"/>
  <c r="AM26" i="3"/>
  <c r="AF26" i="3"/>
  <c r="AE26" i="3"/>
  <c r="X26" i="3"/>
  <c r="V26" i="3"/>
  <c r="T26" i="3"/>
  <c r="R26" i="3"/>
  <c r="L26" i="3"/>
  <c r="J26" i="3"/>
  <c r="I26" i="3"/>
  <c r="H26" i="3"/>
  <c r="G26" i="3"/>
  <c r="F26" i="3"/>
  <c r="D26" i="3"/>
  <c r="C26" i="3"/>
  <c r="BD25" i="3"/>
  <c r="BC25" i="3"/>
  <c r="BB25" i="3"/>
  <c r="AZ25" i="3"/>
  <c r="AW25" i="3"/>
  <c r="AM25" i="3"/>
  <c r="AF25" i="3"/>
  <c r="AE25" i="3"/>
  <c r="X25" i="3"/>
  <c r="V25" i="3"/>
  <c r="T25" i="3"/>
  <c r="R25" i="3"/>
  <c r="N25" i="3"/>
  <c r="L25" i="3"/>
  <c r="J25" i="3"/>
  <c r="I25" i="3"/>
  <c r="H25" i="3"/>
  <c r="G25" i="3"/>
  <c r="F25" i="3"/>
  <c r="D25" i="3"/>
  <c r="BC24" i="3"/>
  <c r="BB24" i="3"/>
  <c r="BD24" i="3" s="1"/>
  <c r="BE24" i="3" s="1"/>
  <c r="AZ24" i="3"/>
  <c r="BA24" i="3" s="1"/>
  <c r="AW24" i="3"/>
  <c r="AY25" i="3" s="1"/>
  <c r="AM24" i="3"/>
  <c r="AG24" i="3"/>
  <c r="AF24" i="3"/>
  <c r="AE24" i="3"/>
  <c r="X24" i="3"/>
  <c r="V24" i="3"/>
  <c r="T24" i="3"/>
  <c r="R24" i="3"/>
  <c r="Z24" i="3" s="1"/>
  <c r="N24" i="3"/>
  <c r="L24" i="3"/>
  <c r="J24" i="3"/>
  <c r="I24" i="3"/>
  <c r="H24" i="3"/>
  <c r="G24" i="3"/>
  <c r="F24" i="3"/>
  <c r="D24" i="3"/>
  <c r="BC23" i="3"/>
  <c r="BB23" i="3"/>
  <c r="BD23" i="3" s="1"/>
  <c r="BE23" i="3" s="1"/>
  <c r="AZ23" i="3"/>
  <c r="AW23" i="3"/>
  <c r="AY23" i="3" s="1"/>
  <c r="AM23" i="3"/>
  <c r="AF23" i="3"/>
  <c r="AE23" i="3"/>
  <c r="AG23" i="3" s="1"/>
  <c r="BI16" i="3" s="1"/>
  <c r="X23" i="3"/>
  <c r="V23" i="3"/>
  <c r="T23" i="3"/>
  <c r="R23" i="3"/>
  <c r="Z23" i="3" s="1"/>
  <c r="N23" i="3"/>
  <c r="L23" i="3"/>
  <c r="J23" i="3"/>
  <c r="I23" i="3"/>
  <c r="H23" i="3"/>
  <c r="G23" i="3"/>
  <c r="F23" i="3"/>
  <c r="D23" i="3"/>
  <c r="BD22" i="3"/>
  <c r="BC22" i="3"/>
  <c r="BB22" i="3"/>
  <c r="BA22" i="3"/>
  <c r="AZ22" i="3"/>
  <c r="BA23" i="3" s="1"/>
  <c r="AW22" i="3"/>
  <c r="AY22" i="3" s="1"/>
  <c r="AM22" i="3"/>
  <c r="AF22" i="3"/>
  <c r="AE22" i="3"/>
  <c r="AG22" i="3" s="1"/>
  <c r="BI15" i="3" s="1"/>
  <c r="X22" i="3"/>
  <c r="V22" i="3"/>
  <c r="T22" i="3"/>
  <c r="R22" i="3"/>
  <c r="Z22" i="3" s="1"/>
  <c r="N22" i="3"/>
  <c r="L22" i="3"/>
  <c r="J22" i="3"/>
  <c r="I22" i="3"/>
  <c r="H22" i="3"/>
  <c r="G22" i="3"/>
  <c r="F22" i="3"/>
  <c r="D22" i="3"/>
  <c r="BD21" i="3"/>
  <c r="BE21" i="3" s="1"/>
  <c r="BC21" i="3"/>
  <c r="BB21" i="3"/>
  <c r="AZ21" i="3"/>
  <c r="BA21" i="3" s="1"/>
  <c r="AW21" i="3"/>
  <c r="AM21" i="3"/>
  <c r="AF21" i="3"/>
  <c r="AE21" i="3"/>
  <c r="X21" i="3"/>
  <c r="V21" i="3"/>
  <c r="N21" i="3"/>
  <c r="L21" i="3"/>
  <c r="J21" i="3"/>
  <c r="I21" i="3"/>
  <c r="H21" i="3"/>
  <c r="G21" i="3"/>
  <c r="F21" i="3"/>
  <c r="D21" i="3"/>
  <c r="B21" i="3"/>
  <c r="B25" i="3" s="1"/>
  <c r="B29" i="3" s="1"/>
  <c r="B33" i="3" s="1"/>
  <c r="B37" i="3" s="1"/>
  <c r="B41" i="3" s="1"/>
  <c r="B45" i="3" s="1"/>
  <c r="B49" i="3" s="1"/>
  <c r="B53" i="3" s="1"/>
  <c r="B57" i="3" s="1"/>
  <c r="B61" i="3" s="1"/>
  <c r="B65" i="3" s="1"/>
  <c r="B69" i="3" s="1"/>
  <c r="B73" i="3" s="1"/>
  <c r="B77" i="3" s="1"/>
  <c r="B81" i="3" s="1"/>
  <c r="B85" i="3" s="1"/>
  <c r="B89" i="3" s="1"/>
  <c r="B93" i="3" s="1"/>
  <c r="B97" i="3" s="1"/>
  <c r="B101" i="3" s="1"/>
  <c r="B105" i="3" s="1"/>
  <c r="B109" i="3" s="1"/>
  <c r="B113" i="3" s="1"/>
  <c r="B117" i="3" s="1"/>
  <c r="A21" i="3"/>
  <c r="A25" i="3" s="1"/>
  <c r="A29" i="3" s="1"/>
  <c r="A33" i="3" s="1"/>
  <c r="A37" i="3" s="1"/>
  <c r="A41" i="3" s="1"/>
  <c r="A45" i="3" s="1"/>
  <c r="A49" i="3" s="1"/>
  <c r="A53" i="3" s="1"/>
  <c r="A57" i="3" s="1"/>
  <c r="A61" i="3" s="1"/>
  <c r="A65" i="3" s="1"/>
  <c r="A69" i="3" s="1"/>
  <c r="A73" i="3" s="1"/>
  <c r="A77" i="3" s="1"/>
  <c r="A81" i="3" s="1"/>
  <c r="A85" i="3" s="1"/>
  <c r="A89" i="3" s="1"/>
  <c r="A93" i="3" s="1"/>
  <c r="A97" i="3" s="1"/>
  <c r="A101" i="3" s="1"/>
  <c r="A105" i="3" s="1"/>
  <c r="A109" i="3" s="1"/>
  <c r="A113" i="3" s="1"/>
  <c r="A117" i="3" s="1"/>
  <c r="BC20" i="3"/>
  <c r="BB20" i="3"/>
  <c r="BD20" i="3" s="1"/>
  <c r="AZ20" i="3"/>
  <c r="BA20" i="3" s="1"/>
  <c r="AW20" i="3"/>
  <c r="AY21" i="3" s="1"/>
  <c r="AM20" i="3"/>
  <c r="AG20" i="3"/>
  <c r="AF20" i="3"/>
  <c r="AE20" i="3"/>
  <c r="X20" i="3"/>
  <c r="V20" i="3"/>
  <c r="T20" i="3"/>
  <c r="R20" i="3"/>
  <c r="Z20" i="3" s="1"/>
  <c r="N20" i="3"/>
  <c r="L20" i="3"/>
  <c r="J20" i="3"/>
  <c r="I20" i="3"/>
  <c r="H20" i="3"/>
  <c r="G20" i="3"/>
  <c r="F20" i="3"/>
  <c r="D20" i="3"/>
  <c r="B20" i="3"/>
  <c r="B24" i="3" s="1"/>
  <c r="B28" i="3" s="1"/>
  <c r="B32" i="3" s="1"/>
  <c r="B36" i="3" s="1"/>
  <c r="B40" i="3" s="1"/>
  <c r="B44" i="3" s="1"/>
  <c r="B48" i="3" s="1"/>
  <c r="A20" i="3"/>
  <c r="A24" i="3" s="1"/>
  <c r="A28" i="3" s="1"/>
  <c r="A32" i="3" s="1"/>
  <c r="A36" i="3" s="1"/>
  <c r="A40" i="3" s="1"/>
  <c r="A44" i="3" s="1"/>
  <c r="A48" i="3" s="1"/>
  <c r="A52" i="3" s="1"/>
  <c r="A56" i="3" s="1"/>
  <c r="A60" i="3" s="1"/>
  <c r="A64" i="3" s="1"/>
  <c r="A68" i="3" s="1"/>
  <c r="A72" i="3" s="1"/>
  <c r="A76" i="3" s="1"/>
  <c r="A80" i="3" s="1"/>
  <c r="A84" i="3" s="1"/>
  <c r="A88" i="3" s="1"/>
  <c r="A92" i="3" s="1"/>
  <c r="A96" i="3" s="1"/>
  <c r="A100" i="3" s="1"/>
  <c r="A104" i="3" s="1"/>
  <c r="A108" i="3" s="1"/>
  <c r="A112" i="3" s="1"/>
  <c r="A116" i="3" s="1"/>
  <c r="BC19" i="3"/>
  <c r="BB19" i="3"/>
  <c r="BD19" i="3" s="1"/>
  <c r="AZ19" i="3"/>
  <c r="AW19" i="3"/>
  <c r="AM19" i="3"/>
  <c r="AF19" i="3"/>
  <c r="AE19" i="3"/>
  <c r="AG19" i="3" s="1"/>
  <c r="X19" i="3"/>
  <c r="V19" i="3"/>
  <c r="R19" i="3"/>
  <c r="L19" i="3"/>
  <c r="H19" i="3"/>
  <c r="G19" i="3"/>
  <c r="B19" i="3"/>
  <c r="B23" i="3" s="1"/>
  <c r="B27" i="3" s="1"/>
  <c r="B31" i="3" s="1"/>
  <c r="B35" i="3" s="1"/>
  <c r="B39" i="3" s="1"/>
  <c r="B43" i="3" s="1"/>
  <c r="B47" i="3" s="1"/>
  <c r="B51" i="3" s="1"/>
  <c r="B55" i="3" s="1"/>
  <c r="B59" i="3" s="1"/>
  <c r="B63" i="3" s="1"/>
  <c r="B67" i="3" s="1"/>
  <c r="B71" i="3" s="1"/>
  <c r="B75" i="3" s="1"/>
  <c r="B79" i="3" s="1"/>
  <c r="B83" i="3" s="1"/>
  <c r="B87" i="3" s="1"/>
  <c r="B91" i="3" s="1"/>
  <c r="B95" i="3" s="1"/>
  <c r="B99" i="3" s="1"/>
  <c r="B103" i="3" s="1"/>
  <c r="B107" i="3" s="1"/>
  <c r="B111" i="3" s="1"/>
  <c r="B115" i="3" s="1"/>
  <c r="A19" i="3"/>
  <c r="A23" i="3" s="1"/>
  <c r="A27" i="3" s="1"/>
  <c r="A31" i="3" s="1"/>
  <c r="A35" i="3" s="1"/>
  <c r="A39" i="3" s="1"/>
  <c r="A43" i="3" s="1"/>
  <c r="A47" i="3" s="1"/>
  <c r="A51" i="3" s="1"/>
  <c r="A55" i="3" s="1"/>
  <c r="A59" i="3" s="1"/>
  <c r="A63" i="3" s="1"/>
  <c r="A67" i="3" s="1"/>
  <c r="A71" i="3" s="1"/>
  <c r="A75" i="3" s="1"/>
  <c r="A79" i="3" s="1"/>
  <c r="A83" i="3" s="1"/>
  <c r="A87" i="3" s="1"/>
  <c r="A91" i="3" s="1"/>
  <c r="A95" i="3" s="1"/>
  <c r="A99" i="3" s="1"/>
  <c r="A103" i="3" s="1"/>
  <c r="A107" i="3" s="1"/>
  <c r="A111" i="3" s="1"/>
  <c r="A115" i="3" s="1"/>
  <c r="BD18" i="3"/>
  <c r="BC18" i="3"/>
  <c r="BB18" i="3"/>
  <c r="AZ18" i="3"/>
  <c r="AW18" i="3"/>
  <c r="AM18" i="3"/>
  <c r="AF18" i="3"/>
  <c r="AE18" i="3"/>
  <c r="X18" i="3"/>
  <c r="V18" i="3"/>
  <c r="T18" i="3"/>
  <c r="R18" i="3"/>
  <c r="N18" i="3"/>
  <c r="L18" i="3"/>
  <c r="J18" i="3"/>
  <c r="I18" i="3"/>
  <c r="H18" i="3"/>
  <c r="G18" i="3"/>
  <c r="F18" i="3"/>
  <c r="D18" i="3"/>
  <c r="B18" i="3"/>
  <c r="B22" i="3" s="1"/>
  <c r="B26" i="3" s="1"/>
  <c r="B30" i="3" s="1"/>
  <c r="B34" i="3" s="1"/>
  <c r="B38" i="3" s="1"/>
  <c r="B42" i="3" s="1"/>
  <c r="B46" i="3" s="1"/>
  <c r="B50" i="3" s="1"/>
  <c r="B54" i="3" s="1"/>
  <c r="B58" i="3" s="1"/>
  <c r="B62" i="3" s="1"/>
  <c r="B66" i="3" s="1"/>
  <c r="B70" i="3" s="1"/>
  <c r="B74" i="3" s="1"/>
  <c r="B78" i="3" s="1"/>
  <c r="B82" i="3" s="1"/>
  <c r="B86" i="3" s="1"/>
  <c r="B90" i="3" s="1"/>
  <c r="B94" i="3" s="1"/>
  <c r="B98" i="3" s="1"/>
  <c r="B102" i="3" s="1"/>
  <c r="B106" i="3" s="1"/>
  <c r="B110" i="3" s="1"/>
  <c r="B114" i="3" s="1"/>
  <c r="A18" i="3"/>
  <c r="A22" i="3" s="1"/>
  <c r="A26" i="3" s="1"/>
  <c r="A30" i="3" s="1"/>
  <c r="A34" i="3" s="1"/>
  <c r="A38" i="3" s="1"/>
  <c r="A42" i="3" s="1"/>
  <c r="A46" i="3" s="1"/>
  <c r="A50" i="3" s="1"/>
  <c r="A54" i="3" s="1"/>
  <c r="A58" i="3" s="1"/>
  <c r="A62" i="3" s="1"/>
  <c r="A66" i="3" s="1"/>
  <c r="A70" i="3" s="1"/>
  <c r="A74" i="3" s="1"/>
  <c r="A78" i="3" s="1"/>
  <c r="A82" i="3" s="1"/>
  <c r="A86" i="3" s="1"/>
  <c r="A90" i="3" s="1"/>
  <c r="A94" i="3" s="1"/>
  <c r="A98" i="3" s="1"/>
  <c r="A102" i="3" s="1"/>
  <c r="A106" i="3" s="1"/>
  <c r="A110" i="3" s="1"/>
  <c r="A114" i="3" s="1"/>
  <c r="AZ17" i="3"/>
  <c r="AY17" i="3"/>
  <c r="AW17" i="3"/>
  <c r="AY18" i="3" s="1"/>
  <c r="AM17" i="3"/>
  <c r="AG17" i="3"/>
  <c r="AF17" i="3"/>
  <c r="AE17" i="3"/>
  <c r="AD17" i="3"/>
  <c r="X17" i="3"/>
  <c r="V17" i="3"/>
  <c r="T17" i="3"/>
  <c r="R17" i="3"/>
  <c r="L17" i="3"/>
  <c r="J17" i="3"/>
  <c r="I17" i="3"/>
  <c r="H17" i="3"/>
  <c r="G17" i="3"/>
  <c r="AZ16" i="3"/>
  <c r="BA16" i="3" s="1"/>
  <c r="AY16" i="3"/>
  <c r="AW16" i="3"/>
  <c r="AM16" i="3"/>
  <c r="AF16" i="3"/>
  <c r="AE16" i="3"/>
  <c r="AD16" i="3"/>
  <c r="X16" i="3"/>
  <c r="V16" i="3"/>
  <c r="T16" i="3"/>
  <c r="R16" i="3"/>
  <c r="L16" i="3"/>
  <c r="J16" i="3"/>
  <c r="I16" i="3"/>
  <c r="H16" i="3"/>
  <c r="G16" i="3"/>
  <c r="F16" i="3"/>
  <c r="BA15" i="3"/>
  <c r="AZ15" i="3"/>
  <c r="AW15" i="3"/>
  <c r="AY15" i="3" s="1"/>
  <c r="AM15" i="3"/>
  <c r="AF15" i="3"/>
  <c r="AE15" i="3"/>
  <c r="AG15" i="3" s="1"/>
  <c r="BI8" i="3" s="1"/>
  <c r="AD15" i="3"/>
  <c r="X15" i="3"/>
  <c r="V15" i="3"/>
  <c r="T15" i="3"/>
  <c r="R15" i="3"/>
  <c r="Z15" i="3" s="1"/>
  <c r="N15" i="3"/>
  <c r="L15" i="3"/>
  <c r="J15" i="3"/>
  <c r="I15" i="3"/>
  <c r="H15" i="3"/>
  <c r="G15" i="3"/>
  <c r="F15" i="3"/>
  <c r="D15" i="3"/>
  <c r="AZ14" i="3"/>
  <c r="AW14" i="3"/>
  <c r="AY14" i="3" s="1"/>
  <c r="AM14" i="3"/>
  <c r="AF14" i="3"/>
  <c r="AE14" i="3"/>
  <c r="AG14" i="3" s="1"/>
  <c r="BI7" i="3" s="1"/>
  <c r="AD14" i="3"/>
  <c r="X14" i="3"/>
  <c r="V14" i="3"/>
  <c r="T14" i="3"/>
  <c r="R14" i="3"/>
  <c r="Z14" i="3" s="1"/>
  <c r="N14" i="3"/>
  <c r="L14" i="3"/>
  <c r="J14" i="3"/>
  <c r="I14" i="3"/>
  <c r="G14" i="3"/>
  <c r="F14" i="3"/>
  <c r="D14" i="3"/>
  <c r="BI13" i="3"/>
  <c r="AM13" i="3"/>
  <c r="AX12" i="3"/>
  <c r="AM12" i="3"/>
  <c r="AX11" i="3"/>
  <c r="AM11" i="3"/>
  <c r="AX10" i="3"/>
  <c r="AM10" i="3"/>
  <c r="AX9" i="3"/>
  <c r="AM9" i="3"/>
  <c r="BJ8" i="3"/>
  <c r="BJ9" i="3" s="1"/>
  <c r="BJ10" i="3" s="1"/>
  <c r="BJ11" i="3" s="1"/>
  <c r="BJ12" i="3" s="1"/>
  <c r="BJ13" i="3" s="1"/>
  <c r="BJ14" i="3" s="1"/>
  <c r="BJ15" i="3" s="1"/>
  <c r="BJ16" i="3" s="1"/>
  <c r="BJ17" i="3" s="1"/>
  <c r="BJ18" i="3" s="1"/>
  <c r="BJ19" i="3" s="1"/>
  <c r="BJ20" i="3" s="1"/>
  <c r="BJ21" i="3" s="1"/>
  <c r="BJ22" i="3" s="1"/>
  <c r="BJ23" i="3" s="1"/>
  <c r="BJ24" i="3" s="1"/>
  <c r="BJ25" i="3" s="1"/>
  <c r="BJ26" i="3" s="1"/>
  <c r="BJ27" i="3" s="1"/>
  <c r="BJ28" i="3" s="1"/>
  <c r="BJ29" i="3" s="1"/>
  <c r="AX8" i="3"/>
  <c r="AP8" i="3"/>
  <c r="AM8" i="3"/>
  <c r="AK8" i="3"/>
  <c r="AK9" i="3" s="1"/>
  <c r="AK10" i="3" s="1"/>
  <c r="AK11" i="3" s="1"/>
  <c r="AK12" i="3" s="1"/>
  <c r="AK13" i="3" s="1"/>
  <c r="AK14" i="3" s="1"/>
  <c r="AK15" i="3" s="1"/>
  <c r="AK16" i="3" s="1"/>
  <c r="AK17" i="3" s="1"/>
  <c r="AK18" i="3" s="1"/>
  <c r="AK19" i="3" s="1"/>
  <c r="AK20" i="3" s="1"/>
  <c r="AK21" i="3" s="1"/>
  <c r="AK22" i="3" s="1"/>
  <c r="AK23" i="3" s="1"/>
  <c r="AK24" i="3" s="1"/>
  <c r="AK25" i="3" s="1"/>
  <c r="AK26" i="3" s="1"/>
  <c r="AK27" i="3" s="1"/>
  <c r="AK28" i="3" s="1"/>
  <c r="AK29" i="3" s="1"/>
  <c r="AA8" i="3"/>
  <c r="Y8" i="3"/>
  <c r="BJ7" i="3"/>
  <c r="AX7" i="3"/>
  <c r="AK7" i="3"/>
  <c r="AA7" i="3"/>
  <c r="Y7" i="3"/>
  <c r="AX6" i="3"/>
  <c r="AQ6" i="3"/>
  <c r="AP6" i="3"/>
  <c r="AG6" i="3"/>
  <c r="BI6" i="3" s="1"/>
  <c r="AF6" i="3"/>
  <c r="AE6" i="3"/>
  <c r="AG29" i="3" s="1"/>
  <c r="AH29" i="3" s="1"/>
  <c r="AD6" i="3"/>
  <c r="AA6" i="3"/>
  <c r="AJ6" i="3" s="1"/>
  <c r="Y6" i="3"/>
  <c r="AX5" i="3"/>
  <c r="AQ5" i="3"/>
  <c r="AG5" i="3"/>
  <c r="BI5" i="3" s="1"/>
  <c r="AF5" i="3"/>
  <c r="AE5" i="3"/>
  <c r="AD5" i="3"/>
  <c r="AA5" i="3"/>
  <c r="AJ5" i="3" s="1"/>
  <c r="Y5" i="3"/>
  <c r="AX4" i="3"/>
  <c r="AQ4" i="3"/>
  <c r="AG4" i="3"/>
  <c r="BI4" i="3" s="1"/>
  <c r="AF4" i="3"/>
  <c r="AE4" i="3"/>
  <c r="AD4" i="3"/>
  <c r="AA4" i="3"/>
  <c r="Y4" i="3"/>
  <c r="BN3" i="3"/>
  <c r="BI3" i="3"/>
  <c r="AF3" i="3"/>
  <c r="AE3" i="3"/>
  <c r="AG3" i="3" s="1"/>
  <c r="AD3" i="3"/>
  <c r="AA3" i="3"/>
  <c r="AJ3" i="3" s="1"/>
  <c r="Y3" i="3"/>
  <c r="BF1" i="3"/>
  <c r="BD1" i="3"/>
  <c r="AF168" i="2"/>
  <c r="AF172" i="2" s="1"/>
  <c r="AF176" i="2" s="1"/>
  <c r="AF180" i="2" s="1"/>
  <c r="AF184" i="2" s="1"/>
  <c r="AF188" i="2" s="1"/>
  <c r="AF192" i="2" s="1"/>
  <c r="AF196" i="2" s="1"/>
  <c r="AF200" i="2" s="1"/>
  <c r="AF204" i="2" s="1"/>
  <c r="AF208" i="2" s="1"/>
  <c r="AF212" i="2" s="1"/>
  <c r="AF216" i="2" s="1"/>
  <c r="AF220" i="2" s="1"/>
  <c r="AF224" i="2" s="1"/>
  <c r="AF228" i="2" s="1"/>
  <c r="AF152" i="2"/>
  <c r="AF156" i="2" s="1"/>
  <c r="AF160" i="2" s="1"/>
  <c r="AF164" i="2" s="1"/>
  <c r="AK147" i="2"/>
  <c r="AL147" i="2" s="1"/>
  <c r="AF141" i="2"/>
  <c r="AF145" i="2" s="1"/>
  <c r="AF149" i="2" s="1"/>
  <c r="AF153" i="2" s="1"/>
  <c r="AF157" i="2" s="1"/>
  <c r="AF161" i="2" s="1"/>
  <c r="AF165" i="2" s="1"/>
  <c r="AF169" i="2" s="1"/>
  <c r="AF173" i="2" s="1"/>
  <c r="AF177" i="2" s="1"/>
  <c r="AF181" i="2" s="1"/>
  <c r="AF185" i="2" s="1"/>
  <c r="AF189" i="2" s="1"/>
  <c r="AF193" i="2" s="1"/>
  <c r="AF197" i="2" s="1"/>
  <c r="AF201" i="2" s="1"/>
  <c r="AF205" i="2" s="1"/>
  <c r="AF209" i="2" s="1"/>
  <c r="AF213" i="2" s="1"/>
  <c r="AF217" i="2" s="1"/>
  <c r="AF221" i="2" s="1"/>
  <c r="AF225" i="2" s="1"/>
  <c r="AF229" i="2" s="1"/>
  <c r="AF139" i="2"/>
  <c r="AF143" i="2" s="1"/>
  <c r="AF147" i="2" s="1"/>
  <c r="AF151" i="2" s="1"/>
  <c r="AF155" i="2" s="1"/>
  <c r="AF159" i="2" s="1"/>
  <c r="AF163" i="2" s="1"/>
  <c r="AF167" i="2" s="1"/>
  <c r="AF171" i="2" s="1"/>
  <c r="AF175" i="2" s="1"/>
  <c r="AF179" i="2" s="1"/>
  <c r="AF183" i="2" s="1"/>
  <c r="AF187" i="2" s="1"/>
  <c r="AF191" i="2" s="1"/>
  <c r="AF195" i="2" s="1"/>
  <c r="AF199" i="2" s="1"/>
  <c r="AF203" i="2" s="1"/>
  <c r="AF207" i="2" s="1"/>
  <c r="AF211" i="2" s="1"/>
  <c r="AF215" i="2" s="1"/>
  <c r="AF219" i="2" s="1"/>
  <c r="AF223" i="2" s="1"/>
  <c r="AF227" i="2" s="1"/>
  <c r="AF136" i="2"/>
  <c r="AF140" i="2" s="1"/>
  <c r="AF144" i="2" s="1"/>
  <c r="AF148" i="2" s="1"/>
  <c r="AF134" i="2"/>
  <c r="AF138" i="2" s="1"/>
  <c r="AF142" i="2" s="1"/>
  <c r="AF146" i="2" s="1"/>
  <c r="AF150" i="2" s="1"/>
  <c r="AF154" i="2" s="1"/>
  <c r="AF158" i="2" s="1"/>
  <c r="AF162" i="2" s="1"/>
  <c r="AF166" i="2" s="1"/>
  <c r="AF170" i="2" s="1"/>
  <c r="AF174" i="2" s="1"/>
  <c r="AF178" i="2" s="1"/>
  <c r="AF182" i="2" s="1"/>
  <c r="AF186" i="2" s="1"/>
  <c r="AF190" i="2" s="1"/>
  <c r="AF194" i="2" s="1"/>
  <c r="AF198" i="2" s="1"/>
  <c r="AF202" i="2" s="1"/>
  <c r="AF206" i="2" s="1"/>
  <c r="AF210" i="2" s="1"/>
  <c r="AF214" i="2" s="1"/>
  <c r="AF218" i="2" s="1"/>
  <c r="AF222" i="2" s="1"/>
  <c r="AF226" i="2" s="1"/>
  <c r="AF230" i="2" s="1"/>
  <c r="AF133" i="2"/>
  <c r="AF137" i="2" s="1"/>
  <c r="AF132" i="2"/>
  <c r="AF131" i="2"/>
  <c r="AF135" i="2" s="1"/>
  <c r="BG117" i="2"/>
  <c r="BA117" i="2"/>
  <c r="AZ117" i="2"/>
  <c r="AW117" i="2"/>
  <c r="AY117" i="2" s="1"/>
  <c r="X117" i="2"/>
  <c r="V117" i="2"/>
  <c r="T117" i="2"/>
  <c r="R117" i="2"/>
  <c r="L117" i="2"/>
  <c r="J117" i="2"/>
  <c r="I117" i="2"/>
  <c r="H117" i="2"/>
  <c r="G117" i="2"/>
  <c r="F117" i="2"/>
  <c r="D117" i="2"/>
  <c r="AZ116" i="2"/>
  <c r="BA116" i="2" s="1"/>
  <c r="AW116" i="2"/>
  <c r="X116" i="2"/>
  <c r="V116" i="2"/>
  <c r="T116" i="2"/>
  <c r="R116" i="2"/>
  <c r="Z116" i="2" s="1"/>
  <c r="N116" i="2"/>
  <c r="L116" i="2"/>
  <c r="J116" i="2"/>
  <c r="I116" i="2"/>
  <c r="H116" i="2"/>
  <c r="G116" i="2"/>
  <c r="F116" i="2"/>
  <c r="D116" i="2"/>
  <c r="AZ115" i="2"/>
  <c r="AW115" i="2"/>
  <c r="V115" i="2"/>
  <c r="L115" i="2"/>
  <c r="H115" i="2"/>
  <c r="G115" i="2"/>
  <c r="AZ114" i="2"/>
  <c r="AW114" i="2"/>
  <c r="X114" i="2"/>
  <c r="V114" i="2"/>
  <c r="T114" i="2"/>
  <c r="AB114" i="2" s="1"/>
  <c r="R114" i="2"/>
  <c r="Z114" i="2" s="1"/>
  <c r="P114" i="2"/>
  <c r="N114" i="2"/>
  <c r="L114" i="2"/>
  <c r="J114" i="2"/>
  <c r="I114" i="2"/>
  <c r="H114" i="2"/>
  <c r="G114" i="2"/>
  <c r="F114" i="2"/>
  <c r="D114" i="2"/>
  <c r="BG113" i="2"/>
  <c r="AZ113" i="2"/>
  <c r="BA113" i="2" s="1"/>
  <c r="AW113" i="2"/>
  <c r="AY114" i="2" s="1"/>
  <c r="X113" i="2"/>
  <c r="V113" i="2"/>
  <c r="T113" i="2"/>
  <c r="R113" i="2"/>
  <c r="L113" i="2"/>
  <c r="J113" i="2"/>
  <c r="I113" i="2"/>
  <c r="H113" i="2"/>
  <c r="G113" i="2"/>
  <c r="F113" i="2"/>
  <c r="D113" i="2"/>
  <c r="AZ112" i="2"/>
  <c r="AY112" i="2"/>
  <c r="AW112" i="2"/>
  <c r="AY113" i="2" s="1"/>
  <c r="X112" i="2"/>
  <c r="V112" i="2"/>
  <c r="T112" i="2"/>
  <c r="R112" i="2"/>
  <c r="L112" i="2"/>
  <c r="J112" i="2"/>
  <c r="I112" i="2"/>
  <c r="H112" i="2"/>
  <c r="G112" i="2"/>
  <c r="F112" i="2"/>
  <c r="D112" i="2"/>
  <c r="AZ111" i="2"/>
  <c r="BA112" i="2" s="1"/>
  <c r="AW111" i="2"/>
  <c r="AY111" i="2" s="1"/>
  <c r="X111" i="2"/>
  <c r="V111" i="2"/>
  <c r="T111" i="2"/>
  <c r="R111" i="2"/>
  <c r="L111" i="2"/>
  <c r="H111" i="2"/>
  <c r="G111" i="2"/>
  <c r="F111" i="2"/>
  <c r="D111" i="2"/>
  <c r="AZ110" i="2"/>
  <c r="BA110" i="2" s="1"/>
  <c r="AY110" i="2"/>
  <c r="AW110" i="2"/>
  <c r="X110" i="2"/>
  <c r="V110" i="2"/>
  <c r="T110" i="2"/>
  <c r="R110" i="2"/>
  <c r="Z110" i="2" s="1"/>
  <c r="N110" i="2"/>
  <c r="L110" i="2"/>
  <c r="J110" i="2"/>
  <c r="I110" i="2"/>
  <c r="H110" i="2"/>
  <c r="G110" i="2"/>
  <c r="F110" i="2"/>
  <c r="D110" i="2"/>
  <c r="BG109" i="2"/>
  <c r="BA109" i="2"/>
  <c r="AZ109" i="2"/>
  <c r="AW109" i="2"/>
  <c r="X109" i="2"/>
  <c r="V109" i="2"/>
  <c r="T109" i="2"/>
  <c r="R109" i="2"/>
  <c r="L109" i="2"/>
  <c r="J109" i="2"/>
  <c r="I109" i="2"/>
  <c r="H109" i="2"/>
  <c r="G109" i="2"/>
  <c r="F109" i="2"/>
  <c r="D109" i="2"/>
  <c r="AZ108" i="2"/>
  <c r="AW108" i="2"/>
  <c r="AY109" i="2" s="1"/>
  <c r="X108" i="2"/>
  <c r="V108" i="2"/>
  <c r="T108" i="2"/>
  <c r="R108" i="2"/>
  <c r="Z108" i="2" s="1"/>
  <c r="N108" i="2"/>
  <c r="L108" i="2"/>
  <c r="J108" i="2"/>
  <c r="I108" i="2"/>
  <c r="H108" i="2"/>
  <c r="G108" i="2"/>
  <c r="F108" i="2"/>
  <c r="D108" i="2"/>
  <c r="AZ107" i="2"/>
  <c r="BA107" i="2" s="1"/>
  <c r="AW107" i="2"/>
  <c r="V107" i="2"/>
  <c r="L107" i="2"/>
  <c r="H107" i="2"/>
  <c r="G107" i="2"/>
  <c r="AZ106" i="2"/>
  <c r="AY106" i="2"/>
  <c r="AW106" i="2"/>
  <c r="AY107" i="2" s="1"/>
  <c r="X106" i="2"/>
  <c r="V106" i="2"/>
  <c r="T106" i="2"/>
  <c r="R106" i="2"/>
  <c r="Z106" i="2" s="1"/>
  <c r="P106" i="2"/>
  <c r="N106" i="2"/>
  <c r="L106" i="2"/>
  <c r="J106" i="2"/>
  <c r="I106" i="2"/>
  <c r="H106" i="2"/>
  <c r="G106" i="2"/>
  <c r="F106" i="2"/>
  <c r="D106" i="2"/>
  <c r="BG105" i="2"/>
  <c r="AZ105" i="2"/>
  <c r="BA105" i="2" s="1"/>
  <c r="AW105" i="2"/>
  <c r="X105" i="2"/>
  <c r="V105" i="2"/>
  <c r="R105" i="2"/>
  <c r="L105" i="2"/>
  <c r="J105" i="2"/>
  <c r="I105" i="2"/>
  <c r="H105" i="2"/>
  <c r="G105" i="2"/>
  <c r="F105" i="2"/>
  <c r="D105" i="2"/>
  <c r="AZ104" i="2"/>
  <c r="BA104" i="2" s="1"/>
  <c r="AW104" i="2"/>
  <c r="AY105" i="2" s="1"/>
  <c r="X104" i="2"/>
  <c r="V104" i="2"/>
  <c r="T104" i="2"/>
  <c r="R104" i="2"/>
  <c r="Z104" i="2" s="1"/>
  <c r="N104" i="2"/>
  <c r="L104" i="2"/>
  <c r="J104" i="2"/>
  <c r="I104" i="2"/>
  <c r="H104" i="2"/>
  <c r="G104" i="2"/>
  <c r="F104" i="2"/>
  <c r="D104" i="2"/>
  <c r="AZ103" i="2"/>
  <c r="BA103" i="2" s="1"/>
  <c r="AY103" i="2"/>
  <c r="AW103" i="2"/>
  <c r="AY104" i="2" s="1"/>
  <c r="X103" i="2"/>
  <c r="V103" i="2"/>
  <c r="T103" i="2"/>
  <c r="R103" i="2"/>
  <c r="L103" i="2"/>
  <c r="H103" i="2"/>
  <c r="G103" i="2"/>
  <c r="AZ102" i="2"/>
  <c r="AW102" i="2"/>
  <c r="AY102" i="2" s="1"/>
  <c r="X102" i="2"/>
  <c r="V102" i="2"/>
  <c r="T102" i="2"/>
  <c r="R102" i="2"/>
  <c r="Z102" i="2" s="1"/>
  <c r="N102" i="2"/>
  <c r="L102" i="2"/>
  <c r="J102" i="2"/>
  <c r="I102" i="2"/>
  <c r="H102" i="2"/>
  <c r="G102" i="2"/>
  <c r="F102" i="2"/>
  <c r="D102" i="2"/>
  <c r="BG101" i="2"/>
  <c r="AZ101" i="2"/>
  <c r="BA102" i="2" s="1"/>
  <c r="AY101" i="2"/>
  <c r="AW101" i="2"/>
  <c r="V101" i="2"/>
  <c r="T101" i="2"/>
  <c r="R101" i="2"/>
  <c r="Z101" i="2" s="1"/>
  <c r="N101" i="2"/>
  <c r="L101" i="2"/>
  <c r="J101" i="2"/>
  <c r="I101" i="2"/>
  <c r="H101" i="2"/>
  <c r="G101" i="2"/>
  <c r="F101" i="2"/>
  <c r="D101" i="2"/>
  <c r="AZ100" i="2"/>
  <c r="BA100" i="2" s="1"/>
  <c r="AW100" i="2"/>
  <c r="X100" i="2"/>
  <c r="V100" i="2"/>
  <c r="T100" i="2"/>
  <c r="R100" i="2"/>
  <c r="Z100" i="2" s="1"/>
  <c r="N100" i="2"/>
  <c r="L100" i="2"/>
  <c r="J100" i="2"/>
  <c r="I100" i="2"/>
  <c r="H100" i="2"/>
  <c r="G100" i="2"/>
  <c r="F100" i="2"/>
  <c r="D100" i="2"/>
  <c r="AZ99" i="2"/>
  <c r="AW99" i="2"/>
  <c r="AY99" i="2" s="1"/>
  <c r="X99" i="2"/>
  <c r="V99" i="2"/>
  <c r="T99" i="2"/>
  <c r="R99" i="2"/>
  <c r="L99" i="2"/>
  <c r="J99" i="2"/>
  <c r="I99" i="2"/>
  <c r="H99" i="2"/>
  <c r="G99" i="2"/>
  <c r="BA98" i="2"/>
  <c r="AZ98" i="2"/>
  <c r="BA99" i="2" s="1"/>
  <c r="AW98" i="2"/>
  <c r="X98" i="2"/>
  <c r="V98" i="2"/>
  <c r="T98" i="2"/>
  <c r="R98" i="2"/>
  <c r="L98" i="2"/>
  <c r="J98" i="2"/>
  <c r="I98" i="2"/>
  <c r="H98" i="2"/>
  <c r="G98" i="2"/>
  <c r="F98" i="2"/>
  <c r="D98" i="2"/>
  <c r="BG97" i="2"/>
  <c r="AZ97" i="2"/>
  <c r="AW97" i="2"/>
  <c r="X97" i="2"/>
  <c r="V97" i="2"/>
  <c r="T97" i="2"/>
  <c r="R97" i="2"/>
  <c r="Z97" i="2" s="1"/>
  <c r="N97" i="2"/>
  <c r="L97" i="2"/>
  <c r="J97" i="2"/>
  <c r="I97" i="2"/>
  <c r="H97" i="2"/>
  <c r="G97" i="2"/>
  <c r="F97" i="2"/>
  <c r="D97" i="2"/>
  <c r="AZ96" i="2"/>
  <c r="BA97" i="2" s="1"/>
  <c r="AW96" i="2"/>
  <c r="AY96" i="2" s="1"/>
  <c r="X96" i="2"/>
  <c r="V96" i="2"/>
  <c r="T96" i="2"/>
  <c r="R96" i="2"/>
  <c r="L96" i="2"/>
  <c r="J96" i="2"/>
  <c r="I96" i="2"/>
  <c r="H96" i="2"/>
  <c r="G96" i="2"/>
  <c r="F96" i="2"/>
  <c r="D96" i="2"/>
  <c r="AZ95" i="2"/>
  <c r="BA96" i="2" s="1"/>
  <c r="AW95" i="2"/>
  <c r="AY95" i="2" s="1"/>
  <c r="X95" i="2"/>
  <c r="V95" i="2"/>
  <c r="T95" i="2"/>
  <c r="R95" i="2"/>
  <c r="Z95" i="2" s="1"/>
  <c r="N95" i="2"/>
  <c r="L95" i="2"/>
  <c r="J95" i="2"/>
  <c r="I95" i="2"/>
  <c r="H95" i="2"/>
  <c r="G95" i="2"/>
  <c r="F95" i="2"/>
  <c r="D95" i="2"/>
  <c r="AZ94" i="2"/>
  <c r="BA94" i="2" s="1"/>
  <c r="AW94" i="2"/>
  <c r="X94" i="2"/>
  <c r="V94" i="2"/>
  <c r="T94" i="2"/>
  <c r="R94" i="2"/>
  <c r="Z94" i="2" s="1"/>
  <c r="N94" i="2"/>
  <c r="L94" i="2"/>
  <c r="J94" i="2"/>
  <c r="I94" i="2"/>
  <c r="H94" i="2"/>
  <c r="G94" i="2"/>
  <c r="F94" i="2"/>
  <c r="D94" i="2"/>
  <c r="BG93" i="2"/>
  <c r="BA93" i="2"/>
  <c r="AZ93" i="2"/>
  <c r="AW93" i="2"/>
  <c r="AY94" i="2" s="1"/>
  <c r="X93" i="2"/>
  <c r="V93" i="2"/>
  <c r="L93" i="2"/>
  <c r="J93" i="2"/>
  <c r="I93" i="2"/>
  <c r="H93" i="2"/>
  <c r="G93" i="2"/>
  <c r="F93" i="2"/>
  <c r="D93" i="2"/>
  <c r="AZ92" i="2"/>
  <c r="AW92" i="2"/>
  <c r="AY93" i="2" s="1"/>
  <c r="X92" i="2"/>
  <c r="V92" i="2"/>
  <c r="T92" i="2"/>
  <c r="R92" i="2"/>
  <c r="L92" i="2"/>
  <c r="J92" i="2"/>
  <c r="I92" i="2"/>
  <c r="H92" i="2"/>
  <c r="G92" i="2"/>
  <c r="F92" i="2"/>
  <c r="D92" i="2"/>
  <c r="AZ91" i="2"/>
  <c r="BA91" i="2" s="1"/>
  <c r="AW91" i="2"/>
  <c r="L91" i="2"/>
  <c r="H91" i="2"/>
  <c r="G91" i="2"/>
  <c r="F91" i="2"/>
  <c r="D91" i="2"/>
  <c r="AZ90" i="2"/>
  <c r="BA90" i="2" s="1"/>
  <c r="AY90" i="2"/>
  <c r="AW90" i="2"/>
  <c r="AY91" i="2" s="1"/>
  <c r="X90" i="2"/>
  <c r="V90" i="2"/>
  <c r="T90" i="2"/>
  <c r="R90" i="2"/>
  <c r="Z90" i="2" s="1"/>
  <c r="N90" i="2"/>
  <c r="L90" i="2"/>
  <c r="J90" i="2"/>
  <c r="I90" i="2"/>
  <c r="H90" i="2"/>
  <c r="G90" i="2"/>
  <c r="F90" i="2"/>
  <c r="D90" i="2"/>
  <c r="BG89" i="2"/>
  <c r="AZ89" i="2"/>
  <c r="AW89" i="2"/>
  <c r="X89" i="2"/>
  <c r="V89" i="2"/>
  <c r="T89" i="2"/>
  <c r="R89" i="2"/>
  <c r="L89" i="2"/>
  <c r="J89" i="2"/>
  <c r="I89" i="2"/>
  <c r="H89" i="2"/>
  <c r="G89" i="2"/>
  <c r="F89" i="2"/>
  <c r="D89" i="2"/>
  <c r="AZ88" i="2"/>
  <c r="AW88" i="2"/>
  <c r="AY89" i="2" s="1"/>
  <c r="X88" i="2"/>
  <c r="V88" i="2"/>
  <c r="T88" i="2"/>
  <c r="R88" i="2"/>
  <c r="L88" i="2"/>
  <c r="J88" i="2"/>
  <c r="I88" i="2"/>
  <c r="H88" i="2"/>
  <c r="G88" i="2"/>
  <c r="F88" i="2"/>
  <c r="D88" i="2"/>
  <c r="AZ87" i="2"/>
  <c r="BA87" i="2" s="1"/>
  <c r="AW87" i="2"/>
  <c r="V87" i="2"/>
  <c r="L87" i="2"/>
  <c r="H87" i="2"/>
  <c r="G87" i="2"/>
  <c r="F87" i="2"/>
  <c r="D87" i="2"/>
  <c r="AZ86" i="2"/>
  <c r="BA86" i="2" s="1"/>
  <c r="AY86" i="2"/>
  <c r="AW86" i="2"/>
  <c r="AY87" i="2" s="1"/>
  <c r="X86" i="2"/>
  <c r="V86" i="2"/>
  <c r="T86" i="2"/>
  <c r="R86" i="2"/>
  <c r="Z86" i="2" s="1"/>
  <c r="N86" i="2"/>
  <c r="L86" i="2"/>
  <c r="J86" i="2"/>
  <c r="I86" i="2"/>
  <c r="H86" i="2"/>
  <c r="G86" i="2"/>
  <c r="F86" i="2"/>
  <c r="D86" i="2"/>
  <c r="BG85" i="2"/>
  <c r="AZ85" i="2"/>
  <c r="BA85" i="2" s="1"/>
  <c r="AY85" i="2"/>
  <c r="AW85" i="2"/>
  <c r="X85" i="2"/>
  <c r="V85" i="2"/>
  <c r="T85" i="2"/>
  <c r="R85" i="2"/>
  <c r="L85" i="2"/>
  <c r="J85" i="2"/>
  <c r="I85" i="2"/>
  <c r="H85" i="2"/>
  <c r="G85" i="2"/>
  <c r="F85" i="2"/>
  <c r="D85" i="2"/>
  <c r="AZ84" i="2"/>
  <c r="BA84" i="2" s="1"/>
  <c r="AW84" i="2"/>
  <c r="X84" i="2"/>
  <c r="V84" i="2"/>
  <c r="T84" i="2"/>
  <c r="R84" i="2"/>
  <c r="Z84" i="2" s="1"/>
  <c r="N84" i="2"/>
  <c r="L84" i="2"/>
  <c r="J84" i="2"/>
  <c r="I84" i="2"/>
  <c r="H84" i="2"/>
  <c r="G84" i="2"/>
  <c r="F84" i="2"/>
  <c r="D84" i="2"/>
  <c r="AZ83" i="2"/>
  <c r="BA83" i="2" s="1"/>
  <c r="AW83" i="2"/>
  <c r="AY84" i="2" s="1"/>
  <c r="X83" i="2"/>
  <c r="V83" i="2"/>
  <c r="T83" i="2"/>
  <c r="R83" i="2"/>
  <c r="L83" i="2"/>
  <c r="H83" i="2"/>
  <c r="G83" i="2"/>
  <c r="BA82" i="2"/>
  <c r="AZ82" i="2"/>
  <c r="AW82" i="2"/>
  <c r="AY82" i="2" s="1"/>
  <c r="X82" i="2"/>
  <c r="V82" i="2"/>
  <c r="N82" i="2"/>
  <c r="L82" i="2"/>
  <c r="J82" i="2"/>
  <c r="I82" i="2"/>
  <c r="H82" i="2"/>
  <c r="G82" i="2"/>
  <c r="F82" i="2"/>
  <c r="D82" i="2"/>
  <c r="BG81" i="2"/>
  <c r="AZ81" i="2"/>
  <c r="BA81" i="2" s="1"/>
  <c r="AY81" i="2"/>
  <c r="AW81" i="2"/>
  <c r="X81" i="2"/>
  <c r="V81" i="2"/>
  <c r="T81" i="2"/>
  <c r="R81" i="2"/>
  <c r="Z81" i="2" s="1"/>
  <c r="N81" i="2"/>
  <c r="L81" i="2"/>
  <c r="J81" i="2"/>
  <c r="I81" i="2"/>
  <c r="H81" i="2"/>
  <c r="G81" i="2"/>
  <c r="F81" i="2"/>
  <c r="D81" i="2"/>
  <c r="AZ80" i="2"/>
  <c r="BA80" i="2" s="1"/>
  <c r="AW80" i="2"/>
  <c r="X80" i="2"/>
  <c r="V80" i="2"/>
  <c r="T80" i="2"/>
  <c r="R80" i="2"/>
  <c r="Z80" i="2" s="1"/>
  <c r="N80" i="2"/>
  <c r="L80" i="2"/>
  <c r="J80" i="2"/>
  <c r="I80" i="2"/>
  <c r="H80" i="2"/>
  <c r="G80" i="2"/>
  <c r="F80" i="2"/>
  <c r="D80" i="2"/>
  <c r="AZ79" i="2"/>
  <c r="AW79" i="2"/>
  <c r="AY79" i="2" s="1"/>
  <c r="X79" i="2"/>
  <c r="V79" i="2"/>
  <c r="T79" i="2"/>
  <c r="R79" i="2"/>
  <c r="L79" i="2"/>
  <c r="J79" i="2"/>
  <c r="I79" i="2"/>
  <c r="H79" i="2"/>
  <c r="G79" i="2"/>
  <c r="BA78" i="2"/>
  <c r="AZ78" i="2"/>
  <c r="BA79" i="2" s="1"/>
  <c r="AW78" i="2"/>
  <c r="V78" i="2"/>
  <c r="N78" i="2"/>
  <c r="L78" i="2"/>
  <c r="J78" i="2"/>
  <c r="I78" i="2"/>
  <c r="H78" i="2"/>
  <c r="G78" i="2"/>
  <c r="F78" i="2"/>
  <c r="D78" i="2"/>
  <c r="BG77" i="2"/>
  <c r="BA77" i="2"/>
  <c r="AZ77" i="2"/>
  <c r="AW77" i="2"/>
  <c r="AY77" i="2" s="1"/>
  <c r="X77" i="2"/>
  <c r="V77" i="2"/>
  <c r="T77" i="2"/>
  <c r="R77" i="2"/>
  <c r="L77" i="2"/>
  <c r="J77" i="2"/>
  <c r="I77" i="2"/>
  <c r="H77" i="2"/>
  <c r="G77" i="2"/>
  <c r="F77" i="2"/>
  <c r="D77" i="2"/>
  <c r="AZ76" i="2"/>
  <c r="AW76" i="2"/>
  <c r="AY76" i="2" s="1"/>
  <c r="X76" i="2"/>
  <c r="V76" i="2"/>
  <c r="T76" i="2"/>
  <c r="R76" i="2"/>
  <c r="L76" i="2"/>
  <c r="J76" i="2"/>
  <c r="I76" i="2"/>
  <c r="H76" i="2"/>
  <c r="G76" i="2"/>
  <c r="F76" i="2"/>
  <c r="D76" i="2"/>
  <c r="AZ75" i="2"/>
  <c r="BA76" i="2" s="1"/>
  <c r="AW75" i="2"/>
  <c r="AY75" i="2" s="1"/>
  <c r="X75" i="2"/>
  <c r="V75" i="2"/>
  <c r="T75" i="2"/>
  <c r="R75" i="2"/>
  <c r="Z75" i="2" s="1"/>
  <c r="N75" i="2"/>
  <c r="L75" i="2"/>
  <c r="J75" i="2"/>
  <c r="I75" i="2"/>
  <c r="H75" i="2"/>
  <c r="G75" i="2"/>
  <c r="F75" i="2"/>
  <c r="D75" i="2"/>
  <c r="AZ74" i="2"/>
  <c r="BA74" i="2" s="1"/>
  <c r="AY74" i="2"/>
  <c r="AW74" i="2"/>
  <c r="X74" i="2"/>
  <c r="V74" i="2"/>
  <c r="N74" i="2"/>
  <c r="L74" i="2"/>
  <c r="J74" i="2"/>
  <c r="I74" i="2"/>
  <c r="H74" i="2"/>
  <c r="G74" i="2"/>
  <c r="F74" i="2"/>
  <c r="D74" i="2"/>
  <c r="BG73" i="2"/>
  <c r="BA73" i="2"/>
  <c r="AZ73" i="2"/>
  <c r="AW73" i="2"/>
  <c r="X73" i="2"/>
  <c r="V73" i="2"/>
  <c r="T73" i="2"/>
  <c r="R73" i="2"/>
  <c r="L73" i="2"/>
  <c r="J73" i="2"/>
  <c r="I73" i="2"/>
  <c r="H73" i="2"/>
  <c r="G73" i="2"/>
  <c r="AZ72" i="2"/>
  <c r="AW72" i="2"/>
  <c r="AY73" i="2" s="1"/>
  <c r="X72" i="2"/>
  <c r="V72" i="2"/>
  <c r="T72" i="2"/>
  <c r="R72" i="2"/>
  <c r="Z72" i="2" s="1"/>
  <c r="N72" i="2"/>
  <c r="L72" i="2"/>
  <c r="J72" i="2"/>
  <c r="I72" i="2"/>
  <c r="H72" i="2"/>
  <c r="G72" i="2"/>
  <c r="F72" i="2"/>
  <c r="D72" i="2"/>
  <c r="AZ71" i="2"/>
  <c r="AW71" i="2"/>
  <c r="X71" i="2"/>
  <c r="V71" i="2"/>
  <c r="T71" i="2"/>
  <c r="R71" i="2"/>
  <c r="Z71" i="2" s="1"/>
  <c r="N71" i="2"/>
  <c r="L71" i="2"/>
  <c r="J71" i="2"/>
  <c r="I71" i="2"/>
  <c r="H71" i="2"/>
  <c r="G71" i="2"/>
  <c r="F71" i="2"/>
  <c r="D71" i="2"/>
  <c r="AZ70" i="2"/>
  <c r="AW70" i="2"/>
  <c r="AY71" i="2" s="1"/>
  <c r="V70" i="2"/>
  <c r="L70" i="2"/>
  <c r="J70" i="2"/>
  <c r="I70" i="2"/>
  <c r="H70" i="2"/>
  <c r="G70" i="2"/>
  <c r="F70" i="2"/>
  <c r="D70" i="2"/>
  <c r="BG69" i="2"/>
  <c r="AZ69" i="2"/>
  <c r="AY69" i="2"/>
  <c r="AW69" i="2"/>
  <c r="X69" i="2"/>
  <c r="V69" i="2"/>
  <c r="T69" i="2"/>
  <c r="R69" i="2"/>
  <c r="L69" i="2"/>
  <c r="J69" i="2"/>
  <c r="I69" i="2"/>
  <c r="H69" i="2"/>
  <c r="G69" i="2"/>
  <c r="AZ68" i="2"/>
  <c r="BA68" i="2" s="1"/>
  <c r="AW68" i="2"/>
  <c r="X68" i="2"/>
  <c r="V68" i="2"/>
  <c r="T68" i="2"/>
  <c r="R68" i="2"/>
  <c r="Z68" i="2" s="1"/>
  <c r="N68" i="2"/>
  <c r="L68" i="2"/>
  <c r="J68" i="2"/>
  <c r="I68" i="2"/>
  <c r="H68" i="2"/>
  <c r="G68" i="2"/>
  <c r="F68" i="2"/>
  <c r="D68" i="2"/>
  <c r="AZ67" i="2"/>
  <c r="BA67" i="2" s="1"/>
  <c r="AW67" i="2"/>
  <c r="AY68" i="2" s="1"/>
  <c r="X67" i="2"/>
  <c r="V67" i="2"/>
  <c r="T67" i="2"/>
  <c r="R67" i="2"/>
  <c r="L67" i="2"/>
  <c r="J67" i="2"/>
  <c r="I67" i="2"/>
  <c r="H67" i="2"/>
  <c r="G67" i="2"/>
  <c r="F67" i="2"/>
  <c r="D67" i="2"/>
  <c r="BA66" i="2"/>
  <c r="AZ66" i="2"/>
  <c r="AW66" i="2"/>
  <c r="X66" i="2"/>
  <c r="V66" i="2"/>
  <c r="L66" i="2"/>
  <c r="J66" i="2"/>
  <c r="I66" i="2"/>
  <c r="H66" i="2"/>
  <c r="G66" i="2"/>
  <c r="F66" i="2"/>
  <c r="D66" i="2"/>
  <c r="BG65" i="2"/>
  <c r="AZ65" i="2"/>
  <c r="AW65" i="2"/>
  <c r="AY65" i="2" s="1"/>
  <c r="X65" i="2"/>
  <c r="V65" i="2"/>
  <c r="T65" i="2"/>
  <c r="R65" i="2"/>
  <c r="L65" i="2"/>
  <c r="J65" i="2"/>
  <c r="I65" i="2"/>
  <c r="H65" i="2"/>
  <c r="G65" i="2"/>
  <c r="F65" i="2"/>
  <c r="D65" i="2"/>
  <c r="AZ64" i="2"/>
  <c r="BA64" i="2" s="1"/>
  <c r="AW64" i="2"/>
  <c r="AY64" i="2" s="1"/>
  <c r="X64" i="2"/>
  <c r="V64" i="2"/>
  <c r="T64" i="2"/>
  <c r="R64" i="2"/>
  <c r="Z64" i="2" s="1"/>
  <c r="N64" i="2"/>
  <c r="L64" i="2"/>
  <c r="J64" i="2"/>
  <c r="I64" i="2"/>
  <c r="H64" i="2"/>
  <c r="G64" i="2"/>
  <c r="F64" i="2"/>
  <c r="D64" i="2"/>
  <c r="AZ63" i="2"/>
  <c r="BA63" i="2" s="1"/>
  <c r="AW63" i="2"/>
  <c r="X63" i="2"/>
  <c r="V63" i="2"/>
  <c r="T63" i="2"/>
  <c r="R63" i="2"/>
  <c r="L63" i="2"/>
  <c r="J63" i="2"/>
  <c r="I63" i="2"/>
  <c r="H63" i="2"/>
  <c r="G63" i="2"/>
  <c r="F63" i="2"/>
  <c r="D63" i="2"/>
  <c r="AZ62" i="2"/>
  <c r="BA62" i="2" s="1"/>
  <c r="AW62" i="2"/>
  <c r="AY62" i="2" s="1"/>
  <c r="V62" i="2"/>
  <c r="N62" i="2"/>
  <c r="L62" i="2"/>
  <c r="J62" i="2"/>
  <c r="I62" i="2"/>
  <c r="H62" i="2"/>
  <c r="G62" i="2"/>
  <c r="F62" i="2"/>
  <c r="D62" i="2"/>
  <c r="BG61" i="2"/>
  <c r="AZ61" i="2"/>
  <c r="BA61" i="2" s="1"/>
  <c r="AY61" i="2"/>
  <c r="AW61" i="2"/>
  <c r="X61" i="2"/>
  <c r="V61" i="2"/>
  <c r="T61" i="2"/>
  <c r="R61" i="2"/>
  <c r="L61" i="2"/>
  <c r="H61" i="2"/>
  <c r="G61" i="2"/>
  <c r="AZ60" i="2"/>
  <c r="BA60" i="2" s="1"/>
  <c r="AW60" i="2"/>
  <c r="X60" i="2"/>
  <c r="V60" i="2"/>
  <c r="T60" i="2"/>
  <c r="R60" i="2"/>
  <c r="Z60" i="2" s="1"/>
  <c r="N60" i="2"/>
  <c r="L60" i="2"/>
  <c r="J60" i="2"/>
  <c r="I60" i="2"/>
  <c r="H60" i="2"/>
  <c r="G60" i="2"/>
  <c r="F60" i="2"/>
  <c r="D60" i="2"/>
  <c r="AZ59" i="2"/>
  <c r="BA59" i="2" s="1"/>
  <c r="AW59" i="2"/>
  <c r="AY59" i="2" s="1"/>
  <c r="X59" i="2"/>
  <c r="V59" i="2"/>
  <c r="N59" i="2"/>
  <c r="L59" i="2"/>
  <c r="J59" i="2"/>
  <c r="I59" i="2"/>
  <c r="H59" i="2"/>
  <c r="G59" i="2"/>
  <c r="F59" i="2"/>
  <c r="D59" i="2"/>
  <c r="BA58" i="2"/>
  <c r="AZ58" i="2"/>
  <c r="AW58" i="2"/>
  <c r="AY58" i="2" s="1"/>
  <c r="X58" i="2"/>
  <c r="V58" i="2"/>
  <c r="N58" i="2"/>
  <c r="L58" i="2"/>
  <c r="J58" i="2"/>
  <c r="I58" i="2"/>
  <c r="H58" i="2"/>
  <c r="G58" i="2"/>
  <c r="F58" i="2"/>
  <c r="D58" i="2"/>
  <c r="BG57" i="2"/>
  <c r="AZ57" i="2"/>
  <c r="BA57" i="2" s="1"/>
  <c r="AW57" i="2"/>
  <c r="X57" i="2"/>
  <c r="V57" i="2"/>
  <c r="T57" i="2"/>
  <c r="R57" i="2"/>
  <c r="L57" i="2"/>
  <c r="J57" i="2"/>
  <c r="I57" i="2"/>
  <c r="H57" i="2"/>
  <c r="G57" i="2"/>
  <c r="AZ56" i="2"/>
  <c r="BA56" i="2" s="1"/>
  <c r="AW56" i="2"/>
  <c r="AY57" i="2" s="1"/>
  <c r="X56" i="2"/>
  <c r="V56" i="2"/>
  <c r="T56" i="2"/>
  <c r="R56" i="2"/>
  <c r="Z56" i="2" s="1"/>
  <c r="N56" i="2"/>
  <c r="L56" i="2"/>
  <c r="J56" i="2"/>
  <c r="I56" i="2"/>
  <c r="H56" i="2"/>
  <c r="G56" i="2"/>
  <c r="F56" i="2"/>
  <c r="D56" i="2"/>
  <c r="AZ55" i="2"/>
  <c r="AW55" i="2"/>
  <c r="AY55" i="2" s="1"/>
  <c r="X55" i="2"/>
  <c r="V55" i="2"/>
  <c r="T55" i="2"/>
  <c r="R55" i="2"/>
  <c r="Z55" i="2" s="1"/>
  <c r="N55" i="2"/>
  <c r="L55" i="2"/>
  <c r="J55" i="2"/>
  <c r="I55" i="2"/>
  <c r="H55" i="2"/>
  <c r="G55" i="2"/>
  <c r="F55" i="2"/>
  <c r="D55" i="2"/>
  <c r="AZ54" i="2"/>
  <c r="BA54" i="2" s="1"/>
  <c r="AW54" i="2"/>
  <c r="AY54" i="2" s="1"/>
  <c r="X54" i="2"/>
  <c r="V54" i="2"/>
  <c r="T54" i="2"/>
  <c r="R54" i="2"/>
  <c r="L54" i="2"/>
  <c r="J54" i="2"/>
  <c r="I54" i="2"/>
  <c r="H54" i="2"/>
  <c r="G54" i="2"/>
  <c r="F54" i="2"/>
  <c r="D54" i="2"/>
  <c r="BG53" i="2"/>
  <c r="AZ53" i="2"/>
  <c r="BA53" i="2" s="1"/>
  <c r="AW53" i="2"/>
  <c r="AY53" i="2" s="1"/>
  <c r="X53" i="2"/>
  <c r="V53" i="2"/>
  <c r="T53" i="2"/>
  <c r="R53" i="2"/>
  <c r="Z53" i="2" s="1"/>
  <c r="N53" i="2"/>
  <c r="L53" i="2"/>
  <c r="J53" i="2"/>
  <c r="I53" i="2"/>
  <c r="H53" i="2"/>
  <c r="G53" i="2"/>
  <c r="F53" i="2"/>
  <c r="D53" i="2"/>
  <c r="BB52" i="2"/>
  <c r="AZ52" i="2"/>
  <c r="BA52" i="2" s="1"/>
  <c r="AW52" i="2"/>
  <c r="AY52" i="2" s="1"/>
  <c r="X52" i="2"/>
  <c r="V52" i="2"/>
  <c r="T52" i="2"/>
  <c r="R52" i="2"/>
  <c r="Z52" i="2" s="1"/>
  <c r="N52" i="2"/>
  <c r="L52" i="2"/>
  <c r="J52" i="2"/>
  <c r="I52" i="2"/>
  <c r="H52" i="2"/>
  <c r="G52" i="2"/>
  <c r="F52" i="2"/>
  <c r="D52" i="2"/>
  <c r="BB51" i="2"/>
  <c r="AZ51" i="2"/>
  <c r="BA51" i="2" s="1"/>
  <c r="AW51" i="2"/>
  <c r="V51" i="2"/>
  <c r="L51" i="2"/>
  <c r="J51" i="2"/>
  <c r="I51" i="2"/>
  <c r="H51" i="2"/>
  <c r="G51" i="2"/>
  <c r="F51" i="2"/>
  <c r="D51" i="2"/>
  <c r="BB50" i="2"/>
  <c r="AZ50" i="2"/>
  <c r="BA50" i="2" s="1"/>
  <c r="AW50" i="2"/>
  <c r="AY50" i="2" s="1"/>
  <c r="X50" i="2"/>
  <c r="V50" i="2"/>
  <c r="T50" i="2"/>
  <c r="R50" i="2"/>
  <c r="L50" i="2"/>
  <c r="J50" i="2"/>
  <c r="I50" i="2"/>
  <c r="H50" i="2"/>
  <c r="G50" i="2"/>
  <c r="F50" i="2"/>
  <c r="D50" i="2"/>
  <c r="BG49" i="2"/>
  <c r="AZ49" i="2"/>
  <c r="BA49" i="2" s="1"/>
  <c r="AW49" i="2"/>
  <c r="AY49" i="2" s="1"/>
  <c r="X49" i="2"/>
  <c r="V49" i="2"/>
  <c r="T49" i="2"/>
  <c r="R49" i="2"/>
  <c r="L49" i="2"/>
  <c r="J49" i="2"/>
  <c r="I49" i="2"/>
  <c r="H49" i="2"/>
  <c r="G49" i="2"/>
  <c r="F49" i="2"/>
  <c r="D49" i="2"/>
  <c r="BB48" i="2"/>
  <c r="AZ48" i="2"/>
  <c r="BA48" i="2" s="1"/>
  <c r="AW48" i="2"/>
  <c r="AY48" i="2" s="1"/>
  <c r="X48" i="2"/>
  <c r="V48" i="2"/>
  <c r="T48" i="2"/>
  <c r="R48" i="2"/>
  <c r="Z48" i="2" s="1"/>
  <c r="N48" i="2"/>
  <c r="L48" i="2"/>
  <c r="J48" i="2"/>
  <c r="I48" i="2"/>
  <c r="H48" i="2"/>
  <c r="G48" i="2"/>
  <c r="F48" i="2"/>
  <c r="D48" i="2"/>
  <c r="BB47" i="2"/>
  <c r="AZ47" i="2"/>
  <c r="AW47" i="2"/>
  <c r="AY47" i="2" s="1"/>
  <c r="V47" i="2"/>
  <c r="L47" i="2"/>
  <c r="J47" i="2"/>
  <c r="I47" i="2"/>
  <c r="H47" i="2"/>
  <c r="G47" i="2"/>
  <c r="F47" i="2"/>
  <c r="D47" i="2"/>
  <c r="BB46" i="2"/>
  <c r="AZ46" i="2"/>
  <c r="BA46" i="2" s="1"/>
  <c r="AW46" i="2"/>
  <c r="AY46" i="2" s="1"/>
  <c r="X46" i="2"/>
  <c r="V46" i="2"/>
  <c r="T46" i="2"/>
  <c r="R46" i="2"/>
  <c r="Z46" i="2" s="1"/>
  <c r="N46" i="2"/>
  <c r="L46" i="2"/>
  <c r="J46" i="2"/>
  <c r="I46" i="2"/>
  <c r="H46" i="2"/>
  <c r="G46" i="2"/>
  <c r="F46" i="2"/>
  <c r="D46" i="2"/>
  <c r="BG45" i="2"/>
  <c r="AZ45" i="2"/>
  <c r="BA45" i="2" s="1"/>
  <c r="AW45" i="2"/>
  <c r="AY45" i="2" s="1"/>
  <c r="X45" i="2"/>
  <c r="V45" i="2"/>
  <c r="T45" i="2"/>
  <c r="R45" i="2"/>
  <c r="L45" i="2"/>
  <c r="H45" i="2"/>
  <c r="G45" i="2"/>
  <c r="BB44" i="2"/>
  <c r="AZ44" i="2"/>
  <c r="BA44" i="2" s="1"/>
  <c r="AW44" i="2"/>
  <c r="AY44" i="2" s="1"/>
  <c r="X44" i="2"/>
  <c r="V44" i="2"/>
  <c r="T44" i="2"/>
  <c r="R44" i="2"/>
  <c r="Z44" i="2" s="1"/>
  <c r="N44" i="2"/>
  <c r="L44" i="2"/>
  <c r="J44" i="2"/>
  <c r="I44" i="2"/>
  <c r="H44" i="2"/>
  <c r="G44" i="2"/>
  <c r="F44" i="2"/>
  <c r="D44" i="2"/>
  <c r="BB43" i="2"/>
  <c r="AZ43" i="2"/>
  <c r="BA43" i="2" s="1"/>
  <c r="AW43" i="2"/>
  <c r="AY43" i="2" s="1"/>
  <c r="V43" i="2"/>
  <c r="N43" i="2"/>
  <c r="L43" i="2"/>
  <c r="J43" i="2"/>
  <c r="I43" i="2"/>
  <c r="H43" i="2"/>
  <c r="G43" i="2"/>
  <c r="F43" i="2"/>
  <c r="D43" i="2"/>
  <c r="BB42" i="2"/>
  <c r="AZ42" i="2"/>
  <c r="AW42" i="2"/>
  <c r="AY42" i="2" s="1"/>
  <c r="X42" i="2"/>
  <c r="V42" i="2"/>
  <c r="T42" i="2"/>
  <c r="R42" i="2"/>
  <c r="L42" i="2"/>
  <c r="J42" i="2"/>
  <c r="I42" i="2"/>
  <c r="H42" i="2"/>
  <c r="G42" i="2"/>
  <c r="F42" i="2"/>
  <c r="D42" i="2"/>
  <c r="BG41" i="2"/>
  <c r="AZ41" i="2"/>
  <c r="BA42" i="2" s="1"/>
  <c r="AW41" i="2"/>
  <c r="AY41" i="2" s="1"/>
  <c r="X41" i="2"/>
  <c r="V41" i="2"/>
  <c r="T41" i="2"/>
  <c r="R41" i="2"/>
  <c r="L41" i="2"/>
  <c r="H41" i="2"/>
  <c r="G41" i="2"/>
  <c r="BB40" i="2"/>
  <c r="AZ40" i="2"/>
  <c r="BA41" i="2" s="1"/>
  <c r="AW40" i="2"/>
  <c r="AY40" i="2" s="1"/>
  <c r="X40" i="2"/>
  <c r="V40" i="2"/>
  <c r="T40" i="2"/>
  <c r="R40" i="2"/>
  <c r="Z40" i="2" s="1"/>
  <c r="N40" i="2"/>
  <c r="L40" i="2"/>
  <c r="J40" i="2"/>
  <c r="I40" i="2"/>
  <c r="H40" i="2"/>
  <c r="G40" i="2"/>
  <c r="F40" i="2"/>
  <c r="D40" i="2"/>
  <c r="BB39" i="2"/>
  <c r="AZ39" i="2"/>
  <c r="BA39" i="2" s="1"/>
  <c r="AW39" i="2"/>
  <c r="AY39" i="2" s="1"/>
  <c r="V39" i="2"/>
  <c r="N39" i="2"/>
  <c r="L39" i="2"/>
  <c r="J39" i="2"/>
  <c r="I39" i="2"/>
  <c r="H39" i="2"/>
  <c r="G39" i="2"/>
  <c r="F39" i="2"/>
  <c r="D39" i="2"/>
  <c r="BB38" i="2"/>
  <c r="AZ38" i="2"/>
  <c r="BA38" i="2" s="1"/>
  <c r="AW38" i="2"/>
  <c r="AY38" i="2" s="1"/>
  <c r="X38" i="2"/>
  <c r="V38" i="2"/>
  <c r="T38" i="2"/>
  <c r="R38" i="2"/>
  <c r="L38" i="2"/>
  <c r="J38" i="2"/>
  <c r="I38" i="2"/>
  <c r="H38" i="2"/>
  <c r="G38" i="2"/>
  <c r="F38" i="2"/>
  <c r="D38" i="2"/>
  <c r="AZ37" i="2"/>
  <c r="BA37" i="2" s="1"/>
  <c r="AW37" i="2"/>
  <c r="AY37" i="2" s="1"/>
  <c r="X37" i="2"/>
  <c r="V37" i="2"/>
  <c r="T37" i="2"/>
  <c r="R37" i="2"/>
  <c r="L37" i="2"/>
  <c r="H37" i="2"/>
  <c r="G37" i="2"/>
  <c r="AZ36" i="2"/>
  <c r="BA36" i="2" s="1"/>
  <c r="AW36" i="2"/>
  <c r="AY36" i="2" s="1"/>
  <c r="X36" i="2"/>
  <c r="V36" i="2"/>
  <c r="T36" i="2"/>
  <c r="R36" i="2"/>
  <c r="Z36" i="2" s="1"/>
  <c r="N36" i="2"/>
  <c r="L36" i="2"/>
  <c r="J36" i="2"/>
  <c r="I36" i="2"/>
  <c r="H36" i="2"/>
  <c r="G36" i="2"/>
  <c r="F36" i="2"/>
  <c r="D36" i="2"/>
  <c r="BG35" i="2"/>
  <c r="AZ35" i="2"/>
  <c r="BA35" i="2" s="1"/>
  <c r="AW35" i="2"/>
  <c r="AY35" i="2" s="1"/>
  <c r="V35" i="2"/>
  <c r="N35" i="2"/>
  <c r="L35" i="2"/>
  <c r="J35" i="2"/>
  <c r="I35" i="2"/>
  <c r="H35" i="2"/>
  <c r="G35" i="2"/>
  <c r="F35" i="2"/>
  <c r="D35" i="2"/>
  <c r="AZ34" i="2"/>
  <c r="AW34" i="2"/>
  <c r="AY34" i="2" s="1"/>
  <c r="X34" i="2"/>
  <c r="V34" i="2"/>
  <c r="T34" i="2"/>
  <c r="R34" i="2"/>
  <c r="Z34" i="2" s="1"/>
  <c r="N34" i="2"/>
  <c r="L34" i="2"/>
  <c r="J34" i="2"/>
  <c r="I34" i="2"/>
  <c r="H34" i="2"/>
  <c r="G34" i="2"/>
  <c r="F34" i="2"/>
  <c r="D34" i="2"/>
  <c r="BH33" i="2"/>
  <c r="BH34" i="2" s="1"/>
  <c r="BH35" i="2" s="1"/>
  <c r="BH36" i="2" s="1"/>
  <c r="BH37" i="2" s="1"/>
  <c r="BH38" i="2" s="1"/>
  <c r="BH39" i="2" s="1"/>
  <c r="BH40" i="2" s="1"/>
  <c r="BH41" i="2" s="1"/>
  <c r="BH42" i="2" s="1"/>
  <c r="BH43" i="2" s="1"/>
  <c r="BH44" i="2" s="1"/>
  <c r="BH45" i="2" s="1"/>
  <c r="BH46" i="2" s="1"/>
  <c r="BH47" i="2" s="1"/>
  <c r="BH48" i="2" s="1"/>
  <c r="BH49" i="2" s="1"/>
  <c r="BH50" i="2" s="1"/>
  <c r="BH51" i="2" s="1"/>
  <c r="BH52" i="2" s="1"/>
  <c r="BH53" i="2" s="1"/>
  <c r="BH54" i="2" s="1"/>
  <c r="BH55" i="2" s="1"/>
  <c r="BH56" i="2" s="1"/>
  <c r="BH57" i="2" s="1"/>
  <c r="BH58" i="2" s="1"/>
  <c r="BH59" i="2" s="1"/>
  <c r="BH60" i="2" s="1"/>
  <c r="BH61" i="2" s="1"/>
  <c r="BH62" i="2" s="1"/>
  <c r="BH63" i="2" s="1"/>
  <c r="BH64" i="2" s="1"/>
  <c r="BH65" i="2" s="1"/>
  <c r="BH66" i="2" s="1"/>
  <c r="BH67" i="2" s="1"/>
  <c r="BH68" i="2" s="1"/>
  <c r="BH69" i="2" s="1"/>
  <c r="BH70" i="2" s="1"/>
  <c r="BH71" i="2" s="1"/>
  <c r="BH72" i="2" s="1"/>
  <c r="BH73" i="2" s="1"/>
  <c r="BH74" i="2" s="1"/>
  <c r="BH75" i="2" s="1"/>
  <c r="BH76" i="2" s="1"/>
  <c r="BH77" i="2" s="1"/>
  <c r="BH78" i="2" s="1"/>
  <c r="BH79" i="2" s="1"/>
  <c r="BH80" i="2" s="1"/>
  <c r="BH81" i="2" s="1"/>
  <c r="BH82" i="2" s="1"/>
  <c r="BH83" i="2" s="1"/>
  <c r="BH84" i="2" s="1"/>
  <c r="BH85" i="2" s="1"/>
  <c r="BH86" i="2" s="1"/>
  <c r="BH87" i="2" s="1"/>
  <c r="BH88" i="2" s="1"/>
  <c r="BH89" i="2" s="1"/>
  <c r="BH90" i="2" s="1"/>
  <c r="BH91" i="2" s="1"/>
  <c r="BH92" i="2" s="1"/>
  <c r="BH93" i="2" s="1"/>
  <c r="BH94" i="2" s="1"/>
  <c r="BH95" i="2" s="1"/>
  <c r="BH96" i="2" s="1"/>
  <c r="BH97" i="2" s="1"/>
  <c r="BH98" i="2" s="1"/>
  <c r="BH99" i="2" s="1"/>
  <c r="BH100" i="2" s="1"/>
  <c r="BH101" i="2" s="1"/>
  <c r="BH102" i="2" s="1"/>
  <c r="BH103" i="2" s="1"/>
  <c r="BH104" i="2" s="1"/>
  <c r="BH105" i="2" s="1"/>
  <c r="BH106" i="2" s="1"/>
  <c r="BH107" i="2" s="1"/>
  <c r="BH108" i="2" s="1"/>
  <c r="BH109" i="2" s="1"/>
  <c r="BH110" i="2" s="1"/>
  <c r="BH111" i="2" s="1"/>
  <c r="BH112" i="2" s="1"/>
  <c r="BH113" i="2" s="1"/>
  <c r="BH114" i="2" s="1"/>
  <c r="BH115" i="2" s="1"/>
  <c r="BH116" i="2" s="1"/>
  <c r="BH117" i="2" s="1"/>
  <c r="AZ33" i="2"/>
  <c r="BA34" i="2" s="1"/>
  <c r="AW33" i="2"/>
  <c r="AY33" i="2" s="1"/>
  <c r="X33" i="2"/>
  <c r="V33" i="2"/>
  <c r="T33" i="2"/>
  <c r="R33" i="2"/>
  <c r="L33" i="2"/>
  <c r="J33" i="2"/>
  <c r="I33" i="2"/>
  <c r="H33" i="2"/>
  <c r="G33" i="2"/>
  <c r="BC32" i="2"/>
  <c r="BC32" i="4" s="1"/>
  <c r="BB32" i="2"/>
  <c r="BB33" i="2" s="1"/>
  <c r="AZ32" i="2"/>
  <c r="BA33" i="2" s="1"/>
  <c r="AW32" i="2"/>
  <c r="X32" i="2"/>
  <c r="V32" i="2"/>
  <c r="T32" i="2"/>
  <c r="R32" i="2"/>
  <c r="Z32" i="2" s="1"/>
  <c r="N32" i="2"/>
  <c r="L32" i="2"/>
  <c r="J32" i="2"/>
  <c r="I32" i="2"/>
  <c r="H32" i="2"/>
  <c r="G32" i="2"/>
  <c r="F32" i="2"/>
  <c r="D32" i="2"/>
  <c r="BD31" i="2"/>
  <c r="BE31" i="2" s="1"/>
  <c r="AZ31" i="2"/>
  <c r="BA31" i="2" s="1"/>
  <c r="AW31" i="2"/>
  <c r="AY32" i="2" s="1"/>
  <c r="AG31" i="2"/>
  <c r="AD31" i="2"/>
  <c r="V31" i="2"/>
  <c r="N31" i="2"/>
  <c r="L31" i="2"/>
  <c r="J31" i="2"/>
  <c r="I31" i="2"/>
  <c r="H31" i="2"/>
  <c r="G31" i="2"/>
  <c r="F31" i="2"/>
  <c r="D31" i="2"/>
  <c r="BD30" i="2"/>
  <c r="BE30" i="2" s="1"/>
  <c r="AZ30" i="2"/>
  <c r="AW30" i="2"/>
  <c r="AY30" i="2" s="1"/>
  <c r="AG30" i="2"/>
  <c r="AG32" i="2" s="1"/>
  <c r="AD30" i="2"/>
  <c r="X30" i="2"/>
  <c r="V30" i="2"/>
  <c r="T30" i="2"/>
  <c r="R30" i="2"/>
  <c r="L30" i="2"/>
  <c r="J30" i="2"/>
  <c r="I30" i="2"/>
  <c r="H30" i="2"/>
  <c r="G30" i="2"/>
  <c r="F30" i="2"/>
  <c r="D30" i="2"/>
  <c r="BG29" i="2"/>
  <c r="BD29" i="2"/>
  <c r="BE29" i="2" s="1"/>
  <c r="AZ29" i="2"/>
  <c r="BA30" i="2" s="1"/>
  <c r="AW29" i="2"/>
  <c r="AY29" i="2" s="1"/>
  <c r="AG29" i="2"/>
  <c r="AD29" i="2"/>
  <c r="X29" i="2"/>
  <c r="V29" i="2"/>
  <c r="T29" i="2"/>
  <c r="R29" i="2"/>
  <c r="L29" i="2"/>
  <c r="J29" i="2"/>
  <c r="I29" i="2"/>
  <c r="H29" i="2"/>
  <c r="G29" i="2"/>
  <c r="F29" i="2"/>
  <c r="D29" i="2"/>
  <c r="C29" i="2" s="1"/>
  <c r="BD28" i="2"/>
  <c r="BE28" i="2" s="1"/>
  <c r="AZ28" i="2"/>
  <c r="BA28" i="2" s="1"/>
  <c r="AW28" i="2"/>
  <c r="AY28" i="2" s="1"/>
  <c r="AG28" i="2"/>
  <c r="AD28" i="2"/>
  <c r="X28" i="2"/>
  <c r="V28" i="2"/>
  <c r="T28" i="2"/>
  <c r="R28" i="2"/>
  <c r="Z28" i="2" s="1"/>
  <c r="N28" i="2"/>
  <c r="L28" i="2"/>
  <c r="J28" i="2"/>
  <c r="I28" i="2"/>
  <c r="H28" i="2"/>
  <c r="G28" i="2"/>
  <c r="F28" i="2"/>
  <c r="D28" i="2"/>
  <c r="C28" i="2"/>
  <c r="BD27" i="2"/>
  <c r="BE27" i="2" s="1"/>
  <c r="AZ27" i="2"/>
  <c r="BA27" i="2" s="1"/>
  <c r="AW27" i="2"/>
  <c r="AY27" i="2" s="1"/>
  <c r="AG27" i="2"/>
  <c r="AD27" i="2"/>
  <c r="V27" i="2"/>
  <c r="N27" i="2"/>
  <c r="L27" i="2"/>
  <c r="J27" i="2"/>
  <c r="I27" i="2"/>
  <c r="H27" i="2"/>
  <c r="G27" i="2"/>
  <c r="F27" i="2"/>
  <c r="D27" i="2"/>
  <c r="C27" i="2" s="1"/>
  <c r="BD26" i="2"/>
  <c r="BE26" i="2" s="1"/>
  <c r="AZ26" i="2"/>
  <c r="AW26" i="2"/>
  <c r="AY26" i="2" s="1"/>
  <c r="AG26" i="2"/>
  <c r="AD26" i="2"/>
  <c r="X26" i="2"/>
  <c r="V26" i="2"/>
  <c r="T26" i="2"/>
  <c r="R26" i="2"/>
  <c r="Z26" i="2" s="1"/>
  <c r="N26" i="2"/>
  <c r="L26" i="2"/>
  <c r="J26" i="2"/>
  <c r="I26" i="2"/>
  <c r="H26" i="2"/>
  <c r="G26" i="2"/>
  <c r="F26" i="2"/>
  <c r="D26" i="2"/>
  <c r="C26" i="2"/>
  <c r="C32" i="2" s="1"/>
  <c r="BD25" i="2"/>
  <c r="BE25" i="2" s="1"/>
  <c r="AZ25" i="2"/>
  <c r="BA25" i="2" s="1"/>
  <c r="AW25" i="2"/>
  <c r="AY25" i="2" s="1"/>
  <c r="AG25" i="2"/>
  <c r="AD25" i="2"/>
  <c r="X25" i="2"/>
  <c r="V25" i="2"/>
  <c r="T25" i="2"/>
  <c r="R25" i="2"/>
  <c r="L25" i="2"/>
  <c r="J25" i="2"/>
  <c r="I25" i="2"/>
  <c r="H25" i="2"/>
  <c r="G25" i="2"/>
  <c r="BD24" i="2"/>
  <c r="BE24" i="2" s="1"/>
  <c r="AZ24" i="2"/>
  <c r="BA24" i="2" s="1"/>
  <c r="AW24" i="2"/>
  <c r="AY24" i="2" s="1"/>
  <c r="AG24" i="2"/>
  <c r="AD24" i="2"/>
  <c r="X24" i="2"/>
  <c r="V24" i="2"/>
  <c r="T24" i="2"/>
  <c r="R24" i="2"/>
  <c r="Z24" i="2" s="1"/>
  <c r="N24" i="2"/>
  <c r="L24" i="2"/>
  <c r="J24" i="2"/>
  <c r="I24" i="2"/>
  <c r="H24" i="2"/>
  <c r="G24" i="2"/>
  <c r="F24" i="2"/>
  <c r="D24" i="2"/>
  <c r="BI23" i="2"/>
  <c r="BD23" i="2"/>
  <c r="BE23" i="2" s="1"/>
  <c r="AZ23" i="2"/>
  <c r="BA23" i="2" s="1"/>
  <c r="AW23" i="2"/>
  <c r="AY23" i="2" s="1"/>
  <c r="AG23" i="2"/>
  <c r="AD23" i="2"/>
  <c r="V23" i="2"/>
  <c r="L23" i="2"/>
  <c r="J23" i="2"/>
  <c r="I23" i="2"/>
  <c r="H23" i="2"/>
  <c r="G23" i="2"/>
  <c r="BI22" i="2"/>
  <c r="BD22" i="2"/>
  <c r="BE22" i="2" s="1"/>
  <c r="AZ22" i="2"/>
  <c r="BA22" i="2" s="1"/>
  <c r="AW22" i="2"/>
  <c r="AY22" i="2" s="1"/>
  <c r="AG22" i="2"/>
  <c r="AD22" i="2"/>
  <c r="X22" i="2"/>
  <c r="V22" i="2"/>
  <c r="T22" i="2"/>
  <c r="R22" i="2"/>
  <c r="Z22" i="2" s="1"/>
  <c r="N22" i="2"/>
  <c r="L22" i="2"/>
  <c r="J22" i="2"/>
  <c r="I22" i="2"/>
  <c r="H22" i="2"/>
  <c r="G22" i="2"/>
  <c r="F22" i="2"/>
  <c r="D22" i="2"/>
  <c r="BI21" i="2"/>
  <c r="BD21" i="2"/>
  <c r="BE21" i="2" s="1"/>
  <c r="AZ21" i="2"/>
  <c r="BA21" i="2" s="1"/>
  <c r="AW21" i="2"/>
  <c r="AY21" i="2" s="1"/>
  <c r="AG21" i="2"/>
  <c r="AD21" i="2"/>
  <c r="X21" i="2"/>
  <c r="V21" i="2"/>
  <c r="T21" i="2"/>
  <c r="R21" i="2"/>
  <c r="L21" i="2"/>
  <c r="J21" i="2"/>
  <c r="I21" i="2"/>
  <c r="H21" i="2"/>
  <c r="G21" i="2"/>
  <c r="B21" i="2"/>
  <c r="B25" i="2" s="1"/>
  <c r="B29" i="2" s="1"/>
  <c r="B33" i="2" s="1"/>
  <c r="B37" i="2" s="1"/>
  <c r="B41" i="2" s="1"/>
  <c r="B45" i="2" s="1"/>
  <c r="B49" i="2" s="1"/>
  <c r="B53" i="2" s="1"/>
  <c r="B57" i="2" s="1"/>
  <c r="B61" i="2" s="1"/>
  <c r="B65" i="2" s="1"/>
  <c r="B69" i="2" s="1"/>
  <c r="B73" i="2" s="1"/>
  <c r="B77" i="2" s="1"/>
  <c r="B81" i="2" s="1"/>
  <c r="B85" i="2" s="1"/>
  <c r="B89" i="2" s="1"/>
  <c r="B93" i="2" s="1"/>
  <c r="B97" i="2" s="1"/>
  <c r="B101" i="2" s="1"/>
  <c r="B105" i="2" s="1"/>
  <c r="B109" i="2" s="1"/>
  <c r="B113" i="2" s="1"/>
  <c r="B117" i="2" s="1"/>
  <c r="A21" i="2"/>
  <c r="A25" i="2" s="1"/>
  <c r="A29" i="2" s="1"/>
  <c r="A33" i="2" s="1"/>
  <c r="A37" i="2" s="1"/>
  <c r="A41" i="2" s="1"/>
  <c r="A45" i="2" s="1"/>
  <c r="A49" i="2" s="1"/>
  <c r="A53" i="2" s="1"/>
  <c r="A57" i="2" s="1"/>
  <c r="A61" i="2" s="1"/>
  <c r="A65" i="2" s="1"/>
  <c r="A69" i="2" s="1"/>
  <c r="A73" i="2" s="1"/>
  <c r="A77" i="2" s="1"/>
  <c r="A81" i="2" s="1"/>
  <c r="A85" i="2" s="1"/>
  <c r="A89" i="2" s="1"/>
  <c r="A93" i="2" s="1"/>
  <c r="A97" i="2" s="1"/>
  <c r="A101" i="2" s="1"/>
  <c r="A105" i="2" s="1"/>
  <c r="A109" i="2" s="1"/>
  <c r="A113" i="2" s="1"/>
  <c r="A117" i="2" s="1"/>
  <c r="BD20" i="2"/>
  <c r="BE20" i="2" s="1"/>
  <c r="AZ20" i="2"/>
  <c r="BA20" i="2" s="1"/>
  <c r="AW20" i="2"/>
  <c r="AY20" i="2" s="1"/>
  <c r="AG20" i="2"/>
  <c r="AD20" i="2"/>
  <c r="X20" i="2"/>
  <c r="V20" i="2"/>
  <c r="T20" i="2"/>
  <c r="R20" i="2"/>
  <c r="L20" i="2"/>
  <c r="J20" i="2"/>
  <c r="I20" i="2"/>
  <c r="H20" i="2"/>
  <c r="G20" i="2"/>
  <c r="F20" i="2"/>
  <c r="D20" i="2"/>
  <c r="B20" i="2"/>
  <c r="B24" i="2" s="1"/>
  <c r="B28" i="2" s="1"/>
  <c r="B32" i="2" s="1"/>
  <c r="B36" i="2" s="1"/>
  <c r="B40" i="2" s="1"/>
  <c r="B44" i="2" s="1"/>
  <c r="B48" i="2" s="1"/>
  <c r="B52" i="2" s="1"/>
  <c r="B56" i="2" s="1"/>
  <c r="B60" i="2" s="1"/>
  <c r="B64" i="2" s="1"/>
  <c r="B68" i="2" s="1"/>
  <c r="B72" i="2" s="1"/>
  <c r="B76" i="2" s="1"/>
  <c r="B80" i="2" s="1"/>
  <c r="B84" i="2" s="1"/>
  <c r="B88" i="2" s="1"/>
  <c r="B92" i="2" s="1"/>
  <c r="B96" i="2" s="1"/>
  <c r="B100" i="2" s="1"/>
  <c r="B104" i="2" s="1"/>
  <c r="B108" i="2" s="1"/>
  <c r="B112" i="2" s="1"/>
  <c r="B116" i="2" s="1"/>
  <c r="A20" i="2"/>
  <c r="A24" i="2" s="1"/>
  <c r="A28" i="2" s="1"/>
  <c r="A32" i="2" s="1"/>
  <c r="A36" i="2" s="1"/>
  <c r="A40" i="2" s="1"/>
  <c r="A44" i="2" s="1"/>
  <c r="A48" i="2" s="1"/>
  <c r="A52" i="2" s="1"/>
  <c r="A56" i="2" s="1"/>
  <c r="A60" i="2" s="1"/>
  <c r="A64" i="2" s="1"/>
  <c r="A68" i="2" s="1"/>
  <c r="A72" i="2" s="1"/>
  <c r="A76" i="2" s="1"/>
  <c r="A80" i="2" s="1"/>
  <c r="A84" i="2" s="1"/>
  <c r="A88" i="2" s="1"/>
  <c r="A92" i="2" s="1"/>
  <c r="A96" i="2" s="1"/>
  <c r="A100" i="2" s="1"/>
  <c r="A104" i="2" s="1"/>
  <c r="A108" i="2" s="1"/>
  <c r="A112" i="2" s="1"/>
  <c r="A116" i="2" s="1"/>
  <c r="BI19" i="2"/>
  <c r="BD19" i="2"/>
  <c r="BE19" i="2" s="1"/>
  <c r="AZ19" i="2"/>
  <c r="BA19" i="2" s="1"/>
  <c r="AW19" i="2"/>
  <c r="AY19" i="2" s="1"/>
  <c r="AG19" i="2"/>
  <c r="AD19" i="2"/>
  <c r="V19" i="2"/>
  <c r="N19" i="2"/>
  <c r="L19" i="2"/>
  <c r="J19" i="2"/>
  <c r="I19" i="2"/>
  <c r="H19" i="2"/>
  <c r="G19" i="2"/>
  <c r="F19" i="2"/>
  <c r="D19" i="2"/>
  <c r="B19" i="2"/>
  <c r="B23" i="2" s="1"/>
  <c r="B27" i="2" s="1"/>
  <c r="B31" i="2" s="1"/>
  <c r="B35" i="2" s="1"/>
  <c r="B39" i="2" s="1"/>
  <c r="B43" i="2" s="1"/>
  <c r="B47" i="2" s="1"/>
  <c r="B51" i="2" s="1"/>
  <c r="B55" i="2" s="1"/>
  <c r="B59" i="2" s="1"/>
  <c r="B63" i="2" s="1"/>
  <c r="B67" i="2" s="1"/>
  <c r="B71" i="2" s="1"/>
  <c r="B75" i="2" s="1"/>
  <c r="B79" i="2" s="1"/>
  <c r="B83" i="2" s="1"/>
  <c r="B87" i="2" s="1"/>
  <c r="B91" i="2" s="1"/>
  <c r="B95" i="2" s="1"/>
  <c r="B99" i="2" s="1"/>
  <c r="B103" i="2" s="1"/>
  <c r="B107" i="2" s="1"/>
  <c r="B111" i="2" s="1"/>
  <c r="B115" i="2" s="1"/>
  <c r="A19" i="2"/>
  <c r="A23" i="2" s="1"/>
  <c r="A27" i="2" s="1"/>
  <c r="A31" i="2" s="1"/>
  <c r="A35" i="2" s="1"/>
  <c r="A39" i="2" s="1"/>
  <c r="A43" i="2" s="1"/>
  <c r="A47" i="2" s="1"/>
  <c r="A51" i="2" s="1"/>
  <c r="A55" i="2" s="1"/>
  <c r="A59" i="2" s="1"/>
  <c r="A63" i="2" s="1"/>
  <c r="A67" i="2" s="1"/>
  <c r="A71" i="2" s="1"/>
  <c r="A75" i="2" s="1"/>
  <c r="A79" i="2" s="1"/>
  <c r="A83" i="2" s="1"/>
  <c r="A87" i="2" s="1"/>
  <c r="A91" i="2" s="1"/>
  <c r="A95" i="2" s="1"/>
  <c r="A99" i="2" s="1"/>
  <c r="A103" i="2" s="1"/>
  <c r="A107" i="2" s="1"/>
  <c r="A111" i="2" s="1"/>
  <c r="A115" i="2" s="1"/>
  <c r="BI18" i="2"/>
  <c r="BD18" i="2"/>
  <c r="AZ18" i="2"/>
  <c r="BA18" i="2" s="1"/>
  <c r="AW18" i="2"/>
  <c r="AY18" i="2" s="1"/>
  <c r="AG18" i="2"/>
  <c r="AD18" i="2"/>
  <c r="X18" i="2"/>
  <c r="V18" i="2"/>
  <c r="T18" i="2"/>
  <c r="R18" i="2"/>
  <c r="Z18" i="2" s="1"/>
  <c r="N18" i="2"/>
  <c r="L18" i="2"/>
  <c r="J18" i="2"/>
  <c r="I18" i="2"/>
  <c r="H18" i="2"/>
  <c r="G18" i="2"/>
  <c r="F18" i="2"/>
  <c r="D18" i="2"/>
  <c r="B18" i="2"/>
  <c r="B22" i="2" s="1"/>
  <c r="B26" i="2" s="1"/>
  <c r="B30" i="2" s="1"/>
  <c r="B34" i="2" s="1"/>
  <c r="B38" i="2" s="1"/>
  <c r="B42" i="2" s="1"/>
  <c r="B46" i="2" s="1"/>
  <c r="B50" i="2" s="1"/>
  <c r="B54" i="2" s="1"/>
  <c r="B58" i="2" s="1"/>
  <c r="B62" i="2" s="1"/>
  <c r="B66" i="2" s="1"/>
  <c r="B70" i="2" s="1"/>
  <c r="B74" i="2" s="1"/>
  <c r="B78" i="2" s="1"/>
  <c r="B82" i="2" s="1"/>
  <c r="B86" i="2" s="1"/>
  <c r="B90" i="2" s="1"/>
  <c r="B94" i="2" s="1"/>
  <c r="B98" i="2" s="1"/>
  <c r="B102" i="2" s="1"/>
  <c r="B106" i="2" s="1"/>
  <c r="B110" i="2" s="1"/>
  <c r="B114" i="2" s="1"/>
  <c r="A18" i="2"/>
  <c r="A22" i="2" s="1"/>
  <c r="A26" i="2" s="1"/>
  <c r="A30" i="2" s="1"/>
  <c r="A34" i="2" s="1"/>
  <c r="A38" i="2" s="1"/>
  <c r="A42" i="2" s="1"/>
  <c r="A46" i="2" s="1"/>
  <c r="A50" i="2" s="1"/>
  <c r="A54" i="2" s="1"/>
  <c r="A58" i="2" s="1"/>
  <c r="A62" i="2" s="1"/>
  <c r="A66" i="2" s="1"/>
  <c r="A70" i="2" s="1"/>
  <c r="A74" i="2" s="1"/>
  <c r="A78" i="2" s="1"/>
  <c r="A82" i="2" s="1"/>
  <c r="A86" i="2" s="1"/>
  <c r="A90" i="2" s="1"/>
  <c r="A94" i="2" s="1"/>
  <c r="A98" i="2" s="1"/>
  <c r="A102" i="2" s="1"/>
  <c r="A106" i="2" s="1"/>
  <c r="A110" i="2" s="1"/>
  <c r="A114" i="2" s="1"/>
  <c r="BI17" i="2"/>
  <c r="AZ17" i="2"/>
  <c r="BA17" i="2" s="1"/>
  <c r="AW17" i="2"/>
  <c r="AG17" i="2"/>
  <c r="X17" i="2"/>
  <c r="V17" i="2"/>
  <c r="T17" i="2"/>
  <c r="R17" i="2"/>
  <c r="L17" i="2"/>
  <c r="H17" i="2"/>
  <c r="G17" i="2"/>
  <c r="F17" i="2"/>
  <c r="D17" i="2"/>
  <c r="AZ16" i="2"/>
  <c r="BA16" i="2" s="1"/>
  <c r="AW16" i="2"/>
  <c r="AY16" i="2" s="1"/>
  <c r="AG16" i="2"/>
  <c r="X16" i="2"/>
  <c r="V16" i="2"/>
  <c r="T16" i="2"/>
  <c r="R16" i="2"/>
  <c r="L16" i="2"/>
  <c r="J16" i="2"/>
  <c r="I16" i="2"/>
  <c r="H16" i="2"/>
  <c r="G16" i="2"/>
  <c r="BI15" i="2"/>
  <c r="AZ15" i="2"/>
  <c r="AW15" i="2"/>
  <c r="AY15" i="2" s="1"/>
  <c r="AG15" i="2"/>
  <c r="X15" i="2"/>
  <c r="V15" i="2"/>
  <c r="T15" i="2"/>
  <c r="R15" i="2"/>
  <c r="L15" i="2"/>
  <c r="J15" i="2"/>
  <c r="I15" i="2"/>
  <c r="H15" i="2"/>
  <c r="G15" i="2"/>
  <c r="F15" i="2"/>
  <c r="D15" i="2"/>
  <c r="BI14" i="2"/>
  <c r="AZ14" i="2"/>
  <c r="BA15" i="2" s="1"/>
  <c r="AW14" i="2"/>
  <c r="AY14" i="2" s="1"/>
  <c r="AG14" i="2"/>
  <c r="X14" i="2"/>
  <c r="V14" i="2"/>
  <c r="T14" i="2"/>
  <c r="R14" i="2"/>
  <c r="L14" i="2"/>
  <c r="J14" i="2"/>
  <c r="I14" i="2"/>
  <c r="G14" i="2"/>
  <c r="F14" i="2"/>
  <c r="D14" i="2"/>
  <c r="BI13" i="2"/>
  <c r="AX12" i="2"/>
  <c r="BI11" i="2"/>
  <c r="AX11" i="2"/>
  <c r="BI10" i="2"/>
  <c r="AX10" i="2"/>
  <c r="BI9" i="2"/>
  <c r="AX9" i="2"/>
  <c r="BI8" i="2"/>
  <c r="AX8" i="2"/>
  <c r="AQ8" i="2"/>
  <c r="AA8" i="2"/>
  <c r="Y8" i="2"/>
  <c r="BN7" i="2"/>
  <c r="BM7" i="2"/>
  <c r="BJ7" i="2"/>
  <c r="BJ8" i="2" s="1"/>
  <c r="BJ9" i="2" s="1"/>
  <c r="BJ10" i="2" s="1"/>
  <c r="BJ11" i="2" s="1"/>
  <c r="BJ12" i="2" s="1"/>
  <c r="BJ13" i="2" s="1"/>
  <c r="BJ14" i="2" s="1"/>
  <c r="BJ15" i="2" s="1"/>
  <c r="BJ16" i="2" s="1"/>
  <c r="BJ17" i="2" s="1"/>
  <c r="BJ18" i="2" s="1"/>
  <c r="BJ19" i="2" s="1"/>
  <c r="BJ20" i="2" s="1"/>
  <c r="BJ21" i="2" s="1"/>
  <c r="BJ22" i="2" s="1"/>
  <c r="BJ23" i="2" s="1"/>
  <c r="BJ24" i="2" s="1"/>
  <c r="BJ25" i="2" s="1"/>
  <c r="BJ26" i="2" s="1"/>
  <c r="BJ27" i="2" s="1"/>
  <c r="BJ28" i="2" s="1"/>
  <c r="BJ29" i="2" s="1"/>
  <c r="BI7" i="2"/>
  <c r="AX7" i="2"/>
  <c r="AR7" i="2"/>
  <c r="AQ7" i="2"/>
  <c r="AS7" i="2" s="1"/>
  <c r="AO7" i="2"/>
  <c r="AP7" i="2" s="1"/>
  <c r="AP7" i="3" s="1"/>
  <c r="AN7" i="2"/>
  <c r="AK7" i="2"/>
  <c r="AK8" i="2" s="1"/>
  <c r="AK9" i="2" s="1"/>
  <c r="AK10" i="2" s="1"/>
  <c r="AK11" i="2" s="1"/>
  <c r="AK12" i="2" s="1"/>
  <c r="AK13" i="2" s="1"/>
  <c r="AK14" i="2" s="1"/>
  <c r="AK15" i="2" s="1"/>
  <c r="AK16" i="2" s="1"/>
  <c r="AK17" i="2" s="1"/>
  <c r="AK18" i="2" s="1"/>
  <c r="AK19" i="2" s="1"/>
  <c r="AK20" i="2" s="1"/>
  <c r="AK21" i="2" s="1"/>
  <c r="AK22" i="2" s="1"/>
  <c r="AK23" i="2" s="1"/>
  <c r="AK24" i="2" s="1"/>
  <c r="AK25" i="2" s="1"/>
  <c r="AK26" i="2" s="1"/>
  <c r="AK27" i="2" s="1"/>
  <c r="AK28" i="2" s="1"/>
  <c r="AK29" i="2" s="1"/>
  <c r="AA7" i="2"/>
  <c r="Y7" i="2"/>
  <c r="BN6" i="2"/>
  <c r="AX6" i="2"/>
  <c r="AS6" i="2"/>
  <c r="AR6" i="2"/>
  <c r="AM6" i="2"/>
  <c r="AG6" i="2"/>
  <c r="AG6" i="4" s="1"/>
  <c r="AA6" i="2"/>
  <c r="AJ6" i="2" s="1"/>
  <c r="Y6" i="2"/>
  <c r="BN5" i="2"/>
  <c r="BI5" i="2"/>
  <c r="AX5" i="2"/>
  <c r="AS5" i="2"/>
  <c r="AR5" i="2"/>
  <c r="AG5" i="2"/>
  <c r="AG5" i="4" s="1"/>
  <c r="AA5" i="2"/>
  <c r="AJ5" i="2" s="1"/>
  <c r="Y5" i="2"/>
  <c r="BK4" i="2"/>
  <c r="E120" i="7" s="1"/>
  <c r="AX4" i="2"/>
  <c r="AT4" i="2"/>
  <c r="AS4" i="2"/>
  <c r="AR4" i="2"/>
  <c r="AJ4" i="2"/>
  <c r="AG4" i="2"/>
  <c r="AG4" i="4" s="1"/>
  <c r="AA4" i="2"/>
  <c r="Y4" i="2"/>
  <c r="AG3" i="2"/>
  <c r="AA3" i="2"/>
  <c r="AL3" i="2" s="1"/>
  <c r="Y3" i="2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0" i="1"/>
  <c r="H29" i="1"/>
  <c r="E29" i="1"/>
  <c r="P28" i="1"/>
  <c r="H28" i="1"/>
  <c r="E28" i="1"/>
  <c r="P27" i="1"/>
  <c r="H27" i="1"/>
  <c r="E27" i="1"/>
  <c r="P26" i="1"/>
  <c r="H26" i="1"/>
  <c r="E26" i="1"/>
  <c r="D26" i="1"/>
  <c r="D30" i="1" s="1"/>
  <c r="D34" i="1" s="1"/>
  <c r="D38" i="1" s="1"/>
  <c r="D42" i="1" s="1"/>
  <c r="D46" i="1" s="1"/>
  <c r="D50" i="1" s="1"/>
  <c r="D54" i="1" s="1"/>
  <c r="D58" i="1" s="1"/>
  <c r="D62" i="1" s="1"/>
  <c r="D66" i="1" s="1"/>
  <c r="D70" i="1" s="1"/>
  <c r="D74" i="1" s="1"/>
  <c r="D78" i="1" s="1"/>
  <c r="D82" i="1" s="1"/>
  <c r="D86" i="1" s="1"/>
  <c r="D90" i="1" s="1"/>
  <c r="D94" i="1" s="1"/>
  <c r="D98" i="1" s="1"/>
  <c r="D102" i="1" s="1"/>
  <c r="D106" i="1" s="1"/>
  <c r="D110" i="1" s="1"/>
  <c r="D114" i="1" s="1"/>
  <c r="P25" i="1"/>
  <c r="Q25" i="1" s="1"/>
  <c r="O25" i="1"/>
  <c r="O29" i="1" s="1"/>
  <c r="O33" i="1" s="1"/>
  <c r="O37" i="1" s="1"/>
  <c r="O41" i="1" s="1"/>
  <c r="O45" i="1" s="1"/>
  <c r="O49" i="1" s="1"/>
  <c r="O53" i="1" s="1"/>
  <c r="O57" i="1" s="1"/>
  <c r="O61" i="1" s="1"/>
  <c r="O65" i="1" s="1"/>
  <c r="O69" i="1" s="1"/>
  <c r="O73" i="1" s="1"/>
  <c r="O77" i="1" s="1"/>
  <c r="O81" i="1" s="1"/>
  <c r="O85" i="1" s="1"/>
  <c r="O89" i="1" s="1"/>
  <c r="O93" i="1" s="1"/>
  <c r="O97" i="1" s="1"/>
  <c r="O101" i="1" s="1"/>
  <c r="O105" i="1" s="1"/>
  <c r="O109" i="1" s="1"/>
  <c r="O113" i="1" s="1"/>
  <c r="H25" i="1"/>
  <c r="E25" i="1"/>
  <c r="D25" i="1"/>
  <c r="D29" i="1" s="1"/>
  <c r="D33" i="1" s="1"/>
  <c r="D37" i="1" s="1"/>
  <c r="D41" i="1" s="1"/>
  <c r="D45" i="1" s="1"/>
  <c r="D49" i="1" s="1"/>
  <c r="D53" i="1" s="1"/>
  <c r="D57" i="1" s="1"/>
  <c r="D61" i="1" s="1"/>
  <c r="D65" i="1" s="1"/>
  <c r="D69" i="1" s="1"/>
  <c r="D73" i="1" s="1"/>
  <c r="D77" i="1" s="1"/>
  <c r="D81" i="1" s="1"/>
  <c r="D85" i="1" s="1"/>
  <c r="D89" i="1" s="1"/>
  <c r="D93" i="1" s="1"/>
  <c r="D97" i="1" s="1"/>
  <c r="D101" i="1" s="1"/>
  <c r="D105" i="1" s="1"/>
  <c r="D109" i="1" s="1"/>
  <c r="D113" i="1" s="1"/>
  <c r="P24" i="1"/>
  <c r="H24" i="1"/>
  <c r="E24" i="1"/>
  <c r="O23" i="1"/>
  <c r="O27" i="1" s="1"/>
  <c r="O31" i="1" s="1"/>
  <c r="O35" i="1" s="1"/>
  <c r="O39" i="1" s="1"/>
  <c r="O43" i="1" s="1"/>
  <c r="O47" i="1" s="1"/>
  <c r="O51" i="1" s="1"/>
  <c r="O55" i="1" s="1"/>
  <c r="O59" i="1" s="1"/>
  <c r="O63" i="1" s="1"/>
  <c r="O67" i="1" s="1"/>
  <c r="O71" i="1" s="1"/>
  <c r="O75" i="1" s="1"/>
  <c r="O79" i="1" s="1"/>
  <c r="O83" i="1" s="1"/>
  <c r="O87" i="1" s="1"/>
  <c r="O91" i="1" s="1"/>
  <c r="O95" i="1" s="1"/>
  <c r="O99" i="1" s="1"/>
  <c r="O103" i="1" s="1"/>
  <c r="O107" i="1" s="1"/>
  <c r="O111" i="1" s="1"/>
  <c r="H23" i="1"/>
  <c r="E23" i="1"/>
  <c r="G25" i="1" s="1"/>
  <c r="H22" i="1"/>
  <c r="E22" i="1"/>
  <c r="D22" i="1"/>
  <c r="P21" i="1"/>
  <c r="O21" i="1"/>
  <c r="H21" i="1"/>
  <c r="E21" i="1"/>
  <c r="D21" i="1"/>
  <c r="P20" i="1"/>
  <c r="H20" i="1"/>
  <c r="E20" i="1"/>
  <c r="D20" i="1"/>
  <c r="D24" i="1" s="1"/>
  <c r="D28" i="1" s="1"/>
  <c r="D32" i="1" s="1"/>
  <c r="D36" i="1" s="1"/>
  <c r="D40" i="1" s="1"/>
  <c r="D44" i="1" s="1"/>
  <c r="D48" i="1" s="1"/>
  <c r="D52" i="1" s="1"/>
  <c r="D56" i="1" s="1"/>
  <c r="D60" i="1" s="1"/>
  <c r="D64" i="1" s="1"/>
  <c r="D68" i="1" s="1"/>
  <c r="D72" i="1" s="1"/>
  <c r="D76" i="1" s="1"/>
  <c r="D80" i="1" s="1"/>
  <c r="D84" i="1" s="1"/>
  <c r="D88" i="1" s="1"/>
  <c r="D92" i="1" s="1"/>
  <c r="D96" i="1" s="1"/>
  <c r="D100" i="1" s="1"/>
  <c r="D104" i="1" s="1"/>
  <c r="D108" i="1" s="1"/>
  <c r="D112" i="1" s="1"/>
  <c r="P19" i="1"/>
  <c r="O19" i="1"/>
  <c r="H19" i="1"/>
  <c r="E19" i="1"/>
  <c r="G21" i="1" s="1"/>
  <c r="O18" i="1"/>
  <c r="O22" i="1" s="1"/>
  <c r="O26" i="1" s="1"/>
  <c r="O30" i="1" s="1"/>
  <c r="O34" i="1" s="1"/>
  <c r="O38" i="1" s="1"/>
  <c r="O42" i="1" s="1"/>
  <c r="O46" i="1" s="1"/>
  <c r="O50" i="1" s="1"/>
  <c r="O54" i="1" s="1"/>
  <c r="O58" i="1" s="1"/>
  <c r="O62" i="1" s="1"/>
  <c r="O66" i="1" s="1"/>
  <c r="O70" i="1" s="1"/>
  <c r="O74" i="1" s="1"/>
  <c r="O78" i="1" s="1"/>
  <c r="O82" i="1" s="1"/>
  <c r="O86" i="1" s="1"/>
  <c r="O90" i="1" s="1"/>
  <c r="O94" i="1" s="1"/>
  <c r="O98" i="1" s="1"/>
  <c r="O102" i="1" s="1"/>
  <c r="O106" i="1" s="1"/>
  <c r="O110" i="1" s="1"/>
  <c r="O114" i="1" s="1"/>
  <c r="H18" i="1"/>
  <c r="E18" i="1"/>
  <c r="D18" i="1"/>
  <c r="P17" i="1"/>
  <c r="O17" i="1"/>
  <c r="H17" i="1"/>
  <c r="E17" i="1"/>
  <c r="D17" i="1"/>
  <c r="P16" i="1"/>
  <c r="Q16" i="1" s="1"/>
  <c r="O16" i="1"/>
  <c r="O20" i="1" s="1"/>
  <c r="O24" i="1" s="1"/>
  <c r="O28" i="1" s="1"/>
  <c r="O32" i="1" s="1"/>
  <c r="O36" i="1" s="1"/>
  <c r="O40" i="1" s="1"/>
  <c r="O44" i="1" s="1"/>
  <c r="O48" i="1" s="1"/>
  <c r="O52" i="1" s="1"/>
  <c r="O56" i="1" s="1"/>
  <c r="O60" i="1" s="1"/>
  <c r="O64" i="1" s="1"/>
  <c r="O68" i="1" s="1"/>
  <c r="O72" i="1" s="1"/>
  <c r="O76" i="1" s="1"/>
  <c r="O80" i="1" s="1"/>
  <c r="O84" i="1" s="1"/>
  <c r="O88" i="1" s="1"/>
  <c r="O92" i="1" s="1"/>
  <c r="O96" i="1" s="1"/>
  <c r="O100" i="1" s="1"/>
  <c r="O104" i="1" s="1"/>
  <c r="O108" i="1" s="1"/>
  <c r="O112" i="1" s="1"/>
  <c r="H16" i="1"/>
  <c r="E16" i="1"/>
  <c r="D16" i="1"/>
  <c r="O15" i="1"/>
  <c r="H15" i="1"/>
  <c r="E15" i="1"/>
  <c r="D15" i="1"/>
  <c r="D19" i="1" s="1"/>
  <c r="D23" i="1" s="1"/>
  <c r="D27" i="1" s="1"/>
  <c r="D31" i="1" s="1"/>
  <c r="D35" i="1" s="1"/>
  <c r="D39" i="1" s="1"/>
  <c r="D43" i="1" s="1"/>
  <c r="D47" i="1" s="1"/>
  <c r="D51" i="1" s="1"/>
  <c r="D55" i="1" s="1"/>
  <c r="D59" i="1" s="1"/>
  <c r="D63" i="1" s="1"/>
  <c r="D67" i="1" s="1"/>
  <c r="D71" i="1" s="1"/>
  <c r="D75" i="1" s="1"/>
  <c r="D79" i="1" s="1"/>
  <c r="D83" i="1" s="1"/>
  <c r="D87" i="1" s="1"/>
  <c r="D91" i="1" s="1"/>
  <c r="D95" i="1" s="1"/>
  <c r="D99" i="1" s="1"/>
  <c r="D103" i="1" s="1"/>
  <c r="D107" i="1" s="1"/>
  <c r="D111" i="1" s="1"/>
  <c r="P14" i="1"/>
  <c r="E14" i="1"/>
  <c r="E13" i="1"/>
  <c r="P12" i="1"/>
  <c r="Q12" i="1" s="1"/>
  <c r="E12" i="1"/>
  <c r="P11" i="1"/>
  <c r="E11" i="1"/>
  <c r="G13" i="1" s="1"/>
  <c r="P10" i="1"/>
  <c r="Q10" i="1" s="1"/>
  <c r="K10" i="1"/>
  <c r="E10" i="1"/>
  <c r="P9" i="1"/>
  <c r="K9" i="1"/>
  <c r="L9" i="1" s="1"/>
  <c r="E9" i="1"/>
  <c r="P8" i="1"/>
  <c r="K8" i="1"/>
  <c r="E8" i="1"/>
  <c r="F8" i="1" s="1"/>
  <c r="P7" i="1"/>
  <c r="E7" i="1"/>
  <c r="B14" i="1" s="1"/>
  <c r="L8" i="1" l="1"/>
  <c r="Q9" i="1"/>
  <c r="F13" i="1"/>
  <c r="F15" i="1"/>
  <c r="F16" i="1"/>
  <c r="Q19" i="1"/>
  <c r="F24" i="1"/>
  <c r="F25" i="1"/>
  <c r="F27" i="1"/>
  <c r="F28" i="1"/>
  <c r="Q26" i="1"/>
  <c r="F23" i="1"/>
  <c r="Q20" i="1"/>
  <c r="F18" i="1"/>
  <c r="Q17" i="1"/>
  <c r="F17" i="1"/>
  <c r="Q24" i="1"/>
  <c r="F22" i="1"/>
  <c r="Q21" i="1"/>
  <c r="F21" i="1"/>
  <c r="Q8" i="1"/>
  <c r="F10" i="1"/>
  <c r="F14" i="1"/>
  <c r="F26" i="1"/>
  <c r="Q28" i="1"/>
  <c r="Q7" i="1"/>
  <c r="F9" i="1"/>
  <c r="L10" i="1"/>
  <c r="F12" i="1"/>
  <c r="Q14" i="1"/>
  <c r="F20" i="1"/>
  <c r="F29" i="1"/>
  <c r="F7" i="1"/>
  <c r="F11" i="1"/>
  <c r="Q11" i="1"/>
  <c r="G17" i="1"/>
  <c r="F19" i="1"/>
  <c r="Q27" i="1"/>
  <c r="B5" i="5"/>
  <c r="C24" i="7"/>
  <c r="C24" i="6"/>
  <c r="BO3" i="2"/>
  <c r="C5" i="5" s="1"/>
  <c r="AB20" i="2"/>
  <c r="AJ20" i="2" s="1"/>
  <c r="AB28" i="2"/>
  <c r="AJ28" i="2" s="1"/>
  <c r="AG32" i="4"/>
  <c r="AG145" i="2"/>
  <c r="AG32" i="3"/>
  <c r="AH32" i="2"/>
  <c r="BI25" i="2"/>
  <c r="BG37" i="2"/>
  <c r="BB34" i="2"/>
  <c r="BG33" i="2"/>
  <c r="BB35" i="2"/>
  <c r="BB36" i="2"/>
  <c r="AB36" i="2"/>
  <c r="C119" i="7"/>
  <c r="C147" i="7" s="1"/>
  <c r="AG3" i="4"/>
  <c r="BK3" i="2"/>
  <c r="E119" i="7" s="1"/>
  <c r="AM6" i="4"/>
  <c r="AM7" i="3"/>
  <c r="AR7" i="4"/>
  <c r="AR7" i="3"/>
  <c r="AT7" i="3" s="1"/>
  <c r="AG16" i="4"/>
  <c r="K13" i="1" s="1"/>
  <c r="L13" i="1" s="1"/>
  <c r="AG129" i="2"/>
  <c r="AY17" i="2"/>
  <c r="AD18" i="4"/>
  <c r="AD18" i="3"/>
  <c r="AG20" i="4"/>
  <c r="AG133" i="2"/>
  <c r="AG22" i="4"/>
  <c r="K19" i="1" s="1"/>
  <c r="AG135" i="2"/>
  <c r="AG24" i="4"/>
  <c r="K21" i="1" s="1"/>
  <c r="L21" i="1" s="1"/>
  <c r="AG137" i="2"/>
  <c r="AD26" i="4"/>
  <c r="AD26" i="3"/>
  <c r="BA26" i="2"/>
  <c r="BA29" i="2"/>
  <c r="AG31" i="4"/>
  <c r="AG144" i="2"/>
  <c r="BA32" i="2"/>
  <c r="BC33" i="2"/>
  <c r="BD33" i="2" s="1"/>
  <c r="BE33" i="2" s="1"/>
  <c r="BA40" i="2"/>
  <c r="BA65" i="2"/>
  <c r="AY67" i="2"/>
  <c r="AY70" i="2"/>
  <c r="AJ3" i="2"/>
  <c r="BL3" i="2"/>
  <c r="AR5" i="4"/>
  <c r="AR5" i="3"/>
  <c r="BI6" i="4"/>
  <c r="AJ6" i="4"/>
  <c r="AR6" i="4"/>
  <c r="AR6" i="3"/>
  <c r="BI6" i="2"/>
  <c r="AQ8" i="4"/>
  <c r="AQ8" i="3"/>
  <c r="AG17" i="4"/>
  <c r="K14" i="1" s="1"/>
  <c r="L14" i="1" s="1"/>
  <c r="AG130" i="2"/>
  <c r="C121" i="7"/>
  <c r="C149" i="7" s="1"/>
  <c r="AG18" i="4"/>
  <c r="AG131" i="2"/>
  <c r="AD19" i="4"/>
  <c r="AD19" i="3"/>
  <c r="AD21" i="4"/>
  <c r="AD21" i="3"/>
  <c r="AD23" i="4"/>
  <c r="AD23" i="3"/>
  <c r="AD25" i="4"/>
  <c r="AD25" i="3"/>
  <c r="C123" i="7"/>
  <c r="C151" i="7" s="1"/>
  <c r="AG26" i="4"/>
  <c r="AG139" i="2"/>
  <c r="AD27" i="4"/>
  <c r="AD27" i="3"/>
  <c r="AD28" i="4"/>
  <c r="AD28" i="3"/>
  <c r="AD29" i="4"/>
  <c r="AD29" i="3"/>
  <c r="AD30" i="4"/>
  <c r="AD30" i="3"/>
  <c r="AH31" i="2"/>
  <c r="AY31" i="2"/>
  <c r="BA70" i="2"/>
  <c r="BM3" i="2"/>
  <c r="AR4" i="4"/>
  <c r="AT4" i="4" s="1"/>
  <c r="AR4" i="3"/>
  <c r="AT4" i="3" s="1"/>
  <c r="BI4" i="2"/>
  <c r="AJ5" i="4"/>
  <c r="BI5" i="4"/>
  <c r="AT7" i="2"/>
  <c r="AR8" i="2"/>
  <c r="AG19" i="4"/>
  <c r="K16" i="1" s="1"/>
  <c r="L16" i="1" s="1"/>
  <c r="AG132" i="2"/>
  <c r="AG21" i="4"/>
  <c r="K18" i="1" s="1"/>
  <c r="L18" i="1" s="1"/>
  <c r="AG134" i="2"/>
  <c r="AG23" i="4"/>
  <c r="K20" i="1" s="1"/>
  <c r="L20" i="1" s="1"/>
  <c r="AG136" i="2"/>
  <c r="AG25" i="4"/>
  <c r="K22" i="1" s="1"/>
  <c r="L22" i="1" s="1"/>
  <c r="AG138" i="2"/>
  <c r="AJ138" i="2" s="1"/>
  <c r="AH26" i="2"/>
  <c r="AG140" i="2"/>
  <c r="AG27" i="4"/>
  <c r="AG28" i="4"/>
  <c r="AG141" i="2"/>
  <c r="AG142" i="2"/>
  <c r="AJ142" i="2" s="1"/>
  <c r="AG29" i="4"/>
  <c r="AG143" i="2"/>
  <c r="AG30" i="4"/>
  <c r="BA47" i="2"/>
  <c r="AY51" i="2"/>
  <c r="BA55" i="2"/>
  <c r="AY60" i="2"/>
  <c r="AY63" i="2"/>
  <c r="BA69" i="2"/>
  <c r="AB84" i="2"/>
  <c r="BI3" i="2"/>
  <c r="BN3" i="2"/>
  <c r="AJ4" i="4"/>
  <c r="BI4" i="4"/>
  <c r="E148" i="7"/>
  <c r="AT5" i="2"/>
  <c r="AT6" i="2"/>
  <c r="AQ7" i="4"/>
  <c r="AQ7" i="3"/>
  <c r="AS7" i="3" s="1"/>
  <c r="C120" i="7"/>
  <c r="C148" i="7" s="1"/>
  <c r="AG14" i="4"/>
  <c r="AG127" i="2"/>
  <c r="AG15" i="4"/>
  <c r="K12" i="1" s="1"/>
  <c r="L12" i="1" s="1"/>
  <c r="AG128" i="2"/>
  <c r="AD20" i="4"/>
  <c r="AD20" i="3"/>
  <c r="AD22" i="4"/>
  <c r="AD22" i="3"/>
  <c r="AD24" i="4"/>
  <c r="AD24" i="3"/>
  <c r="AH27" i="2"/>
  <c r="AH28" i="2"/>
  <c r="AH29" i="2"/>
  <c r="AH30" i="2"/>
  <c r="AD31" i="4"/>
  <c r="AD31" i="3"/>
  <c r="BD32" i="2"/>
  <c r="BE32" i="2" s="1"/>
  <c r="AG33" i="2"/>
  <c r="AO8" i="2" s="1"/>
  <c r="AY56" i="2"/>
  <c r="AY66" i="2"/>
  <c r="BA71" i="2"/>
  <c r="BA72" i="2"/>
  <c r="AB85" i="2"/>
  <c r="AY72" i="2"/>
  <c r="AY78" i="2"/>
  <c r="AY88" i="2"/>
  <c r="AB95" i="2"/>
  <c r="AY100" i="2"/>
  <c r="AB116" i="2"/>
  <c r="AL3" i="3"/>
  <c r="AJ4" i="3"/>
  <c r="AS6" i="3"/>
  <c r="BC44" i="3"/>
  <c r="BD44" i="3" s="1"/>
  <c r="BC42" i="3"/>
  <c r="BD42" i="3" s="1"/>
  <c r="BC41" i="3"/>
  <c r="BD41" i="3" s="1"/>
  <c r="BC39" i="3"/>
  <c r="BD39" i="3" s="1"/>
  <c r="BC35" i="3"/>
  <c r="BC53" i="3"/>
  <c r="BD53" i="3" s="1"/>
  <c r="BC51" i="3"/>
  <c r="BD51" i="3" s="1"/>
  <c r="BE51" i="3" s="1"/>
  <c r="BC48" i="3"/>
  <c r="BD48" i="3" s="1"/>
  <c r="BC46" i="3"/>
  <c r="BD46" i="3" s="1"/>
  <c r="BC45" i="3"/>
  <c r="BD45" i="3" s="1"/>
  <c r="BE45" i="3" s="1"/>
  <c r="BC37" i="3"/>
  <c r="BD37" i="3" s="1"/>
  <c r="BC34" i="3"/>
  <c r="BC43" i="3"/>
  <c r="BC40" i="3"/>
  <c r="BC38" i="3"/>
  <c r="BD38" i="3" s="1"/>
  <c r="BE38" i="3" s="1"/>
  <c r="BC36" i="3"/>
  <c r="BC50" i="3"/>
  <c r="BC49" i="3"/>
  <c r="BD49" i="3" s="1"/>
  <c r="BE49" i="3" s="1"/>
  <c r="BC47" i="3"/>
  <c r="BD47" i="3" s="1"/>
  <c r="BE47" i="3" s="1"/>
  <c r="BC52" i="3"/>
  <c r="AB43" i="3"/>
  <c r="AB101" i="2"/>
  <c r="BA106" i="2"/>
  <c r="AS4" i="3"/>
  <c r="AY19" i="3"/>
  <c r="AY20" i="3"/>
  <c r="BE22" i="3"/>
  <c r="BA75" i="2"/>
  <c r="AY80" i="2"/>
  <c r="AY83" i="2"/>
  <c r="BA88" i="2"/>
  <c r="AB97" i="2"/>
  <c r="AY98" i="2"/>
  <c r="AY97" i="2"/>
  <c r="BI23" i="3"/>
  <c r="AH31" i="3"/>
  <c r="BI24" i="3"/>
  <c r="BA33" i="3"/>
  <c r="BA34" i="3"/>
  <c r="BA38" i="3"/>
  <c r="BA37" i="3"/>
  <c r="AY39" i="3"/>
  <c r="AY38" i="3"/>
  <c r="N99" i="3"/>
  <c r="Z99" i="9"/>
  <c r="BA89" i="2"/>
  <c r="BA92" i="2"/>
  <c r="BA95" i="2"/>
  <c r="AB106" i="2"/>
  <c r="BA108" i="2"/>
  <c r="BA111" i="2"/>
  <c r="BA115" i="2"/>
  <c r="BA114" i="2"/>
  <c r="AY116" i="2"/>
  <c r="AY115" i="2"/>
  <c r="BM3" i="3"/>
  <c r="BP3" i="3" s="1"/>
  <c r="BL3" i="3"/>
  <c r="BK3" i="3"/>
  <c r="AB28" i="3"/>
  <c r="AJ28" i="3" s="1"/>
  <c r="BA36" i="3"/>
  <c r="BA35" i="3"/>
  <c r="AY44" i="3"/>
  <c r="AY43" i="3"/>
  <c r="AY59" i="3"/>
  <c r="AY58" i="3"/>
  <c r="AY64" i="3"/>
  <c r="AY63" i="3"/>
  <c r="AY80" i="3"/>
  <c r="AY81" i="3"/>
  <c r="AY88" i="3"/>
  <c r="AY89" i="3"/>
  <c r="AS5" i="4"/>
  <c r="BI14" i="4"/>
  <c r="AB58" i="4"/>
  <c r="AY77" i="4"/>
  <c r="AY78" i="4"/>
  <c r="AY82" i="4"/>
  <c r="AY83" i="4"/>
  <c r="BA97" i="4"/>
  <c r="BA98" i="4"/>
  <c r="N38" i="4"/>
  <c r="Z38" i="4" s="1"/>
  <c r="Z38" i="8"/>
  <c r="Z54" i="8"/>
  <c r="N54" i="4"/>
  <c r="W100" i="9"/>
  <c r="J100" i="3" s="1"/>
  <c r="I100" i="3"/>
  <c r="Z98" i="10"/>
  <c r="N98" i="2"/>
  <c r="Z98" i="2" s="1"/>
  <c r="M86" i="11"/>
  <c r="X91" i="2" s="1"/>
  <c r="G86" i="11"/>
  <c r="V91" i="2"/>
  <c r="J88" i="11"/>
  <c r="T93" i="2" s="1"/>
  <c r="R93" i="2"/>
  <c r="BI12" i="3"/>
  <c r="J58" i="12"/>
  <c r="T63" i="3" s="1"/>
  <c r="R63" i="3"/>
  <c r="J67" i="12"/>
  <c r="T72" i="3" s="1"/>
  <c r="R72" i="3"/>
  <c r="BI19" i="4"/>
  <c r="J23" i="13"/>
  <c r="T28" i="4" s="1"/>
  <c r="R28" i="4"/>
  <c r="J25" i="13"/>
  <c r="T30" i="4" s="1"/>
  <c r="R30" i="4"/>
  <c r="Z30" i="4" s="1"/>
  <c r="J32" i="13"/>
  <c r="T37" i="4" s="1"/>
  <c r="R37" i="4"/>
  <c r="Z37" i="4" s="1"/>
  <c r="J39" i="13"/>
  <c r="T44" i="4" s="1"/>
  <c r="R44" i="4"/>
  <c r="Z44" i="4" s="1"/>
  <c r="J41" i="13"/>
  <c r="T46" i="4" s="1"/>
  <c r="R46" i="4"/>
  <c r="Z46" i="4" s="1"/>
  <c r="J48" i="13"/>
  <c r="T53" i="4" s="1"/>
  <c r="R53" i="4"/>
  <c r="Z53" i="4" s="1"/>
  <c r="J57" i="13"/>
  <c r="T62" i="4" s="1"/>
  <c r="R62" i="4"/>
  <c r="J64" i="13"/>
  <c r="T69" i="4" s="1"/>
  <c r="R69" i="4"/>
  <c r="J71" i="13"/>
  <c r="T76" i="4" s="1"/>
  <c r="R76" i="4"/>
  <c r="Z76" i="4" s="1"/>
  <c r="J73" i="13"/>
  <c r="T78" i="4" s="1"/>
  <c r="R78" i="4"/>
  <c r="J80" i="13"/>
  <c r="T85" i="4" s="1"/>
  <c r="R85" i="4"/>
  <c r="AB89" i="4"/>
  <c r="J87" i="13"/>
  <c r="T92" i="4" s="1"/>
  <c r="R92" i="4"/>
  <c r="J89" i="13"/>
  <c r="T94" i="4" s="1"/>
  <c r="R94" i="4"/>
  <c r="Z94" i="4" s="1"/>
  <c r="J95" i="13"/>
  <c r="T100" i="4" s="1"/>
  <c r="R100" i="4"/>
  <c r="J97" i="13"/>
  <c r="T102" i="4" s="1"/>
  <c r="R102" i="4"/>
  <c r="J103" i="13"/>
  <c r="T108" i="4" s="1"/>
  <c r="R108" i="4"/>
  <c r="J105" i="13"/>
  <c r="T110" i="4" s="1"/>
  <c r="R110" i="4"/>
  <c r="BI10" i="3"/>
  <c r="BA17" i="3"/>
  <c r="BE20" i="3"/>
  <c r="BI17" i="3"/>
  <c r="BN6" i="3"/>
  <c r="BE25" i="3"/>
  <c r="BE26" i="3"/>
  <c r="AY27" i="3"/>
  <c r="AJ32" i="3"/>
  <c r="AY33" i="3"/>
  <c r="AY32" i="3"/>
  <c r="AY37" i="3"/>
  <c r="AY36" i="3"/>
  <c r="BD52" i="3"/>
  <c r="AB109" i="3"/>
  <c r="AS4" i="4"/>
  <c r="Z71" i="4"/>
  <c r="Z73" i="4"/>
  <c r="Z18" i="3"/>
  <c r="BA19" i="3"/>
  <c r="BA18" i="3"/>
  <c r="BE19" i="3"/>
  <c r="Z25" i="3"/>
  <c r="BA26" i="3"/>
  <c r="BA25" i="3"/>
  <c r="C28" i="3"/>
  <c r="C32" i="3" s="1"/>
  <c r="Z29" i="3"/>
  <c r="AH30" i="3"/>
  <c r="BD43" i="3"/>
  <c r="BE43" i="3" s="1"/>
  <c r="BA45" i="3"/>
  <c r="Z46" i="3"/>
  <c r="BA46" i="3"/>
  <c r="Z47" i="3"/>
  <c r="BD50" i="3"/>
  <c r="BE50" i="3" s="1"/>
  <c r="AB51" i="3"/>
  <c r="Z55" i="3"/>
  <c r="BA60" i="3"/>
  <c r="BA59" i="3"/>
  <c r="AY61" i="3"/>
  <c r="AY67" i="3"/>
  <c r="BA83" i="3"/>
  <c r="Z99" i="3"/>
  <c r="BA100" i="3"/>
  <c r="BA101" i="3"/>
  <c r="BA35" i="4"/>
  <c r="BA34" i="4"/>
  <c r="Z54" i="4"/>
  <c r="AB18" i="3"/>
  <c r="AY24" i="3"/>
  <c r="BI20" i="3"/>
  <c r="BE27" i="3"/>
  <c r="AH28" i="3"/>
  <c r="BI21" i="3"/>
  <c r="BB33" i="3"/>
  <c r="BD32" i="3"/>
  <c r="BE32" i="3" s="1"/>
  <c r="BA40" i="3"/>
  <c r="BA39" i="3"/>
  <c r="BD40" i="3"/>
  <c r="BE40" i="3" s="1"/>
  <c r="BA43" i="3"/>
  <c r="BA42" i="3"/>
  <c r="Z43" i="3"/>
  <c r="Z58" i="3"/>
  <c r="BA63" i="3"/>
  <c r="BA62" i="3"/>
  <c r="BA72" i="3"/>
  <c r="BA73" i="3"/>
  <c r="BA17" i="4"/>
  <c r="BA16" i="4"/>
  <c r="AY30" i="4"/>
  <c r="AY29" i="4"/>
  <c r="AB87" i="4"/>
  <c r="Z16" i="8"/>
  <c r="J111" i="13"/>
  <c r="T116" i="4" s="1"/>
  <c r="R116" i="4"/>
  <c r="Z116" i="4" s="1"/>
  <c r="BI22" i="3"/>
  <c r="BD29" i="3"/>
  <c r="BA67" i="3"/>
  <c r="BA75" i="3"/>
  <c r="AB76" i="3"/>
  <c r="AY76" i="3"/>
  <c r="BA80" i="3"/>
  <c r="AY87" i="3"/>
  <c r="BA88" i="3"/>
  <c r="Z107" i="3"/>
  <c r="Z115" i="3"/>
  <c r="AY116" i="3"/>
  <c r="Z117" i="3"/>
  <c r="BE20" i="4"/>
  <c r="Z26" i="4"/>
  <c r="BE28" i="4"/>
  <c r="AY32" i="4"/>
  <c r="AY31" i="4"/>
  <c r="BA49" i="4"/>
  <c r="Z50" i="4"/>
  <c r="AY56" i="4"/>
  <c r="Z89" i="4"/>
  <c r="AB90" i="4"/>
  <c r="Z114" i="4"/>
  <c r="V24" i="8"/>
  <c r="H24" i="4" s="1"/>
  <c r="G24" i="4"/>
  <c r="W39" i="8"/>
  <c r="J39" i="4" s="1"/>
  <c r="I39" i="4"/>
  <c r="AY92" i="2"/>
  <c r="BA101" i="2"/>
  <c r="AY108" i="2"/>
  <c r="BI25" i="3"/>
  <c r="AY68" i="3"/>
  <c r="AY71" i="3"/>
  <c r="Z83" i="3"/>
  <c r="AY84" i="3"/>
  <c r="BA91" i="3"/>
  <c r="BA93" i="3"/>
  <c r="Z96" i="3"/>
  <c r="BA99" i="3"/>
  <c r="AY103" i="3"/>
  <c r="BA104" i="3"/>
  <c r="BE19" i="4"/>
  <c r="BE27" i="4"/>
  <c r="BE29" i="4"/>
  <c r="BE30" i="4"/>
  <c r="AY42" i="4"/>
  <c r="AY48" i="4"/>
  <c r="AY51" i="4"/>
  <c r="BA55" i="4"/>
  <c r="BA74" i="4"/>
  <c r="BA82" i="4"/>
  <c r="BA81" i="4"/>
  <c r="BA87" i="4"/>
  <c r="F139" i="7"/>
  <c r="F167" i="7" s="1"/>
  <c r="F131" i="7"/>
  <c r="F159" i="7" s="1"/>
  <c r="F141" i="7"/>
  <c r="F169" i="7" s="1"/>
  <c r="F133" i="7"/>
  <c r="F161" i="7" s="1"/>
  <c r="F125" i="7"/>
  <c r="F153" i="7" s="1"/>
  <c r="F143" i="7"/>
  <c r="F171" i="7" s="1"/>
  <c r="F135" i="7"/>
  <c r="F163" i="7" s="1"/>
  <c r="F127" i="7"/>
  <c r="F155" i="7" s="1"/>
  <c r="F129" i="7"/>
  <c r="F157" i="7" s="1"/>
  <c r="W21" i="8"/>
  <c r="J21" i="4" s="1"/>
  <c r="I21" i="4"/>
  <c r="Z34" i="8"/>
  <c r="N34" i="4"/>
  <c r="Z34" i="4" s="1"/>
  <c r="Z74" i="8"/>
  <c r="N74" i="4"/>
  <c r="Z74" i="4" s="1"/>
  <c r="Z78" i="8"/>
  <c r="N78" i="4"/>
  <c r="W81" i="8"/>
  <c r="J81" i="4" s="1"/>
  <c r="I81" i="4"/>
  <c r="Z82" i="8"/>
  <c r="N82" i="4"/>
  <c r="F83" i="4"/>
  <c r="Q83" i="8"/>
  <c r="D83" i="4" s="1"/>
  <c r="AG16" i="3"/>
  <c r="P13" i="1" s="1"/>
  <c r="Q13" i="1" s="1"/>
  <c r="AG18" i="3"/>
  <c r="P15" i="1" s="1"/>
  <c r="AG21" i="3"/>
  <c r="P18" i="1" s="1"/>
  <c r="Q18" i="1" s="1"/>
  <c r="AG25" i="3"/>
  <c r="BK6" i="3" s="1"/>
  <c r="AG26" i="3"/>
  <c r="BA69" i="3"/>
  <c r="BA107" i="3"/>
  <c r="AB114" i="3"/>
  <c r="BI8" i="4"/>
  <c r="BA19" i="4"/>
  <c r="BA18" i="4"/>
  <c r="BI16" i="4"/>
  <c r="AY28" i="4"/>
  <c r="BB35" i="4"/>
  <c r="BG33" i="4"/>
  <c r="BG37" i="4"/>
  <c r="BB34" i="4"/>
  <c r="BB36" i="4"/>
  <c r="Z41" i="4"/>
  <c r="Z82" i="4"/>
  <c r="Q29" i="8"/>
  <c r="D29" i="4" s="1"/>
  <c r="F29" i="4"/>
  <c r="Z30" i="8"/>
  <c r="N30" i="4"/>
  <c r="Z58" i="8"/>
  <c r="N58" i="4"/>
  <c r="Z58" i="4" s="1"/>
  <c r="Z62" i="8"/>
  <c r="N62" i="4"/>
  <c r="W65" i="8"/>
  <c r="J65" i="4" s="1"/>
  <c r="I65" i="4"/>
  <c r="Z66" i="8"/>
  <c r="N66" i="4"/>
  <c r="Z66" i="4" s="1"/>
  <c r="Q67" i="8"/>
  <c r="D67" i="4" s="1"/>
  <c r="F67" i="4"/>
  <c r="BI15" i="4"/>
  <c r="AY94" i="4"/>
  <c r="Z117" i="4"/>
  <c r="D114" i="7"/>
  <c r="F144" i="7"/>
  <c r="F172" i="7" s="1"/>
  <c r="U12" i="8"/>
  <c r="Y44" i="8"/>
  <c r="X44" i="8"/>
  <c r="P44" i="4" s="1"/>
  <c r="Y30" i="9"/>
  <c r="Y38" i="9"/>
  <c r="AY77" i="3"/>
  <c r="BA81" i="3"/>
  <c r="AY85" i="3"/>
  <c r="BA89" i="3"/>
  <c r="AY93" i="3"/>
  <c r="BA97" i="3"/>
  <c r="AY101" i="3"/>
  <c r="BA105" i="3"/>
  <c r="AY109" i="3"/>
  <c r="BA113" i="3"/>
  <c r="AY117" i="3"/>
  <c r="BA42" i="4"/>
  <c r="AY49" i="4"/>
  <c r="BA53" i="4"/>
  <c r="AY57" i="4"/>
  <c r="BA62" i="4"/>
  <c r="AY66" i="4"/>
  <c r="BA70" i="4"/>
  <c r="AY74" i="4"/>
  <c r="BA78" i="4"/>
  <c r="AY88" i="4"/>
  <c r="AY91" i="4"/>
  <c r="Z101" i="4"/>
  <c r="P13" i="8"/>
  <c r="P7" i="8"/>
  <c r="Q7" i="8"/>
  <c r="L7" i="8"/>
  <c r="P9" i="8"/>
  <c r="L9" i="8"/>
  <c r="Q9" i="8"/>
  <c r="X27" i="8"/>
  <c r="P27" i="4" s="1"/>
  <c r="AB27" i="4" s="1"/>
  <c r="Y64" i="8"/>
  <c r="X64" i="8"/>
  <c r="P64" i="4" s="1"/>
  <c r="Y80" i="8"/>
  <c r="X80" i="8"/>
  <c r="P80" i="4" s="1"/>
  <c r="Q85" i="8"/>
  <c r="D85" i="4" s="1"/>
  <c r="F85" i="4"/>
  <c r="N86" i="4"/>
  <c r="Z86" i="4" s="1"/>
  <c r="Z86" i="8"/>
  <c r="Q91" i="8"/>
  <c r="D91" i="4" s="1"/>
  <c r="F91" i="4"/>
  <c r="L91" i="8"/>
  <c r="L95" i="8"/>
  <c r="V96" i="8"/>
  <c r="H96" i="4" s="1"/>
  <c r="G96" i="4"/>
  <c r="Q99" i="8"/>
  <c r="D99" i="4" s="1"/>
  <c r="F99" i="4"/>
  <c r="L99" i="8"/>
  <c r="V100" i="8"/>
  <c r="H100" i="4" s="1"/>
  <c r="G100" i="4"/>
  <c r="L103" i="8"/>
  <c r="V104" i="8"/>
  <c r="H104" i="4" s="1"/>
  <c r="G104" i="4"/>
  <c r="Q110" i="8"/>
  <c r="D110" i="4" s="1"/>
  <c r="F110" i="4"/>
  <c r="C122" i="7"/>
  <c r="C150" i="7" s="1"/>
  <c r="BD32" i="4"/>
  <c r="BE32" i="4" s="1"/>
  <c r="Z90" i="4"/>
  <c r="AY110" i="4"/>
  <c r="AZ118" i="4"/>
  <c r="K114" i="7"/>
  <c r="Z6" i="8"/>
  <c r="X6" i="8"/>
  <c r="Z87" i="8"/>
  <c r="N87" i="4"/>
  <c r="Z87" i="4" s="1"/>
  <c r="Z114" i="8"/>
  <c r="N114" i="4"/>
  <c r="W114" i="8"/>
  <c r="J114" i="4" s="1"/>
  <c r="I114" i="4"/>
  <c r="Z116" i="8"/>
  <c r="N116" i="4"/>
  <c r="X116" i="8"/>
  <c r="P116" i="4" s="1"/>
  <c r="V14" i="8"/>
  <c r="H14" i="4" s="1"/>
  <c r="BN4" i="4" s="1"/>
  <c r="I18" i="8"/>
  <c r="L20" i="8"/>
  <c r="I22" i="8"/>
  <c r="I24" i="8"/>
  <c r="L24" i="8" s="1"/>
  <c r="L27" i="8"/>
  <c r="I43" i="8"/>
  <c r="L47" i="8"/>
  <c r="I63" i="8"/>
  <c r="L67" i="8"/>
  <c r="I79" i="8"/>
  <c r="L83" i="8"/>
  <c r="X29" i="9"/>
  <c r="P29" i="3" s="1"/>
  <c r="AB29" i="3" s="1"/>
  <c r="AJ29" i="3" s="1"/>
  <c r="X37" i="9"/>
  <c r="P37" i="3" s="1"/>
  <c r="AB37" i="3" s="1"/>
  <c r="Y62" i="10"/>
  <c r="X62" i="10"/>
  <c r="P62" i="2" s="1"/>
  <c r="F124" i="7"/>
  <c r="F152" i="7" s="1"/>
  <c r="F126" i="7"/>
  <c r="F154" i="7" s="1"/>
  <c r="F128" i="7"/>
  <c r="F156" i="7" s="1"/>
  <c r="F130" i="7"/>
  <c r="F158" i="7" s="1"/>
  <c r="F132" i="7"/>
  <c r="F160" i="7" s="1"/>
  <c r="F134" i="7"/>
  <c r="F162" i="7" s="1"/>
  <c r="F136" i="7"/>
  <c r="F164" i="7" s="1"/>
  <c r="F138" i="7"/>
  <c r="F166" i="7" s="1"/>
  <c r="F140" i="7"/>
  <c r="F168" i="7" s="1"/>
  <c r="F142" i="7"/>
  <c r="F170" i="7" s="1"/>
  <c r="L5" i="8"/>
  <c r="I14" i="8"/>
  <c r="L18" i="8"/>
  <c r="M20" i="8"/>
  <c r="M27" i="8"/>
  <c r="L29" i="8"/>
  <c r="H32" i="8"/>
  <c r="L32" i="8" s="1"/>
  <c r="X34" i="8"/>
  <c r="P34" i="4" s="1"/>
  <c r="H36" i="8"/>
  <c r="L36" i="8" s="1"/>
  <c r="I39" i="8"/>
  <c r="X40" i="8"/>
  <c r="P40" i="4" s="1"/>
  <c r="AB40" i="4" s="1"/>
  <c r="L43" i="8"/>
  <c r="M47" i="8"/>
  <c r="L49" i="8"/>
  <c r="H52" i="8"/>
  <c r="L52" i="8" s="1"/>
  <c r="X54" i="8"/>
  <c r="P54" i="4" s="1"/>
  <c r="AB54" i="4" s="1"/>
  <c r="H56" i="8"/>
  <c r="L56" i="8" s="1"/>
  <c r="I59" i="8"/>
  <c r="X60" i="8"/>
  <c r="P60" i="4" s="1"/>
  <c r="AB60" i="4" s="1"/>
  <c r="L63" i="8"/>
  <c r="X63" i="8" s="1"/>
  <c r="P63" i="4" s="1"/>
  <c r="M67" i="8"/>
  <c r="L69" i="8"/>
  <c r="H72" i="8"/>
  <c r="L72" i="8" s="1"/>
  <c r="I75" i="8"/>
  <c r="X76" i="8"/>
  <c r="P76" i="4" s="1"/>
  <c r="L79" i="8"/>
  <c r="M83" i="8"/>
  <c r="L85" i="8"/>
  <c r="M87" i="8"/>
  <c r="V87" i="8"/>
  <c r="H87" i="4" s="1"/>
  <c r="H88" i="8"/>
  <c r="L88" i="8" s="1"/>
  <c r="X6" i="9"/>
  <c r="Z6" i="9"/>
  <c r="Y26" i="9"/>
  <c r="X28" i="9"/>
  <c r="P28" i="3" s="1"/>
  <c r="Y34" i="9"/>
  <c r="X34" i="9"/>
  <c r="P34" i="3" s="1"/>
  <c r="X36" i="9"/>
  <c r="P36" i="3" s="1"/>
  <c r="AB36" i="3" s="1"/>
  <c r="Y42" i="9"/>
  <c r="X92" i="9"/>
  <c r="P92" i="3" s="1"/>
  <c r="AB92" i="3" s="1"/>
  <c r="L13" i="10"/>
  <c r="Q13" i="10"/>
  <c r="Y46" i="10"/>
  <c r="X46" i="10"/>
  <c r="P46" i="2" s="1"/>
  <c r="AB46" i="2" s="1"/>
  <c r="L8" i="8"/>
  <c r="Q12" i="8"/>
  <c r="L12" i="8"/>
  <c r="L14" i="8"/>
  <c r="X14" i="8" s="1"/>
  <c r="P14" i="4" s="1"/>
  <c r="M18" i="8"/>
  <c r="L21" i="8"/>
  <c r="M22" i="8"/>
  <c r="L23" i="8"/>
  <c r="M24" i="8"/>
  <c r="L25" i="8"/>
  <c r="H28" i="8"/>
  <c r="L28" i="8" s="1"/>
  <c r="X31" i="8"/>
  <c r="P31" i="4" s="1"/>
  <c r="X35" i="8"/>
  <c r="P35" i="4" s="1"/>
  <c r="L39" i="8"/>
  <c r="M43" i="8"/>
  <c r="L45" i="8"/>
  <c r="H48" i="8"/>
  <c r="L48" i="8" s="1"/>
  <c r="X51" i="8"/>
  <c r="P51" i="4" s="1"/>
  <c r="X55" i="8"/>
  <c r="P55" i="4" s="1"/>
  <c r="AB55" i="4" s="1"/>
  <c r="L59" i="8"/>
  <c r="M63" i="8"/>
  <c r="L65" i="8"/>
  <c r="H68" i="8"/>
  <c r="L68" i="8" s="1"/>
  <c r="X71" i="8"/>
  <c r="P71" i="4" s="1"/>
  <c r="AB71" i="4" s="1"/>
  <c r="L75" i="8"/>
  <c r="X75" i="8" s="1"/>
  <c r="P75" i="4" s="1"/>
  <c r="M79" i="8"/>
  <c r="L81" i="8"/>
  <c r="H84" i="8"/>
  <c r="L84" i="8" s="1"/>
  <c r="X87" i="8"/>
  <c r="P87" i="4" s="1"/>
  <c r="Y117" i="8"/>
  <c r="X117" i="8"/>
  <c r="P117" i="4" s="1"/>
  <c r="AB117" i="4" s="1"/>
  <c r="Z21" i="9"/>
  <c r="X21" i="9"/>
  <c r="P21" i="3" s="1"/>
  <c r="Z23" i="9"/>
  <c r="X23" i="9"/>
  <c r="P23" i="3" s="1"/>
  <c r="AB23" i="3" s="1"/>
  <c r="AJ23" i="3" s="1"/>
  <c r="X25" i="9"/>
  <c r="P25" i="3" s="1"/>
  <c r="AB25" i="3" s="1"/>
  <c r="AJ25" i="3" s="1"/>
  <c r="X33" i="9"/>
  <c r="P33" i="3" s="1"/>
  <c r="AB33" i="3" s="1"/>
  <c r="X41" i="9"/>
  <c r="P41" i="3" s="1"/>
  <c r="AB41" i="3" s="1"/>
  <c r="L44" i="9"/>
  <c r="L48" i="9"/>
  <c r="X48" i="9" s="1"/>
  <c r="P48" i="3" s="1"/>
  <c r="AB48" i="3" s="1"/>
  <c r="L52" i="9"/>
  <c r="L56" i="9"/>
  <c r="X25" i="8"/>
  <c r="P25" i="4" s="1"/>
  <c r="AB25" i="4" s="1"/>
  <c r="AJ25" i="4" s="1"/>
  <c r="X29" i="8"/>
  <c r="P29" i="4" s="1"/>
  <c r="X33" i="8"/>
  <c r="P33" i="4" s="1"/>
  <c r="X37" i="8"/>
  <c r="P37" i="4" s="1"/>
  <c r="X41" i="8"/>
  <c r="P41" i="4" s="1"/>
  <c r="AB41" i="4" s="1"/>
  <c r="X45" i="8"/>
  <c r="P45" i="4" s="1"/>
  <c r="X49" i="8"/>
  <c r="P49" i="4" s="1"/>
  <c r="X53" i="8"/>
  <c r="P53" i="4" s="1"/>
  <c r="X57" i="8"/>
  <c r="P57" i="4" s="1"/>
  <c r="AB57" i="4" s="1"/>
  <c r="X61" i="8"/>
  <c r="P61" i="4" s="1"/>
  <c r="X65" i="8"/>
  <c r="P65" i="4" s="1"/>
  <c r="X69" i="8"/>
  <c r="P69" i="4" s="1"/>
  <c r="X73" i="8"/>
  <c r="P73" i="4" s="1"/>
  <c r="AB73" i="4" s="1"/>
  <c r="X77" i="8"/>
  <c r="P77" i="4" s="1"/>
  <c r="X85" i="8"/>
  <c r="P85" i="4" s="1"/>
  <c r="X91" i="8"/>
  <c r="P91" i="4" s="1"/>
  <c r="L92" i="8"/>
  <c r="X95" i="8"/>
  <c r="P95" i="4" s="1"/>
  <c r="AB95" i="4" s="1"/>
  <c r="X103" i="8"/>
  <c r="P103" i="4" s="1"/>
  <c r="AB103" i="4" s="1"/>
  <c r="L107" i="8"/>
  <c r="H109" i="8"/>
  <c r="L109" i="8" s="1"/>
  <c r="X114" i="8"/>
  <c r="P114" i="4" s="1"/>
  <c r="X20" i="9"/>
  <c r="P20" i="3" s="1"/>
  <c r="AB20" i="3" s="1"/>
  <c r="AJ20" i="3" s="1"/>
  <c r="X44" i="9"/>
  <c r="P44" i="3" s="1"/>
  <c r="AB44" i="3" s="1"/>
  <c r="L49" i="9"/>
  <c r="X52" i="9"/>
  <c r="P52" i="3" s="1"/>
  <c r="AB52" i="3" s="1"/>
  <c r="X56" i="9"/>
  <c r="P56" i="3" s="1"/>
  <c r="AB56" i="3" s="1"/>
  <c r="L60" i="9"/>
  <c r="H62" i="9"/>
  <c r="L62" i="9" s="1"/>
  <c r="L64" i="9"/>
  <c r="H66" i="9"/>
  <c r="L66" i="9" s="1"/>
  <c r="L68" i="9"/>
  <c r="X68" i="9" s="1"/>
  <c r="P68" i="3" s="1"/>
  <c r="AB68" i="3" s="1"/>
  <c r="H70" i="9"/>
  <c r="L70" i="9" s="1"/>
  <c r="L72" i="9"/>
  <c r="H74" i="9"/>
  <c r="L74" i="9" s="1"/>
  <c r="X107" i="9"/>
  <c r="P107" i="3" s="1"/>
  <c r="AB107" i="3" s="1"/>
  <c r="Z19" i="10"/>
  <c r="X19" i="10"/>
  <c r="P19" i="2" s="1"/>
  <c r="Z35" i="10"/>
  <c r="X35" i="10"/>
  <c r="P35" i="2" s="1"/>
  <c r="X15" i="8"/>
  <c r="P15" i="4" s="1"/>
  <c r="AB15" i="4" s="1"/>
  <c r="AJ15" i="4" s="1"/>
  <c r="X16" i="8"/>
  <c r="P16" i="4" s="1"/>
  <c r="X17" i="8"/>
  <c r="P17" i="4" s="1"/>
  <c r="X19" i="8"/>
  <c r="P19" i="4" s="1"/>
  <c r="X21" i="8"/>
  <c r="P21" i="4" s="1"/>
  <c r="AB21" i="4" s="1"/>
  <c r="AJ21" i="4" s="1"/>
  <c r="X26" i="8"/>
  <c r="P26" i="4" s="1"/>
  <c r="X30" i="8"/>
  <c r="P30" i="4" s="1"/>
  <c r="X38" i="8"/>
  <c r="P38" i="4" s="1"/>
  <c r="X42" i="8"/>
  <c r="P42" i="4" s="1"/>
  <c r="X46" i="8"/>
  <c r="P46" i="4" s="1"/>
  <c r="X50" i="8"/>
  <c r="P50" i="4" s="1"/>
  <c r="X58" i="8"/>
  <c r="P58" i="4" s="1"/>
  <c r="X62" i="8"/>
  <c r="P62" i="4" s="1"/>
  <c r="X66" i="8"/>
  <c r="P66" i="4" s="1"/>
  <c r="X70" i="8"/>
  <c r="P70" i="4" s="1"/>
  <c r="AB70" i="4" s="1"/>
  <c r="X74" i="8"/>
  <c r="P74" i="4" s="1"/>
  <c r="X78" i="8"/>
  <c r="P78" i="4" s="1"/>
  <c r="X82" i="8"/>
  <c r="P82" i="4" s="1"/>
  <c r="X86" i="8"/>
  <c r="P86" i="4" s="1"/>
  <c r="AB86" i="4" s="1"/>
  <c r="I92" i="8"/>
  <c r="X93" i="8"/>
  <c r="P93" i="4" s="1"/>
  <c r="AB93" i="4" s="1"/>
  <c r="I96" i="8"/>
  <c r="X97" i="8"/>
  <c r="P97" i="4" s="1"/>
  <c r="L98" i="8"/>
  <c r="I100" i="8"/>
  <c r="X101" i="8"/>
  <c r="P101" i="4" s="1"/>
  <c r="AB101" i="4" s="1"/>
  <c r="L102" i="8"/>
  <c r="I104" i="8"/>
  <c r="X105" i="8"/>
  <c r="P105" i="4" s="1"/>
  <c r="L106" i="8"/>
  <c r="H113" i="8"/>
  <c r="L113" i="8" s="1"/>
  <c r="M116" i="8"/>
  <c r="X15" i="9"/>
  <c r="P15" i="3" s="1"/>
  <c r="AB15" i="3" s="1"/>
  <c r="AJ15" i="3" s="1"/>
  <c r="X18" i="9"/>
  <c r="P18" i="3" s="1"/>
  <c r="I19" i="9"/>
  <c r="X43" i="9"/>
  <c r="P43" i="3" s="1"/>
  <c r="I45" i="9"/>
  <c r="X46" i="9"/>
  <c r="P46" i="3" s="1"/>
  <c r="I49" i="9"/>
  <c r="X50" i="9"/>
  <c r="P50" i="3" s="1"/>
  <c r="I53" i="9"/>
  <c r="L53" i="9" s="1"/>
  <c r="X54" i="9"/>
  <c r="P54" i="3" s="1"/>
  <c r="I57" i="9"/>
  <c r="X58" i="9"/>
  <c r="P58" i="3" s="1"/>
  <c r="L59" i="9"/>
  <c r="X64" i="9"/>
  <c r="P64" i="3" s="1"/>
  <c r="AB64" i="3" s="1"/>
  <c r="X72" i="9"/>
  <c r="P72" i="3" s="1"/>
  <c r="Y89" i="9"/>
  <c r="X89" i="9"/>
  <c r="P89" i="3" s="1"/>
  <c r="AB89" i="3" s="1"/>
  <c r="Y105" i="9"/>
  <c r="X105" i="9"/>
  <c r="P105" i="3" s="1"/>
  <c r="AB105" i="3" s="1"/>
  <c r="Y117" i="9"/>
  <c r="X117" i="9"/>
  <c r="P117" i="3" s="1"/>
  <c r="AB117" i="3" s="1"/>
  <c r="Z8" i="10"/>
  <c r="X8" i="10"/>
  <c r="U16" i="8"/>
  <c r="U17" i="8"/>
  <c r="U19" i="8"/>
  <c r="U21" i="8"/>
  <c r="U23" i="8"/>
  <c r="M92" i="8"/>
  <c r="M96" i="8"/>
  <c r="M100" i="8"/>
  <c r="M104" i="8"/>
  <c r="I108" i="8"/>
  <c r="L110" i="8"/>
  <c r="X110" i="8" s="1"/>
  <c r="P110" i="4" s="1"/>
  <c r="X111" i="8"/>
  <c r="P111" i="4" s="1"/>
  <c r="AB111" i="4" s="1"/>
  <c r="L112" i="8"/>
  <c r="X112" i="8"/>
  <c r="P112" i="4" s="1"/>
  <c r="Q6" i="9"/>
  <c r="L13" i="9"/>
  <c r="L16" i="9"/>
  <c r="I17" i="9"/>
  <c r="M19" i="9"/>
  <c r="X22" i="9"/>
  <c r="P22" i="3" s="1"/>
  <c r="X24" i="9"/>
  <c r="P24" i="3" s="1"/>
  <c r="AB24" i="3" s="1"/>
  <c r="AJ24" i="3" s="1"/>
  <c r="H26" i="9"/>
  <c r="L26" i="9" s="1"/>
  <c r="H30" i="9"/>
  <c r="L30" i="9" s="1"/>
  <c r="X30" i="9" s="1"/>
  <c r="P30" i="3" s="1"/>
  <c r="H34" i="9"/>
  <c r="L34" i="9" s="1"/>
  <c r="H38" i="9"/>
  <c r="L38" i="9" s="1"/>
  <c r="H42" i="9"/>
  <c r="L42" i="9" s="1"/>
  <c r="X42" i="9" s="1"/>
  <c r="P42" i="3" s="1"/>
  <c r="M45" i="9"/>
  <c r="M49" i="9"/>
  <c r="M53" i="9"/>
  <c r="M57" i="9"/>
  <c r="I61" i="9"/>
  <c r="X62" i="9"/>
  <c r="P62" i="3" s="1"/>
  <c r="L63" i="9"/>
  <c r="X63" i="9" s="1"/>
  <c r="P63" i="3" s="1"/>
  <c r="I65" i="9"/>
  <c r="X66" i="9"/>
  <c r="P66" i="3" s="1"/>
  <c r="L67" i="9"/>
  <c r="I69" i="9"/>
  <c r="X70" i="9"/>
  <c r="P70" i="3" s="1"/>
  <c r="L71" i="9"/>
  <c r="I73" i="9"/>
  <c r="X75" i="9"/>
  <c r="P75" i="3" s="1"/>
  <c r="AB75" i="3" s="1"/>
  <c r="Y109" i="9"/>
  <c r="X109" i="9"/>
  <c r="P109" i="3" s="1"/>
  <c r="Z39" i="10"/>
  <c r="X39" i="10"/>
  <c r="P39" i="2" s="1"/>
  <c r="X90" i="8"/>
  <c r="P90" i="4" s="1"/>
  <c r="X94" i="8"/>
  <c r="P94" i="4" s="1"/>
  <c r="X98" i="8"/>
  <c r="P98" i="4" s="1"/>
  <c r="X102" i="8"/>
  <c r="P102" i="4" s="1"/>
  <c r="P5" i="9"/>
  <c r="P7" i="9"/>
  <c r="P8" i="9"/>
  <c r="P13" i="9" s="1"/>
  <c r="P9" i="9"/>
  <c r="X14" i="9"/>
  <c r="P14" i="3" s="1"/>
  <c r="U16" i="9"/>
  <c r="U17" i="9"/>
  <c r="U19" i="9"/>
  <c r="U21" i="9"/>
  <c r="U23" i="9"/>
  <c r="X27" i="9"/>
  <c r="P27" i="3" s="1"/>
  <c r="AB27" i="3" s="1"/>
  <c r="AJ27" i="3" s="1"/>
  <c r="X31" i="9"/>
  <c r="P31" i="3" s="1"/>
  <c r="AB31" i="3" s="1"/>
  <c r="AJ31" i="3" s="1"/>
  <c r="X35" i="9"/>
  <c r="P35" i="3" s="1"/>
  <c r="AB35" i="3" s="1"/>
  <c r="X39" i="9"/>
  <c r="P39" i="3" s="1"/>
  <c r="AB39" i="3" s="1"/>
  <c r="X47" i="9"/>
  <c r="P47" i="3" s="1"/>
  <c r="AB47" i="3" s="1"/>
  <c r="X51" i="9"/>
  <c r="P51" i="3" s="1"/>
  <c r="X55" i="9"/>
  <c r="P55" i="3" s="1"/>
  <c r="AB55" i="3" s="1"/>
  <c r="X67" i="9"/>
  <c r="P67" i="3" s="1"/>
  <c r="AB67" i="3" s="1"/>
  <c r="X71" i="9"/>
  <c r="P71" i="3" s="1"/>
  <c r="X74" i="9"/>
  <c r="P74" i="3" s="1"/>
  <c r="AB74" i="3" s="1"/>
  <c r="L82" i="9"/>
  <c r="H85" i="9"/>
  <c r="L85" i="9" s="1"/>
  <c r="I88" i="9"/>
  <c r="L92" i="9"/>
  <c r="L98" i="9"/>
  <c r="X98" i="9" s="1"/>
  <c r="P98" i="3" s="1"/>
  <c r="H101" i="9"/>
  <c r="L101" i="9" s="1"/>
  <c r="I104" i="9"/>
  <c r="I108" i="9"/>
  <c r="L112" i="9"/>
  <c r="I116" i="9"/>
  <c r="P6" i="10"/>
  <c r="L6" i="10"/>
  <c r="Q10" i="10"/>
  <c r="L10" i="10"/>
  <c r="L17" i="10"/>
  <c r="L78" i="9"/>
  <c r="X78" i="9" s="1"/>
  <c r="P78" i="3" s="1"/>
  <c r="H81" i="9"/>
  <c r="L81" i="9" s="1"/>
  <c r="I84" i="9"/>
  <c r="X84" i="9"/>
  <c r="P84" i="3" s="1"/>
  <c r="X85" i="9"/>
  <c r="P85" i="3" s="1"/>
  <c r="AB85" i="3" s="1"/>
  <c r="L88" i="9"/>
  <c r="X88" i="9" s="1"/>
  <c r="P88" i="3" s="1"/>
  <c r="M92" i="9"/>
  <c r="L94" i="9"/>
  <c r="H97" i="9"/>
  <c r="L97" i="9" s="1"/>
  <c r="I100" i="9"/>
  <c r="X101" i="9"/>
  <c r="P101" i="3" s="1"/>
  <c r="AB101" i="3" s="1"/>
  <c r="L104" i="9"/>
  <c r="X104" i="9" s="1"/>
  <c r="P104" i="3" s="1"/>
  <c r="M112" i="9"/>
  <c r="L114" i="9"/>
  <c r="L116" i="9"/>
  <c r="X5" i="10"/>
  <c r="X9" i="10"/>
  <c r="I16" i="10"/>
  <c r="L16" i="10" s="1"/>
  <c r="M17" i="10"/>
  <c r="L20" i="10"/>
  <c r="I21" i="10"/>
  <c r="I23" i="10"/>
  <c r="I25" i="10"/>
  <c r="X26" i="10"/>
  <c r="P26" i="2" s="1"/>
  <c r="X27" i="10"/>
  <c r="P27" i="2" s="1"/>
  <c r="H30" i="10"/>
  <c r="L30" i="10" s="1"/>
  <c r="I33" i="10"/>
  <c r="X33" i="10"/>
  <c r="P33" i="2" s="1"/>
  <c r="X34" i="10"/>
  <c r="P34" i="2" s="1"/>
  <c r="L77" i="9"/>
  <c r="X80" i="9"/>
  <c r="P80" i="3" s="1"/>
  <c r="AB80" i="3" s="1"/>
  <c r="L84" i="9"/>
  <c r="M88" i="9"/>
  <c r="L93" i="9"/>
  <c r="X96" i="9"/>
  <c r="P96" i="3" s="1"/>
  <c r="AB96" i="3" s="1"/>
  <c r="L100" i="9"/>
  <c r="X100" i="9" s="1"/>
  <c r="P100" i="3" s="1"/>
  <c r="M104" i="9"/>
  <c r="M108" i="9"/>
  <c r="L113" i="9"/>
  <c r="M116" i="9"/>
  <c r="P4" i="10"/>
  <c r="P13" i="10" s="1"/>
  <c r="V14" i="10" s="1"/>
  <c r="H14" i="2" s="1"/>
  <c r="L4" i="10"/>
  <c r="Z4" i="10" s="1"/>
  <c r="Q6" i="10"/>
  <c r="L14" i="10"/>
  <c r="H15" i="10"/>
  <c r="L15" i="10" s="1"/>
  <c r="L21" i="10"/>
  <c r="L25" i="10"/>
  <c r="L29" i="10"/>
  <c r="X29" i="10"/>
  <c r="P29" i="2" s="1"/>
  <c r="AB29" i="2" s="1"/>
  <c r="AJ29" i="2" s="1"/>
  <c r="L33" i="10"/>
  <c r="X82" i="9"/>
  <c r="P82" i="3" s="1"/>
  <c r="X86" i="9"/>
  <c r="P86" i="3" s="1"/>
  <c r="X90" i="9"/>
  <c r="P90" i="3" s="1"/>
  <c r="X102" i="9"/>
  <c r="P102" i="3" s="1"/>
  <c r="X106" i="9"/>
  <c r="P106" i="3" s="1"/>
  <c r="X110" i="9"/>
  <c r="P110" i="3" s="1"/>
  <c r="X114" i="9"/>
  <c r="P114" i="3" s="1"/>
  <c r="X14" i="10"/>
  <c r="P14" i="2" s="1"/>
  <c r="X31" i="10"/>
  <c r="P31" i="2" s="1"/>
  <c r="I37" i="10"/>
  <c r="I41" i="10"/>
  <c r="I45" i="10"/>
  <c r="L45" i="10" s="1"/>
  <c r="L49" i="10"/>
  <c r="I61" i="10"/>
  <c r="L65" i="10"/>
  <c r="X65" i="10" s="1"/>
  <c r="P65" i="2" s="1"/>
  <c r="AB65" i="2" s="1"/>
  <c r="Y104" i="10"/>
  <c r="X104" i="10"/>
  <c r="P104" i="2" s="1"/>
  <c r="AB104" i="2" s="1"/>
  <c r="Y116" i="10"/>
  <c r="X116" i="10"/>
  <c r="P116" i="2" s="1"/>
  <c r="M14" i="11"/>
  <c r="X19" i="2" s="1"/>
  <c r="G14" i="11"/>
  <c r="M46" i="11"/>
  <c r="X51" i="2" s="1"/>
  <c r="G46" i="11"/>
  <c r="X79" i="9"/>
  <c r="P79" i="3" s="1"/>
  <c r="AB79" i="3" s="1"/>
  <c r="X83" i="9"/>
  <c r="P83" i="3" s="1"/>
  <c r="AB83" i="3" s="1"/>
  <c r="X87" i="9"/>
  <c r="P87" i="3" s="1"/>
  <c r="AB87" i="3" s="1"/>
  <c r="X91" i="9"/>
  <c r="P91" i="3" s="1"/>
  <c r="AB91" i="3" s="1"/>
  <c r="X95" i="9"/>
  <c r="P95" i="3" s="1"/>
  <c r="AB95" i="3" s="1"/>
  <c r="X99" i="9"/>
  <c r="P99" i="3" s="1"/>
  <c r="AB99" i="3" s="1"/>
  <c r="X103" i="9"/>
  <c r="P103" i="3" s="1"/>
  <c r="AB103" i="3" s="1"/>
  <c r="X111" i="9"/>
  <c r="P111" i="3" s="1"/>
  <c r="AB111" i="3" s="1"/>
  <c r="X18" i="10"/>
  <c r="P18" i="2" s="1"/>
  <c r="AB18" i="2" s="1"/>
  <c r="X20" i="10"/>
  <c r="P20" i="2" s="1"/>
  <c r="X22" i="10"/>
  <c r="P22" i="2" s="1"/>
  <c r="X24" i="10"/>
  <c r="P24" i="2" s="1"/>
  <c r="AB24" i="2" s="1"/>
  <c r="AJ24" i="2" s="1"/>
  <c r="X28" i="10"/>
  <c r="P28" i="2" s="1"/>
  <c r="X32" i="10"/>
  <c r="P32" i="2" s="1"/>
  <c r="AB32" i="2" s="1"/>
  <c r="AJ32" i="2" s="1"/>
  <c r="L51" i="10"/>
  <c r="H54" i="10"/>
  <c r="L54" i="10" s="1"/>
  <c r="I57" i="10"/>
  <c r="X58" i="10"/>
  <c r="P58" i="2" s="1"/>
  <c r="L61" i="10"/>
  <c r="X61" i="10" s="1"/>
  <c r="P61" i="2" s="1"/>
  <c r="L67" i="10"/>
  <c r="H70" i="10"/>
  <c r="L70" i="10" s="1"/>
  <c r="I73" i="10"/>
  <c r="X74" i="10"/>
  <c r="P74" i="2" s="1"/>
  <c r="Y76" i="10"/>
  <c r="X78" i="10"/>
  <c r="P78" i="2" s="1"/>
  <c r="Y84" i="10"/>
  <c r="X84" i="10"/>
  <c r="P84" i="2" s="1"/>
  <c r="Y108" i="10"/>
  <c r="X108" i="10"/>
  <c r="P108" i="2" s="1"/>
  <c r="AB108" i="2" s="1"/>
  <c r="U18" i="10"/>
  <c r="U20" i="10"/>
  <c r="U22" i="10"/>
  <c r="U24" i="10"/>
  <c r="M37" i="10"/>
  <c r="H38" i="10"/>
  <c r="L38" i="10" s="1"/>
  <c r="M41" i="10"/>
  <c r="H42" i="10"/>
  <c r="L42" i="10" s="1"/>
  <c r="M45" i="10"/>
  <c r="L47" i="10"/>
  <c r="H50" i="10"/>
  <c r="L50" i="10" s="1"/>
  <c r="X53" i="10"/>
  <c r="P53" i="2" s="1"/>
  <c r="AB53" i="2" s="1"/>
  <c r="L57" i="10"/>
  <c r="M61" i="10"/>
  <c r="L63" i="10"/>
  <c r="H66" i="10"/>
  <c r="L66" i="10" s="1"/>
  <c r="I69" i="10"/>
  <c r="X70" i="10"/>
  <c r="P70" i="2" s="1"/>
  <c r="M30" i="11"/>
  <c r="X35" i="2" s="1"/>
  <c r="G30" i="11"/>
  <c r="X43" i="10"/>
  <c r="P43" i="2" s="1"/>
  <c r="X47" i="10"/>
  <c r="P47" i="2" s="1"/>
  <c r="X51" i="10"/>
  <c r="P51" i="2" s="1"/>
  <c r="X55" i="10"/>
  <c r="P55" i="2" s="1"/>
  <c r="AB55" i="2" s="1"/>
  <c r="X59" i="10"/>
  <c r="P59" i="2" s="1"/>
  <c r="X67" i="10"/>
  <c r="P67" i="2" s="1"/>
  <c r="AB67" i="2" s="1"/>
  <c r="X71" i="10"/>
  <c r="P71" i="2" s="1"/>
  <c r="AB71" i="2" s="1"/>
  <c r="X75" i="10"/>
  <c r="P75" i="2" s="1"/>
  <c r="AB75" i="2" s="1"/>
  <c r="H77" i="10"/>
  <c r="L77" i="10" s="1"/>
  <c r="I83" i="10"/>
  <c r="L87" i="10"/>
  <c r="L91" i="10"/>
  <c r="I103" i="10"/>
  <c r="I107" i="10"/>
  <c r="L111" i="10"/>
  <c r="I115" i="10"/>
  <c r="M18" i="11"/>
  <c r="X23" i="2" s="1"/>
  <c r="G18" i="11"/>
  <c r="M34" i="11"/>
  <c r="X39" i="2" s="1"/>
  <c r="G34" i="11"/>
  <c r="M73" i="11"/>
  <c r="X78" i="2" s="1"/>
  <c r="G73" i="11"/>
  <c r="M82" i="11"/>
  <c r="X87" i="2" s="1"/>
  <c r="G82" i="11"/>
  <c r="X36" i="10"/>
  <c r="P36" i="2" s="1"/>
  <c r="X40" i="10"/>
  <c r="P40" i="2" s="1"/>
  <c r="AB40" i="2" s="1"/>
  <c r="X44" i="10"/>
  <c r="P44" i="2" s="1"/>
  <c r="AB44" i="2" s="1"/>
  <c r="X48" i="10"/>
  <c r="P48" i="2" s="1"/>
  <c r="AB48" i="2" s="1"/>
  <c r="X52" i="10"/>
  <c r="P52" i="2" s="1"/>
  <c r="AB52" i="2" s="1"/>
  <c r="X56" i="10"/>
  <c r="P56" i="2" s="1"/>
  <c r="AB56" i="2" s="1"/>
  <c r="X60" i="10"/>
  <c r="P60" i="2" s="1"/>
  <c r="AB60" i="2" s="1"/>
  <c r="X64" i="10"/>
  <c r="P64" i="2" s="1"/>
  <c r="AB64" i="2" s="1"/>
  <c r="X68" i="10"/>
  <c r="P68" i="2" s="1"/>
  <c r="AB68" i="2" s="1"/>
  <c r="X72" i="10"/>
  <c r="P72" i="2" s="1"/>
  <c r="AB72" i="2" s="1"/>
  <c r="H76" i="10"/>
  <c r="L76" i="10" s="1"/>
  <c r="I79" i="10"/>
  <c r="X80" i="10"/>
  <c r="P80" i="2" s="1"/>
  <c r="AB80" i="2" s="1"/>
  <c r="L83" i="10"/>
  <c r="M87" i="10"/>
  <c r="L89" i="10"/>
  <c r="M91" i="10"/>
  <c r="L93" i="10"/>
  <c r="H96" i="10"/>
  <c r="L96" i="10" s="1"/>
  <c r="I99" i="10"/>
  <c r="X100" i="10"/>
  <c r="P100" i="2" s="1"/>
  <c r="AB100" i="2" s="1"/>
  <c r="L107" i="10"/>
  <c r="M111" i="10"/>
  <c r="L113" i="10"/>
  <c r="M22" i="11"/>
  <c r="X27" i="2" s="1"/>
  <c r="G22" i="11"/>
  <c r="M38" i="11"/>
  <c r="X43" i="2" s="1"/>
  <c r="G38" i="11"/>
  <c r="M65" i="11"/>
  <c r="X70" i="2" s="1"/>
  <c r="G65" i="11"/>
  <c r="L79" i="10"/>
  <c r="M83" i="10"/>
  <c r="L85" i="10"/>
  <c r="H88" i="10"/>
  <c r="L88" i="10" s="1"/>
  <c r="X90" i="10"/>
  <c r="P90" i="2" s="1"/>
  <c r="AB90" i="2" s="1"/>
  <c r="H92" i="10"/>
  <c r="L92" i="10" s="1"/>
  <c r="X95" i="10"/>
  <c r="P95" i="2" s="1"/>
  <c r="X96" i="10"/>
  <c r="P96" i="2" s="1"/>
  <c r="AB96" i="2" s="1"/>
  <c r="L99" i="10"/>
  <c r="M103" i="10"/>
  <c r="L105" i="10"/>
  <c r="M107" i="10"/>
  <c r="L109" i="10"/>
  <c r="H112" i="10"/>
  <c r="L112" i="10" s="1"/>
  <c r="M115" i="10"/>
  <c r="L117" i="10"/>
  <c r="M26" i="11"/>
  <c r="X31" i="2" s="1"/>
  <c r="G26" i="11"/>
  <c r="M42" i="11"/>
  <c r="X47" i="2" s="1"/>
  <c r="G42" i="11"/>
  <c r="M57" i="11"/>
  <c r="X62" i="2" s="1"/>
  <c r="G57" i="11"/>
  <c r="X81" i="10"/>
  <c r="P81" i="2" s="1"/>
  <c r="AB81" i="2" s="1"/>
  <c r="X85" i="10"/>
  <c r="P85" i="2" s="1"/>
  <c r="X89" i="10"/>
  <c r="P89" i="2" s="1"/>
  <c r="AB89" i="2" s="1"/>
  <c r="X97" i="10"/>
  <c r="P97" i="2" s="1"/>
  <c r="X101" i="10"/>
  <c r="P101" i="2" s="1"/>
  <c r="X105" i="10"/>
  <c r="P105" i="2" s="1"/>
  <c r="AB105" i="2" s="1"/>
  <c r="X117" i="10"/>
  <c r="P117" i="2" s="1"/>
  <c r="AB117" i="2" s="1"/>
  <c r="M102" i="11"/>
  <c r="X107" i="2" s="1"/>
  <c r="G102" i="11"/>
  <c r="M110" i="11"/>
  <c r="X115" i="2" s="1"/>
  <c r="G110" i="11"/>
  <c r="M52" i="12"/>
  <c r="X57" i="3" s="1"/>
  <c r="G52" i="12"/>
  <c r="M56" i="12"/>
  <c r="X61" i="3" s="1"/>
  <c r="G56" i="12"/>
  <c r="X82" i="10"/>
  <c r="P82" i="2" s="1"/>
  <c r="X86" i="10"/>
  <c r="P86" i="2" s="1"/>
  <c r="X94" i="10"/>
  <c r="P94" i="2" s="1"/>
  <c r="AB94" i="2" s="1"/>
  <c r="X98" i="10"/>
  <c r="P98" i="2" s="1"/>
  <c r="X102" i="10"/>
  <c r="P102" i="2" s="1"/>
  <c r="AB102" i="2" s="1"/>
  <c r="X110" i="10"/>
  <c r="P110" i="2" s="1"/>
  <c r="AB110" i="2" s="1"/>
  <c r="G53" i="11"/>
  <c r="M61" i="12"/>
  <c r="X66" i="3" s="1"/>
  <c r="G61" i="12"/>
  <c r="M93" i="12"/>
  <c r="X98" i="3" s="1"/>
  <c r="G93" i="12"/>
  <c r="G54" i="11"/>
  <c r="G61" i="11"/>
  <c r="G69" i="11"/>
  <c r="G77" i="11"/>
  <c r="G16" i="12"/>
  <c r="M96" i="11"/>
  <c r="X101" i="2" s="1"/>
  <c r="G66" i="12"/>
  <c r="M97" i="12"/>
  <c r="X102" i="3" s="1"/>
  <c r="G97" i="12"/>
  <c r="M101" i="12"/>
  <c r="X106" i="3" s="1"/>
  <c r="G101" i="12"/>
  <c r="M11" i="13"/>
  <c r="X16" i="4" s="1"/>
  <c r="G11" i="13"/>
  <c r="M27" i="13"/>
  <c r="X32" i="4" s="1"/>
  <c r="G27" i="13"/>
  <c r="M43" i="13"/>
  <c r="X48" i="4" s="1"/>
  <c r="G43" i="13"/>
  <c r="M59" i="13"/>
  <c r="X64" i="4" s="1"/>
  <c r="G59" i="13"/>
  <c r="M75" i="13"/>
  <c r="X80" i="4" s="1"/>
  <c r="G75" i="13"/>
  <c r="M73" i="12"/>
  <c r="X78" i="3" s="1"/>
  <c r="G73" i="12"/>
  <c r="M77" i="12"/>
  <c r="X82" i="3" s="1"/>
  <c r="G77" i="12"/>
  <c r="M105" i="12"/>
  <c r="X110" i="3" s="1"/>
  <c r="G105" i="12"/>
  <c r="M81" i="12"/>
  <c r="X86" i="3" s="1"/>
  <c r="G81" i="12"/>
  <c r="M85" i="12"/>
  <c r="X90" i="3" s="1"/>
  <c r="G85" i="12"/>
  <c r="M89" i="12"/>
  <c r="X94" i="3" s="1"/>
  <c r="G89" i="12"/>
  <c r="M26" i="13"/>
  <c r="X31" i="4" s="1"/>
  <c r="G26" i="13"/>
  <c r="M42" i="13"/>
  <c r="X47" i="4" s="1"/>
  <c r="G42" i="13"/>
  <c r="M58" i="13"/>
  <c r="X63" i="4" s="1"/>
  <c r="G58" i="13"/>
  <c r="M74" i="13"/>
  <c r="X79" i="4" s="1"/>
  <c r="G74" i="13"/>
  <c r="G14" i="13"/>
  <c r="G24" i="13"/>
  <c r="G30" i="13"/>
  <c r="G40" i="13"/>
  <c r="G46" i="13"/>
  <c r="G56" i="13"/>
  <c r="G62" i="13"/>
  <c r="G72" i="13"/>
  <c r="G78" i="13"/>
  <c r="G91" i="13"/>
  <c r="G99" i="13"/>
  <c r="G107" i="13"/>
  <c r="G12" i="13"/>
  <c r="G28" i="13"/>
  <c r="G44" i="13"/>
  <c r="G60" i="13"/>
  <c r="G76" i="13"/>
  <c r="G92" i="13"/>
  <c r="G100" i="13"/>
  <c r="G108" i="13"/>
  <c r="AJ18" i="2" l="1"/>
  <c r="Z45" i="10"/>
  <c r="N45" i="2"/>
  <c r="X45" i="10"/>
  <c r="P45" i="2" s="1"/>
  <c r="Z16" i="10"/>
  <c r="X16" i="10"/>
  <c r="P16" i="2" s="1"/>
  <c r="N16" i="2"/>
  <c r="AB42" i="3"/>
  <c r="Z53" i="9"/>
  <c r="N53" i="3"/>
  <c r="Z53" i="3" s="1"/>
  <c r="X53" i="9"/>
  <c r="P53" i="3" s="1"/>
  <c r="Z24" i="8"/>
  <c r="X24" i="8"/>
  <c r="P24" i="4" s="1"/>
  <c r="N24" i="4"/>
  <c r="BL8" i="3"/>
  <c r="AB30" i="3"/>
  <c r="BL4" i="4"/>
  <c r="AB84" i="3"/>
  <c r="V14" i="9"/>
  <c r="H14" i="3" s="1"/>
  <c r="BN4" i="3" s="1"/>
  <c r="X4" i="9"/>
  <c r="AJ33" i="3"/>
  <c r="J14" i="13"/>
  <c r="T19" i="4" s="1"/>
  <c r="R19" i="4"/>
  <c r="Z19" i="4" s="1"/>
  <c r="Z109" i="10"/>
  <c r="N109" i="2"/>
  <c r="Z109" i="2" s="1"/>
  <c r="Z76" i="10"/>
  <c r="N76" i="2"/>
  <c r="Z76" i="2" s="1"/>
  <c r="Z21" i="10"/>
  <c r="X21" i="10"/>
  <c r="P21" i="2" s="1"/>
  <c r="N21" i="2"/>
  <c r="Q108" i="9"/>
  <c r="D108" i="3" s="1"/>
  <c r="F108" i="3"/>
  <c r="W57" i="9"/>
  <c r="J57" i="3" s="1"/>
  <c r="I57" i="3"/>
  <c r="Q45" i="9"/>
  <c r="D45" i="3" s="1"/>
  <c r="F45" i="3"/>
  <c r="Z106" i="8"/>
  <c r="N106" i="4"/>
  <c r="Z106" i="4" s="1"/>
  <c r="Q96" i="8"/>
  <c r="D96" i="4" s="1"/>
  <c r="F96" i="4"/>
  <c r="BL7" i="4"/>
  <c r="Z59" i="8"/>
  <c r="N59" i="4"/>
  <c r="Z23" i="8"/>
  <c r="N23" i="4"/>
  <c r="Z23" i="4" s="1"/>
  <c r="AB34" i="3"/>
  <c r="Z79" i="8"/>
  <c r="N79" i="4"/>
  <c r="Z43" i="8"/>
  <c r="N43" i="4"/>
  <c r="W27" i="8"/>
  <c r="J27" i="4" s="1"/>
  <c r="BN7" i="4" s="1"/>
  <c r="I27" i="4"/>
  <c r="Z18" i="8"/>
  <c r="X18" i="8"/>
  <c r="P18" i="4" s="1"/>
  <c r="N18" i="4"/>
  <c r="Z47" i="8"/>
  <c r="N47" i="4"/>
  <c r="AJ18" i="3"/>
  <c r="AB94" i="4"/>
  <c r="Z93" i="2"/>
  <c r="AS8" i="2"/>
  <c r="AR8" i="4"/>
  <c r="AR8" i="3"/>
  <c r="AT8" i="2"/>
  <c r="AS8" i="3"/>
  <c r="BI13" i="4"/>
  <c r="K17" i="1"/>
  <c r="L17" i="1" s="1"/>
  <c r="J108" i="13"/>
  <c r="T113" i="4" s="1"/>
  <c r="R113" i="4"/>
  <c r="J42" i="13"/>
  <c r="T47" i="4" s="1"/>
  <c r="R47" i="4"/>
  <c r="Z47" i="4" s="1"/>
  <c r="J11" i="13"/>
  <c r="T16" i="4" s="1"/>
  <c r="R16" i="4"/>
  <c r="Z16" i="4" s="1"/>
  <c r="J54" i="11"/>
  <c r="T59" i="2" s="1"/>
  <c r="R59" i="2"/>
  <c r="Z59" i="2" s="1"/>
  <c r="J110" i="11"/>
  <c r="T115" i="2" s="1"/>
  <c r="R115" i="2"/>
  <c r="W107" i="10"/>
  <c r="J107" i="2" s="1"/>
  <c r="I107" i="2"/>
  <c r="J65" i="11"/>
  <c r="T70" i="2" s="1"/>
  <c r="R70" i="2"/>
  <c r="J22" i="11"/>
  <c r="T27" i="2" s="1"/>
  <c r="R27" i="2"/>
  <c r="Z27" i="2" s="1"/>
  <c r="W91" i="10"/>
  <c r="J91" i="2" s="1"/>
  <c r="I91" i="2"/>
  <c r="J73" i="11"/>
  <c r="T78" i="2" s="1"/>
  <c r="R78" i="2"/>
  <c r="Z78" i="2" s="1"/>
  <c r="J18" i="11"/>
  <c r="T23" i="2" s="1"/>
  <c r="R23" i="2"/>
  <c r="Z111" i="10"/>
  <c r="N111" i="2"/>
  <c r="Z111" i="2" s="1"/>
  <c r="Q103" i="10"/>
  <c r="D103" i="2" s="1"/>
  <c r="F103" i="2"/>
  <c r="Q83" i="10"/>
  <c r="D83" i="2" s="1"/>
  <c r="F83" i="2"/>
  <c r="W61" i="10"/>
  <c r="J61" i="2" s="1"/>
  <c r="I61" i="2"/>
  <c r="Z50" i="10"/>
  <c r="X50" i="10"/>
  <c r="P50" i="2" s="1"/>
  <c r="N50" i="2"/>
  <c r="Z50" i="2" s="1"/>
  <c r="W41" i="10"/>
  <c r="J41" i="2" s="1"/>
  <c r="I41" i="2"/>
  <c r="X76" i="10"/>
  <c r="P76" i="2" s="1"/>
  <c r="AB76" i="2" s="1"/>
  <c r="Q73" i="10"/>
  <c r="D73" i="2" s="1"/>
  <c r="F73" i="2"/>
  <c r="Z51" i="10"/>
  <c r="N51" i="2"/>
  <c r="J14" i="11"/>
  <c r="T19" i="2" s="1"/>
  <c r="R19" i="2"/>
  <c r="Z19" i="2" s="1"/>
  <c r="Q61" i="10"/>
  <c r="D61" i="2" s="1"/>
  <c r="F61" i="2"/>
  <c r="Q41" i="10"/>
  <c r="D41" i="2" s="1"/>
  <c r="L41" i="10"/>
  <c r="F41" i="2"/>
  <c r="Z29" i="10"/>
  <c r="N29" i="2"/>
  <c r="Z29" i="2" s="1"/>
  <c r="W108" i="9"/>
  <c r="J108" i="3" s="1"/>
  <c r="I108" i="3"/>
  <c r="Z93" i="9"/>
  <c r="X93" i="9"/>
  <c r="P93" i="3" s="1"/>
  <c r="AB93" i="3" s="1"/>
  <c r="N93" i="3"/>
  <c r="Z93" i="3" s="1"/>
  <c r="Z77" i="9"/>
  <c r="X77" i="9"/>
  <c r="P77" i="3" s="1"/>
  <c r="AB77" i="3" s="1"/>
  <c r="N77" i="3"/>
  <c r="Z77" i="3" s="1"/>
  <c r="BL7" i="2"/>
  <c r="D123" i="7" s="1"/>
  <c r="D151" i="7" s="1"/>
  <c r="Q21" i="10"/>
  <c r="D21" i="2" s="1"/>
  <c r="BM5" i="2" s="1"/>
  <c r="D121" i="7" s="1"/>
  <c r="D149" i="7" s="1"/>
  <c r="F21" i="2"/>
  <c r="Z114" i="9"/>
  <c r="N114" i="3"/>
  <c r="Z114" i="3" s="1"/>
  <c r="Z94" i="9"/>
  <c r="N94" i="3"/>
  <c r="X111" i="10"/>
  <c r="P111" i="2" s="1"/>
  <c r="AB111" i="2" s="1"/>
  <c r="Q116" i="9"/>
  <c r="D116" i="3" s="1"/>
  <c r="F116" i="3"/>
  <c r="Z92" i="9"/>
  <c r="N92" i="3"/>
  <c r="Z92" i="3" s="1"/>
  <c r="Z82" i="9"/>
  <c r="N82" i="3"/>
  <c r="Q73" i="9"/>
  <c r="D73" i="3" s="1"/>
  <c r="F73" i="3"/>
  <c r="Z67" i="9"/>
  <c r="N67" i="3"/>
  <c r="Z67" i="3" s="1"/>
  <c r="W53" i="9"/>
  <c r="J53" i="3" s="1"/>
  <c r="I53" i="3"/>
  <c r="Z38" i="9"/>
  <c r="N38" i="3"/>
  <c r="Z38" i="3" s="1"/>
  <c r="Z16" i="9"/>
  <c r="X16" i="9"/>
  <c r="P16" i="3" s="1"/>
  <c r="AB16" i="3" s="1"/>
  <c r="AJ16" i="3" s="1"/>
  <c r="N16" i="3"/>
  <c r="Z16" i="3" s="1"/>
  <c r="Q108" i="8"/>
  <c r="D108" i="4" s="1"/>
  <c r="F108" i="4"/>
  <c r="W96" i="8"/>
  <c r="J96" i="4" s="1"/>
  <c r="I96" i="4"/>
  <c r="L73" i="9"/>
  <c r="Q100" i="8"/>
  <c r="D100" i="4" s="1"/>
  <c r="F100" i="4"/>
  <c r="X23" i="8"/>
  <c r="P23" i="4" s="1"/>
  <c r="AB23" i="4" s="1"/>
  <c r="AJ23" i="4" s="1"/>
  <c r="Z74" i="9"/>
  <c r="N74" i="3"/>
  <c r="Z74" i="3" s="1"/>
  <c r="Z66" i="9"/>
  <c r="N66" i="3"/>
  <c r="Z107" i="8"/>
  <c r="N107" i="4"/>
  <c r="Z107" i="4" s="1"/>
  <c r="L96" i="8"/>
  <c r="Z44" i="9"/>
  <c r="N44" i="3"/>
  <c r="Z44" i="3" s="1"/>
  <c r="Z81" i="8"/>
  <c r="N81" i="4"/>
  <c r="Z68" i="8"/>
  <c r="X68" i="8"/>
  <c r="P68" i="4" s="1"/>
  <c r="AB68" i="4" s="1"/>
  <c r="N68" i="4"/>
  <c r="Z68" i="4" s="1"/>
  <c r="W43" i="8"/>
  <c r="J43" i="4" s="1"/>
  <c r="I43" i="4"/>
  <c r="Z28" i="8"/>
  <c r="X28" i="8"/>
  <c r="P28" i="4" s="1"/>
  <c r="N28" i="4"/>
  <c r="W22" i="8"/>
  <c r="J22" i="4" s="1"/>
  <c r="I22" i="4"/>
  <c r="W87" i="8"/>
  <c r="J87" i="4" s="1"/>
  <c r="I87" i="4"/>
  <c r="Z69" i="8"/>
  <c r="N69" i="4"/>
  <c r="X59" i="8"/>
  <c r="P59" i="4" s="1"/>
  <c r="Z52" i="8"/>
  <c r="X52" i="8"/>
  <c r="P52" i="4" s="1"/>
  <c r="AB52" i="4" s="1"/>
  <c r="N52" i="4"/>
  <c r="Z52" i="4" s="1"/>
  <c r="Z67" i="8"/>
  <c r="N67" i="4"/>
  <c r="X43" i="8"/>
  <c r="P43" i="4" s="1"/>
  <c r="Q22" i="8"/>
  <c r="D22" i="4" s="1"/>
  <c r="F22" i="4"/>
  <c r="N103" i="4"/>
  <c r="Z103" i="4" s="1"/>
  <c r="Z103" i="8"/>
  <c r="N95" i="4"/>
  <c r="Z95" i="4" s="1"/>
  <c r="Z95" i="8"/>
  <c r="AJ27" i="4"/>
  <c r="X7" i="8"/>
  <c r="Z7" i="8"/>
  <c r="X4" i="8"/>
  <c r="BM7" i="4"/>
  <c r="C29" i="4"/>
  <c r="C32" i="4" s="1"/>
  <c r="BK7" i="3"/>
  <c r="AO7" i="3"/>
  <c r="BI19" i="3"/>
  <c r="AH26" i="3"/>
  <c r="P23" i="1"/>
  <c r="AB34" i="4"/>
  <c r="AS6" i="4"/>
  <c r="BI18" i="3"/>
  <c r="AB116" i="4"/>
  <c r="AB62" i="3"/>
  <c r="BE52" i="3"/>
  <c r="Z92" i="4"/>
  <c r="AB69" i="4"/>
  <c r="AB53" i="4"/>
  <c r="AB44" i="4"/>
  <c r="BI23" i="4"/>
  <c r="AB30" i="4"/>
  <c r="AB58" i="3"/>
  <c r="BE53" i="3"/>
  <c r="BE42" i="3"/>
  <c r="AS5" i="3"/>
  <c r="BI7" i="4"/>
  <c r="K11" i="1"/>
  <c r="AH30" i="4"/>
  <c r="K27" i="1"/>
  <c r="AO7" i="4"/>
  <c r="AP7" i="4" s="1"/>
  <c r="AH26" i="4"/>
  <c r="K23" i="1"/>
  <c r="AN7" i="3"/>
  <c r="AB14" i="2"/>
  <c r="AH32" i="3"/>
  <c r="P29" i="1"/>
  <c r="AB26" i="2"/>
  <c r="R13" i="1"/>
  <c r="J76" i="13"/>
  <c r="T81" i="4" s="1"/>
  <c r="R81" i="4"/>
  <c r="Z81" i="4" s="1"/>
  <c r="J78" i="13"/>
  <c r="T83" i="4" s="1"/>
  <c r="R83" i="4"/>
  <c r="J61" i="11"/>
  <c r="T66" i="2" s="1"/>
  <c r="R66" i="2"/>
  <c r="J61" i="12"/>
  <c r="T66" i="3" s="1"/>
  <c r="R66" i="3"/>
  <c r="Z66" i="3" s="1"/>
  <c r="Z99" i="10"/>
  <c r="N99" i="2"/>
  <c r="Z79" i="10"/>
  <c r="N79" i="2"/>
  <c r="Z113" i="10"/>
  <c r="N113" i="2"/>
  <c r="Z113" i="2" s="1"/>
  <c r="Z93" i="10"/>
  <c r="N93" i="2"/>
  <c r="Z83" i="10"/>
  <c r="N83" i="2"/>
  <c r="Q115" i="10"/>
  <c r="D115" i="2" s="1"/>
  <c r="F115" i="2"/>
  <c r="J30" i="11"/>
  <c r="T35" i="2" s="1"/>
  <c r="R35" i="2"/>
  <c r="Z35" i="2" s="1"/>
  <c r="Z63" i="10"/>
  <c r="N63" i="2"/>
  <c r="Z63" i="2" s="1"/>
  <c r="Z42" i="10"/>
  <c r="X42" i="10"/>
  <c r="P42" i="2" s="1"/>
  <c r="N42" i="2"/>
  <c r="Z42" i="2" s="1"/>
  <c r="Z54" i="10"/>
  <c r="N54" i="2"/>
  <c r="Z54" i="2" s="1"/>
  <c r="Q16" i="10"/>
  <c r="D16" i="2" s="1"/>
  <c r="BM4" i="2" s="1"/>
  <c r="F16" i="2"/>
  <c r="Z97" i="9"/>
  <c r="X97" i="9"/>
  <c r="P97" i="3" s="1"/>
  <c r="AB97" i="3" s="1"/>
  <c r="N97" i="3"/>
  <c r="Z97" i="3" s="1"/>
  <c r="Z98" i="9"/>
  <c r="N98" i="3"/>
  <c r="Q69" i="9"/>
  <c r="D69" i="3" s="1"/>
  <c r="F69" i="3"/>
  <c r="Z42" i="9"/>
  <c r="N42" i="3"/>
  <c r="Z42" i="3" s="1"/>
  <c r="Q17" i="9"/>
  <c r="D17" i="3" s="1"/>
  <c r="BM4" i="3" s="1"/>
  <c r="F17" i="3"/>
  <c r="W100" i="8"/>
  <c r="J100" i="4" s="1"/>
  <c r="I100" i="4"/>
  <c r="L69" i="9"/>
  <c r="Q53" i="9"/>
  <c r="D53" i="3" s="1"/>
  <c r="F53" i="3"/>
  <c r="Z113" i="8"/>
  <c r="N113" i="4"/>
  <c r="X113" i="8"/>
  <c r="P113" i="4" s="1"/>
  <c r="AB66" i="4"/>
  <c r="Z68" i="9"/>
  <c r="N68" i="3"/>
  <c r="Z68" i="3" s="1"/>
  <c r="Z49" i="9"/>
  <c r="N49" i="3"/>
  <c r="Z84" i="8"/>
  <c r="N84" i="4"/>
  <c r="Z84" i="4" s="1"/>
  <c r="X84" i="8"/>
  <c r="P84" i="4" s="1"/>
  <c r="AB84" i="4" s="1"/>
  <c r="Z14" i="8"/>
  <c r="N14" i="4"/>
  <c r="Z72" i="8"/>
  <c r="X72" i="8"/>
  <c r="P72" i="4" s="1"/>
  <c r="AB72" i="4" s="1"/>
  <c r="N72" i="4"/>
  <c r="Z72" i="4" s="1"/>
  <c r="Z36" i="8"/>
  <c r="X36" i="8"/>
  <c r="P36" i="4" s="1"/>
  <c r="AB36" i="4" s="1"/>
  <c r="N36" i="4"/>
  <c r="Z36" i="4" s="1"/>
  <c r="Q79" i="8"/>
  <c r="D79" i="4" s="1"/>
  <c r="F79" i="4"/>
  <c r="Q24" i="8"/>
  <c r="D24" i="4" s="1"/>
  <c r="F24" i="4"/>
  <c r="Q15" i="1"/>
  <c r="R17" i="1"/>
  <c r="AB91" i="4"/>
  <c r="AB82" i="4"/>
  <c r="AB102" i="4"/>
  <c r="Z69" i="4"/>
  <c r="AB72" i="3"/>
  <c r="AG33" i="4"/>
  <c r="AG33" i="3"/>
  <c r="AG146" i="2"/>
  <c r="AJ146" i="2" s="1"/>
  <c r="BI26" i="2"/>
  <c r="AI33" i="2"/>
  <c r="AH33" i="2"/>
  <c r="AU30" i="2" s="1"/>
  <c r="E30" i="1"/>
  <c r="AG36" i="2"/>
  <c r="AH29" i="4"/>
  <c r="K26" i="1"/>
  <c r="L26" i="1" s="1"/>
  <c r="AH27" i="4"/>
  <c r="BI20" i="4"/>
  <c r="K24" i="1"/>
  <c r="L24" i="1" s="1"/>
  <c r="BI11" i="4"/>
  <c r="K15" i="1"/>
  <c r="AT6" i="4"/>
  <c r="BL3" i="4"/>
  <c r="BK3" i="4"/>
  <c r="BN3" i="4"/>
  <c r="BI3" i="4"/>
  <c r="BM3" i="4"/>
  <c r="AL3" i="4"/>
  <c r="K7" i="1"/>
  <c r="L7" i="1" s="1"/>
  <c r="BN8" i="2"/>
  <c r="J60" i="13"/>
  <c r="T65" i="4" s="1"/>
  <c r="R65" i="4"/>
  <c r="R77" i="4"/>
  <c r="Z77" i="4" s="1"/>
  <c r="J72" i="13"/>
  <c r="T77" i="4" s="1"/>
  <c r="J74" i="13"/>
  <c r="T79" i="4" s="1"/>
  <c r="R79" i="4"/>
  <c r="J81" i="12"/>
  <c r="T86" i="3" s="1"/>
  <c r="R86" i="3"/>
  <c r="Z86" i="3" s="1"/>
  <c r="J75" i="13"/>
  <c r="T80" i="4" s="1"/>
  <c r="R80" i="4"/>
  <c r="Z80" i="4" s="1"/>
  <c r="J16" i="12"/>
  <c r="T21" i="3" s="1"/>
  <c r="R21" i="3"/>
  <c r="Z21" i="3" s="1"/>
  <c r="AB98" i="2"/>
  <c r="J56" i="12"/>
  <c r="T61" i="3" s="1"/>
  <c r="R61" i="3"/>
  <c r="J42" i="11"/>
  <c r="T47" i="2" s="1"/>
  <c r="R47" i="2"/>
  <c r="Z88" i="10"/>
  <c r="X88" i="10"/>
  <c r="P88" i="2" s="1"/>
  <c r="AB88" i="2" s="1"/>
  <c r="N88" i="2"/>
  <c r="Z88" i="2" s="1"/>
  <c r="X99" i="10"/>
  <c r="P99" i="2" s="1"/>
  <c r="J100" i="13"/>
  <c r="T105" i="4" s="1"/>
  <c r="R105" i="4"/>
  <c r="Z105" i="4" s="1"/>
  <c r="J44" i="13"/>
  <c r="T49" i="4" s="1"/>
  <c r="R49" i="4"/>
  <c r="J99" i="13"/>
  <c r="T104" i="4" s="1"/>
  <c r="R104" i="4"/>
  <c r="J62" i="13"/>
  <c r="T67" i="4" s="1"/>
  <c r="R67" i="4"/>
  <c r="Z67" i="4" s="1"/>
  <c r="J30" i="13"/>
  <c r="T35" i="4" s="1"/>
  <c r="R35" i="4"/>
  <c r="Z35" i="4" s="1"/>
  <c r="J77" i="11"/>
  <c r="T82" i="2" s="1"/>
  <c r="R82" i="2"/>
  <c r="Z82" i="2" s="1"/>
  <c r="J93" i="12"/>
  <c r="T98" i="3" s="1"/>
  <c r="R98" i="3"/>
  <c r="J53" i="11"/>
  <c r="T58" i="2" s="1"/>
  <c r="R58" i="2"/>
  <c r="Z58" i="2" s="1"/>
  <c r="X113" i="10"/>
  <c r="P113" i="2" s="1"/>
  <c r="AB113" i="2" s="1"/>
  <c r="W115" i="10"/>
  <c r="J115" i="2" s="1"/>
  <c r="I115" i="2"/>
  <c r="Z105" i="10"/>
  <c r="N105" i="2"/>
  <c r="Z105" i="2" s="1"/>
  <c r="Z85" i="10"/>
  <c r="N85" i="2"/>
  <c r="Z85" i="2" s="1"/>
  <c r="Z107" i="10"/>
  <c r="N107" i="2"/>
  <c r="Q99" i="10"/>
  <c r="D99" i="2" s="1"/>
  <c r="F99" i="2"/>
  <c r="Z89" i="10"/>
  <c r="N89" i="2"/>
  <c r="Z89" i="2" s="1"/>
  <c r="X79" i="10"/>
  <c r="P79" i="2" s="1"/>
  <c r="AB79" i="2" s="1"/>
  <c r="X107" i="10"/>
  <c r="P107" i="2" s="1"/>
  <c r="Z91" i="10"/>
  <c r="N91" i="2"/>
  <c r="Z77" i="10"/>
  <c r="X77" i="10"/>
  <c r="P77" i="2" s="1"/>
  <c r="AB77" i="2" s="1"/>
  <c r="N77" i="2"/>
  <c r="Z77" i="2" s="1"/>
  <c r="X63" i="10"/>
  <c r="P63" i="2" s="1"/>
  <c r="AB63" i="2" s="1"/>
  <c r="X91" i="10"/>
  <c r="P91" i="2" s="1"/>
  <c r="Q69" i="10"/>
  <c r="D69" i="2" s="1"/>
  <c r="F69" i="2"/>
  <c r="Z57" i="10"/>
  <c r="N57" i="2"/>
  <c r="Z57" i="2" s="1"/>
  <c r="Z47" i="10"/>
  <c r="N47" i="2"/>
  <c r="Z38" i="10"/>
  <c r="X38" i="10"/>
  <c r="P38" i="2" s="1"/>
  <c r="N38" i="2"/>
  <c r="Z38" i="2" s="1"/>
  <c r="Z70" i="10"/>
  <c r="N70" i="2"/>
  <c r="X57" i="10"/>
  <c r="P57" i="2" s="1"/>
  <c r="BL5" i="2"/>
  <c r="Z49" i="10"/>
  <c r="N49" i="2"/>
  <c r="Z49" i="2" s="1"/>
  <c r="Q37" i="10"/>
  <c r="D37" i="2" s="1"/>
  <c r="L37" i="10"/>
  <c r="F37" i="2"/>
  <c r="X94" i="9"/>
  <c r="P94" i="3" s="1"/>
  <c r="Z25" i="10"/>
  <c r="N25" i="2"/>
  <c r="Z25" i="2" s="1"/>
  <c r="Z15" i="10"/>
  <c r="X15" i="10"/>
  <c r="P15" i="2" s="1"/>
  <c r="AB15" i="2" s="1"/>
  <c r="AJ15" i="2" s="1"/>
  <c r="N15" i="2"/>
  <c r="Z15" i="2" s="1"/>
  <c r="W104" i="9"/>
  <c r="J104" i="3" s="1"/>
  <c r="I104" i="3"/>
  <c r="W88" i="9"/>
  <c r="J88" i="3" s="1"/>
  <c r="I88" i="3"/>
  <c r="Q33" i="10"/>
  <c r="D33" i="2" s="1"/>
  <c r="BM8" i="2" s="1"/>
  <c r="F33" i="2"/>
  <c r="X25" i="10"/>
  <c r="P25" i="2" s="1"/>
  <c r="Z20" i="10"/>
  <c r="N20" i="2"/>
  <c r="Z20" i="2" s="1"/>
  <c r="W112" i="9"/>
  <c r="J112" i="3" s="1"/>
  <c r="I112" i="3"/>
  <c r="W92" i="9"/>
  <c r="J92" i="3" s="1"/>
  <c r="I92" i="3"/>
  <c r="Q84" i="9"/>
  <c r="D84" i="3" s="1"/>
  <c r="F84" i="3"/>
  <c r="L69" i="10"/>
  <c r="X6" i="10"/>
  <c r="Z6" i="10"/>
  <c r="Z112" i="9"/>
  <c r="N112" i="3"/>
  <c r="Z112" i="3" s="1"/>
  <c r="Q104" i="9"/>
  <c r="D104" i="3" s="1"/>
  <c r="AB104" i="3" s="1"/>
  <c r="F104" i="3"/>
  <c r="Z71" i="9"/>
  <c r="N71" i="3"/>
  <c r="Q61" i="9"/>
  <c r="D61" i="3" s="1"/>
  <c r="F61" i="3"/>
  <c r="W49" i="9"/>
  <c r="J49" i="3" s="1"/>
  <c r="I49" i="3"/>
  <c r="Z34" i="9"/>
  <c r="N34" i="3"/>
  <c r="Z34" i="3" s="1"/>
  <c r="BL6" i="3"/>
  <c r="Z112" i="8"/>
  <c r="N112" i="4"/>
  <c r="X106" i="8"/>
  <c r="P106" i="4" s="1"/>
  <c r="W92" i="8"/>
  <c r="J92" i="4" s="1"/>
  <c r="I92" i="4"/>
  <c r="L61" i="9"/>
  <c r="Q57" i="9"/>
  <c r="D57" i="3" s="1"/>
  <c r="F57" i="3"/>
  <c r="Q49" i="9"/>
  <c r="D49" i="3" s="1"/>
  <c r="F49" i="3"/>
  <c r="Q19" i="9"/>
  <c r="D19" i="3" s="1"/>
  <c r="BM5" i="3" s="1"/>
  <c r="F19" i="3"/>
  <c r="L108" i="8"/>
  <c r="Q104" i="8"/>
  <c r="D104" i="4" s="1"/>
  <c r="F104" i="4"/>
  <c r="Z98" i="8"/>
  <c r="N98" i="4"/>
  <c r="Z98" i="4" s="1"/>
  <c r="Q92" i="8"/>
  <c r="D92" i="4" s="1"/>
  <c r="F92" i="4"/>
  <c r="Z72" i="9"/>
  <c r="N72" i="3"/>
  <c r="Z72" i="3" s="1"/>
  <c r="Z64" i="9"/>
  <c r="N64" i="3"/>
  <c r="Z64" i="3" s="1"/>
  <c r="L57" i="9"/>
  <c r="L19" i="9"/>
  <c r="L100" i="8"/>
  <c r="Z56" i="9"/>
  <c r="N56" i="3"/>
  <c r="Z56" i="3" s="1"/>
  <c r="W79" i="8"/>
  <c r="J79" i="4" s="1"/>
  <c r="I79" i="4"/>
  <c r="Z65" i="8"/>
  <c r="N65" i="4"/>
  <c r="Z39" i="8"/>
  <c r="N39" i="4"/>
  <c r="Z25" i="8"/>
  <c r="N25" i="4"/>
  <c r="Z25" i="4" s="1"/>
  <c r="Z21" i="8"/>
  <c r="N21" i="4"/>
  <c r="Z21" i="4" s="1"/>
  <c r="Z85" i="8"/>
  <c r="N85" i="4"/>
  <c r="Z85" i="4" s="1"/>
  <c r="W67" i="8"/>
  <c r="J67" i="4" s="1"/>
  <c r="I67" i="4"/>
  <c r="Q59" i="8"/>
  <c r="D59" i="4" s="1"/>
  <c r="F59" i="4"/>
  <c r="Z49" i="8"/>
  <c r="N49" i="4"/>
  <c r="X39" i="8"/>
  <c r="P39" i="4" s="1"/>
  <c r="Z32" i="8"/>
  <c r="X32" i="8"/>
  <c r="P32" i="4" s="1"/>
  <c r="BL8" i="4" s="1"/>
  <c r="N32" i="4"/>
  <c r="L22" i="8"/>
  <c r="Q14" i="8"/>
  <c r="D14" i="4" s="1"/>
  <c r="BM4" i="4" s="1"/>
  <c r="F14" i="4"/>
  <c r="Z83" i="8"/>
  <c r="N83" i="4"/>
  <c r="Q43" i="8"/>
  <c r="D43" i="4" s="1"/>
  <c r="F43" i="4"/>
  <c r="Z20" i="8"/>
  <c r="X20" i="8"/>
  <c r="P20" i="4" s="1"/>
  <c r="AB20" i="4" s="1"/>
  <c r="AJ20" i="4" s="1"/>
  <c r="N20" i="4"/>
  <c r="Z20" i="4" s="1"/>
  <c r="X47" i="8"/>
  <c r="P47" i="4" s="1"/>
  <c r="Z91" i="8"/>
  <c r="N91" i="4"/>
  <c r="Z91" i="4" s="1"/>
  <c r="BM6" i="3"/>
  <c r="P22" i="1"/>
  <c r="X83" i="8"/>
  <c r="P83" i="4" s="1"/>
  <c r="AB98" i="4"/>
  <c r="AB42" i="4"/>
  <c r="BI17" i="4"/>
  <c r="BI18" i="4"/>
  <c r="AJ3" i="4"/>
  <c r="BI11" i="3"/>
  <c r="AH27" i="3"/>
  <c r="AB74" i="4"/>
  <c r="BM7" i="3"/>
  <c r="AB14" i="3"/>
  <c r="AB85" i="4"/>
  <c r="AB76" i="4"/>
  <c r="Z62" i="4"/>
  <c r="Z28" i="4"/>
  <c r="AB26" i="4"/>
  <c r="AB63" i="3"/>
  <c r="BF38" i="3"/>
  <c r="BN7" i="3"/>
  <c r="BP7" i="3" s="1"/>
  <c r="BE46" i="3"/>
  <c r="BE44" i="3"/>
  <c r="AG35" i="2"/>
  <c r="AS7" i="4"/>
  <c r="AU26" i="2"/>
  <c r="AG37" i="2"/>
  <c r="AH31" i="4"/>
  <c r="K28" i="1"/>
  <c r="L28" i="1" s="1"/>
  <c r="M21" i="1"/>
  <c r="L19" i="1"/>
  <c r="AN7" i="4"/>
  <c r="AB22" i="2"/>
  <c r="H31" i="1"/>
  <c r="J12" i="13"/>
  <c r="T17" i="4" s="1"/>
  <c r="R17" i="4"/>
  <c r="Z17" i="4" s="1"/>
  <c r="J46" i="13"/>
  <c r="T51" i="4" s="1"/>
  <c r="R51" i="4"/>
  <c r="Z51" i="4" s="1"/>
  <c r="X83" i="10"/>
  <c r="P83" i="2" s="1"/>
  <c r="AB83" i="2" s="1"/>
  <c r="Z61" i="10"/>
  <c r="N61" i="2"/>
  <c r="Z61" i="2" s="1"/>
  <c r="Q45" i="10"/>
  <c r="D45" i="2" s="1"/>
  <c r="F45" i="2"/>
  <c r="Z113" i="9"/>
  <c r="X113" i="9"/>
  <c r="P113" i="3" s="1"/>
  <c r="AB113" i="3" s="1"/>
  <c r="N113" i="3"/>
  <c r="Z113" i="3" s="1"/>
  <c r="Q23" i="10"/>
  <c r="D23" i="2" s="1"/>
  <c r="BM6" i="2" s="1"/>
  <c r="F23" i="2"/>
  <c r="Z116" i="9"/>
  <c r="N116" i="3"/>
  <c r="Z116" i="3" s="1"/>
  <c r="Z104" i="9"/>
  <c r="N104" i="3"/>
  <c r="Z104" i="3" s="1"/>
  <c r="Z78" i="9"/>
  <c r="N78" i="3"/>
  <c r="X116" i="9"/>
  <c r="P116" i="3" s="1"/>
  <c r="AB116" i="3" s="1"/>
  <c r="Z85" i="9"/>
  <c r="N85" i="3"/>
  <c r="Z85" i="3" s="1"/>
  <c r="Z63" i="9"/>
  <c r="N63" i="3"/>
  <c r="Z63" i="3" s="1"/>
  <c r="Z26" i="9"/>
  <c r="N26" i="3"/>
  <c r="Z26" i="3" s="1"/>
  <c r="Z110" i="8"/>
  <c r="N110" i="4"/>
  <c r="Z59" i="9"/>
  <c r="N59" i="3"/>
  <c r="Z59" i="3" s="1"/>
  <c r="L17" i="9"/>
  <c r="Z60" i="9"/>
  <c r="N60" i="3"/>
  <c r="Z60" i="3" s="1"/>
  <c r="Z109" i="8"/>
  <c r="X109" i="8"/>
  <c r="P109" i="4" s="1"/>
  <c r="AB109" i="4" s="1"/>
  <c r="N109" i="4"/>
  <c r="Z109" i="4" s="1"/>
  <c r="Z92" i="8"/>
  <c r="N92" i="4"/>
  <c r="Z48" i="9"/>
  <c r="N48" i="3"/>
  <c r="Z48" i="3" s="1"/>
  <c r="Z45" i="8"/>
  <c r="N45" i="4"/>
  <c r="BP4" i="4"/>
  <c r="Z99" i="8"/>
  <c r="N99" i="4"/>
  <c r="Z99" i="4" s="1"/>
  <c r="BP6" i="3"/>
  <c r="AB110" i="4"/>
  <c r="AB78" i="4"/>
  <c r="BE41" i="3"/>
  <c r="AT5" i="4"/>
  <c r="AT7" i="4"/>
  <c r="AJ36" i="2"/>
  <c r="BD35" i="2"/>
  <c r="H32" i="1"/>
  <c r="J107" i="13"/>
  <c r="T112" i="4" s="1"/>
  <c r="R112" i="4"/>
  <c r="Z112" i="4" s="1"/>
  <c r="R45" i="4"/>
  <c r="Z45" i="4" s="1"/>
  <c r="J40" i="13"/>
  <c r="T45" i="4" s="1"/>
  <c r="J89" i="12"/>
  <c r="T94" i="3" s="1"/>
  <c r="R94" i="3"/>
  <c r="Z94" i="3" s="1"/>
  <c r="J77" i="12"/>
  <c r="T82" i="3" s="1"/>
  <c r="R82" i="3"/>
  <c r="Z82" i="3" s="1"/>
  <c r="J43" i="13"/>
  <c r="T48" i="4" s="1"/>
  <c r="R48" i="4"/>
  <c r="J97" i="12"/>
  <c r="T102" i="3" s="1"/>
  <c r="R102" i="3"/>
  <c r="Z102" i="3" s="1"/>
  <c r="Z117" i="10"/>
  <c r="N117" i="2"/>
  <c r="Z117" i="2" s="1"/>
  <c r="W111" i="10"/>
  <c r="J111" i="2" s="1"/>
  <c r="I111" i="2"/>
  <c r="J92" i="13"/>
  <c r="T97" i="4" s="1"/>
  <c r="R97" i="4"/>
  <c r="Z97" i="4" s="1"/>
  <c r="J28" i="13"/>
  <c r="T33" i="4" s="1"/>
  <c r="R33" i="4"/>
  <c r="Z33" i="4" s="1"/>
  <c r="J91" i="13"/>
  <c r="T96" i="4" s="1"/>
  <c r="R96" i="4"/>
  <c r="R61" i="4"/>
  <c r="Z61" i="4" s="1"/>
  <c r="J56" i="13"/>
  <c r="T61" i="4" s="1"/>
  <c r="R29" i="4"/>
  <c r="J24" i="13"/>
  <c r="T29" i="4" s="1"/>
  <c r="J58" i="13"/>
  <c r="T63" i="4" s="1"/>
  <c r="R63" i="4"/>
  <c r="J26" i="13"/>
  <c r="T31" i="4" s="1"/>
  <c r="R31" i="4"/>
  <c r="Z31" i="4" s="1"/>
  <c r="J85" i="12"/>
  <c r="T90" i="3" s="1"/>
  <c r="R90" i="3"/>
  <c r="Z90" i="3" s="1"/>
  <c r="J105" i="12"/>
  <c r="T110" i="3" s="1"/>
  <c r="R110" i="3"/>
  <c r="Z110" i="3" s="1"/>
  <c r="J73" i="12"/>
  <c r="T78" i="3" s="1"/>
  <c r="R78" i="3"/>
  <c r="Z78" i="3" s="1"/>
  <c r="J59" i="13"/>
  <c r="T64" i="4" s="1"/>
  <c r="R64" i="4"/>
  <c r="Z64" i="4" s="1"/>
  <c r="J27" i="13"/>
  <c r="T32" i="4" s="1"/>
  <c r="R32" i="4"/>
  <c r="Z32" i="4" s="1"/>
  <c r="J101" i="12"/>
  <c r="T106" i="3" s="1"/>
  <c r="R106" i="3"/>
  <c r="Z106" i="3" s="1"/>
  <c r="J66" i="12"/>
  <c r="T71" i="3" s="1"/>
  <c r="R71" i="3"/>
  <c r="Z71" i="3" s="1"/>
  <c r="J69" i="11"/>
  <c r="T74" i="2" s="1"/>
  <c r="R74" i="2"/>
  <c r="Z74" i="2" s="1"/>
  <c r="J52" i="12"/>
  <c r="T57" i="3" s="1"/>
  <c r="R57" i="3"/>
  <c r="J102" i="11"/>
  <c r="T107" i="2" s="1"/>
  <c r="R107" i="2"/>
  <c r="X109" i="10"/>
  <c r="P109" i="2" s="1"/>
  <c r="AB109" i="2" s="1"/>
  <c r="X93" i="10"/>
  <c r="P93" i="2" s="1"/>
  <c r="AB93" i="2" s="1"/>
  <c r="J57" i="11"/>
  <c r="T62" i="2" s="1"/>
  <c r="R62" i="2"/>
  <c r="Z62" i="2" s="1"/>
  <c r="J26" i="11"/>
  <c r="T31" i="2" s="1"/>
  <c r="R31" i="2"/>
  <c r="Z31" i="2" s="1"/>
  <c r="Z112" i="10"/>
  <c r="X112" i="10"/>
  <c r="P112" i="2" s="1"/>
  <c r="AB112" i="2" s="1"/>
  <c r="N112" i="2"/>
  <c r="Z112" i="2" s="1"/>
  <c r="W103" i="10"/>
  <c r="J103" i="2" s="1"/>
  <c r="I103" i="2"/>
  <c r="Z92" i="10"/>
  <c r="X92" i="10"/>
  <c r="P92" i="2" s="1"/>
  <c r="AB92" i="2" s="1"/>
  <c r="N92" i="2"/>
  <c r="Z92" i="2" s="1"/>
  <c r="W83" i="10"/>
  <c r="J83" i="2" s="1"/>
  <c r="I83" i="2"/>
  <c r="J38" i="11"/>
  <c r="T43" i="2" s="1"/>
  <c r="R43" i="2"/>
  <c r="Z43" i="2" s="1"/>
  <c r="L115" i="10"/>
  <c r="L103" i="10"/>
  <c r="Z96" i="10"/>
  <c r="N96" i="2"/>
  <c r="Z96" i="2" s="1"/>
  <c r="W87" i="10"/>
  <c r="J87" i="2" s="1"/>
  <c r="I87" i="2"/>
  <c r="Q79" i="10"/>
  <c r="D79" i="2" s="1"/>
  <c r="F79" i="2"/>
  <c r="J82" i="11"/>
  <c r="T87" i="2" s="1"/>
  <c r="R87" i="2"/>
  <c r="J34" i="11"/>
  <c r="T39" i="2" s="1"/>
  <c r="R39" i="2"/>
  <c r="Z39" i="2" s="1"/>
  <c r="Q107" i="10"/>
  <c r="D107" i="2" s="1"/>
  <c r="F107" i="2"/>
  <c r="Z87" i="10"/>
  <c r="N87" i="2"/>
  <c r="L73" i="10"/>
  <c r="Z66" i="10"/>
  <c r="X66" i="10"/>
  <c r="P66" i="2" s="1"/>
  <c r="N66" i="2"/>
  <c r="X54" i="10"/>
  <c r="P54" i="2" s="1"/>
  <c r="W45" i="10"/>
  <c r="J45" i="2" s="1"/>
  <c r="I45" i="2"/>
  <c r="W37" i="10"/>
  <c r="J37" i="2" s="1"/>
  <c r="BN9" i="2" s="1"/>
  <c r="I37" i="2"/>
  <c r="Z67" i="10"/>
  <c r="N67" i="2"/>
  <c r="Z67" i="2" s="1"/>
  <c r="Q57" i="10"/>
  <c r="D57" i="2" s="1"/>
  <c r="F57" i="2"/>
  <c r="J46" i="11"/>
  <c r="T51" i="2" s="1"/>
  <c r="R51" i="2"/>
  <c r="Z51" i="2" s="1"/>
  <c r="Z65" i="10"/>
  <c r="N65" i="2"/>
  <c r="Z65" i="2" s="1"/>
  <c r="Z33" i="10"/>
  <c r="N33" i="2"/>
  <c r="Z33" i="2" s="1"/>
  <c r="L23" i="10"/>
  <c r="Z14" i="10"/>
  <c r="N14" i="2"/>
  <c r="Z14" i="2" s="1"/>
  <c r="W116" i="9"/>
  <c r="J116" i="3" s="1"/>
  <c r="I116" i="3"/>
  <c r="Z100" i="9"/>
  <c r="N100" i="3"/>
  <c r="Z100" i="3" s="1"/>
  <c r="Z84" i="9"/>
  <c r="N84" i="3"/>
  <c r="Z84" i="3" s="1"/>
  <c r="X49" i="10"/>
  <c r="P49" i="2" s="1"/>
  <c r="AB49" i="2" s="1"/>
  <c r="Z30" i="10"/>
  <c r="X30" i="10"/>
  <c r="P30" i="2" s="1"/>
  <c r="N30" i="2"/>
  <c r="Z30" i="2" s="1"/>
  <c r="Q25" i="10"/>
  <c r="D25" i="2" s="1"/>
  <c r="F25" i="2"/>
  <c r="W17" i="10"/>
  <c r="J17" i="2" s="1"/>
  <c r="BN4" i="2" s="1"/>
  <c r="I17" i="2"/>
  <c r="X4" i="10"/>
  <c r="L108" i="9"/>
  <c r="Q100" i="9"/>
  <c r="D100" i="3" s="1"/>
  <c r="F100" i="3"/>
  <c r="Z88" i="9"/>
  <c r="N88" i="3"/>
  <c r="Z88" i="3" s="1"/>
  <c r="Z81" i="9"/>
  <c r="X81" i="9"/>
  <c r="P81" i="3" s="1"/>
  <c r="AB81" i="3" s="1"/>
  <c r="N81" i="3"/>
  <c r="Z81" i="3" s="1"/>
  <c r="Z17" i="10"/>
  <c r="X17" i="10"/>
  <c r="P17" i="2" s="1"/>
  <c r="AB17" i="2" s="1"/>
  <c r="AJ17" i="2" s="1"/>
  <c r="N17" i="2"/>
  <c r="Z17" i="2" s="1"/>
  <c r="Z101" i="9"/>
  <c r="N101" i="3"/>
  <c r="Z101" i="3" s="1"/>
  <c r="Q88" i="9"/>
  <c r="D88" i="3" s="1"/>
  <c r="F88" i="3"/>
  <c r="X87" i="10"/>
  <c r="P87" i="2" s="1"/>
  <c r="Q65" i="9"/>
  <c r="D65" i="3" s="1"/>
  <c r="F65" i="3"/>
  <c r="X59" i="9"/>
  <c r="P59" i="3" s="1"/>
  <c r="AB59" i="3" s="1"/>
  <c r="W45" i="9"/>
  <c r="J45" i="3" s="1"/>
  <c r="I45" i="3"/>
  <c r="Z30" i="9"/>
  <c r="N30" i="3"/>
  <c r="Z30" i="3" s="1"/>
  <c r="W19" i="9"/>
  <c r="J19" i="3" s="1"/>
  <c r="BN5" i="3" s="1"/>
  <c r="BP5" i="3" s="1"/>
  <c r="I19" i="3"/>
  <c r="W104" i="8"/>
  <c r="J104" i="4" s="1"/>
  <c r="I104" i="4"/>
  <c r="L65" i="9"/>
  <c r="X60" i="9"/>
  <c r="P60" i="3" s="1"/>
  <c r="AB60" i="3" s="1"/>
  <c r="AB54" i="3"/>
  <c r="AB46" i="3"/>
  <c r="W116" i="8"/>
  <c r="J116" i="4" s="1"/>
  <c r="I116" i="4"/>
  <c r="X107" i="8"/>
  <c r="P107" i="4" s="1"/>
  <c r="AB107" i="4" s="1"/>
  <c r="Z102" i="8"/>
  <c r="N102" i="4"/>
  <c r="X112" i="9"/>
  <c r="P112" i="3" s="1"/>
  <c r="AB112" i="3" s="1"/>
  <c r="Z70" i="9"/>
  <c r="N70" i="3"/>
  <c r="Z70" i="3" s="1"/>
  <c r="Z62" i="9"/>
  <c r="N62" i="3"/>
  <c r="Z62" i="3" s="1"/>
  <c r="X49" i="9"/>
  <c r="P49" i="3" s="1"/>
  <c r="AB49" i="3" s="1"/>
  <c r="L45" i="9"/>
  <c r="AB114" i="4"/>
  <c r="L104" i="8"/>
  <c r="X99" i="8"/>
  <c r="P99" i="4" s="1"/>
  <c r="AB99" i="4" s="1"/>
  <c r="X92" i="8"/>
  <c r="P92" i="4" s="1"/>
  <c r="X81" i="8"/>
  <c r="P81" i="4" s="1"/>
  <c r="Z52" i="9"/>
  <c r="N52" i="3"/>
  <c r="Z52" i="3" s="1"/>
  <c r="Z75" i="8"/>
  <c r="N75" i="4"/>
  <c r="W63" i="8"/>
  <c r="J63" i="4" s="1"/>
  <c r="I63" i="4"/>
  <c r="Z48" i="8"/>
  <c r="N48" i="4"/>
  <c r="X48" i="8"/>
  <c r="P48" i="4" s="1"/>
  <c r="W24" i="8"/>
  <c r="J24" i="4" s="1"/>
  <c r="I24" i="4"/>
  <c r="W18" i="8"/>
  <c r="J18" i="4" s="1"/>
  <c r="I18" i="4"/>
  <c r="X8" i="8"/>
  <c r="Z8" i="8"/>
  <c r="X26" i="9"/>
  <c r="P26" i="3" s="1"/>
  <c r="Z88" i="8"/>
  <c r="X88" i="8"/>
  <c r="P88" i="4" s="1"/>
  <c r="AB88" i="4" s="1"/>
  <c r="N88" i="4"/>
  <c r="Z88" i="4" s="1"/>
  <c r="W83" i="8"/>
  <c r="J83" i="4" s="1"/>
  <c r="I83" i="4"/>
  <c r="Q75" i="8"/>
  <c r="D75" i="4" s="1"/>
  <c r="F75" i="4"/>
  <c r="Z63" i="8"/>
  <c r="N63" i="4"/>
  <c r="Z56" i="8"/>
  <c r="X56" i="8"/>
  <c r="P56" i="4" s="1"/>
  <c r="AB56" i="4" s="1"/>
  <c r="N56" i="4"/>
  <c r="Z56" i="4" s="1"/>
  <c r="W47" i="8"/>
  <c r="J47" i="4" s="1"/>
  <c r="I47" i="4"/>
  <c r="Q39" i="8"/>
  <c r="D39" i="4" s="1"/>
  <c r="F39" i="4"/>
  <c r="Z29" i="8"/>
  <c r="N29" i="4"/>
  <c r="W20" i="8"/>
  <c r="J20" i="4" s="1"/>
  <c r="I20" i="4"/>
  <c r="X5" i="8"/>
  <c r="Z5" i="8"/>
  <c r="X79" i="8"/>
  <c r="P79" i="4" s="1"/>
  <c r="Q63" i="8"/>
  <c r="D63" i="4" s="1"/>
  <c r="F63" i="4"/>
  <c r="Z27" i="8"/>
  <c r="N27" i="4"/>
  <c r="Z27" i="4" s="1"/>
  <c r="Q18" i="8"/>
  <c r="D18" i="4" s="1"/>
  <c r="BM5" i="4" s="1"/>
  <c r="F18" i="4"/>
  <c r="X9" i="8"/>
  <c r="Z9" i="8"/>
  <c r="X38" i="9"/>
  <c r="P38" i="3" s="1"/>
  <c r="X67" i="8"/>
  <c r="P67" i="4" s="1"/>
  <c r="BK6" i="4"/>
  <c r="AB70" i="3"/>
  <c r="AB50" i="4"/>
  <c r="BN6" i="4"/>
  <c r="BE29" i="3"/>
  <c r="BE30" i="3"/>
  <c r="BI9" i="3"/>
  <c r="AB38" i="4"/>
  <c r="AB50" i="3"/>
  <c r="BB35" i="3"/>
  <c r="BD35" i="3" s="1"/>
  <c r="BE35" i="3" s="1"/>
  <c r="BG33" i="3"/>
  <c r="BG37" i="3"/>
  <c r="BB34" i="3"/>
  <c r="BD34" i="3" s="1"/>
  <c r="BE34" i="3" s="1"/>
  <c r="BB36" i="3"/>
  <c r="BD36" i="3" s="1"/>
  <c r="BE36" i="3" s="1"/>
  <c r="BD33" i="3"/>
  <c r="BE33" i="3" s="1"/>
  <c r="AB22" i="3"/>
  <c r="BK4" i="3"/>
  <c r="Z110" i="4"/>
  <c r="Z102" i="4"/>
  <c r="Z78" i="4"/>
  <c r="AB62" i="4"/>
  <c r="AB46" i="4"/>
  <c r="AB37" i="4"/>
  <c r="BI21" i="4"/>
  <c r="AB28" i="4"/>
  <c r="AJ28" i="4" s="1"/>
  <c r="J86" i="11"/>
  <c r="T91" i="2" s="1"/>
  <c r="R91" i="2"/>
  <c r="Z91" i="2" s="1"/>
  <c r="BE48" i="3"/>
  <c r="BE39" i="3"/>
  <c r="D5" i="5"/>
  <c r="BO3" i="3"/>
  <c r="E5" i="5" s="1"/>
  <c r="AB86" i="2"/>
  <c r="AG34" i="2"/>
  <c r="C124" i="7"/>
  <c r="C152" i="7" s="1"/>
  <c r="AH28" i="4"/>
  <c r="K25" i="1"/>
  <c r="L25" i="1" s="1"/>
  <c r="D119" i="7"/>
  <c r="D147" i="7" s="1"/>
  <c r="AT6" i="3"/>
  <c r="AT5" i="3"/>
  <c r="BC33" i="4"/>
  <c r="BD33" i="4" s="1"/>
  <c r="BE33" i="4" s="1"/>
  <c r="BC50" i="2"/>
  <c r="BC48" i="2"/>
  <c r="BC39" i="2"/>
  <c r="BC35" i="2"/>
  <c r="BC35" i="4" s="1"/>
  <c r="BD35" i="4" s="1"/>
  <c r="BC51" i="2"/>
  <c r="BC49" i="2"/>
  <c r="BC42" i="2"/>
  <c r="BC40" i="2"/>
  <c r="BC36" i="2"/>
  <c r="BC36" i="4" s="1"/>
  <c r="BD36" i="4" s="1"/>
  <c r="BE36" i="4" s="1"/>
  <c r="BC52" i="2"/>
  <c r="BC46" i="2"/>
  <c r="BC43" i="2"/>
  <c r="BC41" i="2"/>
  <c r="BC53" i="2"/>
  <c r="BC47" i="2"/>
  <c r="BC45" i="2"/>
  <c r="BC44" i="2"/>
  <c r="BC38" i="2"/>
  <c r="BC37" i="2"/>
  <c r="BC34" i="2"/>
  <c r="BC34" i="4" s="1"/>
  <c r="BD34" i="4" s="1"/>
  <c r="BE34" i="4" s="1"/>
  <c r="E147" i="7"/>
  <c r="H33" i="1"/>
  <c r="AN8" i="2"/>
  <c r="AH32" i="4"/>
  <c r="K29" i="1"/>
  <c r="L29" i="1" s="1"/>
  <c r="AB34" i="2"/>
  <c r="BE35" i="4" l="1"/>
  <c r="BC41" i="4"/>
  <c r="BD41" i="4" s="1"/>
  <c r="BD41" i="2"/>
  <c r="BE41" i="2" s="1"/>
  <c r="Z75" i="4"/>
  <c r="Z65" i="9"/>
  <c r="N65" i="3"/>
  <c r="Z65" i="3" s="1"/>
  <c r="X65" i="9"/>
  <c r="P65" i="3" s="1"/>
  <c r="Z96" i="4"/>
  <c r="AB82" i="3"/>
  <c r="Z19" i="9"/>
  <c r="X19" i="9"/>
  <c r="P19" i="3" s="1"/>
  <c r="N19" i="3"/>
  <c r="Z19" i="3" s="1"/>
  <c r="Z69" i="10"/>
  <c r="N69" i="2"/>
  <c r="Z69" i="2" s="1"/>
  <c r="X69" i="10"/>
  <c r="P69" i="2" s="1"/>
  <c r="AB69" i="2" s="1"/>
  <c r="AB38" i="2"/>
  <c r="AB58" i="2"/>
  <c r="AB82" i="2"/>
  <c r="AB67" i="4"/>
  <c r="AB49" i="4"/>
  <c r="AB47" i="2"/>
  <c r="AB80" i="4"/>
  <c r="AB79" i="4"/>
  <c r="AB65" i="4"/>
  <c r="AI33" i="4"/>
  <c r="AH33" i="4"/>
  <c r="K30" i="1"/>
  <c r="L30" i="1" s="1"/>
  <c r="AN8" i="4"/>
  <c r="BM8" i="4"/>
  <c r="BI28" i="2"/>
  <c r="AB35" i="2"/>
  <c r="AJ35" i="2" s="1"/>
  <c r="BK9" i="2"/>
  <c r="E125" i="7" s="1"/>
  <c r="AB66" i="2"/>
  <c r="AB81" i="4"/>
  <c r="AS8" i="4"/>
  <c r="M29" i="1"/>
  <c r="L27" i="1"/>
  <c r="L11" i="1"/>
  <c r="M13" i="1"/>
  <c r="R25" i="1"/>
  <c r="Q23" i="1"/>
  <c r="BK5" i="2"/>
  <c r="E121" i="7" s="1"/>
  <c r="AB19" i="2"/>
  <c r="BI12" i="2"/>
  <c r="AB50" i="2"/>
  <c r="BE37" i="3"/>
  <c r="BL4" i="2"/>
  <c r="AB88" i="3"/>
  <c r="AB45" i="2"/>
  <c r="BC44" i="4"/>
  <c r="BD44" i="4" s="1"/>
  <c r="BE44" i="4" s="1"/>
  <c r="BD44" i="2"/>
  <c r="BC51" i="4"/>
  <c r="BD51" i="4" s="1"/>
  <c r="BD51" i="2"/>
  <c r="BN5" i="4"/>
  <c r="BP5" i="4" s="1"/>
  <c r="BP6" i="2"/>
  <c r="BC45" i="4"/>
  <c r="BD45" i="4" s="1"/>
  <c r="BD45" i="2"/>
  <c r="BE45" i="2" s="1"/>
  <c r="Z108" i="9"/>
  <c r="N108" i="3"/>
  <c r="Z108" i="3" s="1"/>
  <c r="X108" i="9"/>
  <c r="P108" i="3" s="1"/>
  <c r="AB39" i="2"/>
  <c r="AB43" i="2"/>
  <c r="AB31" i="2"/>
  <c r="AJ31" i="2" s="1"/>
  <c r="BI24" i="2"/>
  <c r="BK8" i="2"/>
  <c r="E124" i="7" s="1"/>
  <c r="AB57" i="3"/>
  <c r="AB74" i="2"/>
  <c r="AB106" i="3"/>
  <c r="AB64" i="4"/>
  <c r="AB110" i="3"/>
  <c r="AB31" i="4"/>
  <c r="AJ31" i="4" s="1"/>
  <c r="BI24" i="4"/>
  <c r="Z29" i="4"/>
  <c r="AB96" i="4"/>
  <c r="AB97" i="4"/>
  <c r="Z48" i="4"/>
  <c r="Z17" i="9"/>
  <c r="X17" i="9"/>
  <c r="P17" i="3" s="1"/>
  <c r="N17" i="3"/>
  <c r="Z17" i="3" s="1"/>
  <c r="BI10" i="4"/>
  <c r="AB17" i="4"/>
  <c r="AJ17" i="4" s="1"/>
  <c r="AG35" i="3"/>
  <c r="AG148" i="2"/>
  <c r="AG35" i="4"/>
  <c r="AH35" i="2"/>
  <c r="E32" i="1"/>
  <c r="F32" i="1" s="1"/>
  <c r="BF39" i="3"/>
  <c r="AJ26" i="4"/>
  <c r="R21" i="1"/>
  <c r="Q22" i="1"/>
  <c r="Z57" i="9"/>
  <c r="N57" i="3"/>
  <c r="X57" i="9"/>
  <c r="P57" i="3" s="1"/>
  <c r="AB25" i="2"/>
  <c r="AJ25" i="2" s="1"/>
  <c r="Z37" i="10"/>
  <c r="N37" i="2"/>
  <c r="Z37" i="2" s="1"/>
  <c r="X37" i="10"/>
  <c r="P37" i="2" s="1"/>
  <c r="Z98" i="3"/>
  <c r="Z61" i="3"/>
  <c r="AB77" i="4"/>
  <c r="AG36" i="4"/>
  <c r="AG36" i="3"/>
  <c r="AG149" i="2"/>
  <c r="AH36" i="2"/>
  <c r="BI29" i="2"/>
  <c r="E33" i="1"/>
  <c r="F33" i="1" s="1"/>
  <c r="AJ36" i="4"/>
  <c r="Z79" i="2"/>
  <c r="Z83" i="4"/>
  <c r="AJ14" i="2"/>
  <c r="M25" i="1"/>
  <c r="L23" i="1"/>
  <c r="AO8" i="4"/>
  <c r="AJ30" i="4"/>
  <c r="AU26" i="3"/>
  <c r="BM6" i="4"/>
  <c r="AB59" i="4"/>
  <c r="AB78" i="2"/>
  <c r="BK7" i="2"/>
  <c r="E123" i="7" s="1"/>
  <c r="AB27" i="2"/>
  <c r="AJ27" i="2" s="1"/>
  <c r="BI20" i="2"/>
  <c r="AB59" i="2"/>
  <c r="AB47" i="4"/>
  <c r="Z18" i="4"/>
  <c r="BP7" i="4"/>
  <c r="Z21" i="2"/>
  <c r="Z16" i="2"/>
  <c r="Z45" i="2"/>
  <c r="BC50" i="4"/>
  <c r="BD50" i="4" s="1"/>
  <c r="BE50" i="4" s="1"/>
  <c r="BD50" i="2"/>
  <c r="BE50" i="2" s="1"/>
  <c r="BL8" i="2"/>
  <c r="AB30" i="2"/>
  <c r="AB102" i="3"/>
  <c r="AJ34" i="2"/>
  <c r="BC43" i="4"/>
  <c r="BD43" i="4" s="1"/>
  <c r="BD43" i="2"/>
  <c r="AB91" i="2"/>
  <c r="BD36" i="2"/>
  <c r="BE36" i="2" s="1"/>
  <c r="BC37" i="4"/>
  <c r="BD37" i="4" s="1"/>
  <c r="BE37" i="4" s="1"/>
  <c r="BD37" i="2"/>
  <c r="BE37" i="2" s="1"/>
  <c r="BC47" i="4"/>
  <c r="BD47" i="4" s="1"/>
  <c r="BD47" i="2"/>
  <c r="BC46" i="4"/>
  <c r="BD46" i="4" s="1"/>
  <c r="BE46" i="4" s="1"/>
  <c r="BD46" i="2"/>
  <c r="BE46" i="2" s="1"/>
  <c r="BC42" i="4"/>
  <c r="BD42" i="4" s="1"/>
  <c r="BE42" i="4" s="1"/>
  <c r="BD42" i="2"/>
  <c r="BE42" i="2" s="1"/>
  <c r="BC39" i="4"/>
  <c r="BD39" i="4" s="1"/>
  <c r="BD39" i="2"/>
  <c r="C125" i="7"/>
  <c r="C153" i="7" s="1"/>
  <c r="AG34" i="4"/>
  <c r="AG147" i="2"/>
  <c r="AG34" i="3"/>
  <c r="BI27" i="2"/>
  <c r="AN9" i="2"/>
  <c r="AF35" i="2"/>
  <c r="AH34" i="2"/>
  <c r="AU34" i="2" s="1"/>
  <c r="AO9" i="2"/>
  <c r="E31" i="1"/>
  <c r="AJ22" i="3"/>
  <c r="AL6" i="3"/>
  <c r="BP6" i="4"/>
  <c r="AB38" i="3"/>
  <c r="Z45" i="9"/>
  <c r="N45" i="3"/>
  <c r="Z45" i="3" s="1"/>
  <c r="X45" i="9"/>
  <c r="P45" i="3" s="1"/>
  <c r="Z87" i="2"/>
  <c r="Z103" i="10"/>
  <c r="N103" i="2"/>
  <c r="Z103" i="2" s="1"/>
  <c r="X103" i="10"/>
  <c r="P103" i="2" s="1"/>
  <c r="Z107" i="2"/>
  <c r="Z63" i="4"/>
  <c r="AB61" i="4"/>
  <c r="AB48" i="4"/>
  <c r="AB94" i="3"/>
  <c r="AB112" i="4"/>
  <c r="AG37" i="4"/>
  <c r="AG37" i="3"/>
  <c r="AG150" i="2"/>
  <c r="AJ150" i="2" s="1"/>
  <c r="AI37" i="2"/>
  <c r="AH37" i="2"/>
  <c r="BI30" i="2"/>
  <c r="E34" i="1"/>
  <c r="F34" i="1" s="1"/>
  <c r="AJ14" i="3"/>
  <c r="Z22" i="8"/>
  <c r="N22" i="4"/>
  <c r="Z22" i="4" s="1"/>
  <c r="X22" i="8"/>
  <c r="P22" i="4" s="1"/>
  <c r="AB39" i="4"/>
  <c r="Z61" i="9"/>
  <c r="N61" i="3"/>
  <c r="X61" i="9"/>
  <c r="P61" i="3" s="1"/>
  <c r="AB61" i="3" s="1"/>
  <c r="AB106" i="4"/>
  <c r="BM9" i="2"/>
  <c r="AB98" i="3"/>
  <c r="AB35" i="4"/>
  <c r="BI28" i="4"/>
  <c r="BK9" i="4"/>
  <c r="AB105" i="4"/>
  <c r="AB21" i="3"/>
  <c r="AJ21" i="3" s="1"/>
  <c r="BI14" i="3"/>
  <c r="BK5" i="3"/>
  <c r="AB86" i="3"/>
  <c r="BP3" i="4"/>
  <c r="M17" i="1"/>
  <c r="L15" i="1"/>
  <c r="F30" i="1"/>
  <c r="G29" i="1"/>
  <c r="Z14" i="4"/>
  <c r="D120" i="7"/>
  <c r="AB66" i="3"/>
  <c r="AB83" i="4"/>
  <c r="AJ26" i="2"/>
  <c r="AL7" i="2"/>
  <c r="AU26" i="4"/>
  <c r="BN8" i="4"/>
  <c r="BP8" i="4" s="1"/>
  <c r="BK8" i="4"/>
  <c r="AB43" i="4"/>
  <c r="Z73" i="9"/>
  <c r="N73" i="3"/>
  <c r="Z73" i="3" s="1"/>
  <c r="X73" i="9"/>
  <c r="P73" i="3" s="1"/>
  <c r="Z70" i="2"/>
  <c r="Z113" i="4"/>
  <c r="AT8" i="3"/>
  <c r="BL5" i="4"/>
  <c r="AB18" i="4"/>
  <c r="Z43" i="4"/>
  <c r="Z59" i="4"/>
  <c r="AB21" i="2"/>
  <c r="AJ21" i="2" s="1"/>
  <c r="BI12" i="4"/>
  <c r="BK5" i="4"/>
  <c r="AB19" i="4"/>
  <c r="AJ19" i="4" s="1"/>
  <c r="BP4" i="3"/>
  <c r="AB33" i="2"/>
  <c r="AJ33" i="2" s="1"/>
  <c r="AB61" i="2"/>
  <c r="Z24" i="4"/>
  <c r="AB16" i="2"/>
  <c r="AJ16" i="2" s="1"/>
  <c r="Z57" i="3"/>
  <c r="AB29" i="4"/>
  <c r="AJ29" i="4" s="1"/>
  <c r="BI22" i="4"/>
  <c r="BK7" i="4"/>
  <c r="AJ22" i="2"/>
  <c r="BC40" i="4"/>
  <c r="BD40" i="4" s="1"/>
  <c r="BE40" i="4" s="1"/>
  <c r="BD40" i="2"/>
  <c r="G119" i="7"/>
  <c r="G147" i="7" s="1"/>
  <c r="BC38" i="4"/>
  <c r="BD38" i="4" s="1"/>
  <c r="BE38" i="4" s="1"/>
  <c r="BF38" i="4" s="1"/>
  <c r="BD38" i="2"/>
  <c r="BE38" i="2" s="1"/>
  <c r="BF38" i="2" s="1"/>
  <c r="BC53" i="4"/>
  <c r="BD53" i="4" s="1"/>
  <c r="BD53" i="2"/>
  <c r="BC52" i="4"/>
  <c r="BD52" i="4" s="1"/>
  <c r="BE52" i="4" s="1"/>
  <c r="BD52" i="2"/>
  <c r="BE52" i="2" s="1"/>
  <c r="BC49" i="4"/>
  <c r="BD49" i="4" s="1"/>
  <c r="BD49" i="2"/>
  <c r="BC48" i="4"/>
  <c r="BD48" i="4" s="1"/>
  <c r="BE48" i="4" s="1"/>
  <c r="BD48" i="2"/>
  <c r="BE48" i="2" s="1"/>
  <c r="BL7" i="3"/>
  <c r="AB26" i="3"/>
  <c r="Z104" i="8"/>
  <c r="N104" i="4"/>
  <c r="Z104" i="4" s="1"/>
  <c r="X104" i="8"/>
  <c r="P104" i="4" s="1"/>
  <c r="Z23" i="10"/>
  <c r="X23" i="10"/>
  <c r="P23" i="2" s="1"/>
  <c r="BL6" i="2" s="1"/>
  <c r="D122" i="7" s="1"/>
  <c r="D150" i="7" s="1"/>
  <c r="N23" i="2"/>
  <c r="Z23" i="2" s="1"/>
  <c r="AB51" i="2"/>
  <c r="AB54" i="2"/>
  <c r="Z73" i="10"/>
  <c r="N73" i="2"/>
  <c r="Z73" i="2" s="1"/>
  <c r="X73" i="10"/>
  <c r="P73" i="2" s="1"/>
  <c r="AB87" i="2"/>
  <c r="Z115" i="10"/>
  <c r="N115" i="2"/>
  <c r="Z115" i="2" s="1"/>
  <c r="X115" i="10"/>
  <c r="P115" i="2" s="1"/>
  <c r="AB62" i="2"/>
  <c r="AB107" i="2"/>
  <c r="AB71" i="3"/>
  <c r="BI25" i="4"/>
  <c r="AB32" i="4"/>
  <c r="AJ32" i="4" s="1"/>
  <c r="AB78" i="3"/>
  <c r="AB90" i="3"/>
  <c r="AB63" i="4"/>
  <c r="BI26" i="4"/>
  <c r="AB33" i="4"/>
  <c r="AJ33" i="4" s="1"/>
  <c r="AB45" i="4"/>
  <c r="AB51" i="4"/>
  <c r="BD34" i="2"/>
  <c r="BE34" i="2" s="1"/>
  <c r="AB92" i="4"/>
  <c r="Z39" i="4"/>
  <c r="Z100" i="8"/>
  <c r="N100" i="4"/>
  <c r="Z100" i="4" s="1"/>
  <c r="X100" i="8"/>
  <c r="P100" i="4" s="1"/>
  <c r="AB100" i="4" s="1"/>
  <c r="Z108" i="8"/>
  <c r="N108" i="4"/>
  <c r="Z108" i="4" s="1"/>
  <c r="X108" i="8"/>
  <c r="P108" i="4" s="1"/>
  <c r="AB108" i="4" s="1"/>
  <c r="D124" i="7"/>
  <c r="D152" i="7" s="1"/>
  <c r="AB57" i="2"/>
  <c r="Z49" i="4"/>
  <c r="AB99" i="2"/>
  <c r="Z47" i="2"/>
  <c r="Z79" i="4"/>
  <c r="Z65" i="4"/>
  <c r="BO3" i="4"/>
  <c r="G5" i="5" s="1"/>
  <c r="F5" i="5"/>
  <c r="AH33" i="3"/>
  <c r="AU30" i="3" s="1"/>
  <c r="BI26" i="3"/>
  <c r="AI33" i="3"/>
  <c r="P30" i="1"/>
  <c r="Q30" i="1" s="1"/>
  <c r="AO8" i="3"/>
  <c r="AN8" i="3"/>
  <c r="BK8" i="3"/>
  <c r="BM8" i="3"/>
  <c r="BN8" i="3"/>
  <c r="Z49" i="3"/>
  <c r="Z69" i="9"/>
  <c r="N69" i="3"/>
  <c r="Z69" i="3" s="1"/>
  <c r="X69" i="9"/>
  <c r="P69" i="3" s="1"/>
  <c r="AB42" i="2"/>
  <c r="Z83" i="2"/>
  <c r="Z99" i="2"/>
  <c r="Z66" i="2"/>
  <c r="Q29" i="1"/>
  <c r="AP8" i="4"/>
  <c r="AU30" i="4"/>
  <c r="AJ34" i="4"/>
  <c r="AL9" i="4"/>
  <c r="Z96" i="8"/>
  <c r="N96" i="4"/>
  <c r="X96" i="8"/>
  <c r="P96" i="4" s="1"/>
  <c r="Z41" i="10"/>
  <c r="N41" i="2"/>
  <c r="Z41" i="2" s="1"/>
  <c r="X41" i="10"/>
  <c r="P41" i="2" s="1"/>
  <c r="AB41" i="2" s="1"/>
  <c r="BI16" i="2"/>
  <c r="BK6" i="2"/>
  <c r="E122" i="7" s="1"/>
  <c r="AB70" i="2"/>
  <c r="AB115" i="2"/>
  <c r="AB16" i="4"/>
  <c r="AJ16" i="4" s="1"/>
  <c r="BK4" i="4"/>
  <c r="BI9" i="4"/>
  <c r="AB113" i="4"/>
  <c r="AT8" i="4"/>
  <c r="AB75" i="4"/>
  <c r="AB100" i="3"/>
  <c r="AB14" i="4"/>
  <c r="AJ30" i="3"/>
  <c r="AL8" i="3"/>
  <c r="AB24" i="4"/>
  <c r="AJ24" i="4" s="1"/>
  <c r="AB53" i="3"/>
  <c r="AG38" i="2" l="1"/>
  <c r="C28" i="7"/>
  <c r="C28" i="6"/>
  <c r="B9" i="5"/>
  <c r="BO7" i="2"/>
  <c r="AH37" i="3"/>
  <c r="BI30" i="3"/>
  <c r="AI37" i="3"/>
  <c r="P34" i="1"/>
  <c r="Q34" i="1" s="1"/>
  <c r="AJ37" i="3"/>
  <c r="AB45" i="3"/>
  <c r="AH34" i="3"/>
  <c r="AO9" i="3"/>
  <c r="P31" i="1"/>
  <c r="AN9" i="3"/>
  <c r="BN9" i="3"/>
  <c r="BP9" i="3" s="1"/>
  <c r="BM9" i="3"/>
  <c r="BK9" i="3"/>
  <c r="BI27" i="3"/>
  <c r="BL9" i="3"/>
  <c r="BE39" i="2"/>
  <c r="BF39" i="2" s="1"/>
  <c r="AH36" i="3"/>
  <c r="BI29" i="3"/>
  <c r="P33" i="1"/>
  <c r="Q33" i="1" s="1"/>
  <c r="AJ36" i="3"/>
  <c r="AB108" i="3"/>
  <c r="AJ19" i="2"/>
  <c r="AL5" i="2"/>
  <c r="AB19" i="3"/>
  <c r="BL5" i="3"/>
  <c r="AJ14" i="4"/>
  <c r="AL4" i="4"/>
  <c r="F11" i="5"/>
  <c r="G30" i="7"/>
  <c r="G30" i="6"/>
  <c r="AL7" i="3"/>
  <c r="AJ26" i="3"/>
  <c r="AG38" i="4"/>
  <c r="AL5" i="4"/>
  <c r="AJ18" i="4"/>
  <c r="D148" i="7"/>
  <c r="G120" i="7"/>
  <c r="G148" i="7" s="1"/>
  <c r="AI37" i="4"/>
  <c r="AH37" i="4"/>
  <c r="K34" i="1"/>
  <c r="L34" i="1" s="1"/>
  <c r="BI30" i="4"/>
  <c r="AB103" i="2"/>
  <c r="AJ37" i="4"/>
  <c r="BE39" i="4"/>
  <c r="BF39" i="4" s="1"/>
  <c r="AH36" i="4"/>
  <c r="BI29" i="4"/>
  <c r="K33" i="1"/>
  <c r="L33" i="1" s="1"/>
  <c r="AG38" i="3"/>
  <c r="AH35" i="4"/>
  <c r="K32" i="1"/>
  <c r="L32" i="1" s="1"/>
  <c r="BE51" i="2"/>
  <c r="E149" i="7"/>
  <c r="G121" i="7"/>
  <c r="G149" i="7" s="1"/>
  <c r="AJ38" i="2"/>
  <c r="AB23" i="2"/>
  <c r="R29" i="1"/>
  <c r="BE49" i="2"/>
  <c r="BE53" i="2"/>
  <c r="AL9" i="3"/>
  <c r="AJ35" i="4"/>
  <c r="AJ38" i="3"/>
  <c r="F31" i="1"/>
  <c r="G33" i="1"/>
  <c r="AH34" i="4"/>
  <c r="AU34" i="4" s="1"/>
  <c r="BI27" i="4"/>
  <c r="AO9" i="4"/>
  <c r="AN9" i="4"/>
  <c r="K31" i="1"/>
  <c r="BM9" i="4"/>
  <c r="BN9" i="4"/>
  <c r="BE47" i="2"/>
  <c r="BE43" i="2"/>
  <c r="AL8" i="2"/>
  <c r="AJ30" i="2"/>
  <c r="AL8" i="4"/>
  <c r="AL4" i="2"/>
  <c r="AB37" i="2"/>
  <c r="AJ37" i="2" s="1"/>
  <c r="BL9" i="2"/>
  <c r="D125" i="7" s="1"/>
  <c r="AG39" i="3"/>
  <c r="BF40" i="3"/>
  <c r="BE51" i="4"/>
  <c r="AB65" i="3"/>
  <c r="E29" i="7"/>
  <c r="E29" i="6"/>
  <c r="D10" i="5"/>
  <c r="BO8" i="3"/>
  <c r="G122" i="7"/>
  <c r="G150" i="7" s="1"/>
  <c r="E150" i="7"/>
  <c r="AB69" i="3"/>
  <c r="BP8" i="3"/>
  <c r="AB73" i="2"/>
  <c r="BE49" i="4"/>
  <c r="BE53" i="4"/>
  <c r="BE40" i="2"/>
  <c r="AJ34" i="3"/>
  <c r="AB73" i="3"/>
  <c r="AB104" i="4"/>
  <c r="BL6" i="4"/>
  <c r="AB22" i="4"/>
  <c r="E27" i="6"/>
  <c r="BO6" i="3"/>
  <c r="D8" i="5"/>
  <c r="AP9" i="2"/>
  <c r="AP9" i="3" s="1"/>
  <c r="AQ9" i="2"/>
  <c r="BE47" i="4"/>
  <c r="BE43" i="4"/>
  <c r="E151" i="7"/>
  <c r="G123" i="7"/>
  <c r="G151" i="7" s="1"/>
  <c r="BL9" i="4"/>
  <c r="AL7" i="4"/>
  <c r="BI28" i="3"/>
  <c r="AH35" i="3"/>
  <c r="P32" i="1"/>
  <c r="Q32" i="1" s="1"/>
  <c r="AJ35" i="3"/>
  <c r="AB17" i="3"/>
  <c r="BL4" i="3"/>
  <c r="G124" i="7"/>
  <c r="G152" i="7" s="1"/>
  <c r="E152" i="7"/>
  <c r="BE45" i="4"/>
  <c r="BE35" i="2"/>
  <c r="BE44" i="2"/>
  <c r="E153" i="7"/>
  <c r="BE41" i="4"/>
  <c r="D153" i="7" l="1"/>
  <c r="G125" i="7"/>
  <c r="G153" i="7" s="1"/>
  <c r="BF40" i="4"/>
  <c r="AG39" i="4"/>
  <c r="AG39" i="2"/>
  <c r="BF40" i="2"/>
  <c r="AS9" i="2"/>
  <c r="BP9" i="4"/>
  <c r="AQ9" i="4"/>
  <c r="AR9" i="4"/>
  <c r="AJ23" i="2"/>
  <c r="AL6" i="2"/>
  <c r="AR9" i="3"/>
  <c r="AQ9" i="3"/>
  <c r="BF41" i="3"/>
  <c r="AG40" i="3"/>
  <c r="C29" i="7"/>
  <c r="B10" i="5"/>
  <c r="C29" i="6"/>
  <c r="BO8" i="2"/>
  <c r="AH38" i="3"/>
  <c r="P35" i="1"/>
  <c r="BI31" i="3"/>
  <c r="AL9" i="2"/>
  <c r="F7" i="5"/>
  <c r="BO5" i="4"/>
  <c r="G7" i="5" s="1"/>
  <c r="D9" i="5"/>
  <c r="E28" i="6"/>
  <c r="BO7" i="3"/>
  <c r="C26" i="7"/>
  <c r="C26" i="6"/>
  <c r="B7" i="5"/>
  <c r="BO5" i="2"/>
  <c r="AU34" i="3"/>
  <c r="AJ17" i="3"/>
  <c r="AL4" i="3"/>
  <c r="F29" i="7"/>
  <c r="F29" i="6"/>
  <c r="E10" i="5"/>
  <c r="AH39" i="3"/>
  <c r="BI32" i="3"/>
  <c r="P36" i="1"/>
  <c r="Q36" i="1" s="1"/>
  <c r="AJ39" i="3"/>
  <c r="B6" i="5"/>
  <c r="C25" i="7"/>
  <c r="C25" i="6"/>
  <c r="BO4" i="2"/>
  <c r="C6" i="5" s="1"/>
  <c r="M33" i="1"/>
  <c r="L31" i="1"/>
  <c r="AH38" i="4"/>
  <c r="K35" i="1"/>
  <c r="BI31" i="4"/>
  <c r="AJ38" i="4"/>
  <c r="BO9" i="4"/>
  <c r="AJ19" i="3"/>
  <c r="AL5" i="3"/>
  <c r="D28" i="7"/>
  <c r="D28" i="6"/>
  <c r="C9" i="5"/>
  <c r="G28" i="6"/>
  <c r="F9" i="5"/>
  <c r="BO7" i="4"/>
  <c r="AR9" i="2"/>
  <c r="F27" i="6"/>
  <c r="E8" i="5"/>
  <c r="AJ22" i="4"/>
  <c r="AL6" i="4"/>
  <c r="G29" i="6"/>
  <c r="BO8" i="4"/>
  <c r="F10" i="5"/>
  <c r="G29" i="7"/>
  <c r="D11" i="5"/>
  <c r="E30" i="6"/>
  <c r="E30" i="7"/>
  <c r="BO9" i="3"/>
  <c r="F6" i="5"/>
  <c r="BO4" i="4"/>
  <c r="G6" i="5" s="1"/>
  <c r="Q31" i="1"/>
  <c r="R33" i="1"/>
  <c r="AG151" i="2"/>
  <c r="BI31" i="2"/>
  <c r="AH38" i="2"/>
  <c r="E35" i="1"/>
  <c r="E11" i="5" l="1"/>
  <c r="F30" i="7"/>
  <c r="F30" i="6"/>
  <c r="D7" i="5"/>
  <c r="BO5" i="3"/>
  <c r="E7" i="5" s="1"/>
  <c r="D6" i="5"/>
  <c r="BO4" i="3"/>
  <c r="E6" i="5" s="1"/>
  <c r="B11" i="5"/>
  <c r="C30" i="7"/>
  <c r="C30" i="6"/>
  <c r="BO9" i="2"/>
  <c r="AS9" i="3"/>
  <c r="AG152" i="2"/>
  <c r="AH39" i="2"/>
  <c r="E36" i="1"/>
  <c r="F36" i="1" s="1"/>
  <c r="BI32" i="2"/>
  <c r="AJ39" i="2"/>
  <c r="AT9" i="2"/>
  <c r="Q35" i="1"/>
  <c r="AT9" i="3"/>
  <c r="AT9" i="4"/>
  <c r="AH39" i="4"/>
  <c r="K36" i="1"/>
  <c r="L36" i="1" s="1"/>
  <c r="BI32" i="4"/>
  <c r="AJ39" i="4"/>
  <c r="F35" i="1"/>
  <c r="F8" i="5"/>
  <c r="BO6" i="4"/>
  <c r="G27" i="6"/>
  <c r="H29" i="7"/>
  <c r="H29" i="6"/>
  <c r="G10" i="5"/>
  <c r="H28" i="6"/>
  <c r="G9" i="5"/>
  <c r="H30" i="7"/>
  <c r="H30" i="6"/>
  <c r="G11" i="5"/>
  <c r="L35" i="1"/>
  <c r="D29" i="7"/>
  <c r="D29" i="6"/>
  <c r="C10" i="5"/>
  <c r="AH40" i="3"/>
  <c r="P37" i="1"/>
  <c r="Q37" i="1" s="1"/>
  <c r="BI33" i="3"/>
  <c r="AJ40" i="3"/>
  <c r="AS9" i="4"/>
  <c r="BF41" i="4"/>
  <c r="AG40" i="4"/>
  <c r="AL10" i="3"/>
  <c r="D26" i="7"/>
  <c r="D26" i="6"/>
  <c r="C7" i="5"/>
  <c r="F28" i="6"/>
  <c r="E9" i="5"/>
  <c r="AG41" i="3"/>
  <c r="BF42" i="3"/>
  <c r="B8" i="5"/>
  <c r="C27" i="6"/>
  <c r="BO6" i="2"/>
  <c r="AG40" i="2"/>
  <c r="BF41" i="2"/>
  <c r="AI41" i="3" l="1"/>
  <c r="BI34" i="3"/>
  <c r="AH41" i="3"/>
  <c r="AU38" i="3" s="1"/>
  <c r="P38" i="1"/>
  <c r="Q38" i="1" s="1"/>
  <c r="AJ41" i="3"/>
  <c r="BN10" i="3"/>
  <c r="AN10" i="3"/>
  <c r="BM10" i="3"/>
  <c r="BL10" i="3"/>
  <c r="AO10" i="3"/>
  <c r="BK10" i="3"/>
  <c r="BF42" i="4"/>
  <c r="AG41" i="4"/>
  <c r="D30" i="7"/>
  <c r="D30" i="6"/>
  <c r="C11" i="5"/>
  <c r="BF42" i="2"/>
  <c r="AG41" i="2"/>
  <c r="AL10" i="2" s="1"/>
  <c r="G8" i="5"/>
  <c r="H27" i="6"/>
  <c r="AG153" i="2"/>
  <c r="AH40" i="2"/>
  <c r="BI33" i="2"/>
  <c r="E37" i="1"/>
  <c r="AJ40" i="2"/>
  <c r="C126" i="7"/>
  <c r="C154" i="7" s="1"/>
  <c r="AN10" i="2"/>
  <c r="BN10" i="2"/>
  <c r="AO10" i="2"/>
  <c r="BM10" i="2"/>
  <c r="BK10" i="2"/>
  <c r="E126" i="7" s="1"/>
  <c r="E31" i="7"/>
  <c r="E31" i="6"/>
  <c r="D12" i="5"/>
  <c r="BO10" i="3"/>
  <c r="C8" i="5"/>
  <c r="D27" i="6"/>
  <c r="AG42" i="3"/>
  <c r="BF43" i="3"/>
  <c r="AH40" i="4"/>
  <c r="BI33" i="4"/>
  <c r="K37" i="1"/>
  <c r="AJ40" i="4"/>
  <c r="AN10" i="4"/>
  <c r="BL10" i="4"/>
  <c r="AL10" i="4"/>
  <c r="BK10" i="4"/>
  <c r="AO10" i="4"/>
  <c r="BM10" i="4"/>
  <c r="R37" i="1"/>
  <c r="BL10" i="2"/>
  <c r="B12" i="5" l="1"/>
  <c r="C31" i="6"/>
  <c r="C31" i="7"/>
  <c r="BO10" i="2"/>
  <c r="AR10" i="4"/>
  <c r="AQ10" i="4"/>
  <c r="BF44" i="3"/>
  <c r="AG43" i="3"/>
  <c r="F37" i="1"/>
  <c r="AG42" i="4"/>
  <c r="BF43" i="4"/>
  <c r="F12" i="5"/>
  <c r="G31" i="7"/>
  <c r="G31" i="6"/>
  <c r="L37" i="1"/>
  <c r="AH42" i="3"/>
  <c r="BI35" i="3"/>
  <c r="P39" i="1"/>
  <c r="AJ42" i="3"/>
  <c r="F31" i="7"/>
  <c r="F31" i="6"/>
  <c r="E12" i="5"/>
  <c r="E154" i="7"/>
  <c r="D126" i="7"/>
  <c r="D154" i="7" s="1"/>
  <c r="AG154" i="2"/>
  <c r="AJ154" i="2" s="1"/>
  <c r="AI41" i="2"/>
  <c r="AH41" i="2"/>
  <c r="AU38" i="2" s="1"/>
  <c r="BI34" i="2"/>
  <c r="E38" i="1"/>
  <c r="F38" i="1" s="1"/>
  <c r="AJ41" i="2"/>
  <c r="AQ10" i="3"/>
  <c r="AR10" i="3"/>
  <c r="BP10" i="3"/>
  <c r="AQ10" i="2"/>
  <c r="AR10" i="2"/>
  <c r="AG42" i="2"/>
  <c r="BF43" i="2"/>
  <c r="AI41" i="4"/>
  <c r="AH41" i="4"/>
  <c r="AU38" i="4" s="1"/>
  <c r="K38" i="1"/>
  <c r="L38" i="1" s="1"/>
  <c r="BI34" i="4"/>
  <c r="AJ41" i="4"/>
  <c r="BN10" i="4"/>
  <c r="BP10" i="4" s="1"/>
  <c r="AT10" i="2" l="1"/>
  <c r="AS10" i="3"/>
  <c r="Q39" i="1"/>
  <c r="AS10" i="2"/>
  <c r="G126" i="7"/>
  <c r="G154" i="7" s="1"/>
  <c r="M37" i="1"/>
  <c r="G37" i="1"/>
  <c r="AS10" i="4"/>
  <c r="BF44" i="2"/>
  <c r="AG43" i="2"/>
  <c r="AT10" i="4"/>
  <c r="AG155" i="2"/>
  <c r="AH42" i="2"/>
  <c r="BI35" i="2"/>
  <c r="E39" i="1"/>
  <c r="AJ42" i="2"/>
  <c r="AT10" i="3"/>
  <c r="BF44" i="4"/>
  <c r="AG43" i="4"/>
  <c r="AH43" i="3"/>
  <c r="BI36" i="3"/>
  <c r="P40" i="1"/>
  <c r="Q40" i="1" s="1"/>
  <c r="AJ43" i="3"/>
  <c r="C12" i="5"/>
  <c r="D31" i="7"/>
  <c r="D31" i="6"/>
  <c r="BO10" i="4"/>
  <c r="BI35" i="4"/>
  <c r="AH42" i="4"/>
  <c r="K39" i="1"/>
  <c r="AJ42" i="4"/>
  <c r="AG44" i="3"/>
  <c r="BF45" i="3"/>
  <c r="G12" i="5" l="1"/>
  <c r="H31" i="7"/>
  <c r="H31" i="6"/>
  <c r="BF45" i="4"/>
  <c r="AG44" i="4"/>
  <c r="BF45" i="2"/>
  <c r="AG44" i="2"/>
  <c r="F39" i="1"/>
  <c r="AG45" i="3"/>
  <c r="BF46" i="3"/>
  <c r="BI37" i="3"/>
  <c r="AH44" i="3"/>
  <c r="P41" i="1"/>
  <c r="Q41" i="1" s="1"/>
  <c r="AJ44" i="3"/>
  <c r="S45" i="3"/>
  <c r="BL11" i="3"/>
  <c r="AO11" i="3"/>
  <c r="BK11" i="3"/>
  <c r="AN11" i="3"/>
  <c r="AL11" i="3"/>
  <c r="L39" i="1"/>
  <c r="AH43" i="4"/>
  <c r="BI36" i="4"/>
  <c r="K40" i="1"/>
  <c r="L40" i="1" s="1"/>
  <c r="AJ43" i="4"/>
  <c r="AG156" i="2"/>
  <c r="AH43" i="2"/>
  <c r="E40" i="1"/>
  <c r="F40" i="1" s="1"/>
  <c r="BI36" i="2"/>
  <c r="AJ43" i="2"/>
  <c r="AR11" i="3" l="1"/>
  <c r="AQ11" i="3"/>
  <c r="AH45" i="3"/>
  <c r="BI38" i="3"/>
  <c r="AI45" i="3"/>
  <c r="P42" i="1"/>
  <c r="AJ45" i="3"/>
  <c r="BN11" i="3"/>
  <c r="BM11" i="3"/>
  <c r="AG157" i="2"/>
  <c r="AH44" i="2"/>
  <c r="BI37" i="2"/>
  <c r="E41" i="1"/>
  <c r="F41" i="1" s="1"/>
  <c r="AJ44" i="2"/>
  <c r="AL11" i="2"/>
  <c r="BL11" i="2"/>
  <c r="D13" i="5"/>
  <c r="E32" i="6"/>
  <c r="E32" i="7"/>
  <c r="BO11" i="3"/>
  <c r="AU42" i="3"/>
  <c r="BF46" i="2"/>
  <c r="AG45" i="2"/>
  <c r="AN11" i="2" s="1"/>
  <c r="AH44" i="4"/>
  <c r="K41" i="1"/>
  <c r="L41" i="1" s="1"/>
  <c r="BI37" i="4"/>
  <c r="AJ44" i="4"/>
  <c r="S45" i="4"/>
  <c r="BL11" i="4"/>
  <c r="BF47" i="3"/>
  <c r="AG46" i="3"/>
  <c r="AG45" i="4"/>
  <c r="AN11" i="4" s="1"/>
  <c r="BF46" i="4"/>
  <c r="AT11" i="3" l="1"/>
  <c r="S45" i="2"/>
  <c r="BK11" i="2"/>
  <c r="E127" i="7" s="1"/>
  <c r="BP11" i="3"/>
  <c r="M41" i="1"/>
  <c r="C32" i="7"/>
  <c r="C32" i="6"/>
  <c r="B13" i="5"/>
  <c r="AI45" i="4"/>
  <c r="AH45" i="4"/>
  <c r="AU42" i="4" s="1"/>
  <c r="K42" i="1"/>
  <c r="L42" i="1" s="1"/>
  <c r="BI38" i="4"/>
  <c r="AJ45" i="4"/>
  <c r="BM11" i="4"/>
  <c r="BN11" i="4"/>
  <c r="AO11" i="4"/>
  <c r="AH46" i="3"/>
  <c r="P43" i="1"/>
  <c r="BI39" i="3"/>
  <c r="AJ46" i="3"/>
  <c r="AL11" i="4"/>
  <c r="F32" i="7"/>
  <c r="F32" i="6"/>
  <c r="E13" i="5"/>
  <c r="BM11" i="2"/>
  <c r="AO11" i="2"/>
  <c r="AG46" i="4"/>
  <c r="BF47" i="4"/>
  <c r="BF47" i="2"/>
  <c r="AG46" i="2"/>
  <c r="BF48" i="3"/>
  <c r="AG47" i="3"/>
  <c r="BK11" i="4"/>
  <c r="AG158" i="2"/>
  <c r="AJ158" i="2" s="1"/>
  <c r="AI45" i="2"/>
  <c r="AH45" i="2"/>
  <c r="AU42" i="2" s="1"/>
  <c r="BI38" i="2"/>
  <c r="E42" i="1"/>
  <c r="F42" i="1" s="1"/>
  <c r="AJ45" i="2"/>
  <c r="C127" i="7"/>
  <c r="C155" i="7" s="1"/>
  <c r="BN11" i="2"/>
  <c r="BO11" i="2" s="1"/>
  <c r="Q42" i="1"/>
  <c r="R41" i="1"/>
  <c r="AS11" i="3"/>
  <c r="D32" i="7" l="1"/>
  <c r="D32" i="6"/>
  <c r="C13" i="5"/>
  <c r="BF49" i="3"/>
  <c r="AG48" i="3"/>
  <c r="AH46" i="4"/>
  <c r="K43" i="1"/>
  <c r="BI39" i="4"/>
  <c r="AJ46" i="4"/>
  <c r="BP11" i="4"/>
  <c r="AH149" i="2"/>
  <c r="AG159" i="2"/>
  <c r="AH46" i="2"/>
  <c r="BI39" i="2"/>
  <c r="E43" i="1"/>
  <c r="AJ46" i="2"/>
  <c r="AR11" i="2"/>
  <c r="AQ11" i="2"/>
  <c r="E155" i="7"/>
  <c r="BF48" i="2"/>
  <c r="AG47" i="2"/>
  <c r="D127" i="7"/>
  <c r="D155" i="7" s="1"/>
  <c r="BP11" i="2"/>
  <c r="G41" i="1"/>
  <c r="AH47" i="3"/>
  <c r="P44" i="1"/>
  <c r="Q44" i="1" s="1"/>
  <c r="BI40" i="3"/>
  <c r="AJ47" i="3"/>
  <c r="BF48" i="4"/>
  <c r="AG47" i="4"/>
  <c r="G32" i="7"/>
  <c r="G32" i="6"/>
  <c r="F13" i="5"/>
  <c r="BO11" i="4"/>
  <c r="Q43" i="1"/>
  <c r="AR11" i="4"/>
  <c r="AQ11" i="4"/>
  <c r="AS11" i="4" l="1"/>
  <c r="AG160" i="2"/>
  <c r="AH47" i="2"/>
  <c r="E44" i="1"/>
  <c r="F44" i="1" s="1"/>
  <c r="BI40" i="2"/>
  <c r="AJ47" i="2"/>
  <c r="AT11" i="4"/>
  <c r="H32" i="7"/>
  <c r="H32" i="6"/>
  <c r="G13" i="5"/>
  <c r="AH47" i="4"/>
  <c r="K44" i="1"/>
  <c r="L44" i="1" s="1"/>
  <c r="BI40" i="4"/>
  <c r="AJ47" i="4"/>
  <c r="AG48" i="2"/>
  <c r="BF49" i="2"/>
  <c r="F43" i="1"/>
  <c r="AG48" i="4"/>
  <c r="BF49" i="4"/>
  <c r="G127" i="7"/>
  <c r="G155" i="7" s="1"/>
  <c r="AS11" i="2"/>
  <c r="L43" i="1"/>
  <c r="AH48" i="3"/>
  <c r="BI41" i="3"/>
  <c r="P45" i="1"/>
  <c r="AJ48" i="3"/>
  <c r="AT11" i="2"/>
  <c r="BF50" i="3"/>
  <c r="AG49" i="3"/>
  <c r="BI42" i="3" l="1"/>
  <c r="AI49" i="3"/>
  <c r="AH49" i="3"/>
  <c r="AU46" i="3" s="1"/>
  <c r="P46" i="1"/>
  <c r="Q46" i="1" s="1"/>
  <c r="AJ49" i="3"/>
  <c r="BM12" i="3"/>
  <c r="BL12" i="3"/>
  <c r="AL12" i="3"/>
  <c r="AN12" i="3"/>
  <c r="BK12" i="3"/>
  <c r="BN12" i="3"/>
  <c r="BP12" i="3" s="1"/>
  <c r="AG49" i="4"/>
  <c r="BF50" i="4"/>
  <c r="BF50" i="2"/>
  <c r="AG49" i="2"/>
  <c r="BK12" i="2" s="1"/>
  <c r="E128" i="7" s="1"/>
  <c r="AG50" i="3"/>
  <c r="BF51" i="3"/>
  <c r="AH48" i="4"/>
  <c r="K45" i="1"/>
  <c r="BI41" i="4"/>
  <c r="AJ48" i="4"/>
  <c r="AG161" i="2"/>
  <c r="BI41" i="2"/>
  <c r="AH48" i="2"/>
  <c r="E45" i="1"/>
  <c r="AJ48" i="2"/>
  <c r="AO12" i="2"/>
  <c r="BN12" i="4"/>
  <c r="AO12" i="3"/>
  <c r="Q45" i="1"/>
  <c r="R45" i="1"/>
  <c r="E156" i="7" l="1"/>
  <c r="BN12" i="2"/>
  <c r="F45" i="1"/>
  <c r="BF52" i="3"/>
  <c r="AG51" i="3"/>
  <c r="BF51" i="4"/>
  <c r="AG50" i="4"/>
  <c r="BI43" i="3"/>
  <c r="AH50" i="3"/>
  <c r="P47" i="1"/>
  <c r="AJ50" i="3"/>
  <c r="AI49" i="4"/>
  <c r="AH49" i="4"/>
  <c r="AU46" i="4" s="1"/>
  <c r="K46" i="1"/>
  <c r="L46" i="1" s="1"/>
  <c r="BI42" i="4"/>
  <c r="AJ49" i="4"/>
  <c r="BL12" i="4"/>
  <c r="AL12" i="4"/>
  <c r="BM12" i="4"/>
  <c r="AO12" i="4"/>
  <c r="BK12" i="4"/>
  <c r="AN12" i="4"/>
  <c r="E33" i="7"/>
  <c r="E33" i="6"/>
  <c r="D14" i="5"/>
  <c r="BO12" i="3"/>
  <c r="AR12" i="3"/>
  <c r="AQ12" i="3"/>
  <c r="AR12" i="2"/>
  <c r="AQ12" i="2"/>
  <c r="L45" i="1"/>
  <c r="M45" i="1"/>
  <c r="AG162" i="2"/>
  <c r="AJ162" i="2" s="1"/>
  <c r="AH49" i="2"/>
  <c r="AU46" i="2" s="1"/>
  <c r="BI42" i="2"/>
  <c r="AI49" i="2"/>
  <c r="E46" i="1"/>
  <c r="F46" i="1" s="1"/>
  <c r="AJ49" i="2"/>
  <c r="AN12" i="2"/>
  <c r="BL12" i="2"/>
  <c r="AL12" i="2"/>
  <c r="BM12" i="2"/>
  <c r="C128" i="7"/>
  <c r="C156" i="7" s="1"/>
  <c r="BP12" i="4"/>
  <c r="AG50" i="2"/>
  <c r="BF51" i="2"/>
  <c r="AG51" i="2" l="1"/>
  <c r="BF52" i="2"/>
  <c r="D128" i="7"/>
  <c r="BP12" i="2"/>
  <c r="AS12" i="2"/>
  <c r="F33" i="7"/>
  <c r="F33" i="6"/>
  <c r="E14" i="5"/>
  <c r="G33" i="6"/>
  <c r="F14" i="5"/>
  <c r="G33" i="7"/>
  <c r="BO12" i="4"/>
  <c r="Q47" i="1"/>
  <c r="AH51" i="3"/>
  <c r="BI44" i="3"/>
  <c r="P48" i="1"/>
  <c r="Q48" i="1" s="1"/>
  <c r="AJ51" i="3"/>
  <c r="AG163" i="2"/>
  <c r="AH50" i="2"/>
  <c r="BI43" i="2"/>
  <c r="E47" i="1"/>
  <c r="AJ50" i="2"/>
  <c r="C33" i="6"/>
  <c r="B14" i="5"/>
  <c r="C33" i="7"/>
  <c r="BO12" i="2"/>
  <c r="AT12" i="2"/>
  <c r="BF53" i="3"/>
  <c r="AG52" i="3"/>
  <c r="AS12" i="3"/>
  <c r="AQ12" i="4"/>
  <c r="AR12" i="4"/>
  <c r="BI43" i="4"/>
  <c r="AH50" i="4"/>
  <c r="K47" i="1"/>
  <c r="AJ50" i="4"/>
  <c r="G45" i="1"/>
  <c r="AT12" i="3"/>
  <c r="AG51" i="4"/>
  <c r="BF52" i="4"/>
  <c r="BF53" i="4" l="1"/>
  <c r="AG52" i="4"/>
  <c r="AS12" i="4"/>
  <c r="AG53" i="3"/>
  <c r="BF54" i="3"/>
  <c r="AH51" i="4"/>
  <c r="K48" i="1"/>
  <c r="L48" i="1" s="1"/>
  <c r="BI44" i="4"/>
  <c r="AJ51" i="4"/>
  <c r="D33" i="7"/>
  <c r="D33" i="6"/>
  <c r="C14" i="5"/>
  <c r="F47" i="1"/>
  <c r="D156" i="7"/>
  <c r="G128" i="7"/>
  <c r="G156" i="7" s="1"/>
  <c r="L47" i="1"/>
  <c r="BF53" i="2"/>
  <c r="AG52" i="2"/>
  <c r="AT12" i="4"/>
  <c r="BI45" i="3"/>
  <c r="AH52" i="3"/>
  <c r="P49" i="1"/>
  <c r="AJ52" i="3"/>
  <c r="AN13" i="3"/>
  <c r="BL13" i="3"/>
  <c r="AL13" i="3"/>
  <c r="BK13" i="3"/>
  <c r="BM13" i="3"/>
  <c r="H33" i="7"/>
  <c r="H33" i="6"/>
  <c r="G14" i="5"/>
  <c r="AG164" i="2"/>
  <c r="AH51" i="2"/>
  <c r="E48" i="1"/>
  <c r="F48" i="1" s="1"/>
  <c r="BI44" i="2"/>
  <c r="AJ51" i="2"/>
  <c r="D15" i="5" l="1"/>
  <c r="E34" i="7"/>
  <c r="E34" i="6"/>
  <c r="BO13" i="3"/>
  <c r="Q49" i="1"/>
  <c r="R49" i="1"/>
  <c r="BF55" i="3"/>
  <c r="AG54" i="3"/>
  <c r="AG165" i="2"/>
  <c r="AH52" i="2"/>
  <c r="BI45" i="2"/>
  <c r="E49" i="1"/>
  <c r="F49" i="1" s="1"/>
  <c r="AJ52" i="2"/>
  <c r="AH53" i="3"/>
  <c r="AU50" i="3" s="1"/>
  <c r="BI46" i="3"/>
  <c r="AI53" i="3"/>
  <c r="P50" i="1"/>
  <c r="Q50" i="1" s="1"/>
  <c r="AJ53" i="3"/>
  <c r="BN13" i="3"/>
  <c r="BP13" i="3" s="1"/>
  <c r="AH52" i="4"/>
  <c r="BI45" i="4"/>
  <c r="K49" i="1"/>
  <c r="L49" i="1" s="1"/>
  <c r="AJ52" i="4"/>
  <c r="BM13" i="4"/>
  <c r="BL13" i="4"/>
  <c r="BF54" i="2"/>
  <c r="AG53" i="2"/>
  <c r="BL13" i="2" s="1"/>
  <c r="AG53" i="4"/>
  <c r="BF54" i="4"/>
  <c r="C129" i="7" l="1"/>
  <c r="C157" i="7" s="1"/>
  <c r="AI53" i="4"/>
  <c r="AH53" i="4"/>
  <c r="K50" i="1"/>
  <c r="L50" i="1" s="1"/>
  <c r="BI46" i="4"/>
  <c r="AJ53" i="4"/>
  <c r="BN13" i="4"/>
  <c r="BP13" i="4" s="1"/>
  <c r="AN13" i="4"/>
  <c r="AL13" i="4"/>
  <c r="BK13" i="4"/>
  <c r="AL13" i="2"/>
  <c r="AU50" i="4"/>
  <c r="AG166" i="2"/>
  <c r="AJ166" i="2" s="1"/>
  <c r="AI53" i="2"/>
  <c r="BI46" i="2"/>
  <c r="AH53" i="2"/>
  <c r="AU50" i="2" s="1"/>
  <c r="E50" i="1"/>
  <c r="F50" i="1" s="1"/>
  <c r="AJ53" i="2"/>
  <c r="BM13" i="2"/>
  <c r="BF55" i="2"/>
  <c r="AG54" i="2"/>
  <c r="AN13" i="2"/>
  <c r="BK13" i="2"/>
  <c r="E129" i="7" s="1"/>
  <c r="AH54" i="3"/>
  <c r="BI47" i="3"/>
  <c r="P51" i="1"/>
  <c r="AJ54" i="3"/>
  <c r="AG54" i="4"/>
  <c r="BF55" i="4"/>
  <c r="BN13" i="2"/>
  <c r="BF56" i="3"/>
  <c r="AG55" i="3"/>
  <c r="E15" i="5"/>
  <c r="F34" i="7"/>
  <c r="F34" i="6"/>
  <c r="AH55" i="3" l="1"/>
  <c r="P52" i="1"/>
  <c r="Q52" i="1" s="1"/>
  <c r="BI48" i="3"/>
  <c r="AJ55" i="3"/>
  <c r="AG56" i="3"/>
  <c r="BF57" i="3"/>
  <c r="AG167" i="2"/>
  <c r="AH54" i="2"/>
  <c r="BI47" i="2"/>
  <c r="E51" i="1"/>
  <c r="AJ54" i="2"/>
  <c r="M49" i="1"/>
  <c r="AO13" i="4" s="1"/>
  <c r="BF56" i="2"/>
  <c r="AG55" i="2"/>
  <c r="BF56" i="4"/>
  <c r="AG55" i="4"/>
  <c r="Q51" i="1"/>
  <c r="E157" i="7"/>
  <c r="D129" i="7"/>
  <c r="D157" i="7" s="1"/>
  <c r="BP13" i="2"/>
  <c r="G49" i="1"/>
  <c r="F15" i="5"/>
  <c r="G34" i="7"/>
  <c r="G34" i="6"/>
  <c r="BO13" i="4"/>
  <c r="AH54" i="4"/>
  <c r="BI47" i="4"/>
  <c r="K51" i="1"/>
  <c r="AJ54" i="4"/>
  <c r="B15" i="5"/>
  <c r="C34" i="7"/>
  <c r="C34" i="6"/>
  <c r="BO13" i="2"/>
  <c r="F51" i="1" l="1"/>
  <c r="G129" i="7"/>
  <c r="G157" i="7" s="1"/>
  <c r="AG168" i="2"/>
  <c r="AH55" i="2"/>
  <c r="BI48" i="2"/>
  <c r="E52" i="1"/>
  <c r="F52" i="1" s="1"/>
  <c r="AJ55" i="2"/>
  <c r="L51" i="1"/>
  <c r="H34" i="7"/>
  <c r="H34" i="6"/>
  <c r="G15" i="5"/>
  <c r="AH55" i="4"/>
  <c r="K52" i="1"/>
  <c r="L52" i="1" s="1"/>
  <c r="BI48" i="4"/>
  <c r="AJ55" i="4"/>
  <c r="AO13" i="3"/>
  <c r="AO13" i="2"/>
  <c r="AG56" i="2"/>
  <c r="BF57" i="2"/>
  <c r="AG56" i="4"/>
  <c r="BF57" i="4"/>
  <c r="AQ13" i="4"/>
  <c r="AR13" i="4"/>
  <c r="BF58" i="3"/>
  <c r="AG57" i="3"/>
  <c r="D34" i="7"/>
  <c r="D34" i="6"/>
  <c r="C15" i="5"/>
  <c r="AH56" i="3"/>
  <c r="BI49" i="3"/>
  <c r="P53" i="1"/>
  <c r="AJ56" i="3"/>
  <c r="AL14" i="3"/>
  <c r="BF59" i="3" l="1"/>
  <c r="AG58" i="3"/>
  <c r="AR13" i="3"/>
  <c r="AQ13" i="3"/>
  <c r="BF58" i="4"/>
  <c r="AG57" i="4"/>
  <c r="BF58" i="2"/>
  <c r="AG57" i="2"/>
  <c r="BM14" i="2" s="1"/>
  <c r="E35" i="7"/>
  <c r="E35" i="6"/>
  <c r="D16" i="5"/>
  <c r="BO14" i="3"/>
  <c r="AU54" i="3"/>
  <c r="AI57" i="3"/>
  <c r="AH57" i="3"/>
  <c r="P54" i="1"/>
  <c r="Q54" i="1" s="1"/>
  <c r="BI50" i="3"/>
  <c r="AJ57" i="3"/>
  <c r="BN14" i="3"/>
  <c r="AN14" i="3"/>
  <c r="BL14" i="3"/>
  <c r="BK14" i="3"/>
  <c r="BI49" i="4"/>
  <c r="AH56" i="4"/>
  <c r="K53" i="1"/>
  <c r="L53" i="1" s="1"/>
  <c r="AJ56" i="4"/>
  <c r="BL14" i="4"/>
  <c r="AG169" i="2"/>
  <c r="AH56" i="2"/>
  <c r="BI49" i="2"/>
  <c r="E53" i="1"/>
  <c r="F53" i="1" s="1"/>
  <c r="AJ56" i="2"/>
  <c r="BK14" i="2"/>
  <c r="E130" i="7" s="1"/>
  <c r="AN14" i="2"/>
  <c r="AT13" i="4"/>
  <c r="AQ13" i="2"/>
  <c r="AR13" i="2"/>
  <c r="BN14" i="2"/>
  <c r="BM14" i="3"/>
  <c r="Q53" i="1"/>
  <c r="R53" i="1"/>
  <c r="AS13" i="4"/>
  <c r="AL14" i="2"/>
  <c r="BP14" i="2" l="1"/>
  <c r="AS13" i="2"/>
  <c r="F35" i="7"/>
  <c r="F35" i="6"/>
  <c r="E16" i="5"/>
  <c r="AI57" i="4"/>
  <c r="AH57" i="4"/>
  <c r="AU54" i="4" s="1"/>
  <c r="K54" i="1"/>
  <c r="L54" i="1" s="1"/>
  <c r="BI50" i="4"/>
  <c r="AJ57" i="4"/>
  <c r="AN14" i="4"/>
  <c r="AL14" i="4"/>
  <c r="BM14" i="4"/>
  <c r="BK14" i="4"/>
  <c r="BP14" i="3"/>
  <c r="M53" i="1"/>
  <c r="AO14" i="4" s="1"/>
  <c r="BF59" i="4"/>
  <c r="AG58" i="4"/>
  <c r="AG59" i="3"/>
  <c r="BF60" i="3"/>
  <c r="E158" i="7"/>
  <c r="AG170" i="2"/>
  <c r="AJ170" i="2" s="1"/>
  <c r="AH57" i="2"/>
  <c r="AU54" i="2" s="1"/>
  <c r="AI57" i="2"/>
  <c r="BI50" i="2"/>
  <c r="E54" i="1"/>
  <c r="F54" i="1" s="1"/>
  <c r="AJ57" i="2"/>
  <c r="BL14" i="2"/>
  <c r="D130" i="7" s="1"/>
  <c r="C130" i="7"/>
  <c r="C158" i="7" s="1"/>
  <c r="AS13" i="3"/>
  <c r="BN14" i="4"/>
  <c r="BP14" i="4" s="1"/>
  <c r="AT13" i="2"/>
  <c r="AG58" i="2"/>
  <c r="BF59" i="2"/>
  <c r="AT13" i="3"/>
  <c r="B16" i="5"/>
  <c r="C35" i="6"/>
  <c r="C35" i="7"/>
  <c r="BO14" i="2"/>
  <c r="AH58" i="3"/>
  <c r="P55" i="1"/>
  <c r="BI51" i="3"/>
  <c r="AJ58" i="3"/>
  <c r="D158" i="7" l="1"/>
  <c r="G130" i="7"/>
  <c r="G158" i="7" s="1"/>
  <c r="AG59" i="2"/>
  <c r="BF60" i="2"/>
  <c r="BF60" i="4"/>
  <c r="AG59" i="4"/>
  <c r="G53" i="1"/>
  <c r="AG171" i="2"/>
  <c r="AH58" i="2"/>
  <c r="E55" i="1"/>
  <c r="BI51" i="2"/>
  <c r="AJ58" i="2"/>
  <c r="BF61" i="3"/>
  <c r="AG60" i="3"/>
  <c r="AQ14" i="4"/>
  <c r="AR14" i="4"/>
  <c r="F16" i="5"/>
  <c r="G35" i="6"/>
  <c r="BO14" i="4"/>
  <c r="G35" i="7"/>
  <c r="Q55" i="1"/>
  <c r="C16" i="5"/>
  <c r="D35" i="7"/>
  <c r="D35" i="6"/>
  <c r="BI52" i="3"/>
  <c r="AH59" i="3"/>
  <c r="P56" i="1"/>
  <c r="Q56" i="1" s="1"/>
  <c r="AJ59" i="3"/>
  <c r="AH58" i="4"/>
  <c r="K55" i="1"/>
  <c r="BI51" i="4"/>
  <c r="AJ58" i="4"/>
  <c r="L55" i="1" l="1"/>
  <c r="AT14" i="4"/>
  <c r="AO14" i="3"/>
  <c r="AO14" i="2"/>
  <c r="AG172" i="2"/>
  <c r="AH59" i="2"/>
  <c r="E56" i="1"/>
  <c r="F56" i="1" s="1"/>
  <c r="BI52" i="2"/>
  <c r="AJ59" i="2"/>
  <c r="G16" i="5"/>
  <c r="H35" i="7"/>
  <c r="H35" i="6"/>
  <c r="AS14" i="4"/>
  <c r="AH59" i="4"/>
  <c r="BI52" i="4"/>
  <c r="K56" i="1"/>
  <c r="L56" i="1" s="1"/>
  <c r="AJ59" i="4"/>
  <c r="AH60" i="3"/>
  <c r="P57" i="1"/>
  <c r="BI53" i="3"/>
  <c r="AJ60" i="3"/>
  <c r="BK15" i="3"/>
  <c r="AL15" i="3"/>
  <c r="AG60" i="4"/>
  <c r="BF61" i="4"/>
  <c r="AG61" i="3"/>
  <c r="BF62" i="3"/>
  <c r="F55" i="1"/>
  <c r="AG60" i="2"/>
  <c r="BF61" i="2"/>
  <c r="AH60" i="4" l="1"/>
  <c r="BI53" i="4"/>
  <c r="K57" i="1"/>
  <c r="L57" i="1" s="1"/>
  <c r="AJ60" i="4"/>
  <c r="AQ14" i="2"/>
  <c r="AR14" i="2"/>
  <c r="AG62" i="3"/>
  <c r="BF63" i="3"/>
  <c r="BF62" i="2"/>
  <c r="AG61" i="2"/>
  <c r="BK15" i="2" s="1"/>
  <c r="E131" i="7" s="1"/>
  <c r="D17" i="5"/>
  <c r="E36" i="6"/>
  <c r="E36" i="7"/>
  <c r="BO15" i="3"/>
  <c r="AR14" i="3"/>
  <c r="AQ14" i="3"/>
  <c r="AG173" i="2"/>
  <c r="AH60" i="2"/>
  <c r="BI53" i="2"/>
  <c r="E57" i="1"/>
  <c r="AJ60" i="2"/>
  <c r="C131" i="7"/>
  <c r="C159" i="7" s="1"/>
  <c r="BL15" i="2"/>
  <c r="AN15" i="2"/>
  <c r="AL15" i="2"/>
  <c r="BM15" i="2"/>
  <c r="AI61" i="3"/>
  <c r="AH61" i="3"/>
  <c r="AU58" i="3" s="1"/>
  <c r="P58" i="1"/>
  <c r="Q58" i="1" s="1"/>
  <c r="BI54" i="3"/>
  <c r="AJ61" i="3"/>
  <c r="BL15" i="3"/>
  <c r="BM15" i="3"/>
  <c r="BN15" i="3"/>
  <c r="AN15" i="3"/>
  <c r="Q57" i="1"/>
  <c r="R57" i="1"/>
  <c r="BF62" i="4"/>
  <c r="AG61" i="4"/>
  <c r="E159" i="7" l="1"/>
  <c r="BP15" i="2"/>
  <c r="AI61" i="4"/>
  <c r="AH61" i="4"/>
  <c r="K58" i="1"/>
  <c r="BI54" i="4"/>
  <c r="AJ61" i="4"/>
  <c r="AG62" i="4"/>
  <c r="BF63" i="4"/>
  <c r="BP15" i="3"/>
  <c r="BN15" i="2"/>
  <c r="D131" i="7" s="1"/>
  <c r="F57" i="1"/>
  <c r="AS14" i="3"/>
  <c r="BF64" i="3"/>
  <c r="AG63" i="3"/>
  <c r="BK15" i="4"/>
  <c r="AN15" i="4"/>
  <c r="AT14" i="3"/>
  <c r="AH62" i="3"/>
  <c r="BI55" i="3"/>
  <c r="P59" i="1"/>
  <c r="AJ62" i="3"/>
  <c r="BL15" i="4"/>
  <c r="BM15" i="4"/>
  <c r="AU58" i="4"/>
  <c r="C36" i="7"/>
  <c r="C36" i="6"/>
  <c r="B17" i="5"/>
  <c r="BO15" i="2"/>
  <c r="F36" i="7"/>
  <c r="F36" i="6"/>
  <c r="E17" i="5"/>
  <c r="AG174" i="2"/>
  <c r="AJ174" i="2" s="1"/>
  <c r="AI61" i="2"/>
  <c r="AH61" i="2"/>
  <c r="AU58" i="2" s="1"/>
  <c r="BI54" i="2"/>
  <c r="E58" i="1"/>
  <c r="F58" i="1" s="1"/>
  <c r="AJ61" i="2"/>
  <c r="AT14" i="2"/>
  <c r="AL15" i="4"/>
  <c r="AG62" i="2"/>
  <c r="BF63" i="2"/>
  <c r="AS14" i="2"/>
  <c r="BN15" i="4"/>
  <c r="BP15" i="4" s="1"/>
  <c r="D159" i="7" l="1"/>
  <c r="G131" i="7"/>
  <c r="G159" i="7" s="1"/>
  <c r="G36" i="7"/>
  <c r="G36" i="6"/>
  <c r="F17" i="5"/>
  <c r="BO15" i="4"/>
  <c r="D36" i="7"/>
  <c r="D36" i="6"/>
  <c r="C17" i="5"/>
  <c r="Q59" i="1"/>
  <c r="AH63" i="3"/>
  <c r="P60" i="1"/>
  <c r="Q60" i="1" s="1"/>
  <c r="BI56" i="3"/>
  <c r="AJ63" i="3"/>
  <c r="G57" i="1"/>
  <c r="BF64" i="4"/>
  <c r="AG63" i="4"/>
  <c r="L58" i="1"/>
  <c r="M57" i="1"/>
  <c r="AO15" i="4" s="1"/>
  <c r="AH62" i="4"/>
  <c r="K59" i="1"/>
  <c r="BI55" i="4"/>
  <c r="AJ62" i="4"/>
  <c r="AG63" i="2"/>
  <c r="BF64" i="2"/>
  <c r="AG64" i="3"/>
  <c r="BF65" i="3"/>
  <c r="AG175" i="2"/>
  <c r="AH62" i="2"/>
  <c r="E59" i="1"/>
  <c r="BI55" i="2"/>
  <c r="AJ62" i="2"/>
  <c r="AG65" i="3" l="1"/>
  <c r="BF66" i="3"/>
  <c r="AQ15" i="4"/>
  <c r="AR15" i="4"/>
  <c r="AO15" i="3"/>
  <c r="AO15" i="2"/>
  <c r="AG176" i="2"/>
  <c r="AH63" i="2"/>
  <c r="BI56" i="2"/>
  <c r="E60" i="1"/>
  <c r="F60" i="1" s="1"/>
  <c r="AJ63" i="2"/>
  <c r="L59" i="1"/>
  <c r="AH63" i="4"/>
  <c r="K60" i="1"/>
  <c r="L60" i="1" s="1"/>
  <c r="BI56" i="4"/>
  <c r="AJ63" i="4"/>
  <c r="BI57" i="3"/>
  <c r="AH64" i="3"/>
  <c r="P61" i="1"/>
  <c r="Q61" i="1" s="1"/>
  <c r="AJ64" i="3"/>
  <c r="BN16" i="3"/>
  <c r="BK16" i="3"/>
  <c r="AL16" i="3"/>
  <c r="AN16" i="3"/>
  <c r="BL16" i="3"/>
  <c r="BF65" i="4"/>
  <c r="AG64" i="4"/>
  <c r="H36" i="7"/>
  <c r="H36" i="6"/>
  <c r="G17" i="5"/>
  <c r="F59" i="1"/>
  <c r="BF65" i="2"/>
  <c r="AG64" i="2"/>
  <c r="BF66" i="2" l="1"/>
  <c r="AG65" i="2"/>
  <c r="AQ15" i="2"/>
  <c r="AR15" i="2"/>
  <c r="E37" i="7"/>
  <c r="E37" i="6"/>
  <c r="D18" i="5"/>
  <c r="BO16" i="3"/>
  <c r="AQ15" i="3"/>
  <c r="AR15" i="3"/>
  <c r="BF67" i="3"/>
  <c r="AG66" i="3"/>
  <c r="AH64" i="4"/>
  <c r="K61" i="1"/>
  <c r="L61" i="1" s="1"/>
  <c r="BI57" i="4"/>
  <c r="AJ64" i="4"/>
  <c r="BL16" i="4"/>
  <c r="AT15" i="4"/>
  <c r="AI65" i="3"/>
  <c r="AH65" i="3"/>
  <c r="AU62" i="3" s="1"/>
  <c r="P62" i="1"/>
  <c r="Q62" i="1" s="1"/>
  <c r="BI58" i="3"/>
  <c r="AJ65" i="3"/>
  <c r="BM16" i="3"/>
  <c r="AG177" i="2"/>
  <c r="AH64" i="2"/>
  <c r="BI57" i="2"/>
  <c r="E61" i="1"/>
  <c r="AJ64" i="2"/>
  <c r="BN16" i="2"/>
  <c r="BL16" i="2"/>
  <c r="AL16" i="2"/>
  <c r="C132" i="7"/>
  <c r="C160" i="7" s="1"/>
  <c r="BM16" i="2"/>
  <c r="AN16" i="2"/>
  <c r="BK16" i="2"/>
  <c r="E132" i="7" s="1"/>
  <c r="AG65" i="4"/>
  <c r="BK16" i="4" s="1"/>
  <c r="BF66" i="4"/>
  <c r="BP16" i="3"/>
  <c r="AS15" i="4"/>
  <c r="E160" i="7" l="1"/>
  <c r="C37" i="7"/>
  <c r="B18" i="5"/>
  <c r="C37" i="6"/>
  <c r="BO16" i="2"/>
  <c r="F61" i="1"/>
  <c r="AG67" i="3"/>
  <c r="BF68" i="3"/>
  <c r="AT15" i="2"/>
  <c r="BF67" i="2"/>
  <c r="AG66" i="2"/>
  <c r="AT15" i="3"/>
  <c r="AS15" i="2"/>
  <c r="BF67" i="4"/>
  <c r="AG66" i="4"/>
  <c r="D132" i="7"/>
  <c r="D160" i="7" s="1"/>
  <c r="BP16" i="2"/>
  <c r="AN16" i="4"/>
  <c r="AS15" i="3"/>
  <c r="R61" i="1"/>
  <c r="AH65" i="4"/>
  <c r="AU62" i="4" s="1"/>
  <c r="AI65" i="4"/>
  <c r="K62" i="1"/>
  <c r="BI58" i="4"/>
  <c r="AJ65" i="4"/>
  <c r="BN16" i="4"/>
  <c r="BP16" i="4" s="1"/>
  <c r="BM16" i="4"/>
  <c r="AH66" i="3"/>
  <c r="P63" i="1"/>
  <c r="BI59" i="3"/>
  <c r="AJ66" i="3"/>
  <c r="F37" i="7"/>
  <c r="F37" i="6"/>
  <c r="E18" i="5"/>
  <c r="AL16" i="4"/>
  <c r="AG178" i="2"/>
  <c r="AJ178" i="2" s="1"/>
  <c r="AI65" i="2"/>
  <c r="AH65" i="2"/>
  <c r="AU62" i="2" s="1"/>
  <c r="BI58" i="2"/>
  <c r="E62" i="1"/>
  <c r="F62" i="1" s="1"/>
  <c r="AJ65" i="2"/>
  <c r="BF68" i="4" l="1"/>
  <c r="AG67" i="4"/>
  <c r="L62" i="1"/>
  <c r="M61" i="1"/>
  <c r="AO16" i="4" s="1"/>
  <c r="AG179" i="2"/>
  <c r="AH66" i="2"/>
  <c r="E63" i="1"/>
  <c r="BI59" i="2"/>
  <c r="AJ66" i="2"/>
  <c r="AG68" i="3"/>
  <c r="BF69" i="3"/>
  <c r="D37" i="7"/>
  <c r="D37" i="6"/>
  <c r="C18" i="5"/>
  <c r="Q63" i="1"/>
  <c r="BF68" i="2"/>
  <c r="AG67" i="2"/>
  <c r="AH67" i="3"/>
  <c r="P64" i="1"/>
  <c r="Q64" i="1" s="1"/>
  <c r="BI60" i="3"/>
  <c r="AJ67" i="3"/>
  <c r="G132" i="7"/>
  <c r="G160" i="7" s="1"/>
  <c r="F18" i="5"/>
  <c r="G37" i="6"/>
  <c r="BO16" i="4"/>
  <c r="G37" i="7"/>
  <c r="AH66" i="4"/>
  <c r="BI59" i="4"/>
  <c r="K63" i="1"/>
  <c r="AJ66" i="4"/>
  <c r="G61" i="1"/>
  <c r="AG69" i="3" l="1"/>
  <c r="BF70" i="3"/>
  <c r="F63" i="1"/>
  <c r="AH67" i="4"/>
  <c r="K64" i="1"/>
  <c r="L64" i="1" s="1"/>
  <c r="BI60" i="4"/>
  <c r="AJ67" i="4"/>
  <c r="AO16" i="3"/>
  <c r="AO16" i="2"/>
  <c r="L63" i="1"/>
  <c r="H37" i="7"/>
  <c r="H37" i="6"/>
  <c r="G18" i="5"/>
  <c r="AH67" i="2"/>
  <c r="AG180" i="2"/>
  <c r="BI60" i="2"/>
  <c r="E64" i="1"/>
  <c r="F64" i="1" s="1"/>
  <c r="AJ67" i="2"/>
  <c r="AH68" i="3"/>
  <c r="BI61" i="3"/>
  <c r="P65" i="1"/>
  <c r="Q65" i="1" s="1"/>
  <c r="AJ68" i="3"/>
  <c r="BN17" i="3"/>
  <c r="BK17" i="3"/>
  <c r="AN17" i="3"/>
  <c r="BL17" i="3"/>
  <c r="AL17" i="3"/>
  <c r="AG68" i="4"/>
  <c r="BF69" i="4"/>
  <c r="BF69" i="2"/>
  <c r="AG68" i="2"/>
  <c r="AQ16" i="4"/>
  <c r="AR16" i="4"/>
  <c r="AL17" i="2" l="1"/>
  <c r="AS16" i="4"/>
  <c r="AN17" i="2"/>
  <c r="AG69" i="2"/>
  <c r="BF70" i="2"/>
  <c r="BN17" i="2"/>
  <c r="AQ16" i="2"/>
  <c r="AR16" i="2"/>
  <c r="AG70" i="3"/>
  <c r="BF71" i="3"/>
  <c r="BK17" i="2"/>
  <c r="E133" i="7" s="1"/>
  <c r="BF70" i="4"/>
  <c r="AG69" i="4"/>
  <c r="D19" i="5"/>
  <c r="E38" i="6"/>
  <c r="E38" i="7"/>
  <c r="BO17" i="3"/>
  <c r="AQ16" i="3"/>
  <c r="AR16" i="3"/>
  <c r="AI69" i="3"/>
  <c r="BI62" i="3"/>
  <c r="AH69" i="3"/>
  <c r="AU66" i="3" s="1"/>
  <c r="P66" i="1"/>
  <c r="Q66" i="1" s="1"/>
  <c r="AJ69" i="3"/>
  <c r="BM17" i="3"/>
  <c r="BP17" i="3" s="1"/>
  <c r="AT16" i="4"/>
  <c r="AH68" i="4"/>
  <c r="BI61" i="4"/>
  <c r="K65" i="1"/>
  <c r="AJ68" i="4"/>
  <c r="BN17" i="4"/>
  <c r="BL17" i="4"/>
  <c r="AN17" i="4"/>
  <c r="AL17" i="4"/>
  <c r="BM17" i="4"/>
  <c r="BK17" i="4"/>
  <c r="AG181" i="2"/>
  <c r="AH68" i="2"/>
  <c r="BI61" i="2"/>
  <c r="E65" i="1"/>
  <c r="F65" i="1" s="1"/>
  <c r="AJ68" i="2"/>
  <c r="C133" i="7"/>
  <c r="C161" i="7" s="1"/>
  <c r="AG70" i="4" l="1"/>
  <c r="BF71" i="4"/>
  <c r="AT16" i="2"/>
  <c r="AG182" i="2"/>
  <c r="AJ182" i="2" s="1"/>
  <c r="AI69" i="2"/>
  <c r="AH69" i="2"/>
  <c r="AU66" i="2" s="1"/>
  <c r="BI62" i="2"/>
  <c r="E66" i="1"/>
  <c r="AJ69" i="2"/>
  <c r="BL17" i="2"/>
  <c r="BM17" i="2"/>
  <c r="AT16" i="3"/>
  <c r="R65" i="1"/>
  <c r="L65" i="1"/>
  <c r="AS16" i="3"/>
  <c r="E161" i="7"/>
  <c r="AS16" i="2"/>
  <c r="B19" i="5"/>
  <c r="C38" i="7"/>
  <c r="C38" i="6"/>
  <c r="BO17" i="2"/>
  <c r="F19" i="5"/>
  <c r="G38" i="7"/>
  <c r="G38" i="6"/>
  <c r="BO17" i="4"/>
  <c r="AG71" i="3"/>
  <c r="BF72" i="3"/>
  <c r="BP17" i="4"/>
  <c r="E19" i="5"/>
  <c r="F38" i="7"/>
  <c r="F38" i="6"/>
  <c r="AI69" i="4"/>
  <c r="AH69" i="4"/>
  <c r="AU66" i="4" s="1"/>
  <c r="K66" i="1"/>
  <c r="L66" i="1" s="1"/>
  <c r="BI62" i="4"/>
  <c r="AJ69" i="4"/>
  <c r="AH70" i="3"/>
  <c r="BI63" i="3"/>
  <c r="P67" i="1"/>
  <c r="AJ70" i="3"/>
  <c r="BF71" i="2"/>
  <c r="AG70" i="2"/>
  <c r="AG183" i="2" l="1"/>
  <c r="AH70" i="2"/>
  <c r="E67" i="1"/>
  <c r="BI63" i="2"/>
  <c r="AJ70" i="2"/>
  <c r="BF72" i="4"/>
  <c r="AG71" i="4"/>
  <c r="BF72" i="2"/>
  <c r="AG71" i="2"/>
  <c r="BF73" i="3"/>
  <c r="AG72" i="3"/>
  <c r="M65" i="1"/>
  <c r="AO17" i="4" s="1"/>
  <c r="F66" i="1"/>
  <c r="G65" i="1"/>
  <c r="BI63" i="4"/>
  <c r="AH70" i="4"/>
  <c r="K67" i="1"/>
  <c r="AJ70" i="4"/>
  <c r="AH71" i="3"/>
  <c r="P68" i="1"/>
  <c r="Q68" i="1" s="1"/>
  <c r="BI64" i="3"/>
  <c r="AJ71" i="3"/>
  <c r="D133" i="7"/>
  <c r="BP17" i="2"/>
  <c r="Q67" i="1"/>
  <c r="H38" i="7"/>
  <c r="H38" i="6"/>
  <c r="G19" i="5"/>
  <c r="D38" i="7"/>
  <c r="D38" i="6"/>
  <c r="C19" i="5"/>
  <c r="D161" i="7" l="1"/>
  <c r="G133" i="7"/>
  <c r="G161" i="7" s="1"/>
  <c r="AG184" i="2"/>
  <c r="BI64" i="2"/>
  <c r="AH71" i="2"/>
  <c r="E68" i="1"/>
  <c r="F68" i="1" s="1"/>
  <c r="AJ71" i="2"/>
  <c r="AQ17" i="4"/>
  <c r="AR17" i="4"/>
  <c r="BF73" i="2"/>
  <c r="AG72" i="2"/>
  <c r="L67" i="1"/>
  <c r="AH72" i="3"/>
  <c r="P69" i="1"/>
  <c r="Q69" i="1" s="1"/>
  <c r="BI65" i="3"/>
  <c r="AJ72" i="3"/>
  <c r="AH71" i="4"/>
  <c r="K68" i="1"/>
  <c r="L68" i="1" s="1"/>
  <c r="BI64" i="4"/>
  <c r="AJ71" i="4"/>
  <c r="F67" i="1"/>
  <c r="AO17" i="3"/>
  <c r="AO17" i="2"/>
  <c r="AG73" i="3"/>
  <c r="BK18" i="3" s="1"/>
  <c r="BF74" i="3"/>
  <c r="BF73" i="4"/>
  <c r="AG72" i="4"/>
  <c r="BI65" i="4" l="1"/>
  <c r="AH72" i="4"/>
  <c r="K69" i="1"/>
  <c r="L69" i="1" s="1"/>
  <c r="AJ72" i="4"/>
  <c r="AR17" i="2"/>
  <c r="AQ17" i="2"/>
  <c r="BM18" i="3"/>
  <c r="BL18" i="3"/>
  <c r="AU70" i="3"/>
  <c r="AS17" i="4"/>
  <c r="AG73" i="4"/>
  <c r="BK18" i="4" s="1"/>
  <c r="BF74" i="4"/>
  <c r="AR17" i="3"/>
  <c r="AQ17" i="3"/>
  <c r="AG185" i="2"/>
  <c r="AH72" i="2"/>
  <c r="BI65" i="2"/>
  <c r="E69" i="1"/>
  <c r="AJ72" i="2"/>
  <c r="BL18" i="2"/>
  <c r="AI73" i="3"/>
  <c r="AH73" i="3"/>
  <c r="P70" i="1"/>
  <c r="Q70" i="1" s="1"/>
  <c r="BI66" i="3"/>
  <c r="AJ73" i="3"/>
  <c r="AL18" i="3"/>
  <c r="AG74" i="3"/>
  <c r="BF75" i="3"/>
  <c r="AN18" i="3"/>
  <c r="AG73" i="2"/>
  <c r="BF74" i="2"/>
  <c r="BN18" i="2"/>
  <c r="BN18" i="3"/>
  <c r="BP18" i="3" s="1"/>
  <c r="R69" i="1"/>
  <c r="AT17" i="4"/>
  <c r="BK18" i="2"/>
  <c r="E134" i="7" s="1"/>
  <c r="AU70" i="4" l="1"/>
  <c r="BF75" i="2"/>
  <c r="AG74" i="2"/>
  <c r="BF75" i="4"/>
  <c r="AG74" i="4"/>
  <c r="AT17" i="2"/>
  <c r="BF76" i="3"/>
  <c r="AG75" i="3"/>
  <c r="AG186" i="2"/>
  <c r="AJ186" i="2" s="1"/>
  <c r="AI73" i="2"/>
  <c r="AH73" i="2"/>
  <c r="E70" i="1"/>
  <c r="F70" i="1" s="1"/>
  <c r="BI66" i="2"/>
  <c r="AJ73" i="2"/>
  <c r="AN18" i="2"/>
  <c r="C134" i="7"/>
  <c r="C162" i="7" s="1"/>
  <c r="BM18" i="2"/>
  <c r="AL18" i="2"/>
  <c r="AH74" i="3"/>
  <c r="BI67" i="3"/>
  <c r="P71" i="1"/>
  <c r="AJ74" i="3"/>
  <c r="AH73" i="4"/>
  <c r="AI73" i="4"/>
  <c r="K70" i="1"/>
  <c r="BI66" i="4"/>
  <c r="AJ73" i="4"/>
  <c r="BN18" i="4"/>
  <c r="BP18" i="4" s="1"/>
  <c r="BL18" i="4"/>
  <c r="AU70" i="2"/>
  <c r="E162" i="7"/>
  <c r="E39" i="7"/>
  <c r="E39" i="6"/>
  <c r="D20" i="5"/>
  <c r="BO18" i="3"/>
  <c r="F69" i="1"/>
  <c r="G69" i="1"/>
  <c r="AS17" i="3"/>
  <c r="BM18" i="4"/>
  <c r="AN18" i="4"/>
  <c r="AT17" i="3"/>
  <c r="AS17" i="2"/>
  <c r="AL18" i="4"/>
  <c r="L70" i="1" l="1"/>
  <c r="M69" i="1"/>
  <c r="AO18" i="4" s="1"/>
  <c r="AG76" i="3"/>
  <c r="BF77" i="3"/>
  <c r="BF76" i="4"/>
  <c r="AG75" i="4"/>
  <c r="F39" i="7"/>
  <c r="F39" i="6"/>
  <c r="E20" i="5"/>
  <c r="Q71" i="1"/>
  <c r="AG187" i="2"/>
  <c r="AH74" i="2"/>
  <c r="E71" i="1"/>
  <c r="BI67" i="2"/>
  <c r="AJ74" i="2"/>
  <c r="B20" i="5"/>
  <c r="C39" i="6"/>
  <c r="C39" i="7"/>
  <c r="BO18" i="2"/>
  <c r="F20" i="5"/>
  <c r="G39" i="7"/>
  <c r="BO18" i="4"/>
  <c r="G39" i="6"/>
  <c r="D134" i="7"/>
  <c r="BP18" i="2"/>
  <c r="BF76" i="2"/>
  <c r="AG75" i="2"/>
  <c r="AO18" i="3"/>
  <c r="AO18" i="2"/>
  <c r="AH75" i="3"/>
  <c r="P72" i="1"/>
  <c r="Q72" i="1" s="1"/>
  <c r="BI68" i="3"/>
  <c r="AJ75" i="3"/>
  <c r="AH74" i="4"/>
  <c r="K71" i="1"/>
  <c r="BI67" i="4"/>
  <c r="AJ74" i="4"/>
  <c r="AR18" i="2" l="1"/>
  <c r="AQ18" i="2"/>
  <c r="AQ18" i="3"/>
  <c r="AR18" i="3"/>
  <c r="D162" i="7"/>
  <c r="G134" i="7"/>
  <c r="G162" i="7" s="1"/>
  <c r="F71" i="1"/>
  <c r="AG76" i="4"/>
  <c r="BF77" i="4"/>
  <c r="AG188" i="2"/>
  <c r="AH75" i="2"/>
  <c r="BI68" i="2"/>
  <c r="E72" i="1"/>
  <c r="F72" i="1" s="1"/>
  <c r="AJ75" i="2"/>
  <c r="AG77" i="3"/>
  <c r="BF78" i="3"/>
  <c r="AQ18" i="4"/>
  <c r="AR18" i="4"/>
  <c r="L71" i="1"/>
  <c r="AG76" i="2"/>
  <c r="BF77" i="2"/>
  <c r="C20" i="5"/>
  <c r="D39" i="7"/>
  <c r="D39" i="6"/>
  <c r="BI69" i="3"/>
  <c r="AH76" i="3"/>
  <c r="P73" i="1"/>
  <c r="Q73" i="1" s="1"/>
  <c r="AJ76" i="3"/>
  <c r="BK19" i="3"/>
  <c r="AL19" i="3"/>
  <c r="BL19" i="3"/>
  <c r="G20" i="5"/>
  <c r="H39" i="7"/>
  <c r="H39" i="6"/>
  <c r="BI68" i="4"/>
  <c r="AH75" i="4"/>
  <c r="K72" i="1"/>
  <c r="L72" i="1" s="1"/>
  <c r="AJ75" i="4"/>
  <c r="BF79" i="3" l="1"/>
  <c r="AG78" i="3"/>
  <c r="D21" i="5"/>
  <c r="E40" i="6"/>
  <c r="E40" i="7"/>
  <c r="BF78" i="2"/>
  <c r="AG77" i="2"/>
  <c r="AI77" i="3"/>
  <c r="AH77" i="3"/>
  <c r="AU74" i="3" s="1"/>
  <c r="P74" i="1"/>
  <c r="BI70" i="3"/>
  <c r="AJ77" i="3"/>
  <c r="BM19" i="3"/>
  <c r="AN19" i="3"/>
  <c r="BN19" i="3"/>
  <c r="BP19" i="3" s="1"/>
  <c r="AH76" i="4"/>
  <c r="K73" i="1"/>
  <c r="L73" i="1" s="1"/>
  <c r="BI69" i="4"/>
  <c r="AJ76" i="4"/>
  <c r="AS18" i="2"/>
  <c r="AG189" i="2"/>
  <c r="AH76" i="2"/>
  <c r="E73" i="1"/>
  <c r="BI69" i="2"/>
  <c r="AJ76" i="2"/>
  <c r="AT18" i="2"/>
  <c r="AT18" i="4"/>
  <c r="BN19" i="2"/>
  <c r="BM19" i="2"/>
  <c r="AS18" i="4"/>
  <c r="AT18" i="3"/>
  <c r="BK19" i="2"/>
  <c r="E135" i="7" s="1"/>
  <c r="C135" i="7"/>
  <c r="C163" i="7" s="1"/>
  <c r="BL19" i="2"/>
  <c r="BF78" i="4"/>
  <c r="AG77" i="4"/>
  <c r="BM19" i="4" s="1"/>
  <c r="AS18" i="3"/>
  <c r="AG78" i="4" l="1"/>
  <c r="BF79" i="4"/>
  <c r="D135" i="7"/>
  <c r="D163" i="7" s="1"/>
  <c r="BP19" i="2"/>
  <c r="F73" i="1"/>
  <c r="BL19" i="4"/>
  <c r="Q74" i="1"/>
  <c r="R73" i="1"/>
  <c r="AG190" i="2"/>
  <c r="AJ190" i="2" s="1"/>
  <c r="AH77" i="2"/>
  <c r="AU74" i="2" s="1"/>
  <c r="AI77" i="2"/>
  <c r="E74" i="1"/>
  <c r="F74" i="1" s="1"/>
  <c r="BI70" i="2"/>
  <c r="AJ77" i="2"/>
  <c r="AN19" i="2"/>
  <c r="BN19" i="4"/>
  <c r="BP19" i="4" s="1"/>
  <c r="AL19" i="4"/>
  <c r="AG78" i="2"/>
  <c r="BF79" i="2"/>
  <c r="BK19" i="4"/>
  <c r="BO19" i="3"/>
  <c r="AH78" i="3"/>
  <c r="P75" i="1"/>
  <c r="BI71" i="3"/>
  <c r="AJ78" i="3"/>
  <c r="AL19" i="2"/>
  <c r="AI77" i="4"/>
  <c r="AH77" i="4"/>
  <c r="AU74" i="4" s="1"/>
  <c r="K74" i="1"/>
  <c r="L74" i="1" s="1"/>
  <c r="BI70" i="4"/>
  <c r="AJ77" i="4"/>
  <c r="E163" i="7"/>
  <c r="G135" i="7"/>
  <c r="G163" i="7" s="1"/>
  <c r="AN19" i="4"/>
  <c r="M73" i="1"/>
  <c r="AO19" i="4" s="1"/>
  <c r="AG79" i="3"/>
  <c r="BF80" i="3"/>
  <c r="AH79" i="3" l="1"/>
  <c r="P76" i="1"/>
  <c r="Q76" i="1" s="1"/>
  <c r="BI72" i="3"/>
  <c r="AJ79" i="3"/>
  <c r="AG191" i="2"/>
  <c r="AH78" i="2"/>
  <c r="E75" i="1"/>
  <c r="BI71" i="2"/>
  <c r="AJ78" i="2"/>
  <c r="AQ19" i="4"/>
  <c r="AR19" i="4"/>
  <c r="Q75" i="1"/>
  <c r="F40" i="7"/>
  <c r="F40" i="6"/>
  <c r="E21" i="5"/>
  <c r="G40" i="7"/>
  <c r="G40" i="6"/>
  <c r="F21" i="5"/>
  <c r="BO19" i="4"/>
  <c r="G73" i="1"/>
  <c r="BF80" i="4"/>
  <c r="AG79" i="4"/>
  <c r="C40" i="7"/>
  <c r="C40" i="6"/>
  <c r="B21" i="5"/>
  <c r="BO19" i="2"/>
  <c r="AH78" i="4"/>
  <c r="K75" i="1"/>
  <c r="BI71" i="4"/>
  <c r="AJ78" i="4"/>
  <c r="BF81" i="3"/>
  <c r="AG80" i="3"/>
  <c r="AG79" i="2"/>
  <c r="BF80" i="2"/>
  <c r="AO19" i="3" l="1"/>
  <c r="AO19" i="2"/>
  <c r="AS19" i="4"/>
  <c r="AG80" i="2"/>
  <c r="BF81" i="2"/>
  <c r="AH80" i="3"/>
  <c r="P77" i="1"/>
  <c r="BI73" i="3"/>
  <c r="AJ80" i="3"/>
  <c r="H40" i="7"/>
  <c r="H40" i="6"/>
  <c r="G21" i="5"/>
  <c r="AG192" i="2"/>
  <c r="BI72" i="2"/>
  <c r="AH79" i="2"/>
  <c r="E76" i="1"/>
  <c r="F76" i="1" s="1"/>
  <c r="AJ79" i="2"/>
  <c r="AG81" i="3"/>
  <c r="BN20" i="3" s="1"/>
  <c r="BF82" i="3"/>
  <c r="D40" i="7"/>
  <c r="D40" i="6"/>
  <c r="C21" i="5"/>
  <c r="AH79" i="4"/>
  <c r="K76" i="1"/>
  <c r="L76" i="1" s="1"/>
  <c r="BI72" i="4"/>
  <c r="AJ79" i="4"/>
  <c r="BK20" i="3"/>
  <c r="AN20" i="3"/>
  <c r="L75" i="1"/>
  <c r="BF81" i="4"/>
  <c r="AG80" i="4"/>
  <c r="AT19" i="4"/>
  <c r="F75" i="1"/>
  <c r="AL20" i="3"/>
  <c r="E41" i="7" l="1"/>
  <c r="E41" i="6"/>
  <c r="D22" i="5"/>
  <c r="BO20" i="3"/>
  <c r="AQ19" i="2"/>
  <c r="AR19" i="2"/>
  <c r="AG82" i="3"/>
  <c r="BF83" i="3"/>
  <c r="BF82" i="2"/>
  <c r="AG81" i="2"/>
  <c r="AQ19" i="3"/>
  <c r="AR19" i="3"/>
  <c r="AH80" i="4"/>
  <c r="K77" i="1"/>
  <c r="BI73" i="4"/>
  <c r="AJ80" i="4"/>
  <c r="AI81" i="3"/>
  <c r="AH81" i="3"/>
  <c r="AU78" i="3" s="1"/>
  <c r="P78" i="1"/>
  <c r="Q78" i="1" s="1"/>
  <c r="BI74" i="3"/>
  <c r="AJ81" i="3"/>
  <c r="BM20" i="3"/>
  <c r="BP20" i="3" s="1"/>
  <c r="BL20" i="3"/>
  <c r="AG193" i="2"/>
  <c r="AH80" i="2"/>
  <c r="BI73" i="2"/>
  <c r="E77" i="1"/>
  <c r="AJ80" i="2"/>
  <c r="BF82" i="4"/>
  <c r="AG81" i="4"/>
  <c r="BK20" i="4" s="1"/>
  <c r="Q77" i="1"/>
  <c r="R77" i="1"/>
  <c r="AU78" i="4" l="1"/>
  <c r="BM20" i="4"/>
  <c r="AT19" i="3"/>
  <c r="BF84" i="3"/>
  <c r="AG83" i="3"/>
  <c r="F77" i="1"/>
  <c r="AS19" i="3"/>
  <c r="AH82" i="3"/>
  <c r="P79" i="1"/>
  <c r="BI75" i="3"/>
  <c r="AJ82" i="3"/>
  <c r="F41" i="7"/>
  <c r="F41" i="6"/>
  <c r="E22" i="5"/>
  <c r="AH81" i="4"/>
  <c r="AI81" i="4"/>
  <c r="K78" i="1"/>
  <c r="L78" i="1" s="1"/>
  <c r="BI74" i="4"/>
  <c r="AJ81" i="4"/>
  <c r="BL20" i="4"/>
  <c r="BN20" i="4"/>
  <c r="BP20" i="4" s="1"/>
  <c r="AN20" i="4"/>
  <c r="L77" i="1"/>
  <c r="M77" i="1"/>
  <c r="AO20" i="4" s="1"/>
  <c r="AG194" i="2"/>
  <c r="AJ194" i="2" s="1"/>
  <c r="AI81" i="2"/>
  <c r="AH81" i="2"/>
  <c r="BI74" i="2"/>
  <c r="E78" i="1"/>
  <c r="F78" i="1" s="1"/>
  <c r="AJ81" i="2"/>
  <c r="C136" i="7"/>
  <c r="C164" i="7" s="1"/>
  <c r="BK20" i="2"/>
  <c r="E136" i="7" s="1"/>
  <c r="BL20" i="2"/>
  <c r="AL20" i="2"/>
  <c r="BM20" i="2"/>
  <c r="AT19" i="2"/>
  <c r="BN20" i="2"/>
  <c r="BF83" i="4"/>
  <c r="AG82" i="4"/>
  <c r="AU78" i="2"/>
  <c r="AL20" i="4"/>
  <c r="AG82" i="2"/>
  <c r="BF83" i="2"/>
  <c r="AS19" i="2"/>
  <c r="AN20" i="2"/>
  <c r="AH82" i="4" l="1"/>
  <c r="K79" i="1"/>
  <c r="BI75" i="4"/>
  <c r="AJ82" i="4"/>
  <c r="AG195" i="2"/>
  <c r="AH82" i="2"/>
  <c r="E79" i="1"/>
  <c r="BI75" i="2"/>
  <c r="AJ82" i="2"/>
  <c r="AG83" i="4"/>
  <c r="BF84" i="4"/>
  <c r="D136" i="7"/>
  <c r="D164" i="7" s="1"/>
  <c r="BP20" i="2"/>
  <c r="G77" i="1"/>
  <c r="G41" i="6"/>
  <c r="G41" i="7"/>
  <c r="BO20" i="4"/>
  <c r="F22" i="5"/>
  <c r="C41" i="6"/>
  <c r="C41" i="7"/>
  <c r="B22" i="5"/>
  <c r="BO20" i="2"/>
  <c r="Q79" i="1"/>
  <c r="AH83" i="3"/>
  <c r="P80" i="1"/>
  <c r="Q80" i="1" s="1"/>
  <c r="BI76" i="3"/>
  <c r="AJ83" i="3"/>
  <c r="AG83" i="2"/>
  <c r="BF84" i="2"/>
  <c r="G136" i="7"/>
  <c r="G164" i="7" s="1"/>
  <c r="E164" i="7"/>
  <c r="AQ20" i="4"/>
  <c r="AR20" i="4"/>
  <c r="AG84" i="3"/>
  <c r="BF85" i="3"/>
  <c r="AT20" i="4" l="1"/>
  <c r="AG84" i="2"/>
  <c r="BF85" i="2"/>
  <c r="AG84" i="4"/>
  <c r="BF85" i="4"/>
  <c r="AS20" i="4"/>
  <c r="AO20" i="3"/>
  <c r="AO20" i="2"/>
  <c r="AH83" i="4"/>
  <c r="K80" i="1"/>
  <c r="L80" i="1" s="1"/>
  <c r="BI76" i="4"/>
  <c r="AJ83" i="4"/>
  <c r="BI77" i="3"/>
  <c r="AH84" i="3"/>
  <c r="P81" i="1"/>
  <c r="AJ84" i="3"/>
  <c r="AH83" i="2"/>
  <c r="AG196" i="2"/>
  <c r="E80" i="1"/>
  <c r="F80" i="1" s="1"/>
  <c r="BI76" i="2"/>
  <c r="AJ83" i="2"/>
  <c r="D41" i="7"/>
  <c r="D41" i="6"/>
  <c r="C22" i="5"/>
  <c r="AG85" i="3"/>
  <c r="BF86" i="3"/>
  <c r="H41" i="7"/>
  <c r="H41" i="6"/>
  <c r="G22" i="5"/>
  <c r="F79" i="1"/>
  <c r="L79" i="1"/>
  <c r="AI85" i="3" l="1"/>
  <c r="AH85" i="3"/>
  <c r="AU82" i="3" s="1"/>
  <c r="P82" i="1"/>
  <c r="Q82" i="1" s="1"/>
  <c r="BI78" i="3"/>
  <c r="AJ85" i="3"/>
  <c r="BM21" i="3"/>
  <c r="Q81" i="1"/>
  <c r="R81" i="1"/>
  <c r="AQ20" i="2"/>
  <c r="AR20" i="2"/>
  <c r="AH84" i="4"/>
  <c r="K81" i="1"/>
  <c r="BI77" i="4"/>
  <c r="AJ84" i="4"/>
  <c r="BN21" i="3"/>
  <c r="AQ20" i="3"/>
  <c r="AR20" i="3"/>
  <c r="BF86" i="2"/>
  <c r="AG85" i="2"/>
  <c r="BK21" i="3"/>
  <c r="BF87" i="3"/>
  <c r="AG86" i="3"/>
  <c r="AL21" i="3"/>
  <c r="AN21" i="3"/>
  <c r="AG197" i="2"/>
  <c r="AH84" i="2"/>
  <c r="BI77" i="2"/>
  <c r="E81" i="1"/>
  <c r="AJ84" i="2"/>
  <c r="BL21" i="3"/>
  <c r="BF86" i="4"/>
  <c r="AG85" i="4"/>
  <c r="AG87" i="3" l="1"/>
  <c r="BF88" i="3"/>
  <c r="AT20" i="3"/>
  <c r="AS20" i="2"/>
  <c r="AG86" i="2"/>
  <c r="BF87" i="2"/>
  <c r="AI85" i="4"/>
  <c r="AH85" i="4"/>
  <c r="AU82" i="4" s="1"/>
  <c r="K82" i="1"/>
  <c r="L82" i="1" s="1"/>
  <c r="BI78" i="4"/>
  <c r="AJ85" i="4"/>
  <c r="BL21" i="4"/>
  <c r="BK21" i="4"/>
  <c r="BN21" i="4"/>
  <c r="AN21" i="4"/>
  <c r="BM21" i="4"/>
  <c r="AL21" i="4"/>
  <c r="F81" i="1"/>
  <c r="AS20" i="3"/>
  <c r="L81" i="1"/>
  <c r="M81" i="1"/>
  <c r="AO21" i="4" s="1"/>
  <c r="AH86" i="3"/>
  <c r="P83" i="1"/>
  <c r="BI79" i="3"/>
  <c r="AJ86" i="3"/>
  <c r="AG86" i="4"/>
  <c r="BF87" i="4"/>
  <c r="D23" i="5"/>
  <c r="E42" i="7"/>
  <c r="E42" i="6"/>
  <c r="BO21" i="3"/>
  <c r="AG198" i="2"/>
  <c r="AJ198" i="2" s="1"/>
  <c r="AI85" i="2"/>
  <c r="AH85" i="2"/>
  <c r="AU82" i="2" s="1"/>
  <c r="BI78" i="2"/>
  <c r="E82" i="1"/>
  <c r="F82" i="1" s="1"/>
  <c r="AJ85" i="2"/>
  <c r="C137" i="7"/>
  <c r="C165" i="7" s="1"/>
  <c r="BK21" i="2"/>
  <c r="E137" i="7" s="1"/>
  <c r="AL21" i="2"/>
  <c r="AN21" i="2"/>
  <c r="BM21" i="2"/>
  <c r="BL21" i="2"/>
  <c r="BN21" i="2"/>
  <c r="BP21" i="3"/>
  <c r="AT20" i="2"/>
  <c r="C42" i="7" l="1"/>
  <c r="C42" i="6"/>
  <c r="B23" i="5"/>
  <c r="BO21" i="2"/>
  <c r="BF89" i="3"/>
  <c r="AG88" i="3"/>
  <c r="E165" i="7"/>
  <c r="G137" i="7"/>
  <c r="G165" i="7" s="1"/>
  <c r="F42" i="7"/>
  <c r="F42" i="6"/>
  <c r="E23" i="5"/>
  <c r="BF88" i="4"/>
  <c r="AG87" i="4"/>
  <c r="AR21" i="4"/>
  <c r="AQ21" i="4"/>
  <c r="G81" i="1"/>
  <c r="AH87" i="3"/>
  <c r="P84" i="1"/>
  <c r="Q84" i="1" s="1"/>
  <c r="BI80" i="3"/>
  <c r="AJ87" i="3"/>
  <c r="D137" i="7"/>
  <c r="D165" i="7" s="1"/>
  <c r="BP21" i="2"/>
  <c r="BI79" i="4"/>
  <c r="AH86" i="4"/>
  <c r="K83" i="1"/>
  <c r="AJ86" i="4"/>
  <c r="Q83" i="1"/>
  <c r="BP21" i="4"/>
  <c r="BF88" i="2"/>
  <c r="AG87" i="2"/>
  <c r="G42" i="7"/>
  <c r="G42" i="6"/>
  <c r="F23" i="5"/>
  <c r="BO21" i="4"/>
  <c r="AG199" i="2"/>
  <c r="AH86" i="2"/>
  <c r="BI79" i="2"/>
  <c r="E83" i="1"/>
  <c r="AJ86" i="2"/>
  <c r="AG200" i="2" l="1"/>
  <c r="AH87" i="2"/>
  <c r="E84" i="1"/>
  <c r="F84" i="1" s="1"/>
  <c r="BI80" i="2"/>
  <c r="AJ87" i="2"/>
  <c r="F83" i="1"/>
  <c r="BF89" i="2"/>
  <c r="AG88" i="2"/>
  <c r="AS21" i="4"/>
  <c r="D42" i="7"/>
  <c r="D42" i="6"/>
  <c r="C23" i="5"/>
  <c r="AT21" i="4"/>
  <c r="AH88" i="3"/>
  <c r="P85" i="1"/>
  <c r="Q85" i="1" s="1"/>
  <c r="BI81" i="3"/>
  <c r="AJ88" i="3"/>
  <c r="BM22" i="3"/>
  <c r="BN22" i="3"/>
  <c r="BP22" i="3" s="1"/>
  <c r="BK22" i="3"/>
  <c r="L83" i="1"/>
  <c r="AH87" i="4"/>
  <c r="K84" i="1"/>
  <c r="L84" i="1" s="1"/>
  <c r="BI80" i="4"/>
  <c r="AJ87" i="4"/>
  <c r="AG89" i="3"/>
  <c r="AN22" i="3" s="1"/>
  <c r="BF90" i="3"/>
  <c r="H42" i="7"/>
  <c r="H42" i="6"/>
  <c r="G23" i="5"/>
  <c r="AO21" i="3"/>
  <c r="AO21" i="2"/>
  <c r="BF89" i="4"/>
  <c r="AG88" i="4"/>
  <c r="AR21" i="3" l="1"/>
  <c r="AQ21" i="3"/>
  <c r="BL22" i="3"/>
  <c r="AU86" i="3"/>
  <c r="AG201" i="2"/>
  <c r="AH88" i="2"/>
  <c r="BI81" i="2"/>
  <c r="E85" i="1"/>
  <c r="AJ88" i="2"/>
  <c r="AL22" i="2"/>
  <c r="AN22" i="2"/>
  <c r="BI81" i="4"/>
  <c r="AH88" i="4"/>
  <c r="K85" i="1"/>
  <c r="L85" i="1" s="1"/>
  <c r="AJ88" i="4"/>
  <c r="BM22" i="4"/>
  <c r="BF90" i="2"/>
  <c r="AG89" i="2"/>
  <c r="AG90" i="3"/>
  <c r="BF91" i="3"/>
  <c r="AG89" i="4"/>
  <c r="AN22" i="4" s="1"/>
  <c r="BF90" i="4"/>
  <c r="AI89" i="3"/>
  <c r="AH89" i="3"/>
  <c r="P86" i="1"/>
  <c r="Q86" i="1" s="1"/>
  <c r="BI82" i="3"/>
  <c r="AJ89" i="3"/>
  <c r="AL22" i="3"/>
  <c r="R85" i="1"/>
  <c r="AR21" i="2"/>
  <c r="AQ21" i="2"/>
  <c r="AT21" i="2" l="1"/>
  <c r="BF91" i="4"/>
  <c r="AG90" i="4"/>
  <c r="AH89" i="2"/>
  <c r="AG202" i="2"/>
  <c r="AJ202" i="2" s="1"/>
  <c r="AI89" i="2"/>
  <c r="BI82" i="2"/>
  <c r="E86" i="1"/>
  <c r="F86" i="1" s="1"/>
  <c r="AJ89" i="2"/>
  <c r="BL22" i="2"/>
  <c r="BM22" i="2"/>
  <c r="C138" i="7"/>
  <c r="C166" i="7" s="1"/>
  <c r="BN22" i="2"/>
  <c r="BK22" i="2"/>
  <c r="E138" i="7" s="1"/>
  <c r="AH90" i="3"/>
  <c r="P87" i="1"/>
  <c r="BI83" i="3"/>
  <c r="AJ90" i="3"/>
  <c r="AH89" i="4"/>
  <c r="AI89" i="4"/>
  <c r="K86" i="1"/>
  <c r="BI82" i="4"/>
  <c r="AJ89" i="4"/>
  <c r="BN22" i="4"/>
  <c r="BP22" i="4" s="1"/>
  <c r="BL22" i="4"/>
  <c r="B24" i="5"/>
  <c r="C43" i="6"/>
  <c r="C43" i="7"/>
  <c r="BO22" i="2"/>
  <c r="AU86" i="2"/>
  <c r="AS21" i="2"/>
  <c r="AG90" i="2"/>
  <c r="BF91" i="2"/>
  <c r="AU86" i="4"/>
  <c r="E43" i="7"/>
  <c r="E43" i="6"/>
  <c r="D24" i="5"/>
  <c r="BO22" i="3"/>
  <c r="BF92" i="3"/>
  <c r="AG91" i="3"/>
  <c r="AL22" i="4"/>
  <c r="BK22" i="4"/>
  <c r="AS21" i="3"/>
  <c r="F85" i="1"/>
  <c r="AT21" i="3"/>
  <c r="F24" i="5" l="1"/>
  <c r="G43" i="6"/>
  <c r="BO22" i="4"/>
  <c r="G43" i="7"/>
  <c r="AG91" i="2"/>
  <c r="BF92" i="2"/>
  <c r="AH91" i="3"/>
  <c r="P88" i="1"/>
  <c r="Q88" i="1" s="1"/>
  <c r="BI84" i="3"/>
  <c r="AJ91" i="3"/>
  <c r="AH90" i="2"/>
  <c r="BI83" i="2"/>
  <c r="AG203" i="2"/>
  <c r="E87" i="1"/>
  <c r="AJ90" i="2"/>
  <c r="C24" i="5"/>
  <c r="D43" i="7"/>
  <c r="D43" i="6"/>
  <c r="L86" i="1"/>
  <c r="M85" i="1"/>
  <c r="AO22" i="4" s="1"/>
  <c r="D138" i="7"/>
  <c r="D166" i="7" s="1"/>
  <c r="BP22" i="2"/>
  <c r="AH90" i="4"/>
  <c r="K87" i="1"/>
  <c r="BI83" i="4"/>
  <c r="AJ90" i="4"/>
  <c r="AG92" i="3"/>
  <c r="BF93" i="3"/>
  <c r="BF92" i="4"/>
  <c r="AG91" i="4"/>
  <c r="G138" i="7"/>
  <c r="G166" i="7" s="1"/>
  <c r="E166" i="7"/>
  <c r="G85" i="1"/>
  <c r="F43" i="7"/>
  <c r="F43" i="6"/>
  <c r="E24" i="5"/>
  <c r="Q87" i="1"/>
  <c r="AO22" i="3" l="1"/>
  <c r="AO22" i="2"/>
  <c r="AG92" i="4"/>
  <c r="BF93" i="4"/>
  <c r="AQ22" i="4"/>
  <c r="AR22" i="4"/>
  <c r="G24" i="5"/>
  <c r="H43" i="7"/>
  <c r="H43" i="6"/>
  <c r="AG93" i="3"/>
  <c r="BK23" i="3" s="1"/>
  <c r="BF94" i="3"/>
  <c r="BI85" i="3"/>
  <c r="AH92" i="3"/>
  <c r="P89" i="1"/>
  <c r="AJ92" i="3"/>
  <c r="BM23" i="3"/>
  <c r="BN23" i="3"/>
  <c r="BP23" i="3" s="1"/>
  <c r="AG92" i="2"/>
  <c r="BF93" i="2"/>
  <c r="BI84" i="4"/>
  <c r="AH91" i="4"/>
  <c r="K88" i="1"/>
  <c r="L88" i="1" s="1"/>
  <c r="AJ91" i="4"/>
  <c r="L87" i="1"/>
  <c r="F87" i="1"/>
  <c r="AG204" i="2"/>
  <c r="AH91" i="2"/>
  <c r="E88" i="1"/>
  <c r="F88" i="1" s="1"/>
  <c r="BI84" i="2"/>
  <c r="AJ91" i="2"/>
  <c r="AH92" i="2" l="1"/>
  <c r="AG205" i="2"/>
  <c r="BI85" i="2"/>
  <c r="E89" i="1"/>
  <c r="AJ92" i="2"/>
  <c r="AS22" i="4"/>
  <c r="AL23" i="3"/>
  <c r="AQ22" i="3"/>
  <c r="AR22" i="3"/>
  <c r="BF95" i="3"/>
  <c r="AG94" i="3"/>
  <c r="BF94" i="4"/>
  <c r="AG93" i="4"/>
  <c r="BN23" i="4" s="1"/>
  <c r="BF94" i="2"/>
  <c r="AG93" i="2"/>
  <c r="C139" i="7" s="1"/>
  <c r="C167" i="7" s="1"/>
  <c r="Q89" i="1"/>
  <c r="AI93" i="3"/>
  <c r="AH93" i="3"/>
  <c r="AU90" i="3" s="1"/>
  <c r="P90" i="1"/>
  <c r="Q90" i="1" s="1"/>
  <c r="BI86" i="3"/>
  <c r="AJ93" i="3"/>
  <c r="AT22" i="4"/>
  <c r="BN23" i="2"/>
  <c r="AH92" i="4"/>
  <c r="K89" i="1"/>
  <c r="L89" i="1" s="1"/>
  <c r="BI85" i="4"/>
  <c r="AJ92" i="4"/>
  <c r="BL23" i="3"/>
  <c r="AN23" i="3"/>
  <c r="AR22" i="2"/>
  <c r="AQ22" i="2"/>
  <c r="AS22" i="2" l="1"/>
  <c r="AG94" i="2"/>
  <c r="BF95" i="2"/>
  <c r="AH94" i="3"/>
  <c r="P91" i="1"/>
  <c r="BI87" i="3"/>
  <c r="AJ94" i="3"/>
  <c r="E44" i="6"/>
  <c r="D25" i="5"/>
  <c r="E44" i="7"/>
  <c r="BO23" i="3"/>
  <c r="BL23" i="2"/>
  <c r="AT22" i="2"/>
  <c r="R89" i="1"/>
  <c r="AI93" i="4"/>
  <c r="AH93" i="4"/>
  <c r="AU90" i="4" s="1"/>
  <c r="BI86" i="4"/>
  <c r="K90" i="1"/>
  <c r="L90" i="1" s="1"/>
  <c r="AJ93" i="4"/>
  <c r="BM23" i="4"/>
  <c r="BP23" i="4" s="1"/>
  <c r="BL23" i="4"/>
  <c r="AN23" i="4"/>
  <c r="BK23" i="4"/>
  <c r="AG95" i="3"/>
  <c r="BF96" i="3"/>
  <c r="M89" i="1"/>
  <c r="AO23" i="4" s="1"/>
  <c r="BM23" i="2"/>
  <c r="AG94" i="4"/>
  <c r="BF95" i="4"/>
  <c r="AT22" i="3"/>
  <c r="F89" i="1"/>
  <c r="AL23" i="4"/>
  <c r="AI93" i="2"/>
  <c r="AG206" i="2"/>
  <c r="AJ206" i="2" s="1"/>
  <c r="AH93" i="2"/>
  <c r="AU90" i="2" s="1"/>
  <c r="E90" i="1"/>
  <c r="F90" i="1" s="1"/>
  <c r="BI86" i="2"/>
  <c r="AJ93" i="2"/>
  <c r="AL23" i="2"/>
  <c r="AN23" i="2"/>
  <c r="AS22" i="3"/>
  <c r="BK23" i="2"/>
  <c r="E139" i="7" s="1"/>
  <c r="G44" i="7" l="1"/>
  <c r="G44" i="6"/>
  <c r="F25" i="5"/>
  <c r="BO23" i="4"/>
  <c r="E167" i="7"/>
  <c r="C44" i="7"/>
  <c r="C44" i="6"/>
  <c r="B25" i="5"/>
  <c r="BO23" i="2"/>
  <c r="G89" i="1"/>
  <c r="BF96" i="4"/>
  <c r="AG95" i="4"/>
  <c r="BF97" i="3"/>
  <c r="AG96" i="3"/>
  <c r="AH94" i="4"/>
  <c r="K91" i="1"/>
  <c r="BI87" i="4"/>
  <c r="AJ94" i="4"/>
  <c r="Q91" i="1"/>
  <c r="AG95" i="2"/>
  <c r="BF96" i="2"/>
  <c r="AH95" i="3"/>
  <c r="P92" i="1"/>
  <c r="Q92" i="1" s="1"/>
  <c r="BI88" i="3"/>
  <c r="AJ95" i="3"/>
  <c r="D139" i="7"/>
  <c r="D167" i="7" s="1"/>
  <c r="BP23" i="2"/>
  <c r="AH94" i="2"/>
  <c r="AG207" i="2"/>
  <c r="BI87" i="2"/>
  <c r="E91" i="1"/>
  <c r="AJ94" i="2"/>
  <c r="AQ23" i="4"/>
  <c r="AR23" i="4"/>
  <c r="F44" i="7"/>
  <c r="F44" i="6"/>
  <c r="E25" i="5"/>
  <c r="AS23" i="4" l="1"/>
  <c r="F91" i="1"/>
  <c r="AG96" i="2"/>
  <c r="BF97" i="2"/>
  <c r="L91" i="1"/>
  <c r="AH96" i="3"/>
  <c r="BI89" i="3"/>
  <c r="P93" i="1"/>
  <c r="Q93" i="1" s="1"/>
  <c r="AJ96" i="3"/>
  <c r="AO23" i="3"/>
  <c r="AO23" i="2"/>
  <c r="AG208" i="2"/>
  <c r="AH95" i="2"/>
  <c r="BI88" i="2"/>
  <c r="E92" i="1"/>
  <c r="F92" i="1" s="1"/>
  <c r="AJ95" i="2"/>
  <c r="AG97" i="3"/>
  <c r="BF98" i="3"/>
  <c r="D44" i="7"/>
  <c r="D44" i="6"/>
  <c r="C25" i="5"/>
  <c r="G139" i="7"/>
  <c r="G167" i="7" s="1"/>
  <c r="AT23" i="4"/>
  <c r="AH95" i="4"/>
  <c r="BI88" i="4"/>
  <c r="K92" i="1"/>
  <c r="L92" i="1" s="1"/>
  <c r="AJ95" i="4"/>
  <c r="BF97" i="4"/>
  <c r="AG96" i="4"/>
  <c r="H44" i="7"/>
  <c r="H44" i="6"/>
  <c r="G25" i="5"/>
  <c r="AG98" i="3" l="1"/>
  <c r="BF99" i="3"/>
  <c r="AQ23" i="2"/>
  <c r="AR23" i="2"/>
  <c r="AH96" i="4"/>
  <c r="K93" i="1"/>
  <c r="L93" i="1" s="1"/>
  <c r="BI89" i="4"/>
  <c r="AJ96" i="4"/>
  <c r="AN24" i="4"/>
  <c r="AL24" i="4"/>
  <c r="AI97" i="3"/>
  <c r="AH97" i="3"/>
  <c r="AU94" i="3" s="1"/>
  <c r="P94" i="1"/>
  <c r="BI90" i="3"/>
  <c r="AJ97" i="3"/>
  <c r="BK24" i="3"/>
  <c r="AN24" i="3"/>
  <c r="AL24" i="3"/>
  <c r="BM24" i="3"/>
  <c r="BL24" i="3"/>
  <c r="BN24" i="3"/>
  <c r="AQ23" i="3"/>
  <c r="AR23" i="3"/>
  <c r="AH96" i="2"/>
  <c r="AG209" i="2"/>
  <c r="E93" i="1"/>
  <c r="F93" i="1" s="1"/>
  <c r="BI89" i="2"/>
  <c r="AJ96" i="2"/>
  <c r="BL24" i="2"/>
  <c r="BK24" i="2"/>
  <c r="E140" i="7" s="1"/>
  <c r="AG97" i="4"/>
  <c r="BF98" i="4"/>
  <c r="BF98" i="2"/>
  <c r="AG97" i="2"/>
  <c r="AG210" i="2" l="1"/>
  <c r="AJ210" i="2" s="1"/>
  <c r="AI97" i="2"/>
  <c r="AH97" i="2"/>
  <c r="BI90" i="2"/>
  <c r="E94" i="1"/>
  <c r="AJ97" i="2"/>
  <c r="AN24" i="2"/>
  <c r="AL24" i="2"/>
  <c r="BN24" i="2"/>
  <c r="BM24" i="2"/>
  <c r="AS23" i="3"/>
  <c r="AG98" i="2"/>
  <c r="BF99" i="2"/>
  <c r="AH97" i="4"/>
  <c r="AU94" i="4" s="1"/>
  <c r="AI97" i="4"/>
  <c r="K94" i="1"/>
  <c r="BI90" i="4"/>
  <c r="AJ97" i="4"/>
  <c r="BM24" i="4"/>
  <c r="BN24" i="4"/>
  <c r="BP24" i="4" s="1"/>
  <c r="BL24" i="4"/>
  <c r="C140" i="7"/>
  <c r="C168" i="7" s="1"/>
  <c r="BP24" i="3"/>
  <c r="Q94" i="1"/>
  <c r="R93" i="1"/>
  <c r="BK24" i="4"/>
  <c r="BF100" i="3"/>
  <c r="AG99" i="3"/>
  <c r="E168" i="7"/>
  <c r="AU94" i="2"/>
  <c r="AH98" i="3"/>
  <c r="P95" i="1"/>
  <c r="BI91" i="3"/>
  <c r="AJ98" i="3"/>
  <c r="AT23" i="3"/>
  <c r="AT23" i="2"/>
  <c r="BF99" i="4"/>
  <c r="AG98" i="4"/>
  <c r="E45" i="7"/>
  <c r="E45" i="6"/>
  <c r="D26" i="5"/>
  <c r="BO24" i="3"/>
  <c r="F26" i="5"/>
  <c r="BO24" i="4"/>
  <c r="G45" i="6"/>
  <c r="G45" i="7"/>
  <c r="AS23" i="2"/>
  <c r="BF100" i="4" l="1"/>
  <c r="AG99" i="4"/>
  <c r="Q95" i="1"/>
  <c r="G26" i="5"/>
  <c r="H45" i="7"/>
  <c r="H45" i="6"/>
  <c r="BF100" i="2"/>
  <c r="AG99" i="2"/>
  <c r="D140" i="7"/>
  <c r="BP24" i="2"/>
  <c r="AH99" i="3"/>
  <c r="P96" i="1"/>
  <c r="Q96" i="1" s="1"/>
  <c r="BI92" i="3"/>
  <c r="AJ99" i="3"/>
  <c r="L94" i="1"/>
  <c r="M93" i="1"/>
  <c r="AO24" i="4" s="1"/>
  <c r="AG211" i="2"/>
  <c r="AH98" i="2"/>
  <c r="BI91" i="2"/>
  <c r="E95" i="1"/>
  <c r="AJ98" i="2"/>
  <c r="F94" i="1"/>
  <c r="G93" i="1"/>
  <c r="F45" i="7"/>
  <c r="F45" i="6"/>
  <c r="E26" i="5"/>
  <c r="AH98" i="4"/>
  <c r="BI91" i="4"/>
  <c r="K95" i="1"/>
  <c r="AJ98" i="4"/>
  <c r="AG100" i="3"/>
  <c r="BF101" i="3"/>
  <c r="B26" i="5"/>
  <c r="C45" i="7"/>
  <c r="C45" i="6"/>
  <c r="BO24" i="2"/>
  <c r="AO24" i="3" l="1"/>
  <c r="AO24" i="2"/>
  <c r="BF101" i="2"/>
  <c r="AG100" i="2"/>
  <c r="C26" i="5"/>
  <c r="D45" i="7"/>
  <c r="D45" i="6"/>
  <c r="AG101" i="3"/>
  <c r="BF102" i="3"/>
  <c r="BI93" i="3"/>
  <c r="AH100" i="3"/>
  <c r="P97" i="1"/>
  <c r="Q97" i="1" s="1"/>
  <c r="AJ100" i="3"/>
  <c r="AL25" i="3"/>
  <c r="AN25" i="3"/>
  <c r="BK25" i="3"/>
  <c r="BM25" i="3"/>
  <c r="L95" i="1"/>
  <c r="F95" i="1"/>
  <c r="AR24" i="4"/>
  <c r="AQ24" i="4"/>
  <c r="D168" i="7"/>
  <c r="G140" i="7"/>
  <c r="G168" i="7" s="1"/>
  <c r="BI92" i="4"/>
  <c r="AH99" i="4"/>
  <c r="K96" i="1"/>
  <c r="L96" i="1" s="1"/>
  <c r="AJ99" i="4"/>
  <c r="AH99" i="2"/>
  <c r="AG212" i="2"/>
  <c r="E96" i="1"/>
  <c r="F96" i="1" s="1"/>
  <c r="BI92" i="2"/>
  <c r="AJ99" i="2"/>
  <c r="AG100" i="4"/>
  <c r="BF101" i="4"/>
  <c r="BF102" i="4" l="1"/>
  <c r="AG101" i="4"/>
  <c r="AH100" i="4"/>
  <c r="K97" i="1"/>
  <c r="L97" i="1" s="1"/>
  <c r="BI93" i="4"/>
  <c r="AJ100" i="4"/>
  <c r="BM25" i="4"/>
  <c r="AN25" i="4"/>
  <c r="BL25" i="4"/>
  <c r="BK25" i="4"/>
  <c r="AL25" i="4"/>
  <c r="AI101" i="3"/>
  <c r="AH101" i="3"/>
  <c r="AU98" i="3" s="1"/>
  <c r="P98" i="1"/>
  <c r="Q98" i="1" s="1"/>
  <c r="BI94" i="3"/>
  <c r="AJ101" i="3"/>
  <c r="BN25" i="3"/>
  <c r="BP25" i="3" s="1"/>
  <c r="BL25" i="3"/>
  <c r="R97" i="1"/>
  <c r="AR24" i="3"/>
  <c r="AQ24" i="3"/>
  <c r="AS24" i="4"/>
  <c r="AG213" i="2"/>
  <c r="AH100" i="2"/>
  <c r="BI93" i="2"/>
  <c r="E97" i="1"/>
  <c r="F97" i="1" s="1"/>
  <c r="AJ100" i="2"/>
  <c r="C141" i="7"/>
  <c r="C169" i="7" s="1"/>
  <c r="BN25" i="2"/>
  <c r="AT24" i="4"/>
  <c r="D27" i="5"/>
  <c r="E46" i="6"/>
  <c r="E46" i="7"/>
  <c r="BO25" i="3"/>
  <c r="AG101" i="2"/>
  <c r="AL25" i="2" s="1"/>
  <c r="BF102" i="2"/>
  <c r="BF103" i="3"/>
  <c r="AG102" i="3"/>
  <c r="AR24" i="2"/>
  <c r="AQ24" i="2"/>
  <c r="AN25" i="2"/>
  <c r="C46" i="7" l="1"/>
  <c r="C46" i="6"/>
  <c r="B27" i="5"/>
  <c r="BO25" i="2"/>
  <c r="AH102" i="3"/>
  <c r="P99" i="1"/>
  <c r="BI95" i="3"/>
  <c r="AJ102" i="3"/>
  <c r="F46" i="7"/>
  <c r="F46" i="6"/>
  <c r="E27" i="5"/>
  <c r="BK25" i="2"/>
  <c r="E141" i="7" s="1"/>
  <c r="AS24" i="3"/>
  <c r="AI101" i="4"/>
  <c r="AH101" i="4"/>
  <c r="AU98" i="4" s="1"/>
  <c r="BI94" i="4"/>
  <c r="K98" i="1"/>
  <c r="AJ101" i="4"/>
  <c r="BN25" i="4"/>
  <c r="BP25" i="4" s="1"/>
  <c r="AT24" i="3"/>
  <c r="AG102" i="4"/>
  <c r="BF103" i="4"/>
  <c r="AG103" i="3"/>
  <c r="BF104" i="3"/>
  <c r="AS24" i="2"/>
  <c r="BF103" i="2"/>
  <c r="AG102" i="2"/>
  <c r="AT24" i="2"/>
  <c r="AI101" i="2"/>
  <c r="BI94" i="2"/>
  <c r="AG214" i="2"/>
  <c r="AJ214" i="2" s="1"/>
  <c r="AH101" i="2"/>
  <c r="AU98" i="2" s="1"/>
  <c r="E98" i="1"/>
  <c r="F98" i="1" s="1"/>
  <c r="AJ101" i="2"/>
  <c r="BM25" i="2"/>
  <c r="BL25" i="2"/>
  <c r="G46" i="7"/>
  <c r="G46" i="6"/>
  <c r="F27" i="5"/>
  <c r="BO25" i="4"/>
  <c r="H46" i="7" l="1"/>
  <c r="H46" i="6"/>
  <c r="G27" i="5"/>
  <c r="BF104" i="2"/>
  <c r="AG103" i="2"/>
  <c r="AH103" i="3"/>
  <c r="P100" i="1"/>
  <c r="Q100" i="1" s="1"/>
  <c r="BI96" i="3"/>
  <c r="AJ103" i="3"/>
  <c r="D46" i="7"/>
  <c r="D46" i="6"/>
  <c r="C27" i="5"/>
  <c r="BF104" i="4"/>
  <c r="AG103" i="4"/>
  <c r="G97" i="1"/>
  <c r="AH102" i="4"/>
  <c r="K99" i="1"/>
  <c r="BI95" i="4"/>
  <c r="AJ102" i="4"/>
  <c r="E169" i="7"/>
  <c r="Q99" i="1"/>
  <c r="D141" i="7"/>
  <c r="D169" i="7" s="1"/>
  <c r="BP25" i="2"/>
  <c r="AG215" i="2"/>
  <c r="BI95" i="2"/>
  <c r="AH102" i="2"/>
  <c r="E99" i="1"/>
  <c r="AJ102" i="2"/>
  <c r="BF105" i="3"/>
  <c r="AG104" i="3"/>
  <c r="L98" i="1"/>
  <c r="M97" i="1"/>
  <c r="AO25" i="4" s="1"/>
  <c r="AH103" i="4" l="1"/>
  <c r="BI96" i="4"/>
  <c r="K100" i="1"/>
  <c r="L100" i="1" s="1"/>
  <c r="AJ103" i="4"/>
  <c r="AG104" i="2"/>
  <c r="BF105" i="2"/>
  <c r="AH104" i="3"/>
  <c r="BI97" i="3"/>
  <c r="P101" i="1"/>
  <c r="AJ104" i="3"/>
  <c r="G141" i="7"/>
  <c r="G169" i="7" s="1"/>
  <c r="AO25" i="3"/>
  <c r="AO25" i="2"/>
  <c r="BF105" i="4"/>
  <c r="AG104" i="4"/>
  <c r="AG105" i="3"/>
  <c r="BL26" i="3" s="1"/>
  <c r="BF106" i="3"/>
  <c r="AQ25" i="4"/>
  <c r="AR25" i="4"/>
  <c r="F99" i="1"/>
  <c r="BM26" i="3"/>
  <c r="L99" i="1"/>
  <c r="BI96" i="2"/>
  <c r="AG216" i="2"/>
  <c r="AH103" i="2"/>
  <c r="E100" i="1"/>
  <c r="F100" i="1" s="1"/>
  <c r="AJ103" i="2"/>
  <c r="AS25" i="4" l="1"/>
  <c r="AQ25" i="2"/>
  <c r="AR25" i="2"/>
  <c r="AG217" i="2"/>
  <c r="BI97" i="2"/>
  <c r="AH104" i="2"/>
  <c r="E101" i="1"/>
  <c r="F101" i="1" s="1"/>
  <c r="AJ104" i="2"/>
  <c r="BK26" i="3"/>
  <c r="BN26" i="3"/>
  <c r="BP26" i="3" s="1"/>
  <c r="AQ25" i="3"/>
  <c r="AR25" i="3"/>
  <c r="AI105" i="3"/>
  <c r="AH105" i="3"/>
  <c r="P102" i="1"/>
  <c r="Q102" i="1" s="1"/>
  <c r="BI98" i="3"/>
  <c r="AJ105" i="3"/>
  <c r="Q101" i="1"/>
  <c r="R101" i="1"/>
  <c r="AN26" i="3"/>
  <c r="AH104" i="4"/>
  <c r="K101" i="1"/>
  <c r="BI97" i="4"/>
  <c r="AJ104" i="4"/>
  <c r="AL26" i="4"/>
  <c r="BM26" i="4"/>
  <c r="AU102" i="3"/>
  <c r="AT25" i="4"/>
  <c r="AG106" i="3"/>
  <c r="BF107" i="3"/>
  <c r="AG105" i="4"/>
  <c r="BK26" i="4" s="1"/>
  <c r="BF106" i="4"/>
  <c r="BF106" i="2"/>
  <c r="AG105" i="2"/>
  <c r="AL26" i="3"/>
  <c r="AH105" i="2" l="1"/>
  <c r="AU102" i="2" s="1"/>
  <c r="AG218" i="2"/>
  <c r="AJ218" i="2" s="1"/>
  <c r="AI105" i="2"/>
  <c r="E102" i="1"/>
  <c r="BI98" i="2"/>
  <c r="AJ105" i="2"/>
  <c r="BF108" i="3"/>
  <c r="AG107" i="3"/>
  <c r="G47" i="7"/>
  <c r="F28" i="5"/>
  <c r="G47" i="6"/>
  <c r="BK26" i="2"/>
  <c r="E142" i="7" s="1"/>
  <c r="C142" i="7"/>
  <c r="C170" i="7" s="1"/>
  <c r="AG106" i="2"/>
  <c r="BF107" i="2"/>
  <c r="AH106" i="3"/>
  <c r="P103" i="1"/>
  <c r="BI99" i="3"/>
  <c r="AJ106" i="3"/>
  <c r="BN26" i="2"/>
  <c r="BF107" i="4"/>
  <c r="AG106" i="4"/>
  <c r="BL26" i="2"/>
  <c r="AT25" i="2"/>
  <c r="AT25" i="3"/>
  <c r="AN26" i="2"/>
  <c r="E47" i="7"/>
  <c r="E47" i="6"/>
  <c r="D28" i="5"/>
  <c r="BO26" i="3"/>
  <c r="AH105" i="4"/>
  <c r="AU102" i="4" s="1"/>
  <c r="AI105" i="4"/>
  <c r="K102" i="1"/>
  <c r="L102" i="1" s="1"/>
  <c r="BI98" i="4"/>
  <c r="AJ105" i="4"/>
  <c r="BN26" i="4"/>
  <c r="BP26" i="4" s="1"/>
  <c r="BL26" i="4"/>
  <c r="AN26" i="4"/>
  <c r="L101" i="1"/>
  <c r="AS25" i="3"/>
  <c r="BM26" i="2"/>
  <c r="AL26" i="2"/>
  <c r="AS25" i="2"/>
  <c r="C47" i="6" l="1"/>
  <c r="C47" i="7"/>
  <c r="B28" i="5"/>
  <c r="BO26" i="2"/>
  <c r="M101" i="1"/>
  <c r="AO26" i="4" s="1"/>
  <c r="D142" i="7"/>
  <c r="D170" i="7" s="1"/>
  <c r="BP26" i="2"/>
  <c r="BF108" i="4"/>
  <c r="AG107" i="4"/>
  <c r="AG107" i="2"/>
  <c r="BF108" i="2"/>
  <c r="AH107" i="3"/>
  <c r="P104" i="1"/>
  <c r="Q104" i="1" s="1"/>
  <c r="BI100" i="3"/>
  <c r="AJ107" i="3"/>
  <c r="F102" i="1"/>
  <c r="G101" i="1"/>
  <c r="AH106" i="4"/>
  <c r="BI99" i="4"/>
  <c r="K103" i="1"/>
  <c r="AJ106" i="4"/>
  <c r="E170" i="7"/>
  <c r="F47" i="7"/>
  <c r="F47" i="6"/>
  <c r="E28" i="5"/>
  <c r="Q103" i="1"/>
  <c r="BI99" i="2"/>
  <c r="AG219" i="2"/>
  <c r="AH106" i="2"/>
  <c r="E103" i="1"/>
  <c r="AJ106" i="2"/>
  <c r="BO26" i="4"/>
  <c r="AG108" i="3"/>
  <c r="BF109" i="3"/>
  <c r="AG108" i="2" l="1"/>
  <c r="BF109" i="2"/>
  <c r="AG220" i="2"/>
  <c r="AH107" i="2"/>
  <c r="E104" i="1"/>
  <c r="F104" i="1" s="1"/>
  <c r="BI100" i="2"/>
  <c r="AJ107" i="2"/>
  <c r="AG109" i="3"/>
  <c r="BF110" i="3"/>
  <c r="AO26" i="3"/>
  <c r="AO26" i="2"/>
  <c r="BI100" i="4"/>
  <c r="AH107" i="4"/>
  <c r="K104" i="1"/>
  <c r="L104" i="1" s="1"/>
  <c r="AJ107" i="4"/>
  <c r="H47" i="7"/>
  <c r="H47" i="6"/>
  <c r="G28" i="5"/>
  <c r="F103" i="1"/>
  <c r="D47" i="7"/>
  <c r="D47" i="6"/>
  <c r="C28" i="5"/>
  <c r="L103" i="1"/>
  <c r="BI101" i="3"/>
  <c r="AH108" i="3"/>
  <c r="P105" i="1"/>
  <c r="AJ108" i="3"/>
  <c r="BM27" i="3"/>
  <c r="BK27" i="3"/>
  <c r="BL27" i="3"/>
  <c r="AL27" i="3"/>
  <c r="AN27" i="3"/>
  <c r="BN27" i="3"/>
  <c r="BP27" i="3" s="1"/>
  <c r="G142" i="7"/>
  <c r="G170" i="7" s="1"/>
  <c r="AG108" i="4"/>
  <c r="BF109" i="4"/>
  <c r="AR26" i="4"/>
  <c r="AQ26" i="4"/>
  <c r="AH108" i="4" l="1"/>
  <c r="K105" i="1"/>
  <c r="L105" i="1" s="1"/>
  <c r="BI101" i="4"/>
  <c r="AJ108" i="4"/>
  <c r="AL27" i="4"/>
  <c r="AR26" i="3"/>
  <c r="AQ26" i="3"/>
  <c r="BF111" i="3"/>
  <c r="AG110" i="3"/>
  <c r="BF110" i="2"/>
  <c r="AG109" i="2"/>
  <c r="AS26" i="4"/>
  <c r="D29" i="5"/>
  <c r="E48" i="6"/>
  <c r="BO27" i="3"/>
  <c r="E48" i="7"/>
  <c r="AI109" i="3"/>
  <c r="AH109" i="3"/>
  <c r="AU106" i="3" s="1"/>
  <c r="P106" i="1"/>
  <c r="Q106" i="1" s="1"/>
  <c r="BI102" i="3"/>
  <c r="AJ109" i="3"/>
  <c r="AH108" i="2"/>
  <c r="BI101" i="2"/>
  <c r="AG221" i="2"/>
  <c r="E105" i="1"/>
  <c r="F105" i="1" s="1"/>
  <c r="AJ108" i="2"/>
  <c r="AN27" i="2"/>
  <c r="BM27" i="2"/>
  <c r="AL27" i="2"/>
  <c r="BN27" i="2"/>
  <c r="BF110" i="4"/>
  <c r="AG109" i="4"/>
  <c r="BM27" i="4" s="1"/>
  <c r="AQ26" i="2"/>
  <c r="AR26" i="2"/>
  <c r="AT26" i="4"/>
  <c r="Q105" i="1"/>
  <c r="R105" i="1"/>
  <c r="BK27" i="4" l="1"/>
  <c r="AG110" i="4"/>
  <c r="BF111" i="4"/>
  <c r="E29" i="5"/>
  <c r="F48" i="7"/>
  <c r="F48" i="6"/>
  <c r="AG111" i="3"/>
  <c r="BF112" i="3"/>
  <c r="BL27" i="4"/>
  <c r="AS26" i="2"/>
  <c r="B29" i="5"/>
  <c r="C48" i="7"/>
  <c r="C48" i="6"/>
  <c r="BO27" i="2"/>
  <c r="AG110" i="2"/>
  <c r="BF111" i="2"/>
  <c r="AT26" i="3"/>
  <c r="F29" i="5"/>
  <c r="G48" i="7"/>
  <c r="G48" i="6"/>
  <c r="AI109" i="4"/>
  <c r="AH109" i="4"/>
  <c r="AU106" i="4" s="1"/>
  <c r="BI102" i="4"/>
  <c r="K106" i="1"/>
  <c r="L106" i="1" s="1"/>
  <c r="AJ109" i="4"/>
  <c r="BP27" i="2"/>
  <c r="AH110" i="3"/>
  <c r="P107" i="1"/>
  <c r="BI103" i="3"/>
  <c r="AJ110" i="3"/>
  <c r="AN27" i="4"/>
  <c r="AT26" i="2"/>
  <c r="AU106" i="2"/>
  <c r="AI109" i="2"/>
  <c r="AG222" i="2"/>
  <c r="AJ222" i="2" s="1"/>
  <c r="AH109" i="2"/>
  <c r="E106" i="1"/>
  <c r="F106" i="1" s="1"/>
  <c r="BI102" i="2"/>
  <c r="AJ109" i="2"/>
  <c r="C143" i="7"/>
  <c r="C171" i="7" s="1"/>
  <c r="BK27" i="2"/>
  <c r="E143" i="7" s="1"/>
  <c r="BL27" i="2"/>
  <c r="D143" i="7" s="1"/>
  <c r="D171" i="7" s="1"/>
  <c r="AS26" i="3"/>
  <c r="BN27" i="4"/>
  <c r="BP27" i="4" s="1"/>
  <c r="BF112" i="4" l="1"/>
  <c r="AG111" i="4"/>
  <c r="BF112" i="2"/>
  <c r="AG111" i="2"/>
  <c r="AH110" i="4"/>
  <c r="K107" i="1"/>
  <c r="BI103" i="4"/>
  <c r="AJ110" i="4"/>
  <c r="AH111" i="3"/>
  <c r="P108" i="1"/>
  <c r="Q108" i="1" s="1"/>
  <c r="BI104" i="3"/>
  <c r="AJ111" i="3"/>
  <c r="E171" i="7"/>
  <c r="G143" i="7"/>
  <c r="G171" i="7" s="1"/>
  <c r="G105" i="1"/>
  <c r="AH110" i="2"/>
  <c r="AG223" i="2"/>
  <c r="BI103" i="2"/>
  <c r="E107" i="1"/>
  <c r="AJ110" i="2"/>
  <c r="M105" i="1"/>
  <c r="AO27" i="4" s="1"/>
  <c r="Q107" i="1"/>
  <c r="BO27" i="4"/>
  <c r="D48" i="7"/>
  <c r="D48" i="6"/>
  <c r="C29" i="5"/>
  <c r="BF113" i="3"/>
  <c r="AG112" i="3"/>
  <c r="AH112" i="3" l="1"/>
  <c r="BI105" i="3"/>
  <c r="P109" i="1"/>
  <c r="AJ112" i="3"/>
  <c r="L107" i="1"/>
  <c r="AG224" i="2"/>
  <c r="AH111" i="2"/>
  <c r="BI104" i="2"/>
  <c r="E108" i="1"/>
  <c r="F108" i="1" s="1"/>
  <c r="AJ111" i="2"/>
  <c r="AH111" i="4"/>
  <c r="BI104" i="4"/>
  <c r="K108" i="1"/>
  <c r="L108" i="1" s="1"/>
  <c r="AJ111" i="4"/>
  <c r="AG113" i="3"/>
  <c r="BF114" i="3"/>
  <c r="H48" i="7"/>
  <c r="H48" i="6"/>
  <c r="G29" i="5"/>
  <c r="BF113" i="2"/>
  <c r="AG112" i="2"/>
  <c r="BF113" i="4"/>
  <c r="AG112" i="4"/>
  <c r="AR27" i="4"/>
  <c r="AQ27" i="4"/>
  <c r="F107" i="1"/>
  <c r="AO27" i="3"/>
  <c r="AO27" i="2"/>
  <c r="BK28" i="3"/>
  <c r="BM28" i="3"/>
  <c r="AT27" i="4" l="1"/>
  <c r="BF114" i="2"/>
  <c r="AG113" i="2"/>
  <c r="AG114" i="3"/>
  <c r="BF115" i="3"/>
  <c r="Q109" i="1"/>
  <c r="AS27" i="4"/>
  <c r="AG225" i="2"/>
  <c r="AH112" i="2"/>
  <c r="BI105" i="2"/>
  <c r="E109" i="1"/>
  <c r="F109" i="1" s="1"/>
  <c r="AJ112" i="2"/>
  <c r="BN28" i="2"/>
  <c r="BK28" i="2"/>
  <c r="E144" i="7" s="1"/>
  <c r="C144" i="7"/>
  <c r="C172" i="7" s="1"/>
  <c r="BM28" i="2"/>
  <c r="BL28" i="2"/>
  <c r="AN28" i="2"/>
  <c r="AL28" i="2"/>
  <c r="AH112" i="4"/>
  <c r="K109" i="1"/>
  <c r="L109" i="1" s="1"/>
  <c r="BI105" i="4"/>
  <c r="AJ112" i="4"/>
  <c r="AI113" i="3"/>
  <c r="AH113" i="3"/>
  <c r="P110" i="1"/>
  <c r="Q110" i="1" s="1"/>
  <c r="BI106" i="3"/>
  <c r="AJ113" i="3"/>
  <c r="BN28" i="3"/>
  <c r="BP28" i="3" s="1"/>
  <c r="BL28" i="3"/>
  <c r="AL28" i="3"/>
  <c r="AQ27" i="2"/>
  <c r="AR27" i="2"/>
  <c r="AQ27" i="3"/>
  <c r="AR27" i="3"/>
  <c r="AG113" i="4"/>
  <c r="BF114" i="4"/>
  <c r="AN28" i="3"/>
  <c r="AU110" i="3"/>
  <c r="AH113" i="4" l="1"/>
  <c r="AI113" i="4"/>
  <c r="K110" i="1"/>
  <c r="BI106" i="4"/>
  <c r="AJ113" i="4"/>
  <c r="BK28" i="4"/>
  <c r="AT27" i="3"/>
  <c r="E49" i="7"/>
  <c r="E49" i="6"/>
  <c r="D30" i="5"/>
  <c r="BO28" i="3"/>
  <c r="AN28" i="4"/>
  <c r="AL28" i="4"/>
  <c r="E172" i="7"/>
  <c r="BF116" i="3"/>
  <c r="AG115" i="3"/>
  <c r="AG114" i="2"/>
  <c r="BF115" i="2"/>
  <c r="AS27" i="3"/>
  <c r="BL28" i="4"/>
  <c r="BM28" i="4"/>
  <c r="AU110" i="4"/>
  <c r="R109" i="1"/>
  <c r="AH114" i="3"/>
  <c r="BI107" i="3"/>
  <c r="P111" i="1"/>
  <c r="AJ114" i="3"/>
  <c r="AS27" i="2"/>
  <c r="B30" i="5"/>
  <c r="C49" i="6"/>
  <c r="C49" i="7"/>
  <c r="BO28" i="2"/>
  <c r="BF115" i="4"/>
  <c r="AG114" i="4"/>
  <c r="AT27" i="2"/>
  <c r="BN28" i="4"/>
  <c r="BP28" i="4" s="1"/>
  <c r="D144" i="7"/>
  <c r="D172" i="7" s="1"/>
  <c r="BP28" i="2"/>
  <c r="AG226" i="2"/>
  <c r="AJ226" i="2" s="1"/>
  <c r="AH113" i="2"/>
  <c r="AU110" i="2" s="1"/>
  <c r="BI106" i="2"/>
  <c r="AI113" i="2"/>
  <c r="E110" i="1"/>
  <c r="F110" i="1" s="1"/>
  <c r="AJ113" i="2"/>
  <c r="AH114" i="2" l="1"/>
  <c r="AG227" i="2"/>
  <c r="BI107" i="2"/>
  <c r="E111" i="1"/>
  <c r="AJ114" i="2"/>
  <c r="G144" i="7"/>
  <c r="G172" i="7" s="1"/>
  <c r="L110" i="1"/>
  <c r="M109" i="1"/>
  <c r="AO28" i="4" s="1"/>
  <c r="D49" i="7"/>
  <c r="D49" i="6"/>
  <c r="C30" i="5"/>
  <c r="Q111" i="1"/>
  <c r="AH115" i="3"/>
  <c r="P112" i="1"/>
  <c r="Q112" i="1" s="1"/>
  <c r="BI108" i="3"/>
  <c r="AJ115" i="3"/>
  <c r="F30" i="5"/>
  <c r="G49" i="6"/>
  <c r="G49" i="7"/>
  <c r="BO28" i="4"/>
  <c r="AG116" i="3"/>
  <c r="BF117" i="3"/>
  <c r="AG117" i="3" s="1"/>
  <c r="BF116" i="4"/>
  <c r="AG115" i="4"/>
  <c r="G109" i="1"/>
  <c r="AH114" i="4"/>
  <c r="BI107" i="4"/>
  <c r="K111" i="1"/>
  <c r="AJ114" i="4"/>
  <c r="BF116" i="2"/>
  <c r="AG115" i="2"/>
  <c r="F49" i="7"/>
  <c r="F49" i="6"/>
  <c r="E30" i="5"/>
  <c r="AG116" i="2" l="1"/>
  <c r="BF117" i="2"/>
  <c r="AQ28" i="4"/>
  <c r="AR28" i="4"/>
  <c r="L111" i="1"/>
  <c r="AI117" i="3"/>
  <c r="AI119" i="3" s="1"/>
  <c r="AI121" i="4" s="1"/>
  <c r="AH117" i="3"/>
  <c r="P114" i="1"/>
  <c r="Q114" i="1" s="1"/>
  <c r="BI110" i="3"/>
  <c r="AJ117" i="3"/>
  <c r="BN29" i="3"/>
  <c r="AO28" i="3"/>
  <c r="AO28" i="2"/>
  <c r="BI109" i="3"/>
  <c r="AH116" i="3"/>
  <c r="AU114" i="3" s="1"/>
  <c r="P113" i="1"/>
  <c r="AJ116" i="3"/>
  <c r="AN29" i="3"/>
  <c r="BK29" i="3"/>
  <c r="BM29" i="3"/>
  <c r="BL29" i="3"/>
  <c r="AL29" i="3"/>
  <c r="F111" i="1"/>
  <c r="AG116" i="4"/>
  <c r="BF117" i="4"/>
  <c r="AG117" i="4" s="1"/>
  <c r="AH115" i="2"/>
  <c r="AG228" i="2"/>
  <c r="E112" i="1"/>
  <c r="F112" i="1" s="1"/>
  <c r="BI108" i="2"/>
  <c r="AJ115" i="2"/>
  <c r="BI108" i="4"/>
  <c r="AH115" i="4"/>
  <c r="K112" i="1"/>
  <c r="L112" i="1" s="1"/>
  <c r="AJ115" i="4"/>
  <c r="H49" i="7"/>
  <c r="H49" i="6"/>
  <c r="G30" i="5"/>
  <c r="AI117" i="4" l="1"/>
  <c r="AI119" i="4" s="1"/>
  <c r="AH117" i="4"/>
  <c r="BI110" i="4"/>
  <c r="K114" i="1"/>
  <c r="L114" i="1" s="1"/>
  <c r="AJ117" i="4"/>
  <c r="BN29" i="4"/>
  <c r="BF119" i="2"/>
  <c r="BF120" i="2" s="1"/>
  <c r="AG117" i="2"/>
  <c r="BF118" i="2"/>
  <c r="AH116" i="4"/>
  <c r="AU114" i="4" s="1"/>
  <c r="K113" i="1"/>
  <c r="L113" i="1" s="1"/>
  <c r="BI109" i="4"/>
  <c r="AJ116" i="4"/>
  <c r="BM29" i="4"/>
  <c r="BL29" i="4"/>
  <c r="BK29" i="4"/>
  <c r="AN29" i="4"/>
  <c r="AL29" i="4"/>
  <c r="D31" i="5"/>
  <c r="E50" i="7"/>
  <c r="BO29" i="3"/>
  <c r="E50" i="6"/>
  <c r="BP29" i="3"/>
  <c r="AG229" i="2"/>
  <c r="AH116" i="2"/>
  <c r="BI109" i="2"/>
  <c r="E113" i="1"/>
  <c r="F113" i="1" s="1"/>
  <c r="AJ116" i="2"/>
  <c r="C145" i="7"/>
  <c r="C173" i="7" s="1"/>
  <c r="BL29" i="2"/>
  <c r="AR28" i="2"/>
  <c r="AQ28" i="2"/>
  <c r="AT28" i="4"/>
  <c r="Q113" i="1"/>
  <c r="R113" i="1"/>
  <c r="AQ28" i="3"/>
  <c r="AR28" i="3"/>
  <c r="AS28" i="4"/>
  <c r="AS28" i="3" l="1"/>
  <c r="BB120" i="2"/>
  <c r="BF121" i="2"/>
  <c r="F31" i="5"/>
  <c r="G50" i="7"/>
  <c r="G50" i="6"/>
  <c r="BO29" i="4"/>
  <c r="BP29" i="4"/>
  <c r="E31" i="5"/>
  <c r="F50" i="7"/>
  <c r="F50" i="6"/>
  <c r="AS28" i="2"/>
  <c r="AT28" i="3"/>
  <c r="AT28" i="2"/>
  <c r="M113" i="1"/>
  <c r="AO29" i="4" s="1"/>
  <c r="AI117" i="2"/>
  <c r="AI119" i="2" s="1"/>
  <c r="AI120" i="4" s="1"/>
  <c r="AJ121" i="4" s="1"/>
  <c r="AH117" i="2"/>
  <c r="AU114" i="2" s="1"/>
  <c r="AG230" i="2"/>
  <c r="AJ230" i="2" s="1"/>
  <c r="AK138" i="2" s="1"/>
  <c r="BI110" i="2"/>
  <c r="E114" i="1"/>
  <c r="AJ117" i="2"/>
  <c r="BN29" i="2"/>
  <c r="AL29" i="2"/>
  <c r="AN29" i="2"/>
  <c r="BM29" i="2"/>
  <c r="BK29" i="2"/>
  <c r="E145" i="7" s="1"/>
  <c r="F114" i="1" l="1"/>
  <c r="G113" i="1"/>
  <c r="B31" i="5"/>
  <c r="C50" i="7"/>
  <c r="C50" i="6"/>
  <c r="BO29" i="2"/>
  <c r="AR29" i="4"/>
  <c r="AQ29" i="4"/>
  <c r="AS29" i="4" s="1"/>
  <c r="AJ120" i="4"/>
  <c r="E173" i="7"/>
  <c r="G145" i="7"/>
  <c r="G173" i="7" s="1"/>
  <c r="D145" i="7"/>
  <c r="D173" i="7" s="1"/>
  <c r="BP29" i="2"/>
  <c r="H50" i="7"/>
  <c r="H50" i="6"/>
  <c r="G31" i="5"/>
  <c r="AR30" i="4" l="1"/>
  <c r="AT29" i="4"/>
  <c r="H23" i="5"/>
  <c r="H22" i="5"/>
  <c r="D50" i="7"/>
  <c r="D50" i="6"/>
  <c r="C31" i="5"/>
  <c r="AO29" i="3"/>
  <c r="AO29" i="2"/>
  <c r="I22" i="5" l="1"/>
  <c r="H24" i="5" s="1"/>
  <c r="I30" i="5"/>
  <c r="I29" i="5"/>
  <c r="I23" i="5"/>
  <c r="H25" i="5"/>
  <c r="AQ29" i="3"/>
  <c r="AS29" i="3" s="1"/>
  <c r="AR29" i="3"/>
  <c r="AR32" i="2"/>
  <c r="AR31" i="2"/>
  <c r="AQ29" i="2"/>
  <c r="AS29" i="2" s="1"/>
  <c r="AR29" i="2"/>
  <c r="AR30" i="3" l="1"/>
  <c r="AT29" i="3"/>
  <c r="AR30" i="2"/>
  <c r="AT29" i="2"/>
</calcChain>
</file>

<file path=xl/comments1.xml><?xml version="1.0" encoding="utf-8"?>
<comments xmlns="http://schemas.openxmlformats.org/spreadsheetml/2006/main">
  <authors>
    <author>LC</author>
  </authors>
  <commentList>
    <comment ref="AQ1" authorId="0" shapeId="0">
      <text>
        <r>
          <rPr>
            <sz val="10"/>
            <rFont val="Arial"/>
            <family val="2"/>
            <charset val="1"/>
          </rPr>
          <t xml:space="preserve">El valor de 2019 es el estimado a 30 de septiembre 2019, menos el stock de letras ANSES que había a 30 de septiembre 2019. Se saca ese stock para que no se cuenten dos veces los fondos del blanqueo disponibles.
</t>
        </r>
      </text>
    </comment>
  </commentList>
</comments>
</file>

<file path=xl/comments2.xml><?xml version="1.0" encoding="utf-8"?>
<comments xmlns="http://schemas.openxmlformats.org/spreadsheetml/2006/main">
  <authors>
    <author>LC</author>
  </authors>
  <commentList>
    <comment ref="F2" authorId="0" shapeId="0">
      <text>
        <r>
          <rPr>
            <sz val="10"/>
            <rFont val="Arial"/>
            <family val="2"/>
            <charset val="1"/>
          </rPr>
          <t xml:space="preserve"> </t>
        </r>
      </text>
    </comment>
    <comment ref="G2" authorId="0" shapeId="0">
      <text>
        <r>
          <rPr>
            <sz val="10"/>
            <rFont val="Arial"/>
            <family val="2"/>
            <charset val="1"/>
          </rPr>
          <t xml:space="preserve"> </t>
        </r>
      </text>
    </comment>
  </commentList>
</comments>
</file>

<file path=xl/comments3.xml><?xml version="1.0" encoding="utf-8"?>
<comments xmlns="http://schemas.openxmlformats.org/spreadsheetml/2006/main">
  <authors>
    <author>LC</author>
  </authors>
  <commentList>
    <comment ref="F2" authorId="0" shapeId="0">
      <text>
        <r>
          <rPr>
            <sz val="10"/>
            <rFont val="Arial"/>
            <family val="2"/>
            <charset val="1"/>
          </rPr>
          <t>Use total pensions, post-2016 cost from period2 167 (third quarter of 2016) onwards.</t>
        </r>
      </text>
    </comment>
    <comment ref="G2" authorId="0" shapeId="0">
      <text>
        <r>
          <rPr>
            <sz val="10"/>
            <rFont val="Arial"/>
            <family val="2"/>
            <charset val="1"/>
          </rPr>
          <t>Use total net pensions, post-2016 from period2 167 (third quarter of 2016) onwards.</t>
        </r>
      </text>
    </comment>
  </commentList>
</comments>
</file>

<file path=xl/comments4.xml><?xml version="1.0" encoding="utf-8"?>
<comments xmlns="http://schemas.openxmlformats.org/spreadsheetml/2006/main">
  <authors>
    <author>LC</author>
  </authors>
  <commentList>
    <comment ref="F2" authorId="0" shapeId="0">
      <text>
        <r>
          <rPr>
            <sz val="10"/>
            <rFont val="Arial"/>
            <family val="2"/>
            <charset val="1"/>
          </rPr>
          <t>Use total pensions, post-2016 cost from period2 167 (third quarter of 2016) onwards.</t>
        </r>
      </text>
    </comment>
    <comment ref="G2" authorId="0" shapeId="0">
      <text>
        <r>
          <rPr>
            <sz val="10"/>
            <rFont val="Arial"/>
            <family val="2"/>
            <charset val="1"/>
          </rPr>
          <t>Use total net pensions, post-2016 from period2 167 (third quarter of 2016) onwards.</t>
        </r>
      </text>
    </comment>
  </commentList>
</comments>
</file>

<file path=xl/sharedStrings.xml><?xml version="1.0" encoding="utf-8"?>
<sst xmlns="http://schemas.openxmlformats.org/spreadsheetml/2006/main" count="581" uniqueCount="202">
  <si>
    <t>Central scenario</t>
  </si>
  <si>
    <t>High Scenario</t>
  </si>
  <si>
    <t>PIB en pesos constantes noviembre 2014</t>
  </si>
  <si>
    <t>Real GDP, base 2014 = 100</t>
  </si>
  <si>
    <t>Real GDP growth</t>
  </si>
  <si>
    <t>Wage share of GDP</t>
  </si>
  <si>
    <t>Central</t>
  </si>
  <si>
    <t>High</t>
  </si>
  <si>
    <t>Low</t>
  </si>
  <si>
    <t>Año</t>
  </si>
  <si>
    <t>Trimestre</t>
  </si>
  <si>
    <t>Prestaciones seguridad social, harmonizadas (sin pensión universal)</t>
  </si>
  <si>
    <t>Prestaciones seguridad social (sin pensión universal)</t>
  </si>
  <si>
    <t>Pensión universal neta</t>
  </si>
  <si>
    <t>Transferencias PAMI por pensión universal neta</t>
  </si>
  <si>
    <t>Asignaciones familiares</t>
  </si>
  <si>
    <t>Transferencias PAMI desde ANSES</t>
  </si>
  <si>
    <t>Transferencias corrientes al sector privado, harmonizadas</t>
  </si>
  <si>
    <t>Contribuciones a ANSES</t>
  </si>
  <si>
    <t>Contribuciones a ANSES, harmonizadas</t>
  </si>
  <si>
    <t>Impuesto integrado monotributo</t>
  </si>
  <si>
    <t>Impuesto integrado monotributo, harmonizado</t>
  </si>
  <si>
    <t>Déficit simulado, no harmonizado</t>
  </si>
  <si>
    <t>Déficit simulado, harmonizado (sin el impuesto integrado)</t>
  </si>
  <si>
    <t>PIB en pesos corrientes (precio de mercado)</t>
  </si>
  <si>
    <t>PIB en millones de pesos constantes de 2004</t>
  </si>
  <si>
    <t>IPC 2014 noviembre</t>
  </si>
  <si>
    <t>Crecimiento real del PIB</t>
  </si>
  <si>
    <t>Déficit trimestral bismarckiano</t>
  </si>
  <si>
    <t>Deficit annual bismarckiano</t>
  </si>
  <si>
    <t>Costo reparación histórica estimado,miles de pesos de noviembre 2014</t>
  </si>
  <si>
    <t>Crecimiento anual PIB (4to trim a 4to trim)</t>
  </si>
  <si>
    <t>Fondos blanqueo disponibles (Diciembre)</t>
  </si>
  <si>
    <t>Evolución futura del FGS, financiando reparación histórica (valores Diciembre)</t>
  </si>
  <si>
    <t>Evolución futura del FGS, financiando reparación histórica (valores Diciembre) % PIB</t>
  </si>
  <si>
    <t>Crecimiento anual del PIB</t>
  </si>
  <si>
    <t>total_active</t>
  </si>
  <si>
    <t>Crecimiento población activa</t>
  </si>
  <si>
    <t>Crecimiento salarios reales simulados</t>
  </si>
  <si>
    <t>Remuneración del Trabajo Asalariado en porcentjae del Valor Agregado Bruto (VAB)</t>
  </si>
  <si>
    <t>Ingresos Brutos Mixtos en porcentaje VAB</t>
  </si>
  <si>
    <t>Remuneración del trabajo en % VAB</t>
  </si>
  <si>
    <t>Crecimiento PIB real, función de alza población, salarios y participación en el producto</t>
  </si>
  <si>
    <t>Contribuciones a SIPA en porcentaje PIB, simulado</t>
  </si>
  <si>
    <t>Contribuciones anuales en % PIB</t>
  </si>
  <si>
    <t>Asignaciones familiares + transferencias a PAMI en % PIB</t>
  </si>
  <si>
    <t>Prestaciones de seguridad social en % PIB</t>
  </si>
  <si>
    <t>Costo de la pensión universal en % del PIB</t>
  </si>
  <si>
    <t>Déficit incluyendo el costo de la pensión unviersal</t>
  </si>
  <si>
    <t>Medidas EPH</t>
  </si>
  <si>
    <t>Simuladas</t>
  </si>
  <si>
    <t>Simulado</t>
  </si>
  <si>
    <t>A escala</t>
  </si>
  <si>
    <t>Medido EPH</t>
  </si>
  <si>
    <t>Salarios reales</t>
  </si>
  <si>
    <t>Crecimiento</t>
  </si>
  <si>
    <t>Sin financiar</t>
  </si>
  <si>
    <t>Financiando</t>
  </si>
  <si>
    <t xml:space="preserve">Hay que relajar la hipótesis de que no cambia reparto capital trabajo PBI: momento en que suben salarios, pero no sube linearmente el PBI en consecuencia. Quizás también hacer proyecciones de salarios menos optimistas, o postergar el crecimiento esperado para 2020. </t>
  </si>
  <si>
    <t>158 vs 160</t>
  </si>
  <si>
    <t>Prestaciones seguridad social, harmonizadas</t>
  </si>
  <si>
    <t>Prestaciones seguridad social</t>
  </si>
  <si>
    <t>Déficit incluyendo el costo de la pensión universal</t>
  </si>
  <si>
    <t>197 vs 208!</t>
  </si>
  <si>
    <t>CENTRAL</t>
  </si>
  <si>
    <t>LOW</t>
  </si>
  <si>
    <t>HIGH</t>
  </si>
  <si>
    <t>Central scenario, ANSES bismarckian deficit</t>
  </si>
  <si>
    <t>Central scenario, bismarckian deficit including universal pension</t>
  </si>
  <si>
    <t>Low scenario, ANSES bismarckian deficit</t>
  </si>
  <si>
    <t>Low scenario, bismarckian deficit including universal pension</t>
  </si>
  <si>
    <t>High scenario, ANSES bismarckian deficit</t>
  </si>
  <si>
    <t>High scenario, bismarckian deficit including universal pension</t>
  </si>
  <si>
    <t>Historical values</t>
  </si>
  <si>
    <t>Central scenario, including universal pension</t>
  </si>
  <si>
    <t>Low scenario</t>
  </si>
  <si>
    <t>Low scenario, including universal pension</t>
  </si>
  <si>
    <t>High scenario</t>
  </si>
  <si>
    <t>High scenario, including universal pension</t>
  </si>
  <si>
    <t>Central scenario, including universal pension and without coparticipation</t>
  </si>
  <si>
    <t>Low scenario, including universal pension and without coparticipation</t>
  </si>
  <si>
    <t>High scenario, including universal pension and without coparticipation</t>
  </si>
  <si>
    <t>Table from ANSES measured economic result, found in \Git_MISSAR_model\MISSAR\Excel_files_for_MISSAR</t>
  </si>
  <si>
    <t>Non contributive income</t>
  </si>
  <si>
    <t>Non contributive expenses</t>
  </si>
  <si>
    <t>Ingresos fiscales y coparticipación</t>
  </si>
  <si>
    <t>Gastos figurativos + sentencias</t>
  </si>
  <si>
    <t>Ganancias ANSES</t>
  </si>
  <si>
    <t>Componente impositivo del monotributo a ANSES</t>
  </si>
  <si>
    <t>IVA ANSES</t>
  </si>
  <si>
    <t>Líquidos totales</t>
  </si>
  <si>
    <t>Adicional cigarrillos</t>
  </si>
  <si>
    <t>Cheque</t>
  </si>
  <si>
    <t>15 % coparticipación</t>
  </si>
  <si>
    <t>Líquidos que van a ANSES</t>
  </si>
  <si>
    <t>Gastos operativos</t>
  </si>
  <si>
    <t>Comisiones por recaudación (fuente: ANSES transparencia ISSFinanciero)</t>
  </si>
  <si>
    <t>ISS</t>
  </si>
  <si>
    <t>Otras dependencias (Min. Desarrollo social) no financiados por rentas generales + gastos capital</t>
  </si>
  <si>
    <t>Sentencias ANSES</t>
  </si>
  <si>
    <t>PNC</t>
  </si>
  <si>
    <t>Transferencias a gobiernos provinciales</t>
  </si>
  <si>
    <t>Devolución coparticipación a provincias</t>
  </si>
  <si>
    <t>Also, from 01/01/2018 ganancias stops funding ANSES, and instead comes the check tax. 33% of it can be deducted from the ganancias income tax, but this represents a stable proportion of the GDP. Law 27430 however allows the government to fully eliminate the check tax by 20% shares each year, a tax reduction that was stopped in 2018 as asked by the IMF</t>
  </si>
  <si>
    <t>Average non-contributive income and expense</t>
  </si>
  <si>
    <t>New taxes: dollar tax and export tariffs increase</t>
  </si>
  <si>
    <t>Family benefits</t>
  </si>
  <si>
    <t>Pensions</t>
  </si>
  <si>
    <t>Social security contributions</t>
  </si>
  <si>
    <t>Fiscal income net of non-simulated expenses</t>
  </si>
  <si>
    <t>Economic result</t>
  </si>
  <si>
    <t>total pensions, pre-2016, cost</t>
  </si>
  <si>
    <t>total net pensions, pre-2016</t>
  </si>
  <si>
    <t>total universal pensions, cost</t>
  </si>
  <si>
    <t>total net universal pensions</t>
  </si>
  <si>
    <t>Sum of columns from v5_m.xlsx file, except total family benefits</t>
  </si>
  <si>
    <t>total pensions, post-2016, cost</t>
  </si>
  <si>
    <t>total net pensions, post-2016</t>
  </si>
  <si>
    <t>Copy here</t>
  </si>
  <si>
    <t>Thousands of constant November 2014 pesos</t>
  </si>
  <si>
    <t>Year</t>
  </si>
  <si>
    <t>Quarter</t>
  </si>
  <si>
    <t>Period2</t>
  </si>
  <si>
    <t>Total retirement benefits cost (including universal pension)</t>
  </si>
  <si>
    <t>Retirement benefits paid by ANSES net of PAMI transfer (with universal pension)</t>
  </si>
  <si>
    <t>Total retirement benefits cost (excluding universal pension, with transfers to PAMI)</t>
  </si>
  <si>
    <t>Total retirement benefits (excluding universal pension and transfers to PAMI)</t>
  </si>
  <si>
    <t>Universal pension's cost (including transfers to PAMI)</t>
  </si>
  <si>
    <t>Universal pensions net of transfers to PAMI</t>
  </si>
  <si>
    <t>Healthcare transfers to the PAMI by ANSES</t>
  </si>
  <si>
    <t>Healtchare transfers to the PAMI by universal pension</t>
  </si>
  <si>
    <t>Total family benefits</t>
  </si>
  <si>
    <t>Social security benefits, source: seguimiento físico financiero</t>
  </si>
  <si>
    <t>Coefficient to scale computed retirement benefits to actual social security benefits paid by ANSES</t>
  </si>
  <si>
    <t>Social security payments by ANSES, to scale</t>
  </si>
  <si>
    <t>Family benefits, source: seguimiento físico financiero</t>
  </si>
  <si>
    <t>Transfers to the PAMI (3.62% of social security benefits. 3.62% is current health transfers by ANSES in the Cuenta de Inversión divided by social security benefits in the Cuenta de Inversión).</t>
  </si>
  <si>
    <t>Current transfers to the private sector as depicted in the seguimiento físico financiero</t>
  </si>
  <si>
    <t>Coefficient to scale computed family benefits</t>
  </si>
  <si>
    <t>Net universal pension , to scale</t>
  </si>
  <si>
    <t>PAMI transfers due to the universal pension, to scale</t>
  </si>
  <si>
    <t>Current transfers by ANSES to the private sector (including PAMI contributions), to scale</t>
  </si>
  <si>
    <t>Family benefits up to scale</t>
  </si>
  <si>
    <t>PAMI transfers up to scale, excluding universal pension</t>
  </si>
  <si>
    <t>Measured values (EPH)</t>
  </si>
  <si>
    <t>Average (2014-2015)</t>
  </si>
  <si>
    <t>Simulated values</t>
  </si>
  <si>
    <t>Decreto 807 2016: los nuevos indices de actualización son de aplicación para las nuevas jubilaciones a partir de agosto 2016. Ergo, se aplica el cálculo de jubilaciones con índice ₂ a partir del tercer trimestre 2016, período 55</t>
  </si>
  <si>
    <t>Total_SIPA_income</t>
  </si>
  <si>
    <t>Monotributo_integrated_tax</t>
  </si>
  <si>
    <t>THOUSANDS OF NOVEMBER 2014 PESOS</t>
  </si>
  <si>
    <t>period2</t>
  </si>
  <si>
    <t>Total contributions + integrated tax for ANSES</t>
  </si>
  <si>
    <t>Total monotributo integrated tax</t>
  </si>
  <si>
    <t>Total social security contributions</t>
  </si>
  <si>
    <t>Total social security contributions for ANSES, AFIP data</t>
  </si>
  <si>
    <t>Coefficient to scale computed social security contributions to actual social security contributions given to ANSES, AFIP data</t>
  </si>
  <si>
    <t>Simulated social security contributions for ANSES, to scale</t>
  </si>
  <si>
    <t>Monotributo integrated tax, AFIP data</t>
  </si>
  <si>
    <t>Coefficient to scale computed monotributo integrated tax to actual monotributo integrated tax, AFIP data</t>
  </si>
  <si>
    <t>Monotributo integrated tax, to scale</t>
  </si>
  <si>
    <t>Measured data  (EPH)</t>
  </si>
  <si>
    <t>average?</t>
  </si>
  <si>
    <t>Simulated data</t>
  </si>
  <si>
    <t>Period</t>
  </si>
  <si>
    <t>Mean_real_labour_income</t>
  </si>
  <si>
    <t>Total_workers</t>
  </si>
  <si>
    <t>period</t>
  </si>
  <si>
    <t>Total_pensions_pre-2016_cost</t>
  </si>
  <si>
    <t>Total_net_pensions_pre-2016</t>
  </si>
  <si>
    <t>Total_pensions_post-2016_cost</t>
  </si>
  <si>
    <t>Total_net_pensions_post-2016</t>
  </si>
  <si>
    <t>Total_retirement_benefits_pre-2016</t>
  </si>
  <si>
    <t>Total_survivors_pensions_pre-2016</t>
  </si>
  <si>
    <t>Total_retirement_benefits_post-2016</t>
  </si>
  <si>
    <t>Total_survivors_pensions_post-2016</t>
  </si>
  <si>
    <t>Total_universal_pensions_cost</t>
  </si>
  <si>
    <t>Total_net_universal_pensions</t>
  </si>
  <si>
    <t>Total_thirteenth_month_of_pension_pre-2016_cost</t>
  </si>
  <si>
    <t>Total_net_thirteenth_month_of_pension_pre-2016</t>
  </si>
  <si>
    <t>Total_thirteenth_month_of_pension_post-2016_cost</t>
  </si>
  <si>
    <t>Total_net_thirteenth_month_of_pension_post-2016</t>
  </si>
  <si>
    <t>Total_thirteenth_month_of_universal_pension_cost</t>
  </si>
  <si>
    <t>Total_net_thirteenth_month_of_universal_pension</t>
  </si>
  <si>
    <t>Total_family_benefits</t>
  </si>
  <si>
    <t>Total_contributive_child_benefits</t>
  </si>
  <si>
    <t>Total_auh</t>
  </si>
  <si>
    <t>Total_spouse_benefit</t>
  </si>
  <si>
    <t>Total_school_aid</t>
  </si>
  <si>
    <t>Total_wedding_benefit</t>
  </si>
  <si>
    <t>Total_prenatal_benefit</t>
  </si>
  <si>
    <t>Total_pregnancy_benefit</t>
  </si>
  <si>
    <t>Total_birth_benefit</t>
  </si>
  <si>
    <t>Total_wage-earners_SIPA_contributions</t>
  </si>
  <si>
    <t>Total_taxable_income</t>
  </si>
  <si>
    <t>Total_gross_wages</t>
  </si>
  <si>
    <t>Total_SAC</t>
  </si>
  <si>
    <t>Total_autonomous_workers_SIPA_contributions</t>
  </si>
  <si>
    <t>Total_Monotributo_SIPA_contributions</t>
  </si>
  <si>
    <t>All_pensions</t>
  </si>
  <si>
    <t>Contributory_pensions</t>
  </si>
  <si>
    <t>Moratorium_and_PUAM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</si>
</sst>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\ * #,##0.00&quot;    &quot;;\-* #,##0.00&quot;    &quot;;\ * \-#&quot;    &quot;;\ @\ "/>
    <numFmt numFmtId="165" formatCode="0.000000"/>
  </numFmts>
  <fonts count="10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sz val="10"/>
      <name val="Arial"/>
      <charset val="1"/>
    </font>
    <font>
      <sz val="8"/>
      <name val="Arial"/>
      <family val="2"/>
      <charset val="1"/>
    </font>
    <font>
      <b/>
      <sz val="10"/>
      <color rgb="FF000000"/>
      <name val="Arial"/>
      <family val="2"/>
      <charset val="1"/>
    </font>
    <font>
      <sz val="10"/>
      <color rgb="FF000000"/>
      <name val="Arial"/>
      <charset val="1"/>
    </font>
    <font>
      <b/>
      <sz val="10"/>
      <color rgb="FF000000"/>
      <name val="Arial"/>
      <charset val="1"/>
    </font>
    <font>
      <b/>
      <sz val="12"/>
      <name val="Arial"/>
      <family val="2"/>
      <charset val="1"/>
    </font>
    <font>
      <b/>
      <i/>
      <sz val="10"/>
      <name val="Arial"/>
      <family val="2"/>
      <charset val="1"/>
    </font>
    <font>
      <sz val="10"/>
      <name val="Arial"/>
      <family val="2"/>
      <charset val="1"/>
    </font>
  </fonts>
  <fills count="17">
    <fill>
      <patternFill patternType="none"/>
    </fill>
    <fill>
      <patternFill patternType="gray125"/>
    </fill>
    <fill>
      <patternFill patternType="solid">
        <fgColor rgb="FFFFD320"/>
        <bgColor rgb="FFFFFF00"/>
      </patternFill>
    </fill>
    <fill>
      <patternFill patternType="solid">
        <fgColor rgb="FFFFFFCC"/>
        <bgColor rgb="FFFFFFFF"/>
      </patternFill>
    </fill>
    <fill>
      <patternFill patternType="solid">
        <fgColor rgb="FFDDDDDD"/>
        <bgColor rgb="FFD9D9D9"/>
      </patternFill>
    </fill>
    <fill>
      <patternFill patternType="solid">
        <fgColor rgb="FFFFFFFF"/>
        <bgColor rgb="FFFFFFCC"/>
      </patternFill>
    </fill>
    <fill>
      <patternFill patternType="solid">
        <fgColor rgb="FF66CCFF"/>
        <bgColor rgb="FF83CAFF"/>
      </patternFill>
    </fill>
    <fill>
      <patternFill patternType="solid">
        <fgColor rgb="FF99CCFF"/>
        <bgColor rgb="FF83CAFF"/>
      </patternFill>
    </fill>
    <fill>
      <patternFill patternType="solid">
        <fgColor rgb="FFCCFFFF"/>
        <bgColor rgb="FFCFE7F5"/>
      </patternFill>
    </fill>
    <fill>
      <patternFill patternType="solid">
        <fgColor rgb="FF33CCCC"/>
        <bgColor rgb="FF66CCFF"/>
      </patternFill>
    </fill>
    <fill>
      <patternFill patternType="solid">
        <fgColor rgb="FFFF8080"/>
        <bgColor rgb="FFFF9999"/>
      </patternFill>
    </fill>
    <fill>
      <patternFill patternType="solid">
        <fgColor rgb="FFFF00FF"/>
        <bgColor rgb="FFFF00FF"/>
      </patternFill>
    </fill>
    <fill>
      <patternFill patternType="solid">
        <fgColor rgb="FF3366FF"/>
        <bgColor rgb="FF0066CC"/>
      </patternFill>
    </fill>
    <fill>
      <patternFill patternType="solid">
        <fgColor rgb="FF99FF33"/>
        <bgColor rgb="FFFFFF00"/>
      </patternFill>
    </fill>
    <fill>
      <patternFill patternType="solid">
        <fgColor rgb="FFFF9999"/>
        <bgColor rgb="FFFF8080"/>
      </patternFill>
    </fill>
    <fill>
      <patternFill patternType="solid">
        <fgColor rgb="FF99FFFF"/>
        <bgColor rgb="FFCCFFFF"/>
      </patternFill>
    </fill>
    <fill>
      <patternFill patternType="solid">
        <fgColor rgb="FFCFE7F5"/>
        <bgColor rgb="FFDDDDDD"/>
      </patternFill>
    </fill>
  </fills>
  <borders count="6">
    <border>
      <left/>
      <right/>
      <top/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hair">
        <color auto="1"/>
      </bottom>
      <diagonal/>
    </border>
  </borders>
  <cellStyleXfs count="5">
    <xf numFmtId="0" fontId="0" fillId="0" borderId="0"/>
    <xf numFmtId="164" fontId="2" fillId="0" borderId="0" applyBorder="0" applyProtection="0"/>
    <xf numFmtId="9" fontId="2" fillId="0" borderId="0" applyBorder="0" applyProtection="0"/>
    <xf numFmtId="0" fontId="9" fillId="0" borderId="0" applyBorder="0" applyProtection="0"/>
    <xf numFmtId="0" fontId="9" fillId="0" borderId="0"/>
  </cellStyleXfs>
  <cellXfs count="138">
    <xf numFmtId="0" fontId="0" fillId="0" borderId="0" xfId="0"/>
    <xf numFmtId="0" fontId="0" fillId="2" borderId="0" xfId="0" applyFont="1" applyFill="1"/>
    <xf numFmtId="0" fontId="0" fillId="3" borderId="0" xfId="0" applyFill="1"/>
    <xf numFmtId="0" fontId="0" fillId="0" borderId="0" xfId="0" applyFont="1"/>
    <xf numFmtId="3" fontId="0" fillId="3" borderId="0" xfId="0" applyNumberFormat="1" applyFont="1" applyFill="1"/>
    <xf numFmtId="0" fontId="0" fillId="4" borderId="0" xfId="0" applyFill="1"/>
    <xf numFmtId="3" fontId="0" fillId="4" borderId="0" xfId="0" applyNumberFormat="1" applyFill="1"/>
    <xf numFmtId="0" fontId="0" fillId="5" borderId="0" xfId="0" applyFill="1"/>
    <xf numFmtId="3" fontId="0" fillId="4" borderId="0" xfId="0" applyNumberFormat="1" applyFont="1" applyFill="1"/>
    <xf numFmtId="3" fontId="0" fillId="5" borderId="0" xfId="0" applyNumberFormat="1" applyFill="1"/>
    <xf numFmtId="10" fontId="0" fillId="6" borderId="0" xfId="0" applyNumberFormat="1" applyFill="1"/>
    <xf numFmtId="2" fontId="0" fillId="4" borderId="0" xfId="0" applyNumberFormat="1" applyFill="1"/>
    <xf numFmtId="2" fontId="0" fillId="5" borderId="0" xfId="0" applyNumberFormat="1" applyFill="1"/>
    <xf numFmtId="3" fontId="0" fillId="0" borderId="0" xfId="0" applyNumberFormat="1"/>
    <xf numFmtId="0" fontId="0" fillId="2" borderId="0" xfId="0" applyFont="1" applyFill="1" applyAlignment="1">
      <alignment horizontal="justify"/>
    </xf>
    <xf numFmtId="3" fontId="0" fillId="2" borderId="0" xfId="0" applyNumberFormat="1" applyFont="1" applyFill="1" applyAlignment="1">
      <alignment horizontal="justify"/>
    </xf>
    <xf numFmtId="0" fontId="0" fillId="2" borderId="0" xfId="0" applyFill="1" applyAlignment="1">
      <alignment horizontal="justify"/>
    </xf>
    <xf numFmtId="0" fontId="1" fillId="2" borderId="0" xfId="0" applyFont="1" applyFill="1"/>
    <xf numFmtId="0" fontId="1" fillId="2" borderId="0" xfId="0" applyFont="1" applyFill="1" applyAlignment="1">
      <alignment horizontal="justify"/>
    </xf>
    <xf numFmtId="0" fontId="1" fillId="2" borderId="0" xfId="0" applyFont="1" applyFill="1" applyAlignment="1">
      <alignment wrapText="1"/>
    </xf>
    <xf numFmtId="0" fontId="1" fillId="3" borderId="0" xfId="0" applyFont="1" applyFill="1"/>
    <xf numFmtId="0" fontId="0" fillId="3" borderId="0" xfId="0" applyFont="1" applyFill="1"/>
    <xf numFmtId="3" fontId="0" fillId="3" borderId="0" xfId="0" applyNumberFormat="1" applyFill="1"/>
    <xf numFmtId="3" fontId="0" fillId="2" borderId="0" xfId="0" applyNumberFormat="1" applyFill="1"/>
    <xf numFmtId="10" fontId="0" fillId="3" borderId="0" xfId="0" applyNumberFormat="1" applyFill="1"/>
    <xf numFmtId="10" fontId="1" fillId="3" borderId="0" xfId="0" applyNumberFormat="1" applyFont="1" applyFill="1"/>
    <xf numFmtId="10" fontId="0" fillId="0" borderId="0" xfId="0" applyNumberFormat="1"/>
    <xf numFmtId="10" fontId="0" fillId="3" borderId="0" xfId="2" applyNumberFormat="1" applyFont="1" applyFill="1" applyBorder="1" applyAlignment="1" applyProtection="1"/>
    <xf numFmtId="10" fontId="0" fillId="3" borderId="0" xfId="0" applyNumberFormat="1" applyFont="1" applyFill="1"/>
    <xf numFmtId="3" fontId="1" fillId="3" borderId="0" xfId="0" applyNumberFormat="1" applyFont="1" applyFill="1"/>
    <xf numFmtId="3" fontId="0" fillId="0" borderId="0" xfId="0" applyNumberFormat="1" applyFont="1"/>
    <xf numFmtId="3" fontId="0" fillId="2" borderId="0" xfId="0" applyNumberFormat="1" applyFont="1" applyFill="1"/>
    <xf numFmtId="0" fontId="1" fillId="0" borderId="0" xfId="0" applyFont="1"/>
    <xf numFmtId="10" fontId="1" fillId="0" borderId="0" xfId="0" applyNumberFormat="1" applyFont="1"/>
    <xf numFmtId="10" fontId="0" fillId="0" borderId="0" xfId="2" applyNumberFormat="1" applyFont="1" applyBorder="1" applyAlignment="1" applyProtection="1"/>
    <xf numFmtId="10" fontId="0" fillId="4" borderId="0" xfId="0" applyNumberFormat="1" applyFill="1"/>
    <xf numFmtId="0" fontId="1" fillId="4" borderId="0" xfId="0" applyFont="1" applyFill="1"/>
    <xf numFmtId="10" fontId="1" fillId="4" borderId="0" xfId="0" applyNumberFormat="1" applyFont="1" applyFill="1"/>
    <xf numFmtId="10" fontId="0" fillId="4" borderId="0" xfId="2" applyNumberFormat="1" applyFont="1" applyFill="1" applyBorder="1" applyAlignment="1" applyProtection="1"/>
    <xf numFmtId="0" fontId="0" fillId="4" borderId="0" xfId="0" applyFont="1" applyFill="1"/>
    <xf numFmtId="4" fontId="0" fillId="4" borderId="0" xfId="0" applyNumberFormat="1" applyFill="1"/>
    <xf numFmtId="3" fontId="0" fillId="5" borderId="0" xfId="0" applyNumberFormat="1" applyFont="1" applyFill="1"/>
    <xf numFmtId="10" fontId="0" fillId="5" borderId="0" xfId="0" applyNumberFormat="1" applyFill="1"/>
    <xf numFmtId="0" fontId="1" fillId="5" borderId="0" xfId="0" applyFont="1" applyFill="1"/>
    <xf numFmtId="10" fontId="1" fillId="5" borderId="0" xfId="0" applyNumberFormat="1" applyFont="1" applyFill="1"/>
    <xf numFmtId="10" fontId="0" fillId="5" borderId="0" xfId="2" applyNumberFormat="1" applyFont="1" applyFill="1" applyBorder="1" applyAlignment="1" applyProtection="1"/>
    <xf numFmtId="0" fontId="0" fillId="5" borderId="0" xfId="0" applyFont="1" applyFill="1"/>
    <xf numFmtId="4" fontId="0" fillId="5" borderId="0" xfId="0" applyNumberFormat="1" applyFill="1"/>
    <xf numFmtId="1" fontId="0" fillId="5" borderId="0" xfId="2" applyNumberFormat="1" applyFont="1" applyFill="1" applyBorder="1" applyAlignment="1" applyProtection="1"/>
    <xf numFmtId="10" fontId="2" fillId="0" borderId="0" xfId="2" applyNumberFormat="1" applyBorder="1" applyProtection="1"/>
    <xf numFmtId="9" fontId="0" fillId="4" borderId="0" xfId="2" applyFont="1" applyFill="1" applyBorder="1" applyAlignment="1" applyProtection="1"/>
    <xf numFmtId="0" fontId="3" fillId="0" borderId="0" xfId="0" applyFont="1"/>
    <xf numFmtId="2" fontId="1" fillId="5" borderId="0" xfId="0" applyNumberFormat="1" applyFont="1" applyFill="1"/>
    <xf numFmtId="0" fontId="1" fillId="5" borderId="0" xfId="0" applyFont="1" applyFill="1"/>
    <xf numFmtId="0" fontId="0" fillId="5" borderId="0" xfId="0" applyFill="1" applyAlignment="1">
      <alignment wrapText="1"/>
    </xf>
    <xf numFmtId="3" fontId="0" fillId="4" borderId="0" xfId="0" applyNumberFormat="1" applyFill="1" applyAlignment="1">
      <alignment horizontal="right" wrapText="1"/>
    </xf>
    <xf numFmtId="3" fontId="0" fillId="5" borderId="0" xfId="0" applyNumberFormat="1" applyFill="1" applyAlignment="1">
      <alignment horizontal="right" wrapText="1"/>
    </xf>
    <xf numFmtId="1" fontId="0" fillId="5" borderId="0" xfId="0" applyNumberFormat="1" applyFill="1" applyAlignment="1">
      <alignment horizontal="right" wrapText="1"/>
    </xf>
    <xf numFmtId="164" fontId="2" fillId="0" borderId="0" xfId="1" applyBorder="1" applyAlignment="1" applyProtection="1"/>
    <xf numFmtId="0" fontId="4" fillId="7" borderId="1" xfId="0" applyFont="1" applyFill="1" applyBorder="1"/>
    <xf numFmtId="10" fontId="4" fillId="8" borderId="2" xfId="0" applyNumberFormat="1" applyFont="1" applyFill="1" applyBorder="1" applyAlignment="1">
      <alignment horizontal="right"/>
    </xf>
    <xf numFmtId="10" fontId="4" fillId="5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left" wrapText="1"/>
    </xf>
    <xf numFmtId="0" fontId="6" fillId="7" borderId="3" xfId="0" applyFont="1" applyFill="1" applyBorder="1" applyAlignment="1">
      <alignment horizontal="left" wrapText="1"/>
    </xf>
    <xf numFmtId="0" fontId="6" fillId="2" borderId="0" xfId="0" applyFont="1" applyFill="1" applyAlignment="1">
      <alignment wrapText="1"/>
    </xf>
    <xf numFmtId="0" fontId="5" fillId="0" borderId="0" xfId="0" applyFont="1" applyAlignment="1">
      <alignment horizontal="right" wrapText="1"/>
    </xf>
    <xf numFmtId="10" fontId="7" fillId="8" borderId="4" xfId="4" applyNumberFormat="1" applyFont="1" applyFill="1" applyBorder="1"/>
    <xf numFmtId="10" fontId="7" fillId="5" borderId="4" xfId="4" applyNumberFormat="1" applyFont="1" applyFill="1" applyBorder="1"/>
    <xf numFmtId="10" fontId="6" fillId="3" borderId="0" xfId="0" applyNumberFormat="1" applyFont="1" applyFill="1" applyAlignment="1">
      <alignment horizontal="right" wrapText="1"/>
    </xf>
    <xf numFmtId="0" fontId="6" fillId="3" borderId="0" xfId="0" applyFont="1" applyFill="1" applyAlignment="1">
      <alignment horizontal="left" wrapText="1"/>
    </xf>
    <xf numFmtId="10" fontId="5" fillId="0" borderId="0" xfId="0" applyNumberFormat="1" applyFont="1" applyAlignment="1">
      <alignment horizontal="right" wrapText="1"/>
    </xf>
    <xf numFmtId="10" fontId="6" fillId="0" borderId="0" xfId="0" applyNumberFormat="1" applyFont="1" applyAlignment="1">
      <alignment horizontal="right" wrapText="1"/>
    </xf>
    <xf numFmtId="10" fontId="6" fillId="4" borderId="0" xfId="0" applyNumberFormat="1" applyFont="1" applyFill="1" applyAlignment="1">
      <alignment horizontal="right" wrapText="1"/>
    </xf>
    <xf numFmtId="10" fontId="6" fillId="5" borderId="0" xfId="0" applyNumberFormat="1" applyFont="1" applyFill="1" applyAlignment="1">
      <alignment horizontal="right" wrapText="1"/>
    </xf>
    <xf numFmtId="0" fontId="6" fillId="0" borderId="0" xfId="0" applyFont="1" applyAlignment="1">
      <alignment horizontal="left" wrapText="1"/>
    </xf>
    <xf numFmtId="0" fontId="6" fillId="4" borderId="0" xfId="0" applyFont="1" applyFill="1" applyAlignment="1">
      <alignment horizontal="left" wrapText="1"/>
    </xf>
    <xf numFmtId="0" fontId="1" fillId="0" borderId="0" xfId="0" applyFont="1"/>
    <xf numFmtId="0" fontId="9" fillId="0" borderId="0" xfId="4"/>
    <xf numFmtId="0" fontId="0" fillId="9" borderId="0" xfId="4" applyFont="1" applyFill="1" applyBorder="1" applyAlignment="1">
      <alignment horizontal="center" vertical="center"/>
    </xf>
    <xf numFmtId="0" fontId="0" fillId="10" borderId="0" xfId="4" applyFont="1" applyFill="1" applyBorder="1" applyAlignment="1">
      <alignment horizontal="center" vertical="center"/>
    </xf>
    <xf numFmtId="0" fontId="0" fillId="9" borderId="0" xfId="4" applyFont="1" applyFill="1"/>
    <xf numFmtId="0" fontId="0" fillId="5" borderId="0" xfId="4" applyFont="1" applyFill="1"/>
    <xf numFmtId="0" fontId="0" fillId="10" borderId="0" xfId="4" applyFont="1" applyFill="1"/>
    <xf numFmtId="3" fontId="9" fillId="5" borderId="0" xfId="4" applyNumberFormat="1" applyFill="1"/>
    <xf numFmtId="0" fontId="1" fillId="5" borderId="0" xfId="4" applyFont="1" applyFill="1"/>
    <xf numFmtId="3" fontId="9" fillId="11" borderId="0" xfId="4" applyNumberFormat="1" applyFill="1"/>
    <xf numFmtId="3" fontId="9" fillId="12" borderId="0" xfId="4" applyNumberFormat="1" applyFill="1"/>
    <xf numFmtId="0" fontId="9" fillId="12" borderId="0" xfId="4" applyFill="1"/>
    <xf numFmtId="3" fontId="0" fillId="5" borderId="0" xfId="4" applyNumberFormat="1" applyFont="1" applyFill="1"/>
    <xf numFmtId="0" fontId="9" fillId="0" borderId="5" xfId="4" applyBorder="1"/>
    <xf numFmtId="3" fontId="9" fillId="5" borderId="5" xfId="4" applyNumberFormat="1" applyFill="1" applyBorder="1"/>
    <xf numFmtId="0" fontId="9" fillId="5" borderId="5" xfId="4" applyFill="1" applyBorder="1"/>
    <xf numFmtId="3" fontId="9" fillId="11" borderId="5" xfId="4" applyNumberFormat="1" applyFill="1" applyBorder="1"/>
    <xf numFmtId="3" fontId="9" fillId="6" borderId="0" xfId="4" applyNumberFormat="1" applyFill="1"/>
    <xf numFmtId="10" fontId="9" fillId="5" borderId="0" xfId="4" applyNumberFormat="1" applyFill="1"/>
    <xf numFmtId="10" fontId="9" fillId="11" borderId="0" xfId="4" applyNumberFormat="1" applyFill="1"/>
    <xf numFmtId="10" fontId="9" fillId="12" borderId="0" xfId="4" applyNumberFormat="1" applyFill="1"/>
    <xf numFmtId="10" fontId="9" fillId="6" borderId="0" xfId="4" applyNumberFormat="1" applyFill="1"/>
    <xf numFmtId="0" fontId="1" fillId="13" borderId="0" xfId="0" applyFont="1" applyFill="1"/>
    <xf numFmtId="10" fontId="1" fillId="13" borderId="0" xfId="0" applyNumberFormat="1" applyFont="1" applyFill="1"/>
    <xf numFmtId="10" fontId="1" fillId="14" borderId="0" xfId="0" applyNumberFormat="1" applyFont="1" applyFill="1"/>
    <xf numFmtId="0" fontId="0" fillId="15" borderId="0" xfId="0" applyFont="1" applyFill="1" applyAlignment="1">
      <alignment horizontal="justify"/>
    </xf>
    <xf numFmtId="0" fontId="0" fillId="15" borderId="0" xfId="0" applyFill="1" applyAlignment="1">
      <alignment horizontal="justify"/>
    </xf>
    <xf numFmtId="0" fontId="8" fillId="15" borderId="0" xfId="0" applyFont="1" applyFill="1"/>
    <xf numFmtId="0" fontId="1" fillId="15" borderId="0" xfId="0" applyFont="1" applyFill="1"/>
    <xf numFmtId="3" fontId="0" fillId="15" borderId="0" xfId="0" applyNumberFormat="1" applyFont="1" applyFill="1" applyAlignment="1">
      <alignment horizontal="justify"/>
    </xf>
    <xf numFmtId="0" fontId="1" fillId="15" borderId="0" xfId="0" applyFont="1" applyFill="1" applyAlignment="1">
      <alignment horizontal="justify"/>
    </xf>
    <xf numFmtId="0" fontId="0" fillId="15" borderId="0" xfId="0" applyFill="1"/>
    <xf numFmtId="0" fontId="0" fillId="6" borderId="0" xfId="0" applyFont="1" applyFill="1" applyAlignment="1">
      <alignment horizontal="justify"/>
    </xf>
    <xf numFmtId="0" fontId="0" fillId="6" borderId="0" xfId="0" applyFill="1" applyAlignment="1">
      <alignment horizontal="justify"/>
    </xf>
    <xf numFmtId="0" fontId="1" fillId="6" borderId="0" xfId="0" applyFont="1" applyFill="1" applyAlignment="1">
      <alignment horizontal="justify"/>
    </xf>
    <xf numFmtId="3" fontId="0" fillId="6" borderId="0" xfId="0" applyNumberFormat="1" applyFont="1" applyFill="1" applyAlignment="1">
      <alignment horizontal="justify"/>
    </xf>
    <xf numFmtId="0" fontId="0" fillId="6" borderId="0" xfId="0" applyFill="1"/>
    <xf numFmtId="0" fontId="0" fillId="16" borderId="0" xfId="0" applyFont="1" applyFill="1"/>
    <xf numFmtId="0" fontId="0" fillId="16" borderId="0" xfId="0" applyFill="1"/>
    <xf numFmtId="3" fontId="1" fillId="16" borderId="0" xfId="0" applyNumberFormat="1" applyFont="1" applyFill="1"/>
    <xf numFmtId="3" fontId="0" fillId="16" borderId="0" xfId="0" applyNumberFormat="1" applyFont="1" applyFill="1"/>
    <xf numFmtId="0" fontId="1" fillId="16" borderId="0" xfId="0" applyFont="1" applyFill="1"/>
    <xf numFmtId="1" fontId="0" fillId="16" borderId="0" xfId="0" applyNumberFormat="1" applyFont="1" applyFill="1"/>
    <xf numFmtId="0" fontId="0" fillId="4" borderId="0" xfId="0" applyFont="1" applyFill="1"/>
    <xf numFmtId="3" fontId="8" fillId="4" borderId="0" xfId="0" applyNumberFormat="1" applyFont="1" applyFill="1"/>
    <xf numFmtId="3" fontId="1" fillId="4" borderId="0" xfId="0" applyNumberFormat="1" applyFont="1" applyFill="1"/>
    <xf numFmtId="3" fontId="8" fillId="5" borderId="0" xfId="0" applyNumberFormat="1" applyFont="1" applyFill="1"/>
    <xf numFmtId="3" fontId="1" fillId="5" borderId="0" xfId="0" applyNumberFormat="1" applyFont="1" applyFill="1"/>
    <xf numFmtId="1" fontId="0" fillId="5" borderId="0" xfId="0" applyNumberFormat="1" applyFill="1"/>
    <xf numFmtId="1" fontId="0" fillId="4" borderId="0" xfId="0" applyNumberFormat="1" applyFill="1"/>
    <xf numFmtId="1" fontId="0" fillId="0" borderId="0" xfId="0" applyNumberFormat="1"/>
    <xf numFmtId="0" fontId="0" fillId="15" borderId="0" xfId="0" applyFont="1" applyFill="1" applyAlignment="1">
      <alignment horizontal="left"/>
    </xf>
    <xf numFmtId="0" fontId="1" fillId="15" borderId="0" xfId="0" applyFont="1" applyFill="1" applyAlignment="1">
      <alignment horizontal="left"/>
    </xf>
    <xf numFmtId="3" fontId="0" fillId="15" borderId="0" xfId="0" applyNumberFormat="1" applyFont="1" applyFill="1" applyAlignment="1">
      <alignment horizontal="left"/>
    </xf>
    <xf numFmtId="0" fontId="0" fillId="15" borderId="0" xfId="0" applyFill="1" applyAlignment="1">
      <alignment horizontal="left"/>
    </xf>
    <xf numFmtId="3" fontId="0" fillId="16" borderId="0" xfId="0" applyNumberFormat="1" applyFill="1"/>
    <xf numFmtId="4" fontId="0" fillId="16" borderId="0" xfId="0" applyNumberFormat="1" applyFont="1" applyFill="1"/>
    <xf numFmtId="0" fontId="0" fillId="5" borderId="0" xfId="0" applyFont="1" applyFill="1"/>
    <xf numFmtId="4" fontId="0" fillId="5" borderId="0" xfId="0" applyNumberFormat="1" applyFont="1" applyFill="1"/>
    <xf numFmtId="165" fontId="0" fillId="0" borderId="0" xfId="0" applyNumberFormat="1"/>
    <xf numFmtId="0" fontId="1" fillId="2" borderId="0" xfId="0" applyFont="1" applyFill="1" applyBorder="1" applyAlignment="1">
      <alignment horizontal="justify"/>
    </xf>
    <xf numFmtId="0" fontId="1" fillId="0" borderId="0" xfId="0" applyFont="1" applyBorder="1" applyAlignment="1">
      <alignment horizontal="center" vertical="center"/>
    </xf>
  </cellXfs>
  <cellStyles count="5">
    <cellStyle name="ANCLAS,REZONES Y SUS PARTES,DE FUNDICION,DE HIERRO O DE ACERO 2 2" xfId="3"/>
    <cellStyle name="Millares" xfId="1" builtinId="3"/>
    <cellStyle name="Normal" xfId="0" builtinId="0"/>
    <cellStyle name="Normal 2" xfId="4"/>
    <cellStyle name="Porcentaje" xfId="2" builtinId="5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CC33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83CA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66CCFF"/>
      <rgbColor rgb="FFCFE7F5"/>
      <rgbColor rgb="FFDDDDDD"/>
      <rgbColor rgb="FF99FFFF"/>
      <rgbColor rgb="FF99CCFF"/>
      <rgbColor rgb="FFFF9999"/>
      <rgbColor rgb="FFCC99FF"/>
      <rgbColor rgb="FFFFCC99"/>
      <rgbColor rgb="FF3366FF"/>
      <rgbColor rgb="FF33CCCC"/>
      <rgbColor rgb="FF99FF33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14004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'GDP evolution by scenario'!$F$6</c:f>
              <c:strCache>
                <c:ptCount val="1"/>
                <c:pt idx="0">
                  <c:v>Real GDP, base 2014 = 100</c:v>
                </c:pt>
              </c:strCache>
            </c:strRef>
          </c:tx>
          <c:spPr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AR" sz="1000" b="0" strike="noStrike" spc="-1">
                    <a:latin typeface="Arial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'GDP evolution by scenario'!$D$7:$D$114</c:f>
              <c:numCache>
                <c:formatCode>General</c:formatCode>
                <c:ptCount val="108"/>
                <c:pt idx="0">
                  <c:v>2014</c:v>
                </c:pt>
                <c:pt idx="1">
                  <c:v>2014</c:v>
                </c:pt>
                <c:pt idx="2">
                  <c:v>2014</c:v>
                </c:pt>
                <c:pt idx="3">
                  <c:v>2014</c:v>
                </c:pt>
                <c:pt idx="4">
                  <c:v>2015</c:v>
                </c:pt>
                <c:pt idx="5">
                  <c:v>2015</c:v>
                </c:pt>
                <c:pt idx="6">
                  <c:v>2015</c:v>
                </c:pt>
                <c:pt idx="7">
                  <c:v>2015</c:v>
                </c:pt>
                <c:pt idx="8">
                  <c:v>2016</c:v>
                </c:pt>
                <c:pt idx="9">
                  <c:v>2016</c:v>
                </c:pt>
                <c:pt idx="10">
                  <c:v>2016</c:v>
                </c:pt>
                <c:pt idx="11">
                  <c:v>2016</c:v>
                </c:pt>
                <c:pt idx="12">
                  <c:v>2017</c:v>
                </c:pt>
                <c:pt idx="13">
                  <c:v>2017</c:v>
                </c:pt>
                <c:pt idx="14">
                  <c:v>2017</c:v>
                </c:pt>
                <c:pt idx="15">
                  <c:v>2017</c:v>
                </c:pt>
                <c:pt idx="16">
                  <c:v>2018</c:v>
                </c:pt>
                <c:pt idx="17">
                  <c:v>2018</c:v>
                </c:pt>
                <c:pt idx="18">
                  <c:v>2018</c:v>
                </c:pt>
                <c:pt idx="19">
                  <c:v>2018</c:v>
                </c:pt>
                <c:pt idx="20">
                  <c:v>2019</c:v>
                </c:pt>
                <c:pt idx="21">
                  <c:v>2019</c:v>
                </c:pt>
                <c:pt idx="22">
                  <c:v>2019</c:v>
                </c:pt>
                <c:pt idx="23">
                  <c:v>2019</c:v>
                </c:pt>
                <c:pt idx="24">
                  <c:v>2020</c:v>
                </c:pt>
                <c:pt idx="25">
                  <c:v>2020</c:v>
                </c:pt>
                <c:pt idx="26">
                  <c:v>2020</c:v>
                </c:pt>
                <c:pt idx="27">
                  <c:v>2020</c:v>
                </c:pt>
                <c:pt idx="28">
                  <c:v>2021</c:v>
                </c:pt>
                <c:pt idx="29">
                  <c:v>2021</c:v>
                </c:pt>
                <c:pt idx="30">
                  <c:v>2021</c:v>
                </c:pt>
                <c:pt idx="31">
                  <c:v>2021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2024</c:v>
                </c:pt>
                <c:pt idx="41">
                  <c:v>2024</c:v>
                </c:pt>
                <c:pt idx="42">
                  <c:v>2024</c:v>
                </c:pt>
                <c:pt idx="43">
                  <c:v>2024</c:v>
                </c:pt>
                <c:pt idx="44">
                  <c:v>2025</c:v>
                </c:pt>
                <c:pt idx="45">
                  <c:v>2025</c:v>
                </c:pt>
                <c:pt idx="46">
                  <c:v>2025</c:v>
                </c:pt>
                <c:pt idx="47">
                  <c:v>2025</c:v>
                </c:pt>
                <c:pt idx="48">
                  <c:v>2026</c:v>
                </c:pt>
                <c:pt idx="49">
                  <c:v>2026</c:v>
                </c:pt>
                <c:pt idx="50">
                  <c:v>2026</c:v>
                </c:pt>
                <c:pt idx="51">
                  <c:v>2026</c:v>
                </c:pt>
                <c:pt idx="52">
                  <c:v>2027</c:v>
                </c:pt>
                <c:pt idx="53">
                  <c:v>2027</c:v>
                </c:pt>
                <c:pt idx="54">
                  <c:v>2027</c:v>
                </c:pt>
                <c:pt idx="55">
                  <c:v>2027</c:v>
                </c:pt>
                <c:pt idx="56">
                  <c:v>2028</c:v>
                </c:pt>
                <c:pt idx="57">
                  <c:v>2028</c:v>
                </c:pt>
                <c:pt idx="58">
                  <c:v>2028</c:v>
                </c:pt>
                <c:pt idx="59">
                  <c:v>2028</c:v>
                </c:pt>
                <c:pt idx="60">
                  <c:v>2029</c:v>
                </c:pt>
                <c:pt idx="61">
                  <c:v>2029</c:v>
                </c:pt>
                <c:pt idx="62">
                  <c:v>2029</c:v>
                </c:pt>
                <c:pt idx="63">
                  <c:v>2029</c:v>
                </c:pt>
                <c:pt idx="64">
                  <c:v>2030</c:v>
                </c:pt>
                <c:pt idx="65">
                  <c:v>2030</c:v>
                </c:pt>
                <c:pt idx="66">
                  <c:v>2030</c:v>
                </c:pt>
                <c:pt idx="67">
                  <c:v>2030</c:v>
                </c:pt>
                <c:pt idx="68">
                  <c:v>2031</c:v>
                </c:pt>
                <c:pt idx="69">
                  <c:v>2031</c:v>
                </c:pt>
                <c:pt idx="70">
                  <c:v>2031</c:v>
                </c:pt>
                <c:pt idx="71">
                  <c:v>2031</c:v>
                </c:pt>
                <c:pt idx="72">
                  <c:v>2032</c:v>
                </c:pt>
                <c:pt idx="73">
                  <c:v>2032</c:v>
                </c:pt>
                <c:pt idx="74">
                  <c:v>2032</c:v>
                </c:pt>
                <c:pt idx="75">
                  <c:v>2032</c:v>
                </c:pt>
                <c:pt idx="76">
                  <c:v>2033</c:v>
                </c:pt>
                <c:pt idx="77">
                  <c:v>2033</c:v>
                </c:pt>
                <c:pt idx="78">
                  <c:v>2033</c:v>
                </c:pt>
                <c:pt idx="79">
                  <c:v>2033</c:v>
                </c:pt>
                <c:pt idx="80">
                  <c:v>2034</c:v>
                </c:pt>
                <c:pt idx="81">
                  <c:v>2034</c:v>
                </c:pt>
                <c:pt idx="82">
                  <c:v>2034</c:v>
                </c:pt>
                <c:pt idx="83">
                  <c:v>2034</c:v>
                </c:pt>
                <c:pt idx="84">
                  <c:v>2035</c:v>
                </c:pt>
                <c:pt idx="85">
                  <c:v>2035</c:v>
                </c:pt>
                <c:pt idx="86">
                  <c:v>2035</c:v>
                </c:pt>
                <c:pt idx="87">
                  <c:v>2035</c:v>
                </c:pt>
                <c:pt idx="88">
                  <c:v>2036</c:v>
                </c:pt>
                <c:pt idx="89">
                  <c:v>2036</c:v>
                </c:pt>
                <c:pt idx="90">
                  <c:v>2036</c:v>
                </c:pt>
                <c:pt idx="91">
                  <c:v>2036</c:v>
                </c:pt>
                <c:pt idx="92">
                  <c:v>2037</c:v>
                </c:pt>
                <c:pt idx="93">
                  <c:v>2037</c:v>
                </c:pt>
                <c:pt idx="94">
                  <c:v>2037</c:v>
                </c:pt>
                <c:pt idx="95">
                  <c:v>2037</c:v>
                </c:pt>
                <c:pt idx="96">
                  <c:v>2038</c:v>
                </c:pt>
                <c:pt idx="97">
                  <c:v>2038</c:v>
                </c:pt>
                <c:pt idx="98">
                  <c:v>2038</c:v>
                </c:pt>
                <c:pt idx="99">
                  <c:v>2038</c:v>
                </c:pt>
                <c:pt idx="100">
                  <c:v>2039</c:v>
                </c:pt>
                <c:pt idx="101">
                  <c:v>2039</c:v>
                </c:pt>
                <c:pt idx="102">
                  <c:v>2039</c:v>
                </c:pt>
                <c:pt idx="103">
                  <c:v>2039</c:v>
                </c:pt>
                <c:pt idx="104">
                  <c:v>2040</c:v>
                </c:pt>
                <c:pt idx="105">
                  <c:v>2040</c:v>
                </c:pt>
                <c:pt idx="106">
                  <c:v>2040</c:v>
                </c:pt>
                <c:pt idx="107">
                  <c:v>2040</c:v>
                </c:pt>
              </c:numCache>
            </c:numRef>
          </c:cat>
          <c:val>
            <c:numRef>
              <c:f>'GDP evolution by scenario'!$F$7:$F$114</c:f>
              <c:numCache>
                <c:formatCode>#,##0</c:formatCode>
                <c:ptCount val="108"/>
                <c:pt idx="0">
                  <c:v>95.551796897113448</c:v>
                </c:pt>
                <c:pt idx="1">
                  <c:v>108.29706973470626</c:v>
                </c:pt>
                <c:pt idx="2">
                  <c:v>98.373038680592757</c:v>
                </c:pt>
                <c:pt idx="3">
                  <c:v>97.778094687587469</c:v>
                </c:pt>
                <c:pt idx="4">
                  <c:v>95.79154490530928</c:v>
                </c:pt>
                <c:pt idx="5">
                  <c:v>112.66255930579636</c:v>
                </c:pt>
                <c:pt idx="6">
                  <c:v>102.27468061513028</c:v>
                </c:pt>
                <c:pt idx="7">
                  <c:v>100.19585453002271</c:v>
                </c:pt>
                <c:pt idx="8">
                  <c:v>96.489570752043846</c:v>
                </c:pt>
                <c:pt idx="9">
                  <c:v>108.31506926701537</c:v>
                </c:pt>
                <c:pt idx="10">
                  <c:v>98.871778161005949</c:v>
                </c:pt>
                <c:pt idx="11">
                  <c:v>98.699641464173908</c:v>
                </c:pt>
                <c:pt idx="12">
                  <c:v>96.772663607471401</c:v>
                </c:pt>
                <c:pt idx="13">
                  <c:v>110.56659770648803</c:v>
                </c:pt>
                <c:pt idx="14">
                  <c:v>102.64665264303893</c:v>
                </c:pt>
                <c:pt idx="15">
                  <c:v>103.12791451762564</c:v>
                </c:pt>
                <c:pt idx="16">
                  <c:v>100.74907361741026</c:v>
                </c:pt>
                <c:pt idx="17">
                  <c:v>106.35800245550114</c:v>
                </c:pt>
                <c:pt idx="18">
                  <c:v>98.899684964731122</c:v>
                </c:pt>
                <c:pt idx="19">
                  <c:v>96.854439654464443</c:v>
                </c:pt>
                <c:pt idx="20">
                  <c:v>94.87098305489296</c:v>
                </c:pt>
                <c:pt idx="21">
                  <c:v>107.04865692626599</c:v>
                </c:pt>
                <c:pt idx="22">
                  <c:v>98.9377533319836</c:v>
                </c:pt>
                <c:pt idx="23">
                  <c:v>89.515110157508957</c:v>
                </c:pt>
                <c:pt idx="24">
                  <c:v>92.713469574279728</c:v>
                </c:pt>
                <c:pt idx="25">
                  <c:v>95.15329772097131</c:v>
                </c:pt>
                <c:pt idx="26">
                  <c:v>100.03295401435443</c:v>
                </c:pt>
                <c:pt idx="27">
                  <c:v>102.47278216104603</c:v>
                </c:pt>
                <c:pt idx="28">
                  <c:v>102.06757867557042</c:v>
                </c:pt>
                <c:pt idx="29">
                  <c:v>100.80959095714725</c:v>
                </c:pt>
                <c:pt idx="30">
                  <c:v>100.66873445200872</c:v>
                </c:pt>
                <c:pt idx="31">
                  <c:v>100.89402662557131</c:v>
                </c:pt>
                <c:pt idx="32">
                  <c:v>101.1369025368807</c:v>
                </c:pt>
                <c:pt idx="33">
                  <c:v>101.71008284268839</c:v>
                </c:pt>
                <c:pt idx="34">
                  <c:v>102.84564572881452</c:v>
                </c:pt>
                <c:pt idx="35">
                  <c:v>103.49892035970475</c:v>
                </c:pt>
                <c:pt idx="36">
                  <c:v>104.74432514605026</c:v>
                </c:pt>
                <c:pt idx="37">
                  <c:v>105.40531375209106</c:v>
                </c:pt>
                <c:pt idx="38">
                  <c:v>106.58826915573924</c:v>
                </c:pt>
                <c:pt idx="39">
                  <c:v>108.08562098008987</c:v>
                </c:pt>
                <c:pt idx="40">
                  <c:v>109.68767130279808</c:v>
                </c:pt>
                <c:pt idx="41">
                  <c:v>110.05042553809612</c:v>
                </c:pt>
                <c:pt idx="42">
                  <c:v>110.59308986401572</c:v>
                </c:pt>
                <c:pt idx="43">
                  <c:v>111.46441900534296</c:v>
                </c:pt>
                <c:pt idx="44">
                  <c:v>112.27587684708533</c:v>
                </c:pt>
                <c:pt idx="45">
                  <c:v>113.18036106951995</c:v>
                </c:pt>
                <c:pt idx="46">
                  <c:v>113.86710106203159</c:v>
                </c:pt>
                <c:pt idx="47">
                  <c:v>115.64450141931681</c:v>
                </c:pt>
                <c:pt idx="48">
                  <c:v>116.33167931046104</c:v>
                </c:pt>
                <c:pt idx="49">
                  <c:v>117.93872562745101</c:v>
                </c:pt>
                <c:pt idx="50">
                  <c:v>118.53418203198561</c:v>
                </c:pt>
                <c:pt idx="51">
                  <c:v>119.09980734272607</c:v>
                </c:pt>
                <c:pt idx="52">
                  <c:v>120.34176226396373</c:v>
                </c:pt>
                <c:pt idx="53">
                  <c:v>121.19241871981816</c:v>
                </c:pt>
                <c:pt idx="54">
                  <c:v>122.04408178876514</c:v>
                </c:pt>
                <c:pt idx="55">
                  <c:v>123.12800367862829</c:v>
                </c:pt>
                <c:pt idx="56">
                  <c:v>124.75423977856737</c:v>
                </c:pt>
                <c:pt idx="57">
                  <c:v>125.22598973908705</c:v>
                </c:pt>
                <c:pt idx="58">
                  <c:v>126.22906129574869</c:v>
                </c:pt>
                <c:pt idx="59">
                  <c:v>127.49036357364653</c:v>
                </c:pt>
                <c:pt idx="60">
                  <c:v>128.85952507576519</c:v>
                </c:pt>
                <c:pt idx="61">
                  <c:v>129.55752136699564</c:v>
                </c:pt>
                <c:pt idx="62">
                  <c:v>130.998281865894</c:v>
                </c:pt>
                <c:pt idx="63">
                  <c:v>131.94449266717587</c:v>
                </c:pt>
                <c:pt idx="64">
                  <c:v>132.90012613178047</c:v>
                </c:pt>
                <c:pt idx="65">
                  <c:v>133.00263075939941</c:v>
                </c:pt>
                <c:pt idx="66">
                  <c:v>133.62930733086677</c:v>
                </c:pt>
                <c:pt idx="67">
                  <c:v>134.75827456293982</c:v>
                </c:pt>
                <c:pt idx="68">
                  <c:v>135.87458465925312</c:v>
                </c:pt>
                <c:pt idx="69">
                  <c:v>136.54874305728828</c:v>
                </c:pt>
                <c:pt idx="70">
                  <c:v>137.34081930104526</c:v>
                </c:pt>
                <c:pt idx="71">
                  <c:v>138.26730027361381</c:v>
                </c:pt>
                <c:pt idx="72">
                  <c:v>139.24309857604194</c:v>
                </c:pt>
                <c:pt idx="73">
                  <c:v>140.02219426934354</c:v>
                </c:pt>
                <c:pt idx="74">
                  <c:v>141.1146174446211</c:v>
                </c:pt>
                <c:pt idx="75">
                  <c:v>141.72870252672411</c:v>
                </c:pt>
                <c:pt idx="76">
                  <c:v>142.9585663790898</c:v>
                </c:pt>
                <c:pt idx="77">
                  <c:v>143.64584445003035</c:v>
                </c:pt>
                <c:pt idx="78">
                  <c:v>145.06702407924698</c:v>
                </c:pt>
                <c:pt idx="79">
                  <c:v>145.77875002618777</c:v>
                </c:pt>
                <c:pt idx="80">
                  <c:v>145.85682642214013</c:v>
                </c:pt>
                <c:pt idx="81">
                  <c:v>147.01950103359454</c:v>
                </c:pt>
                <c:pt idx="82">
                  <c:v>146.67368012645807</c:v>
                </c:pt>
                <c:pt idx="83">
                  <c:v>147.83706686248252</c:v>
                </c:pt>
                <c:pt idx="84">
                  <c:v>149.11947985413499</c:v>
                </c:pt>
                <c:pt idx="85">
                  <c:v>150.42148417331052</c:v>
                </c:pt>
                <c:pt idx="86">
                  <c:v>150.88443057614518</c:v>
                </c:pt>
                <c:pt idx="87">
                  <c:v>151.80592810022301</c:v>
                </c:pt>
                <c:pt idx="88">
                  <c:v>152.57157971641794</c:v>
                </c:pt>
                <c:pt idx="89">
                  <c:v>154.07597932874449</c:v>
                </c:pt>
                <c:pt idx="90">
                  <c:v>155.12256800574659</c:v>
                </c:pt>
                <c:pt idx="91">
                  <c:v>156.05555282177903</c:v>
                </c:pt>
                <c:pt idx="92">
                  <c:v>157.00031498552241</c:v>
                </c:pt>
                <c:pt idx="93">
                  <c:v>156.7820496152938</c:v>
                </c:pt>
                <c:pt idx="94">
                  <c:v>157.76188493890274</c:v>
                </c:pt>
                <c:pt idx="95">
                  <c:v>158.99102165898628</c:v>
                </c:pt>
                <c:pt idx="96">
                  <c:v>160.42859289207198</c:v>
                </c:pt>
                <c:pt idx="97">
                  <c:v>161.26884758655726</c:v>
                </c:pt>
                <c:pt idx="98">
                  <c:v>162.31718017301066</c:v>
                </c:pt>
                <c:pt idx="99">
                  <c:v>163.31923588521434</c:v>
                </c:pt>
                <c:pt idx="100">
                  <c:v>163.70400337638446</c:v>
                </c:pt>
                <c:pt idx="101">
                  <c:v>163.92470160483822</c:v>
                </c:pt>
                <c:pt idx="102">
                  <c:v>164.39357634984117</c:v>
                </c:pt>
                <c:pt idx="103">
                  <c:v>164.64751868644959</c:v>
                </c:pt>
                <c:pt idx="104">
                  <c:v>164.61301441339205</c:v>
                </c:pt>
                <c:pt idx="105">
                  <c:v>165.49927634295435</c:v>
                </c:pt>
                <c:pt idx="106">
                  <c:v>166.72415623640842</c:v>
                </c:pt>
                <c:pt idx="107">
                  <c:v>167.74745802930593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F2-48F5-AAF6-3646738E6A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27230771"/>
        <c:axId val="80440935"/>
      </c:lineChart>
      <c:lineChart>
        <c:grouping val="standard"/>
        <c:varyColors val="0"/>
        <c:ser>
          <c:idx val="1"/>
          <c:order val="1"/>
          <c:tx>
            <c:strRef>
              <c:f>'GDP evolution by scenario'!$G$6</c:f>
              <c:strCache>
                <c:ptCount val="1"/>
                <c:pt idx="0">
                  <c:v>Real GDP growth</c:v>
                </c:pt>
              </c:strCache>
            </c:strRef>
          </c:tx>
          <c:spPr>
            <a:ln w="28800">
              <a:solidFill>
                <a:srgbClr val="00CC33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AR" sz="1000" b="0" strike="noStrike" spc="-1">
                    <a:latin typeface="Arial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'GDP evolution by scenario'!$D$7:$D$114</c:f>
              <c:numCache>
                <c:formatCode>General</c:formatCode>
                <c:ptCount val="108"/>
                <c:pt idx="0">
                  <c:v>2014</c:v>
                </c:pt>
                <c:pt idx="1">
                  <c:v>2014</c:v>
                </c:pt>
                <c:pt idx="2">
                  <c:v>2014</c:v>
                </c:pt>
                <c:pt idx="3">
                  <c:v>2014</c:v>
                </c:pt>
                <c:pt idx="4">
                  <c:v>2015</c:v>
                </c:pt>
                <c:pt idx="5">
                  <c:v>2015</c:v>
                </c:pt>
                <c:pt idx="6">
                  <c:v>2015</c:v>
                </c:pt>
                <c:pt idx="7">
                  <c:v>2015</c:v>
                </c:pt>
                <c:pt idx="8">
                  <c:v>2016</c:v>
                </c:pt>
                <c:pt idx="9">
                  <c:v>2016</c:v>
                </c:pt>
                <c:pt idx="10">
                  <c:v>2016</c:v>
                </c:pt>
                <c:pt idx="11">
                  <c:v>2016</c:v>
                </c:pt>
                <c:pt idx="12">
                  <c:v>2017</c:v>
                </c:pt>
                <c:pt idx="13">
                  <c:v>2017</c:v>
                </c:pt>
                <c:pt idx="14">
                  <c:v>2017</c:v>
                </c:pt>
                <c:pt idx="15">
                  <c:v>2017</c:v>
                </c:pt>
                <c:pt idx="16">
                  <c:v>2018</c:v>
                </c:pt>
                <c:pt idx="17">
                  <c:v>2018</c:v>
                </c:pt>
                <c:pt idx="18">
                  <c:v>2018</c:v>
                </c:pt>
                <c:pt idx="19">
                  <c:v>2018</c:v>
                </c:pt>
                <c:pt idx="20">
                  <c:v>2019</c:v>
                </c:pt>
                <c:pt idx="21">
                  <c:v>2019</c:v>
                </c:pt>
                <c:pt idx="22">
                  <c:v>2019</c:v>
                </c:pt>
                <c:pt idx="23">
                  <c:v>2019</c:v>
                </c:pt>
                <c:pt idx="24">
                  <c:v>2020</c:v>
                </c:pt>
                <c:pt idx="25">
                  <c:v>2020</c:v>
                </c:pt>
                <c:pt idx="26">
                  <c:v>2020</c:v>
                </c:pt>
                <c:pt idx="27">
                  <c:v>2020</c:v>
                </c:pt>
                <c:pt idx="28">
                  <c:v>2021</c:v>
                </c:pt>
                <c:pt idx="29">
                  <c:v>2021</c:v>
                </c:pt>
                <c:pt idx="30">
                  <c:v>2021</c:v>
                </c:pt>
                <c:pt idx="31">
                  <c:v>2021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2024</c:v>
                </c:pt>
                <c:pt idx="41">
                  <c:v>2024</c:v>
                </c:pt>
                <c:pt idx="42">
                  <c:v>2024</c:v>
                </c:pt>
                <c:pt idx="43">
                  <c:v>2024</c:v>
                </c:pt>
                <c:pt idx="44">
                  <c:v>2025</c:v>
                </c:pt>
                <c:pt idx="45">
                  <c:v>2025</c:v>
                </c:pt>
                <c:pt idx="46">
                  <c:v>2025</c:v>
                </c:pt>
                <c:pt idx="47">
                  <c:v>2025</c:v>
                </c:pt>
                <c:pt idx="48">
                  <c:v>2026</c:v>
                </c:pt>
                <c:pt idx="49">
                  <c:v>2026</c:v>
                </c:pt>
                <c:pt idx="50">
                  <c:v>2026</c:v>
                </c:pt>
                <c:pt idx="51">
                  <c:v>2026</c:v>
                </c:pt>
                <c:pt idx="52">
                  <c:v>2027</c:v>
                </c:pt>
                <c:pt idx="53">
                  <c:v>2027</c:v>
                </c:pt>
                <c:pt idx="54">
                  <c:v>2027</c:v>
                </c:pt>
                <c:pt idx="55">
                  <c:v>2027</c:v>
                </c:pt>
                <c:pt idx="56">
                  <c:v>2028</c:v>
                </c:pt>
                <c:pt idx="57">
                  <c:v>2028</c:v>
                </c:pt>
                <c:pt idx="58">
                  <c:v>2028</c:v>
                </c:pt>
                <c:pt idx="59">
                  <c:v>2028</c:v>
                </c:pt>
                <c:pt idx="60">
                  <c:v>2029</c:v>
                </c:pt>
                <c:pt idx="61">
                  <c:v>2029</c:v>
                </c:pt>
                <c:pt idx="62">
                  <c:v>2029</c:v>
                </c:pt>
                <c:pt idx="63">
                  <c:v>2029</c:v>
                </c:pt>
                <c:pt idx="64">
                  <c:v>2030</c:v>
                </c:pt>
                <c:pt idx="65">
                  <c:v>2030</c:v>
                </c:pt>
                <c:pt idx="66">
                  <c:v>2030</c:v>
                </c:pt>
                <c:pt idx="67">
                  <c:v>2030</c:v>
                </c:pt>
                <c:pt idx="68">
                  <c:v>2031</c:v>
                </c:pt>
                <c:pt idx="69">
                  <c:v>2031</c:v>
                </c:pt>
                <c:pt idx="70">
                  <c:v>2031</c:v>
                </c:pt>
                <c:pt idx="71">
                  <c:v>2031</c:v>
                </c:pt>
                <c:pt idx="72">
                  <c:v>2032</c:v>
                </c:pt>
                <c:pt idx="73">
                  <c:v>2032</c:v>
                </c:pt>
                <c:pt idx="74">
                  <c:v>2032</c:v>
                </c:pt>
                <c:pt idx="75">
                  <c:v>2032</c:v>
                </c:pt>
                <c:pt idx="76">
                  <c:v>2033</c:v>
                </c:pt>
                <c:pt idx="77">
                  <c:v>2033</c:v>
                </c:pt>
                <c:pt idx="78">
                  <c:v>2033</c:v>
                </c:pt>
                <c:pt idx="79">
                  <c:v>2033</c:v>
                </c:pt>
                <c:pt idx="80">
                  <c:v>2034</c:v>
                </c:pt>
                <c:pt idx="81">
                  <c:v>2034</c:v>
                </c:pt>
                <c:pt idx="82">
                  <c:v>2034</c:v>
                </c:pt>
                <c:pt idx="83">
                  <c:v>2034</c:v>
                </c:pt>
                <c:pt idx="84">
                  <c:v>2035</c:v>
                </c:pt>
                <c:pt idx="85">
                  <c:v>2035</c:v>
                </c:pt>
                <c:pt idx="86">
                  <c:v>2035</c:v>
                </c:pt>
                <c:pt idx="87">
                  <c:v>2035</c:v>
                </c:pt>
                <c:pt idx="88">
                  <c:v>2036</c:v>
                </c:pt>
                <c:pt idx="89">
                  <c:v>2036</c:v>
                </c:pt>
                <c:pt idx="90">
                  <c:v>2036</c:v>
                </c:pt>
                <c:pt idx="91">
                  <c:v>2036</c:v>
                </c:pt>
                <c:pt idx="92">
                  <c:v>2037</c:v>
                </c:pt>
                <c:pt idx="93">
                  <c:v>2037</c:v>
                </c:pt>
                <c:pt idx="94">
                  <c:v>2037</c:v>
                </c:pt>
                <c:pt idx="95">
                  <c:v>2037</c:v>
                </c:pt>
                <c:pt idx="96">
                  <c:v>2038</c:v>
                </c:pt>
                <c:pt idx="97">
                  <c:v>2038</c:v>
                </c:pt>
                <c:pt idx="98">
                  <c:v>2038</c:v>
                </c:pt>
                <c:pt idx="99">
                  <c:v>2038</c:v>
                </c:pt>
                <c:pt idx="100">
                  <c:v>2039</c:v>
                </c:pt>
                <c:pt idx="101">
                  <c:v>2039</c:v>
                </c:pt>
                <c:pt idx="102">
                  <c:v>2039</c:v>
                </c:pt>
                <c:pt idx="103">
                  <c:v>2039</c:v>
                </c:pt>
                <c:pt idx="104">
                  <c:v>2040</c:v>
                </c:pt>
                <c:pt idx="105">
                  <c:v>2040</c:v>
                </c:pt>
                <c:pt idx="106">
                  <c:v>2040</c:v>
                </c:pt>
                <c:pt idx="107">
                  <c:v>2040</c:v>
                </c:pt>
              </c:numCache>
            </c:numRef>
          </c:cat>
          <c:val>
            <c:numRef>
              <c:f>'GDP evolution by scenario'!$G$7:$G$114</c:f>
              <c:numCache>
                <c:formatCode>General</c:formatCode>
                <c:ptCount val="108"/>
                <c:pt idx="6" formatCode="0.00%">
                  <c:v>2.7311598390646674E-2</c:v>
                </c:pt>
                <c:pt idx="10" formatCode="0.00%">
                  <c:v>-2.0803278492649069E-2</c:v>
                </c:pt>
                <c:pt idx="14" formatCode="0.00%">
                  <c:v>2.6685903828072455E-2</c:v>
                </c:pt>
                <c:pt idx="18" formatCode="0.00%">
                  <c:v>-2.4817924445603157E-2</c:v>
                </c:pt>
                <c:pt idx="22" formatCode="0.00%">
                  <c:v>-3.1000000000000028E-2</c:v>
                </c:pt>
                <c:pt idx="26" formatCode="0.00%">
                  <c:v>0</c:v>
                </c:pt>
                <c:pt idx="30" formatCode="0.00%">
                  <c:v>3.6035907023620029E-2</c:v>
                </c:pt>
                <c:pt idx="34" formatCode="0.00%">
                  <c:v>1.1748643981432938E-2</c:v>
                </c:pt>
                <c:pt idx="38" formatCode="0.00%">
                  <c:v>3.8202102437838725E-2</c:v>
                </c:pt>
                <c:pt idx="42" formatCode="0.00%">
                  <c:v>3.9950886700828914E-2</c:v>
                </c:pt>
                <c:pt idx="46" formatCode="0.00%">
                  <c:v>2.9815223414285441E-2</c:v>
                </c:pt>
                <c:pt idx="50" formatCode="0.00%">
                  <c:v>3.7225826554808661E-2</c:v>
                </c:pt>
                <c:pt idx="54" formatCode="0.00%">
                  <c:v>3.1366251971677528E-2</c:v>
                </c:pt>
                <c:pt idx="58" formatCode="0.00%">
                  <c:v>3.4915079396412585E-2</c:v>
                </c:pt>
                <c:pt idx="62" formatCode="0.00%">
                  <c:v>3.5060906702967021E-2</c:v>
                </c:pt>
                <c:pt idx="66" formatCode="0.00%">
                  <c:v>2.4801523418037208E-2</c:v>
                </c:pt>
                <c:pt idx="70" formatCode="0.00%">
                  <c:v>2.5718429679006061E-2</c:v>
                </c:pt>
                <c:pt idx="74" formatCode="0.00%">
                  <c:v>2.5686784207568092E-2</c:v>
                </c:pt>
                <c:pt idx="78" formatCode="0.00%">
                  <c:v>2.729289636916854E-2</c:v>
                </c:pt>
                <c:pt idx="82" formatCode="0.00%">
                  <c:v>1.7208219460950858E-2</c:v>
                </c:pt>
                <c:pt idx="86" formatCode="0.00%">
                  <c:v>2.5271663107623521E-2</c:v>
                </c:pt>
                <c:pt idx="90" formatCode="0.00%">
                  <c:v>2.5894297724105453E-2</c:v>
                </c:pt>
                <c:pt idx="94" formatCode="0.00%">
                  <c:v>2.0571484384780181E-2</c:v>
                </c:pt>
                <c:pt idx="98" formatCode="0.00%">
                  <c:v>2.664178532980932E-2</c:v>
                </c:pt>
                <c:pt idx="102" formatCode="0.00%">
                  <c:v>1.4422146140486536E-2</c:v>
                </c:pt>
                <c:pt idx="106" formatCode="0.00%">
                  <c:v>1.2051879048398773E-2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F2-48F5-AAF6-3646738E6A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68187318"/>
        <c:axId val="89334501"/>
      </c:lineChart>
      <c:catAx>
        <c:axId val="272307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lang="es-AR" sz="1000" b="0" strike="noStrike" spc="-1">
                <a:latin typeface="Arial"/>
              </a:defRPr>
            </a:pPr>
            <a:endParaRPr lang="es-ES"/>
          </a:p>
        </c:txPr>
        <c:crossAx val="80440935"/>
        <c:crosses val="autoZero"/>
        <c:auto val="1"/>
        <c:lblAlgn val="ctr"/>
        <c:lblOffset val="100"/>
        <c:noMultiLvlLbl val="1"/>
      </c:catAx>
      <c:valAx>
        <c:axId val="80440935"/>
        <c:scaling>
          <c:orientation val="minMax"/>
          <c:min val="8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lang="es-AR" sz="1000" b="0" strike="noStrike" spc="-1">
                <a:latin typeface="Arial"/>
              </a:defRPr>
            </a:pPr>
            <a:endParaRPr lang="es-ES"/>
          </a:p>
        </c:txPr>
        <c:crossAx val="27230771"/>
        <c:crossesAt val="1"/>
        <c:crossBetween val="midCat"/>
      </c:valAx>
      <c:catAx>
        <c:axId val="6818731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9334501"/>
        <c:crosses val="autoZero"/>
        <c:auto val="1"/>
        <c:lblAlgn val="ctr"/>
        <c:lblOffset val="100"/>
        <c:noMultiLvlLbl val="1"/>
      </c:catAx>
      <c:valAx>
        <c:axId val="89334501"/>
        <c:scaling>
          <c:orientation val="minMax"/>
        </c:scaling>
        <c:delete val="0"/>
        <c:axPos val="r"/>
        <c:numFmt formatCode="0.0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lang="es-AR" sz="1000" b="0" strike="noStrike" spc="-1">
                <a:latin typeface="Arial"/>
              </a:defRPr>
            </a:pPr>
            <a:endParaRPr lang="es-ES"/>
          </a:p>
        </c:txPr>
        <c:crossAx val="68187318"/>
        <c:crosses val="max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lang="es-AR" sz="1000" b="0" strike="noStrike" spc="-1">
              <a:latin typeface="Arial"/>
            </a:defRPr>
          </a:pPr>
          <a:endParaRPr lang="es-ES"/>
        </a:p>
      </c:txPr>
    </c:legend>
    <c:plotVisOnly val="1"/>
    <c:dispBlanksAs val="span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'GDP evolution by scenario'!$L$6</c:f>
              <c:strCache>
                <c:ptCount val="1"/>
                <c:pt idx="0">
                  <c:v>Real GDP, base 2014 = 100</c:v>
                </c:pt>
              </c:strCache>
            </c:strRef>
          </c:tx>
          <c:spPr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AR" sz="1000" b="0" strike="noStrike" spc="-1">
                    <a:latin typeface="Arial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'GDP evolution by scenario'!$D$7:$D$114</c:f>
              <c:numCache>
                <c:formatCode>General</c:formatCode>
                <c:ptCount val="108"/>
                <c:pt idx="0">
                  <c:v>2014</c:v>
                </c:pt>
                <c:pt idx="1">
                  <c:v>2014</c:v>
                </c:pt>
                <c:pt idx="2">
                  <c:v>2014</c:v>
                </c:pt>
                <c:pt idx="3">
                  <c:v>2014</c:v>
                </c:pt>
                <c:pt idx="4">
                  <c:v>2015</c:v>
                </c:pt>
                <c:pt idx="5">
                  <c:v>2015</c:v>
                </c:pt>
                <c:pt idx="6">
                  <c:v>2015</c:v>
                </c:pt>
                <c:pt idx="7">
                  <c:v>2015</c:v>
                </c:pt>
                <c:pt idx="8">
                  <c:v>2016</c:v>
                </c:pt>
                <c:pt idx="9">
                  <c:v>2016</c:v>
                </c:pt>
                <c:pt idx="10">
                  <c:v>2016</c:v>
                </c:pt>
                <c:pt idx="11">
                  <c:v>2016</c:v>
                </c:pt>
                <c:pt idx="12">
                  <c:v>2017</c:v>
                </c:pt>
                <c:pt idx="13">
                  <c:v>2017</c:v>
                </c:pt>
                <c:pt idx="14">
                  <c:v>2017</c:v>
                </c:pt>
                <c:pt idx="15">
                  <c:v>2017</c:v>
                </c:pt>
                <c:pt idx="16">
                  <c:v>2018</c:v>
                </c:pt>
                <c:pt idx="17">
                  <c:v>2018</c:v>
                </c:pt>
                <c:pt idx="18">
                  <c:v>2018</c:v>
                </c:pt>
                <c:pt idx="19">
                  <c:v>2018</c:v>
                </c:pt>
                <c:pt idx="20">
                  <c:v>2019</c:v>
                </c:pt>
                <c:pt idx="21">
                  <c:v>2019</c:v>
                </c:pt>
                <c:pt idx="22">
                  <c:v>2019</c:v>
                </c:pt>
                <c:pt idx="23">
                  <c:v>2019</c:v>
                </c:pt>
                <c:pt idx="24">
                  <c:v>2020</c:v>
                </c:pt>
                <c:pt idx="25">
                  <c:v>2020</c:v>
                </c:pt>
                <c:pt idx="26">
                  <c:v>2020</c:v>
                </c:pt>
                <c:pt idx="27">
                  <c:v>2020</c:v>
                </c:pt>
                <c:pt idx="28">
                  <c:v>2021</c:v>
                </c:pt>
                <c:pt idx="29">
                  <c:v>2021</c:v>
                </c:pt>
                <c:pt idx="30">
                  <c:v>2021</c:v>
                </c:pt>
                <c:pt idx="31">
                  <c:v>2021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2024</c:v>
                </c:pt>
                <c:pt idx="41">
                  <c:v>2024</c:v>
                </c:pt>
                <c:pt idx="42">
                  <c:v>2024</c:v>
                </c:pt>
                <c:pt idx="43">
                  <c:v>2024</c:v>
                </c:pt>
                <c:pt idx="44">
                  <c:v>2025</c:v>
                </c:pt>
                <c:pt idx="45">
                  <c:v>2025</c:v>
                </c:pt>
                <c:pt idx="46">
                  <c:v>2025</c:v>
                </c:pt>
                <c:pt idx="47">
                  <c:v>2025</c:v>
                </c:pt>
                <c:pt idx="48">
                  <c:v>2026</c:v>
                </c:pt>
                <c:pt idx="49">
                  <c:v>2026</c:v>
                </c:pt>
                <c:pt idx="50">
                  <c:v>2026</c:v>
                </c:pt>
                <c:pt idx="51">
                  <c:v>2026</c:v>
                </c:pt>
                <c:pt idx="52">
                  <c:v>2027</c:v>
                </c:pt>
                <c:pt idx="53">
                  <c:v>2027</c:v>
                </c:pt>
                <c:pt idx="54">
                  <c:v>2027</c:v>
                </c:pt>
                <c:pt idx="55">
                  <c:v>2027</c:v>
                </c:pt>
                <c:pt idx="56">
                  <c:v>2028</c:v>
                </c:pt>
                <c:pt idx="57">
                  <c:v>2028</c:v>
                </c:pt>
                <c:pt idx="58">
                  <c:v>2028</c:v>
                </c:pt>
                <c:pt idx="59">
                  <c:v>2028</c:v>
                </c:pt>
                <c:pt idx="60">
                  <c:v>2029</c:v>
                </c:pt>
                <c:pt idx="61">
                  <c:v>2029</c:v>
                </c:pt>
                <c:pt idx="62">
                  <c:v>2029</c:v>
                </c:pt>
                <c:pt idx="63">
                  <c:v>2029</c:v>
                </c:pt>
                <c:pt idx="64">
                  <c:v>2030</c:v>
                </c:pt>
                <c:pt idx="65">
                  <c:v>2030</c:v>
                </c:pt>
                <c:pt idx="66">
                  <c:v>2030</c:v>
                </c:pt>
                <c:pt idx="67">
                  <c:v>2030</c:v>
                </c:pt>
                <c:pt idx="68">
                  <c:v>2031</c:v>
                </c:pt>
                <c:pt idx="69">
                  <c:v>2031</c:v>
                </c:pt>
                <c:pt idx="70">
                  <c:v>2031</c:v>
                </c:pt>
                <c:pt idx="71">
                  <c:v>2031</c:v>
                </c:pt>
                <c:pt idx="72">
                  <c:v>2032</c:v>
                </c:pt>
                <c:pt idx="73">
                  <c:v>2032</c:v>
                </c:pt>
                <c:pt idx="74">
                  <c:v>2032</c:v>
                </c:pt>
                <c:pt idx="75">
                  <c:v>2032</c:v>
                </c:pt>
                <c:pt idx="76">
                  <c:v>2033</c:v>
                </c:pt>
                <c:pt idx="77">
                  <c:v>2033</c:v>
                </c:pt>
                <c:pt idx="78">
                  <c:v>2033</c:v>
                </c:pt>
                <c:pt idx="79">
                  <c:v>2033</c:v>
                </c:pt>
                <c:pt idx="80">
                  <c:v>2034</c:v>
                </c:pt>
                <c:pt idx="81">
                  <c:v>2034</c:v>
                </c:pt>
                <c:pt idx="82">
                  <c:v>2034</c:v>
                </c:pt>
                <c:pt idx="83">
                  <c:v>2034</c:v>
                </c:pt>
                <c:pt idx="84">
                  <c:v>2035</c:v>
                </c:pt>
                <c:pt idx="85">
                  <c:v>2035</c:v>
                </c:pt>
                <c:pt idx="86">
                  <c:v>2035</c:v>
                </c:pt>
                <c:pt idx="87">
                  <c:v>2035</c:v>
                </c:pt>
                <c:pt idx="88">
                  <c:v>2036</c:v>
                </c:pt>
                <c:pt idx="89">
                  <c:v>2036</c:v>
                </c:pt>
                <c:pt idx="90">
                  <c:v>2036</c:v>
                </c:pt>
                <c:pt idx="91">
                  <c:v>2036</c:v>
                </c:pt>
                <c:pt idx="92">
                  <c:v>2037</c:v>
                </c:pt>
                <c:pt idx="93">
                  <c:v>2037</c:v>
                </c:pt>
                <c:pt idx="94">
                  <c:v>2037</c:v>
                </c:pt>
                <c:pt idx="95">
                  <c:v>2037</c:v>
                </c:pt>
                <c:pt idx="96">
                  <c:v>2038</c:v>
                </c:pt>
                <c:pt idx="97">
                  <c:v>2038</c:v>
                </c:pt>
                <c:pt idx="98">
                  <c:v>2038</c:v>
                </c:pt>
                <c:pt idx="99">
                  <c:v>2038</c:v>
                </c:pt>
                <c:pt idx="100">
                  <c:v>2039</c:v>
                </c:pt>
                <c:pt idx="101">
                  <c:v>2039</c:v>
                </c:pt>
                <c:pt idx="102">
                  <c:v>2039</c:v>
                </c:pt>
                <c:pt idx="103">
                  <c:v>2039</c:v>
                </c:pt>
                <c:pt idx="104">
                  <c:v>2040</c:v>
                </c:pt>
                <c:pt idx="105">
                  <c:v>2040</c:v>
                </c:pt>
                <c:pt idx="106">
                  <c:v>2040</c:v>
                </c:pt>
                <c:pt idx="107">
                  <c:v>2040</c:v>
                </c:pt>
              </c:numCache>
            </c:numRef>
          </c:cat>
          <c:val>
            <c:numRef>
              <c:f>'GDP evolution by scenario'!$L$7:$L$114</c:f>
              <c:numCache>
                <c:formatCode>#,##0</c:formatCode>
                <c:ptCount val="108"/>
                <c:pt idx="0">
                  <c:v>95.551796897113448</c:v>
                </c:pt>
                <c:pt idx="1">
                  <c:v>108.29706973470626</c:v>
                </c:pt>
                <c:pt idx="2">
                  <c:v>98.373038680592757</c:v>
                </c:pt>
                <c:pt idx="3">
                  <c:v>97.778094687587469</c:v>
                </c:pt>
                <c:pt idx="4">
                  <c:v>95.79154490530928</c:v>
                </c:pt>
                <c:pt idx="5">
                  <c:v>112.66255930579636</c:v>
                </c:pt>
                <c:pt idx="6">
                  <c:v>102.27468061513028</c:v>
                </c:pt>
                <c:pt idx="7">
                  <c:v>100.19585453002271</c:v>
                </c:pt>
                <c:pt idx="8">
                  <c:v>96.489570752043846</c:v>
                </c:pt>
                <c:pt idx="9">
                  <c:v>108.31506926701537</c:v>
                </c:pt>
                <c:pt idx="10">
                  <c:v>98.871778161005949</c:v>
                </c:pt>
                <c:pt idx="11">
                  <c:v>98.699641464173908</c:v>
                </c:pt>
                <c:pt idx="12">
                  <c:v>96.772663607471401</c:v>
                </c:pt>
                <c:pt idx="13">
                  <c:v>110.56659770648803</c:v>
                </c:pt>
                <c:pt idx="14">
                  <c:v>102.64665264303893</c:v>
                </c:pt>
                <c:pt idx="15">
                  <c:v>103.12791451762564</c:v>
                </c:pt>
                <c:pt idx="16">
                  <c:v>100.74907361741026</c:v>
                </c:pt>
                <c:pt idx="17">
                  <c:v>106.35800245550114</c:v>
                </c:pt>
                <c:pt idx="18">
                  <c:v>98.899684964731122</c:v>
                </c:pt>
                <c:pt idx="19">
                  <c:v>96.854439654464443</c:v>
                </c:pt>
                <c:pt idx="20">
                  <c:v>94.87098305489296</c:v>
                </c:pt>
                <c:pt idx="21">
                  <c:v>107.04865692626599</c:v>
                </c:pt>
                <c:pt idx="22">
                  <c:v>98.9377533319836</c:v>
                </c:pt>
                <c:pt idx="23">
                  <c:v>89.515110157508957</c:v>
                </c:pt>
                <c:pt idx="24">
                  <c:v>92.713469574279728</c:v>
                </c:pt>
                <c:pt idx="25">
                  <c:v>95.15329772097131</c:v>
                </c:pt>
                <c:pt idx="26">
                  <c:v>100.03295401435443</c:v>
                </c:pt>
                <c:pt idx="27">
                  <c:v>102.47278216104603</c:v>
                </c:pt>
                <c:pt idx="28">
                  <c:v>102.56565363286367</c:v>
                </c:pt>
                <c:pt idx="29">
                  <c:v>102.59080320707082</c:v>
                </c:pt>
                <c:pt idx="30">
                  <c:v>102.57832552732107</c:v>
                </c:pt>
                <c:pt idx="31">
                  <c:v>102.74644113444131</c:v>
                </c:pt>
                <c:pt idx="32">
                  <c:v>103.68728512708753</c:v>
                </c:pt>
                <c:pt idx="33">
                  <c:v>105.30412564956227</c:v>
                </c:pt>
                <c:pt idx="34">
                  <c:v>106.50191708963625</c:v>
                </c:pt>
                <c:pt idx="35">
                  <c:v>108.12500053171435</c:v>
                </c:pt>
                <c:pt idx="36">
                  <c:v>109.52346124880377</c:v>
                </c:pt>
                <c:pt idx="37">
                  <c:v>110.26155749112236</c:v>
                </c:pt>
                <c:pt idx="38">
                  <c:v>111.67910196995095</c:v>
                </c:pt>
                <c:pt idx="39">
                  <c:v>113.29725104143829</c:v>
                </c:pt>
                <c:pt idx="40">
                  <c:v>114.09449740642543</c:v>
                </c:pt>
                <c:pt idx="41">
                  <c:v>114.82220074362068</c:v>
                </c:pt>
                <c:pt idx="42">
                  <c:v>116.32271574963447</c:v>
                </c:pt>
                <c:pt idx="43">
                  <c:v>117.35184423178571</c:v>
                </c:pt>
                <c:pt idx="44">
                  <c:v>118.43048379887975</c:v>
                </c:pt>
                <c:pt idx="45">
                  <c:v>119.74591000126</c:v>
                </c:pt>
                <c:pt idx="46">
                  <c:v>120.88235800381256</c:v>
                </c:pt>
                <c:pt idx="47">
                  <c:v>122.41600660459333</c:v>
                </c:pt>
                <c:pt idx="48">
                  <c:v>123.18375788629669</c:v>
                </c:pt>
                <c:pt idx="49">
                  <c:v>124.82724180533933</c:v>
                </c:pt>
                <c:pt idx="50">
                  <c:v>125.52455073309103</c:v>
                </c:pt>
                <c:pt idx="51">
                  <c:v>126.88067858196632</c:v>
                </c:pt>
                <c:pt idx="52">
                  <c:v>127.82044314060377</c:v>
                </c:pt>
                <c:pt idx="53">
                  <c:v>128.93034694962049</c:v>
                </c:pt>
                <c:pt idx="54">
                  <c:v>130.94686228412607</c:v>
                </c:pt>
                <c:pt idx="55">
                  <c:v>131.91492982244543</c:v>
                </c:pt>
                <c:pt idx="56">
                  <c:v>133.74860652124667</c:v>
                </c:pt>
                <c:pt idx="57">
                  <c:v>134.88302572514181</c:v>
                </c:pt>
                <c:pt idx="58">
                  <c:v>135.76779851303587</c:v>
                </c:pt>
                <c:pt idx="59">
                  <c:v>137.44032272757002</c:v>
                </c:pt>
                <c:pt idx="60">
                  <c:v>138.74519326319896</c:v>
                </c:pt>
                <c:pt idx="61">
                  <c:v>139.92141423865743</c:v>
                </c:pt>
                <c:pt idx="62">
                  <c:v>141.57105166216661</c:v>
                </c:pt>
                <c:pt idx="63">
                  <c:v>142.71035968922575</c:v>
                </c:pt>
                <c:pt idx="64">
                  <c:v>144.57624753227969</c:v>
                </c:pt>
                <c:pt idx="65">
                  <c:v>145.40643904700968</c:v>
                </c:pt>
                <c:pt idx="66">
                  <c:v>146.17029370815629</c:v>
                </c:pt>
                <c:pt idx="67">
                  <c:v>147.77684478569165</c:v>
                </c:pt>
                <c:pt idx="68">
                  <c:v>149.20010470375749</c:v>
                </c:pt>
                <c:pt idx="69">
                  <c:v>151.24722259538493</c:v>
                </c:pt>
                <c:pt idx="70">
                  <c:v>152.81505623982727</c:v>
                </c:pt>
                <c:pt idx="71">
                  <c:v>153.87593197027226</c:v>
                </c:pt>
                <c:pt idx="72">
                  <c:v>154.8840849419129</c:v>
                </c:pt>
                <c:pt idx="73">
                  <c:v>156.31288960205305</c:v>
                </c:pt>
                <c:pt idx="74">
                  <c:v>158.129549425606</c:v>
                </c:pt>
                <c:pt idx="75">
                  <c:v>159.10632358027101</c:v>
                </c:pt>
                <c:pt idx="76">
                  <c:v>160.55027459783656</c:v>
                </c:pt>
                <c:pt idx="77">
                  <c:v>162.08740236110603</c:v>
                </c:pt>
                <c:pt idx="78">
                  <c:v>163.79740127543621</c:v>
                </c:pt>
                <c:pt idx="79">
                  <c:v>166.2028910953039</c:v>
                </c:pt>
                <c:pt idx="80">
                  <c:v>167.05182618922856</c:v>
                </c:pt>
                <c:pt idx="81">
                  <c:v>168.04582030699765</c:v>
                </c:pt>
                <c:pt idx="82">
                  <c:v>170.29637320222724</c:v>
                </c:pt>
                <c:pt idx="83">
                  <c:v>171.28653395159711</c:v>
                </c:pt>
                <c:pt idx="84">
                  <c:v>171.74646908089258</c:v>
                </c:pt>
                <c:pt idx="85">
                  <c:v>172.67246242454567</c:v>
                </c:pt>
                <c:pt idx="86">
                  <c:v>173.9048021194653</c:v>
                </c:pt>
                <c:pt idx="87">
                  <c:v>175.74832345094737</c:v>
                </c:pt>
                <c:pt idx="88">
                  <c:v>175.72765133493368</c:v>
                </c:pt>
                <c:pt idx="89">
                  <c:v>177.64272738268224</c:v>
                </c:pt>
                <c:pt idx="90">
                  <c:v>179.02533127523509</c:v>
                </c:pt>
                <c:pt idx="91">
                  <c:v>181.09355270942854</c:v>
                </c:pt>
                <c:pt idx="92">
                  <c:v>181.73546074299855</c:v>
                </c:pt>
                <c:pt idx="93">
                  <c:v>182.91237433432673</c:v>
                </c:pt>
                <c:pt idx="94">
                  <c:v>183.72926821640118</c:v>
                </c:pt>
                <c:pt idx="95">
                  <c:v>185.75234317864621</c:v>
                </c:pt>
                <c:pt idx="96">
                  <c:v>187.72691464611088</c:v>
                </c:pt>
                <c:pt idx="97">
                  <c:v>189.08691739841294</c:v>
                </c:pt>
                <c:pt idx="98">
                  <c:v>190.02619281111632</c:v>
                </c:pt>
                <c:pt idx="99">
                  <c:v>191.11407585023278</c:v>
                </c:pt>
                <c:pt idx="100">
                  <c:v>192.52925216483371</c:v>
                </c:pt>
                <c:pt idx="101">
                  <c:v>193.41933352963537</c:v>
                </c:pt>
                <c:pt idx="102">
                  <c:v>195.37876558405526</c:v>
                </c:pt>
                <c:pt idx="103">
                  <c:v>197.24073734319404</c:v>
                </c:pt>
                <c:pt idx="104">
                  <c:v>198.19942959002904</c:v>
                </c:pt>
                <c:pt idx="105">
                  <c:v>199.54263199650944</c:v>
                </c:pt>
                <c:pt idx="106">
                  <c:v>200.97027621124775</c:v>
                </c:pt>
                <c:pt idx="107">
                  <c:v>202.00584319301259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B1-48D4-9BA9-B8096B7219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32481734"/>
        <c:axId val="98504946"/>
      </c:lineChart>
      <c:lineChart>
        <c:grouping val="standard"/>
        <c:varyColors val="0"/>
        <c:ser>
          <c:idx val="1"/>
          <c:order val="1"/>
          <c:tx>
            <c:strRef>
              <c:f>'GDP evolution by scenario'!$M$6</c:f>
              <c:strCache>
                <c:ptCount val="1"/>
              </c:strCache>
            </c:strRef>
          </c:tx>
          <c:spPr>
            <a:ln w="28800">
              <a:solidFill>
                <a:srgbClr val="00CC33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AR" sz="1000" b="0" strike="noStrike" spc="-1">
                    <a:latin typeface="Arial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'GDP evolution by scenario'!$D$7:$D$114</c:f>
              <c:numCache>
                <c:formatCode>General</c:formatCode>
                <c:ptCount val="108"/>
                <c:pt idx="0">
                  <c:v>2014</c:v>
                </c:pt>
                <c:pt idx="1">
                  <c:v>2014</c:v>
                </c:pt>
                <c:pt idx="2">
                  <c:v>2014</c:v>
                </c:pt>
                <c:pt idx="3">
                  <c:v>2014</c:v>
                </c:pt>
                <c:pt idx="4">
                  <c:v>2015</c:v>
                </c:pt>
                <c:pt idx="5">
                  <c:v>2015</c:v>
                </c:pt>
                <c:pt idx="6">
                  <c:v>2015</c:v>
                </c:pt>
                <c:pt idx="7">
                  <c:v>2015</c:v>
                </c:pt>
                <c:pt idx="8">
                  <c:v>2016</c:v>
                </c:pt>
                <c:pt idx="9">
                  <c:v>2016</c:v>
                </c:pt>
                <c:pt idx="10">
                  <c:v>2016</c:v>
                </c:pt>
                <c:pt idx="11">
                  <c:v>2016</c:v>
                </c:pt>
                <c:pt idx="12">
                  <c:v>2017</c:v>
                </c:pt>
                <c:pt idx="13">
                  <c:v>2017</c:v>
                </c:pt>
                <c:pt idx="14">
                  <c:v>2017</c:v>
                </c:pt>
                <c:pt idx="15">
                  <c:v>2017</c:v>
                </c:pt>
                <c:pt idx="16">
                  <c:v>2018</c:v>
                </c:pt>
                <c:pt idx="17">
                  <c:v>2018</c:v>
                </c:pt>
                <c:pt idx="18">
                  <c:v>2018</c:v>
                </c:pt>
                <c:pt idx="19">
                  <c:v>2018</c:v>
                </c:pt>
                <c:pt idx="20">
                  <c:v>2019</c:v>
                </c:pt>
                <c:pt idx="21">
                  <c:v>2019</c:v>
                </c:pt>
                <c:pt idx="22">
                  <c:v>2019</c:v>
                </c:pt>
                <c:pt idx="23">
                  <c:v>2019</c:v>
                </c:pt>
                <c:pt idx="24">
                  <c:v>2020</c:v>
                </c:pt>
                <c:pt idx="25">
                  <c:v>2020</c:v>
                </c:pt>
                <c:pt idx="26">
                  <c:v>2020</c:v>
                </c:pt>
                <c:pt idx="27">
                  <c:v>2020</c:v>
                </c:pt>
                <c:pt idx="28">
                  <c:v>2021</c:v>
                </c:pt>
                <c:pt idx="29">
                  <c:v>2021</c:v>
                </c:pt>
                <c:pt idx="30">
                  <c:v>2021</c:v>
                </c:pt>
                <c:pt idx="31">
                  <c:v>2021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2024</c:v>
                </c:pt>
                <c:pt idx="41">
                  <c:v>2024</c:v>
                </c:pt>
                <c:pt idx="42">
                  <c:v>2024</c:v>
                </c:pt>
                <c:pt idx="43">
                  <c:v>2024</c:v>
                </c:pt>
                <c:pt idx="44">
                  <c:v>2025</c:v>
                </c:pt>
                <c:pt idx="45">
                  <c:v>2025</c:v>
                </c:pt>
                <c:pt idx="46">
                  <c:v>2025</c:v>
                </c:pt>
                <c:pt idx="47">
                  <c:v>2025</c:v>
                </c:pt>
                <c:pt idx="48">
                  <c:v>2026</c:v>
                </c:pt>
                <c:pt idx="49">
                  <c:v>2026</c:v>
                </c:pt>
                <c:pt idx="50">
                  <c:v>2026</c:v>
                </c:pt>
                <c:pt idx="51">
                  <c:v>2026</c:v>
                </c:pt>
                <c:pt idx="52">
                  <c:v>2027</c:v>
                </c:pt>
                <c:pt idx="53">
                  <c:v>2027</c:v>
                </c:pt>
                <c:pt idx="54">
                  <c:v>2027</c:v>
                </c:pt>
                <c:pt idx="55">
                  <c:v>2027</c:v>
                </c:pt>
                <c:pt idx="56">
                  <c:v>2028</c:v>
                </c:pt>
                <c:pt idx="57">
                  <c:v>2028</c:v>
                </c:pt>
                <c:pt idx="58">
                  <c:v>2028</c:v>
                </c:pt>
                <c:pt idx="59">
                  <c:v>2028</c:v>
                </c:pt>
                <c:pt idx="60">
                  <c:v>2029</c:v>
                </c:pt>
                <c:pt idx="61">
                  <c:v>2029</c:v>
                </c:pt>
                <c:pt idx="62">
                  <c:v>2029</c:v>
                </c:pt>
                <c:pt idx="63">
                  <c:v>2029</c:v>
                </c:pt>
                <c:pt idx="64">
                  <c:v>2030</c:v>
                </c:pt>
                <c:pt idx="65">
                  <c:v>2030</c:v>
                </c:pt>
                <c:pt idx="66">
                  <c:v>2030</c:v>
                </c:pt>
                <c:pt idx="67">
                  <c:v>2030</c:v>
                </c:pt>
                <c:pt idx="68">
                  <c:v>2031</c:v>
                </c:pt>
                <c:pt idx="69">
                  <c:v>2031</c:v>
                </c:pt>
                <c:pt idx="70">
                  <c:v>2031</c:v>
                </c:pt>
                <c:pt idx="71">
                  <c:v>2031</c:v>
                </c:pt>
                <c:pt idx="72">
                  <c:v>2032</c:v>
                </c:pt>
                <c:pt idx="73">
                  <c:v>2032</c:v>
                </c:pt>
                <c:pt idx="74">
                  <c:v>2032</c:v>
                </c:pt>
                <c:pt idx="75">
                  <c:v>2032</c:v>
                </c:pt>
                <c:pt idx="76">
                  <c:v>2033</c:v>
                </c:pt>
                <c:pt idx="77">
                  <c:v>2033</c:v>
                </c:pt>
                <c:pt idx="78">
                  <c:v>2033</c:v>
                </c:pt>
                <c:pt idx="79">
                  <c:v>2033</c:v>
                </c:pt>
                <c:pt idx="80">
                  <c:v>2034</c:v>
                </c:pt>
                <c:pt idx="81">
                  <c:v>2034</c:v>
                </c:pt>
                <c:pt idx="82">
                  <c:v>2034</c:v>
                </c:pt>
                <c:pt idx="83">
                  <c:v>2034</c:v>
                </c:pt>
                <c:pt idx="84">
                  <c:v>2035</c:v>
                </c:pt>
                <c:pt idx="85">
                  <c:v>2035</c:v>
                </c:pt>
                <c:pt idx="86">
                  <c:v>2035</c:v>
                </c:pt>
                <c:pt idx="87">
                  <c:v>2035</c:v>
                </c:pt>
                <c:pt idx="88">
                  <c:v>2036</c:v>
                </c:pt>
                <c:pt idx="89">
                  <c:v>2036</c:v>
                </c:pt>
                <c:pt idx="90">
                  <c:v>2036</c:v>
                </c:pt>
                <c:pt idx="91">
                  <c:v>2036</c:v>
                </c:pt>
                <c:pt idx="92">
                  <c:v>2037</c:v>
                </c:pt>
                <c:pt idx="93">
                  <c:v>2037</c:v>
                </c:pt>
                <c:pt idx="94">
                  <c:v>2037</c:v>
                </c:pt>
                <c:pt idx="95">
                  <c:v>2037</c:v>
                </c:pt>
                <c:pt idx="96">
                  <c:v>2038</c:v>
                </c:pt>
                <c:pt idx="97">
                  <c:v>2038</c:v>
                </c:pt>
                <c:pt idx="98">
                  <c:v>2038</c:v>
                </c:pt>
                <c:pt idx="99">
                  <c:v>2038</c:v>
                </c:pt>
                <c:pt idx="100">
                  <c:v>2039</c:v>
                </c:pt>
                <c:pt idx="101">
                  <c:v>2039</c:v>
                </c:pt>
                <c:pt idx="102">
                  <c:v>2039</c:v>
                </c:pt>
                <c:pt idx="103">
                  <c:v>2039</c:v>
                </c:pt>
                <c:pt idx="104">
                  <c:v>2040</c:v>
                </c:pt>
                <c:pt idx="105">
                  <c:v>2040</c:v>
                </c:pt>
                <c:pt idx="106">
                  <c:v>2040</c:v>
                </c:pt>
                <c:pt idx="107">
                  <c:v>2040</c:v>
                </c:pt>
              </c:numCache>
            </c:numRef>
          </c:cat>
          <c:val>
            <c:numRef>
              <c:f>'GDP evolution by scenario'!$M$7:$M$114</c:f>
              <c:numCache>
                <c:formatCode>General</c:formatCode>
                <c:ptCount val="108"/>
                <c:pt idx="6" formatCode="0.00%">
                  <c:v>2.7311598390646674E-2</c:v>
                </c:pt>
                <c:pt idx="10" formatCode="0.00%">
                  <c:v>-2.0803278492649069E-2</c:v>
                </c:pt>
                <c:pt idx="14" formatCode="0.00%">
                  <c:v>2.6685903828072455E-2</c:v>
                </c:pt>
                <c:pt idx="18" formatCode="0.00%">
                  <c:v>-2.4817924445603157E-2</c:v>
                </c:pt>
                <c:pt idx="22" formatCode="0.00%">
                  <c:v>-3.1000000000000028E-2</c:v>
                </c:pt>
                <c:pt idx="26" formatCode="0.00%">
                  <c:v>0</c:v>
                </c:pt>
                <c:pt idx="30" formatCode="0.00%">
                  <c:v>5.1511619932926855E-2</c:v>
                </c:pt>
                <c:pt idx="34" formatCode="0.00%">
                  <c:v>3.2004155474480989E-2</c:v>
                </c:pt>
                <c:pt idx="38" formatCode="0.00%">
                  <c:v>4.991059625128047E-2</c:v>
                </c:pt>
                <c:pt idx="42" formatCode="0.00%">
                  <c:v>4.0088657677133765E-2</c:v>
                </c:pt>
                <c:pt idx="46" formatCode="0.00%">
                  <c:v>4.0821135170938883E-2</c:v>
                </c:pt>
                <c:pt idx="50" formatCode="0.00%">
                  <c:v>3.9340526719939595E-2</c:v>
                </c:pt>
                <c:pt idx="54" formatCode="0.00%">
                  <c:v>3.8360772647614505E-2</c:v>
                </c:pt>
                <c:pt idx="58" formatCode="0.00%">
                  <c:v>4.277643007840104E-2</c:v>
                </c:pt>
                <c:pt idx="62" formatCode="0.00%">
                  <c:v>3.8956656890552388E-2</c:v>
                </c:pt>
                <c:pt idx="66" formatCode="0.00%">
                  <c:v>3.7271303063876937E-2</c:v>
                </c:pt>
                <c:pt idx="70" formatCode="0.00%">
                  <c:v>3.9745341716699745E-2</c:v>
                </c:pt>
                <c:pt idx="74" formatCode="0.00%">
                  <c:v>3.5073609252844085E-2</c:v>
                </c:pt>
                <c:pt idx="78" formatCode="0.00%">
                  <c:v>3.8516640042307593E-2</c:v>
                </c:pt>
                <c:pt idx="82" formatCode="0.00%">
                  <c:v>3.6839082998897155E-2</c:v>
                </c:pt>
                <c:pt idx="86" formatCode="0.00%">
                  <c:v>2.5701201744293689E-2</c:v>
                </c:pt>
                <c:pt idx="90" formatCode="0.00%">
                  <c:v>2.7975777771884314E-2</c:v>
                </c:pt>
                <c:pt idx="94" formatCode="0.00%">
                  <c:v>2.8928513502670006E-2</c:v>
                </c:pt>
                <c:pt idx="98" formatCode="0.00%">
                  <c:v>3.245293367264046E-2</c:v>
                </c:pt>
                <c:pt idx="102" formatCode="0.00%">
                  <c:v>2.7196881574554244E-2</c:v>
                </c:pt>
                <c:pt idx="106" formatCode="0.00%">
                  <c:v>2.8449781968706844E-2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B1-48D4-9BA9-B8096B7219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56923621"/>
        <c:axId val="18864636"/>
      </c:lineChart>
      <c:catAx>
        <c:axId val="3248173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lang="es-AR" sz="1000" b="0" strike="noStrike" spc="-1">
                <a:latin typeface="Arial"/>
              </a:defRPr>
            </a:pPr>
            <a:endParaRPr lang="es-ES"/>
          </a:p>
        </c:txPr>
        <c:crossAx val="98504946"/>
        <c:crosses val="autoZero"/>
        <c:auto val="1"/>
        <c:lblAlgn val="ctr"/>
        <c:lblOffset val="100"/>
        <c:noMultiLvlLbl val="1"/>
      </c:catAx>
      <c:valAx>
        <c:axId val="98504946"/>
        <c:scaling>
          <c:orientation val="minMax"/>
          <c:min val="8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lang="es-AR" sz="1000" b="0" strike="noStrike" spc="-1">
                <a:latin typeface="Arial"/>
              </a:defRPr>
            </a:pPr>
            <a:endParaRPr lang="es-ES"/>
          </a:p>
        </c:txPr>
        <c:crossAx val="32481734"/>
        <c:crossesAt val="1"/>
        <c:crossBetween val="midCat"/>
      </c:valAx>
      <c:catAx>
        <c:axId val="5692362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64636"/>
        <c:crosses val="autoZero"/>
        <c:auto val="1"/>
        <c:lblAlgn val="ctr"/>
        <c:lblOffset val="100"/>
        <c:noMultiLvlLbl val="1"/>
      </c:catAx>
      <c:valAx>
        <c:axId val="18864636"/>
        <c:scaling>
          <c:orientation val="minMax"/>
        </c:scaling>
        <c:delete val="0"/>
        <c:axPos val="r"/>
        <c:numFmt formatCode="0.0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lang="es-AR" sz="1000" b="0" strike="noStrike" spc="-1">
                <a:latin typeface="Arial"/>
              </a:defRPr>
            </a:pPr>
            <a:endParaRPr lang="es-ES"/>
          </a:p>
        </c:txPr>
        <c:crossAx val="56923621"/>
        <c:crosses val="max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lang="es-AR" sz="1000" b="0" strike="noStrike" spc="-1">
              <a:latin typeface="Arial"/>
            </a:defRPr>
          </a:pPr>
          <a:endParaRPr lang="es-ES"/>
        </a:p>
      </c:txPr>
    </c:legend>
    <c:plotVisOnly val="1"/>
    <c:dispBlanksAs val="span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'GDP evolution by scenario'!$Q$6</c:f>
              <c:strCache>
                <c:ptCount val="1"/>
                <c:pt idx="0">
                  <c:v>Real GDP, base 2014 = 100</c:v>
                </c:pt>
              </c:strCache>
            </c:strRef>
          </c:tx>
          <c:spPr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AR" sz="1000" b="0" strike="noStrike" spc="-1">
                    <a:latin typeface="Arial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'GDP evolution by scenario'!$D$7:$D$114</c:f>
              <c:numCache>
                <c:formatCode>General</c:formatCode>
                <c:ptCount val="108"/>
                <c:pt idx="0">
                  <c:v>2014</c:v>
                </c:pt>
                <c:pt idx="1">
                  <c:v>2014</c:v>
                </c:pt>
                <c:pt idx="2">
                  <c:v>2014</c:v>
                </c:pt>
                <c:pt idx="3">
                  <c:v>2014</c:v>
                </c:pt>
                <c:pt idx="4">
                  <c:v>2015</c:v>
                </c:pt>
                <c:pt idx="5">
                  <c:v>2015</c:v>
                </c:pt>
                <c:pt idx="6">
                  <c:v>2015</c:v>
                </c:pt>
                <c:pt idx="7">
                  <c:v>2015</c:v>
                </c:pt>
                <c:pt idx="8">
                  <c:v>2016</c:v>
                </c:pt>
                <c:pt idx="9">
                  <c:v>2016</c:v>
                </c:pt>
                <c:pt idx="10">
                  <c:v>2016</c:v>
                </c:pt>
                <c:pt idx="11">
                  <c:v>2016</c:v>
                </c:pt>
                <c:pt idx="12">
                  <c:v>2017</c:v>
                </c:pt>
                <c:pt idx="13">
                  <c:v>2017</c:v>
                </c:pt>
                <c:pt idx="14">
                  <c:v>2017</c:v>
                </c:pt>
                <c:pt idx="15">
                  <c:v>2017</c:v>
                </c:pt>
                <c:pt idx="16">
                  <c:v>2018</c:v>
                </c:pt>
                <c:pt idx="17">
                  <c:v>2018</c:v>
                </c:pt>
                <c:pt idx="18">
                  <c:v>2018</c:v>
                </c:pt>
                <c:pt idx="19">
                  <c:v>2018</c:v>
                </c:pt>
                <c:pt idx="20">
                  <c:v>2019</c:v>
                </c:pt>
                <c:pt idx="21">
                  <c:v>2019</c:v>
                </c:pt>
                <c:pt idx="22">
                  <c:v>2019</c:v>
                </c:pt>
                <c:pt idx="23">
                  <c:v>2019</c:v>
                </c:pt>
                <c:pt idx="24">
                  <c:v>2020</c:v>
                </c:pt>
                <c:pt idx="25">
                  <c:v>2020</c:v>
                </c:pt>
                <c:pt idx="26">
                  <c:v>2020</c:v>
                </c:pt>
                <c:pt idx="27">
                  <c:v>2020</c:v>
                </c:pt>
                <c:pt idx="28">
                  <c:v>2021</c:v>
                </c:pt>
                <c:pt idx="29">
                  <c:v>2021</c:v>
                </c:pt>
                <c:pt idx="30">
                  <c:v>2021</c:v>
                </c:pt>
                <c:pt idx="31">
                  <c:v>2021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2024</c:v>
                </c:pt>
                <c:pt idx="41">
                  <c:v>2024</c:v>
                </c:pt>
                <c:pt idx="42">
                  <c:v>2024</c:v>
                </c:pt>
                <c:pt idx="43">
                  <c:v>2024</c:v>
                </c:pt>
                <c:pt idx="44">
                  <c:v>2025</c:v>
                </c:pt>
                <c:pt idx="45">
                  <c:v>2025</c:v>
                </c:pt>
                <c:pt idx="46">
                  <c:v>2025</c:v>
                </c:pt>
                <c:pt idx="47">
                  <c:v>2025</c:v>
                </c:pt>
                <c:pt idx="48">
                  <c:v>2026</c:v>
                </c:pt>
                <c:pt idx="49">
                  <c:v>2026</c:v>
                </c:pt>
                <c:pt idx="50">
                  <c:v>2026</c:v>
                </c:pt>
                <c:pt idx="51">
                  <c:v>2026</c:v>
                </c:pt>
                <c:pt idx="52">
                  <c:v>2027</c:v>
                </c:pt>
                <c:pt idx="53">
                  <c:v>2027</c:v>
                </c:pt>
                <c:pt idx="54">
                  <c:v>2027</c:v>
                </c:pt>
                <c:pt idx="55">
                  <c:v>2027</c:v>
                </c:pt>
                <c:pt idx="56">
                  <c:v>2028</c:v>
                </c:pt>
                <c:pt idx="57">
                  <c:v>2028</c:v>
                </c:pt>
                <c:pt idx="58">
                  <c:v>2028</c:v>
                </c:pt>
                <c:pt idx="59">
                  <c:v>2028</c:v>
                </c:pt>
                <c:pt idx="60">
                  <c:v>2029</c:v>
                </c:pt>
                <c:pt idx="61">
                  <c:v>2029</c:v>
                </c:pt>
                <c:pt idx="62">
                  <c:v>2029</c:v>
                </c:pt>
                <c:pt idx="63">
                  <c:v>2029</c:v>
                </c:pt>
                <c:pt idx="64">
                  <c:v>2030</c:v>
                </c:pt>
                <c:pt idx="65">
                  <c:v>2030</c:v>
                </c:pt>
                <c:pt idx="66">
                  <c:v>2030</c:v>
                </c:pt>
                <c:pt idx="67">
                  <c:v>2030</c:v>
                </c:pt>
                <c:pt idx="68">
                  <c:v>2031</c:v>
                </c:pt>
                <c:pt idx="69">
                  <c:v>2031</c:v>
                </c:pt>
                <c:pt idx="70">
                  <c:v>2031</c:v>
                </c:pt>
                <c:pt idx="71">
                  <c:v>2031</c:v>
                </c:pt>
                <c:pt idx="72">
                  <c:v>2032</c:v>
                </c:pt>
                <c:pt idx="73">
                  <c:v>2032</c:v>
                </c:pt>
                <c:pt idx="74">
                  <c:v>2032</c:v>
                </c:pt>
                <c:pt idx="75">
                  <c:v>2032</c:v>
                </c:pt>
                <c:pt idx="76">
                  <c:v>2033</c:v>
                </c:pt>
                <c:pt idx="77">
                  <c:v>2033</c:v>
                </c:pt>
                <c:pt idx="78">
                  <c:v>2033</c:v>
                </c:pt>
                <c:pt idx="79">
                  <c:v>2033</c:v>
                </c:pt>
                <c:pt idx="80">
                  <c:v>2034</c:v>
                </c:pt>
                <c:pt idx="81">
                  <c:v>2034</c:v>
                </c:pt>
                <c:pt idx="82">
                  <c:v>2034</c:v>
                </c:pt>
                <c:pt idx="83">
                  <c:v>2034</c:v>
                </c:pt>
                <c:pt idx="84">
                  <c:v>2035</c:v>
                </c:pt>
                <c:pt idx="85">
                  <c:v>2035</c:v>
                </c:pt>
                <c:pt idx="86">
                  <c:v>2035</c:v>
                </c:pt>
                <c:pt idx="87">
                  <c:v>2035</c:v>
                </c:pt>
                <c:pt idx="88">
                  <c:v>2036</c:v>
                </c:pt>
                <c:pt idx="89">
                  <c:v>2036</c:v>
                </c:pt>
                <c:pt idx="90">
                  <c:v>2036</c:v>
                </c:pt>
                <c:pt idx="91">
                  <c:v>2036</c:v>
                </c:pt>
                <c:pt idx="92">
                  <c:v>2037</c:v>
                </c:pt>
                <c:pt idx="93">
                  <c:v>2037</c:v>
                </c:pt>
                <c:pt idx="94">
                  <c:v>2037</c:v>
                </c:pt>
                <c:pt idx="95">
                  <c:v>2037</c:v>
                </c:pt>
                <c:pt idx="96">
                  <c:v>2038</c:v>
                </c:pt>
                <c:pt idx="97">
                  <c:v>2038</c:v>
                </c:pt>
                <c:pt idx="98">
                  <c:v>2038</c:v>
                </c:pt>
                <c:pt idx="99">
                  <c:v>2038</c:v>
                </c:pt>
                <c:pt idx="100">
                  <c:v>2039</c:v>
                </c:pt>
                <c:pt idx="101">
                  <c:v>2039</c:v>
                </c:pt>
                <c:pt idx="102">
                  <c:v>2039</c:v>
                </c:pt>
                <c:pt idx="103">
                  <c:v>2039</c:v>
                </c:pt>
                <c:pt idx="104">
                  <c:v>2040</c:v>
                </c:pt>
                <c:pt idx="105">
                  <c:v>2040</c:v>
                </c:pt>
                <c:pt idx="106">
                  <c:v>2040</c:v>
                </c:pt>
                <c:pt idx="107">
                  <c:v>2040</c:v>
                </c:pt>
              </c:numCache>
            </c:numRef>
          </c:cat>
          <c:val>
            <c:numRef>
              <c:f>'GDP evolution by scenario'!$Q$7:$Q$114</c:f>
              <c:numCache>
                <c:formatCode>#,##0</c:formatCode>
                <c:ptCount val="108"/>
                <c:pt idx="0">
                  <c:v>95.551796897113448</c:v>
                </c:pt>
                <c:pt idx="1">
                  <c:v>108.29706973470626</c:v>
                </c:pt>
                <c:pt idx="2">
                  <c:v>98.373038680592757</c:v>
                </c:pt>
                <c:pt idx="3">
                  <c:v>97.778094687587469</c:v>
                </c:pt>
                <c:pt idx="4">
                  <c:v>95.79154490530928</c:v>
                </c:pt>
                <c:pt idx="5">
                  <c:v>112.66255930579636</c:v>
                </c:pt>
                <c:pt idx="6">
                  <c:v>102.27468061513028</c:v>
                </c:pt>
                <c:pt idx="7">
                  <c:v>100.19585453002271</c:v>
                </c:pt>
                <c:pt idx="8">
                  <c:v>96.489570752043846</c:v>
                </c:pt>
                <c:pt idx="9">
                  <c:v>108.31506926701537</c:v>
                </c:pt>
                <c:pt idx="10">
                  <c:v>98.871778161005949</c:v>
                </c:pt>
                <c:pt idx="11">
                  <c:v>98.699641464173908</c:v>
                </c:pt>
                <c:pt idx="12">
                  <c:v>96.772663607471401</c:v>
                </c:pt>
                <c:pt idx="13">
                  <c:v>110.56659770648803</c:v>
                </c:pt>
                <c:pt idx="14">
                  <c:v>102.64665264303893</c:v>
                </c:pt>
                <c:pt idx="15">
                  <c:v>103.12791451762564</c:v>
                </c:pt>
                <c:pt idx="16">
                  <c:v>100.74907361741026</c:v>
                </c:pt>
                <c:pt idx="17">
                  <c:v>106.35800245550114</c:v>
                </c:pt>
                <c:pt idx="18">
                  <c:v>98.899684964731122</c:v>
                </c:pt>
                <c:pt idx="19">
                  <c:v>96.854439654464443</c:v>
                </c:pt>
                <c:pt idx="20">
                  <c:v>94.87098305489296</c:v>
                </c:pt>
                <c:pt idx="21">
                  <c:v>107.04865692626599</c:v>
                </c:pt>
                <c:pt idx="22">
                  <c:v>98.9377533319836</c:v>
                </c:pt>
                <c:pt idx="23">
                  <c:v>89.515110157508957</c:v>
                </c:pt>
                <c:pt idx="24">
                  <c:v>92.713469574279728</c:v>
                </c:pt>
                <c:pt idx="25">
                  <c:v>95.15329772097131</c:v>
                </c:pt>
                <c:pt idx="26">
                  <c:v>100.03295401435443</c:v>
                </c:pt>
                <c:pt idx="27">
                  <c:v>102.47278216104603</c:v>
                </c:pt>
                <c:pt idx="28">
                  <c:v>101.92348661479463</c:v>
                </c:pt>
                <c:pt idx="29">
                  <c:v>100.69414748101006</c:v>
                </c:pt>
                <c:pt idx="30">
                  <c:v>100.13076213716249</c:v>
                </c:pt>
                <c:pt idx="31">
                  <c:v>99.789210774890165</c:v>
                </c:pt>
                <c:pt idx="32">
                  <c:v>100.40871615348188</c:v>
                </c:pt>
                <c:pt idx="33">
                  <c:v>100.96101796685547</c:v>
                </c:pt>
                <c:pt idx="34">
                  <c:v>102.0135411581518</c:v>
                </c:pt>
                <c:pt idx="35">
                  <c:v>102.38317913112462</c:v>
                </c:pt>
                <c:pt idx="36">
                  <c:v>102.62213895629554</c:v>
                </c:pt>
                <c:pt idx="37">
                  <c:v>101.87378163848845</c:v>
                </c:pt>
                <c:pt idx="38">
                  <c:v>103.01207881691683</c:v>
                </c:pt>
                <c:pt idx="39">
                  <c:v>103.16687031023042</c:v>
                </c:pt>
                <c:pt idx="40">
                  <c:v>103.69692447560936</c:v>
                </c:pt>
                <c:pt idx="41">
                  <c:v>103.92337615509855</c:v>
                </c:pt>
                <c:pt idx="42">
                  <c:v>104.66203124273498</c:v>
                </c:pt>
                <c:pt idx="43">
                  <c:v>105.11007231304987</c:v>
                </c:pt>
                <c:pt idx="44">
                  <c:v>105.61189995397299</c:v>
                </c:pt>
                <c:pt idx="45">
                  <c:v>106.32437774396284</c:v>
                </c:pt>
                <c:pt idx="46">
                  <c:v>107.32778728092541</c:v>
                </c:pt>
                <c:pt idx="47">
                  <c:v>108.18874278994959</c:v>
                </c:pt>
                <c:pt idx="48">
                  <c:v>109.42121719802753</c:v>
                </c:pt>
                <c:pt idx="49">
                  <c:v>109.78928951292319</c:v>
                </c:pt>
                <c:pt idx="50">
                  <c:v>110.91470288998828</c:v>
                </c:pt>
                <c:pt idx="51">
                  <c:v>111.33853043290335</c:v>
                </c:pt>
                <c:pt idx="52">
                  <c:v>111.55669110897901</c:v>
                </c:pt>
                <c:pt idx="53">
                  <c:v>111.95699012925854</c:v>
                </c:pt>
                <c:pt idx="54">
                  <c:v>112.54571845984236</c:v>
                </c:pt>
                <c:pt idx="55">
                  <c:v>112.84430204612849</c:v>
                </c:pt>
                <c:pt idx="56">
                  <c:v>113.29943876449668</c:v>
                </c:pt>
                <c:pt idx="57">
                  <c:v>114.69415118630242</c:v>
                </c:pt>
                <c:pt idx="58">
                  <c:v>115.95953352661216</c:v>
                </c:pt>
                <c:pt idx="59">
                  <c:v>116.34337889394963</c:v>
                </c:pt>
                <c:pt idx="60">
                  <c:v>116.77831585851848</c:v>
                </c:pt>
                <c:pt idx="61">
                  <c:v>116.90765531795444</c:v>
                </c:pt>
                <c:pt idx="62">
                  <c:v>116.94842757071899</c:v>
                </c:pt>
                <c:pt idx="63">
                  <c:v>118.00056805811042</c:v>
                </c:pt>
                <c:pt idx="64">
                  <c:v>119.09748760112934</c:v>
                </c:pt>
                <c:pt idx="65">
                  <c:v>119.74755374535549</c:v>
                </c:pt>
                <c:pt idx="66">
                  <c:v>119.59925088927213</c:v>
                </c:pt>
                <c:pt idx="67">
                  <c:v>121.15043947496333</c:v>
                </c:pt>
                <c:pt idx="68">
                  <c:v>121.47287973589474</c:v>
                </c:pt>
                <c:pt idx="69">
                  <c:v>121.3357906595748</c:v>
                </c:pt>
                <c:pt idx="70">
                  <c:v>121.71917780084868</c:v>
                </c:pt>
                <c:pt idx="71">
                  <c:v>122.2550489373218</c:v>
                </c:pt>
                <c:pt idx="72">
                  <c:v>122.22437273958415</c:v>
                </c:pt>
                <c:pt idx="73">
                  <c:v>122.6381544998181</c:v>
                </c:pt>
                <c:pt idx="74">
                  <c:v>122.2542959329145</c:v>
                </c:pt>
                <c:pt idx="75">
                  <c:v>123.40734178986897</c:v>
                </c:pt>
                <c:pt idx="76">
                  <c:v>123.23487504765072</c:v>
                </c:pt>
                <c:pt idx="77">
                  <c:v>123.69735552776464</c:v>
                </c:pt>
                <c:pt idx="78">
                  <c:v>123.94621885666415</c:v>
                </c:pt>
                <c:pt idx="79">
                  <c:v>123.76120600215188</c:v>
                </c:pt>
                <c:pt idx="80">
                  <c:v>123.74473037832942</c:v>
                </c:pt>
                <c:pt idx="81">
                  <c:v>124.52007821050417</c:v>
                </c:pt>
                <c:pt idx="82">
                  <c:v>124.9146539949779</c:v>
                </c:pt>
                <c:pt idx="83">
                  <c:v>124.8858825663616</c:v>
                </c:pt>
                <c:pt idx="84">
                  <c:v>125.75933086934812</c:v>
                </c:pt>
                <c:pt idx="85">
                  <c:v>126.46147088982546</c:v>
                </c:pt>
                <c:pt idx="86">
                  <c:v>126.45006977131361</c:v>
                </c:pt>
                <c:pt idx="87">
                  <c:v>127.9636485660409</c:v>
                </c:pt>
                <c:pt idx="88">
                  <c:v>127.83603579412559</c:v>
                </c:pt>
                <c:pt idx="89">
                  <c:v>128.73059660748714</c:v>
                </c:pt>
                <c:pt idx="90">
                  <c:v>129.2240082649929</c:v>
                </c:pt>
                <c:pt idx="91">
                  <c:v>128.67803066280479</c:v>
                </c:pt>
                <c:pt idx="92">
                  <c:v>129.72830472699155</c:v>
                </c:pt>
                <c:pt idx="93">
                  <c:v>129.89430317961745</c:v>
                </c:pt>
                <c:pt idx="94">
                  <c:v>130.43584885054952</c:v>
                </c:pt>
                <c:pt idx="95">
                  <c:v>130.86864618692255</c:v>
                </c:pt>
                <c:pt idx="96">
                  <c:v>131.59087102201474</c:v>
                </c:pt>
                <c:pt idx="97">
                  <c:v>132.18113596764252</c:v>
                </c:pt>
                <c:pt idx="98">
                  <c:v>132.00708026109095</c:v>
                </c:pt>
                <c:pt idx="99">
                  <c:v>132.40383817264876</c:v>
                </c:pt>
                <c:pt idx="100">
                  <c:v>133.37556531123755</c:v>
                </c:pt>
                <c:pt idx="101">
                  <c:v>133.319779165489</c:v>
                </c:pt>
                <c:pt idx="102">
                  <c:v>133.28745787023416</c:v>
                </c:pt>
                <c:pt idx="103">
                  <c:v>132.68259528700383</c:v>
                </c:pt>
                <c:pt idx="104">
                  <c:v>133.34192001810726</c:v>
                </c:pt>
                <c:pt idx="105">
                  <c:v>133.91695312882828</c:v>
                </c:pt>
                <c:pt idx="106">
                  <c:v>134.43681858727328</c:v>
                </c:pt>
                <c:pt idx="107">
                  <c:v>134.15890818109747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80-4ECE-B384-D39A341C99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46241552"/>
        <c:axId val="55481426"/>
      </c:lineChart>
      <c:lineChart>
        <c:grouping val="standard"/>
        <c:varyColors val="0"/>
        <c:ser>
          <c:idx val="1"/>
          <c:order val="1"/>
          <c:tx>
            <c:strRef>
              <c:f>'GDP evolution by scenario'!$R$6</c:f>
              <c:strCache>
                <c:ptCount val="1"/>
                <c:pt idx="0">
                  <c:v>Real GDP growth</c:v>
                </c:pt>
              </c:strCache>
            </c:strRef>
          </c:tx>
          <c:spPr>
            <a:ln w="28800">
              <a:solidFill>
                <a:srgbClr val="00CC33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AR" sz="1000" b="0" strike="noStrike" spc="-1">
                    <a:latin typeface="Arial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'GDP evolution by scenario'!$D$7:$D$114</c:f>
              <c:numCache>
                <c:formatCode>General</c:formatCode>
                <c:ptCount val="108"/>
                <c:pt idx="0">
                  <c:v>2014</c:v>
                </c:pt>
                <c:pt idx="1">
                  <c:v>2014</c:v>
                </c:pt>
                <c:pt idx="2">
                  <c:v>2014</c:v>
                </c:pt>
                <c:pt idx="3">
                  <c:v>2014</c:v>
                </c:pt>
                <c:pt idx="4">
                  <c:v>2015</c:v>
                </c:pt>
                <c:pt idx="5">
                  <c:v>2015</c:v>
                </c:pt>
                <c:pt idx="6">
                  <c:v>2015</c:v>
                </c:pt>
                <c:pt idx="7">
                  <c:v>2015</c:v>
                </c:pt>
                <c:pt idx="8">
                  <c:v>2016</c:v>
                </c:pt>
                <c:pt idx="9">
                  <c:v>2016</c:v>
                </c:pt>
                <c:pt idx="10">
                  <c:v>2016</c:v>
                </c:pt>
                <c:pt idx="11">
                  <c:v>2016</c:v>
                </c:pt>
                <c:pt idx="12">
                  <c:v>2017</c:v>
                </c:pt>
                <c:pt idx="13">
                  <c:v>2017</c:v>
                </c:pt>
                <c:pt idx="14">
                  <c:v>2017</c:v>
                </c:pt>
                <c:pt idx="15">
                  <c:v>2017</c:v>
                </c:pt>
                <c:pt idx="16">
                  <c:v>2018</c:v>
                </c:pt>
                <c:pt idx="17">
                  <c:v>2018</c:v>
                </c:pt>
                <c:pt idx="18">
                  <c:v>2018</c:v>
                </c:pt>
                <c:pt idx="19">
                  <c:v>2018</c:v>
                </c:pt>
                <c:pt idx="20">
                  <c:v>2019</c:v>
                </c:pt>
                <c:pt idx="21">
                  <c:v>2019</c:v>
                </c:pt>
                <c:pt idx="22">
                  <c:v>2019</c:v>
                </c:pt>
                <c:pt idx="23">
                  <c:v>2019</c:v>
                </c:pt>
                <c:pt idx="24">
                  <c:v>2020</c:v>
                </c:pt>
                <c:pt idx="25">
                  <c:v>2020</c:v>
                </c:pt>
                <c:pt idx="26">
                  <c:v>2020</c:v>
                </c:pt>
                <c:pt idx="27">
                  <c:v>2020</c:v>
                </c:pt>
                <c:pt idx="28">
                  <c:v>2021</c:v>
                </c:pt>
                <c:pt idx="29">
                  <c:v>2021</c:v>
                </c:pt>
                <c:pt idx="30">
                  <c:v>2021</c:v>
                </c:pt>
                <c:pt idx="31">
                  <c:v>2021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2024</c:v>
                </c:pt>
                <c:pt idx="41">
                  <c:v>2024</c:v>
                </c:pt>
                <c:pt idx="42">
                  <c:v>2024</c:v>
                </c:pt>
                <c:pt idx="43">
                  <c:v>2024</c:v>
                </c:pt>
                <c:pt idx="44">
                  <c:v>2025</c:v>
                </c:pt>
                <c:pt idx="45">
                  <c:v>2025</c:v>
                </c:pt>
                <c:pt idx="46">
                  <c:v>2025</c:v>
                </c:pt>
                <c:pt idx="47">
                  <c:v>2025</c:v>
                </c:pt>
                <c:pt idx="48">
                  <c:v>2026</c:v>
                </c:pt>
                <c:pt idx="49">
                  <c:v>2026</c:v>
                </c:pt>
                <c:pt idx="50">
                  <c:v>2026</c:v>
                </c:pt>
                <c:pt idx="51">
                  <c:v>2026</c:v>
                </c:pt>
                <c:pt idx="52">
                  <c:v>2027</c:v>
                </c:pt>
                <c:pt idx="53">
                  <c:v>2027</c:v>
                </c:pt>
                <c:pt idx="54">
                  <c:v>2027</c:v>
                </c:pt>
                <c:pt idx="55">
                  <c:v>2027</c:v>
                </c:pt>
                <c:pt idx="56">
                  <c:v>2028</c:v>
                </c:pt>
                <c:pt idx="57">
                  <c:v>2028</c:v>
                </c:pt>
                <c:pt idx="58">
                  <c:v>2028</c:v>
                </c:pt>
                <c:pt idx="59">
                  <c:v>2028</c:v>
                </c:pt>
                <c:pt idx="60">
                  <c:v>2029</c:v>
                </c:pt>
                <c:pt idx="61">
                  <c:v>2029</c:v>
                </c:pt>
                <c:pt idx="62">
                  <c:v>2029</c:v>
                </c:pt>
                <c:pt idx="63">
                  <c:v>2029</c:v>
                </c:pt>
                <c:pt idx="64">
                  <c:v>2030</c:v>
                </c:pt>
                <c:pt idx="65">
                  <c:v>2030</c:v>
                </c:pt>
                <c:pt idx="66">
                  <c:v>2030</c:v>
                </c:pt>
                <c:pt idx="67">
                  <c:v>2030</c:v>
                </c:pt>
                <c:pt idx="68">
                  <c:v>2031</c:v>
                </c:pt>
                <c:pt idx="69">
                  <c:v>2031</c:v>
                </c:pt>
                <c:pt idx="70">
                  <c:v>2031</c:v>
                </c:pt>
                <c:pt idx="71">
                  <c:v>2031</c:v>
                </c:pt>
                <c:pt idx="72">
                  <c:v>2032</c:v>
                </c:pt>
                <c:pt idx="73">
                  <c:v>2032</c:v>
                </c:pt>
                <c:pt idx="74">
                  <c:v>2032</c:v>
                </c:pt>
                <c:pt idx="75">
                  <c:v>2032</c:v>
                </c:pt>
                <c:pt idx="76">
                  <c:v>2033</c:v>
                </c:pt>
                <c:pt idx="77">
                  <c:v>2033</c:v>
                </c:pt>
                <c:pt idx="78">
                  <c:v>2033</c:v>
                </c:pt>
                <c:pt idx="79">
                  <c:v>2033</c:v>
                </c:pt>
                <c:pt idx="80">
                  <c:v>2034</c:v>
                </c:pt>
                <c:pt idx="81">
                  <c:v>2034</c:v>
                </c:pt>
                <c:pt idx="82">
                  <c:v>2034</c:v>
                </c:pt>
                <c:pt idx="83">
                  <c:v>2034</c:v>
                </c:pt>
                <c:pt idx="84">
                  <c:v>2035</c:v>
                </c:pt>
                <c:pt idx="85">
                  <c:v>2035</c:v>
                </c:pt>
                <c:pt idx="86">
                  <c:v>2035</c:v>
                </c:pt>
                <c:pt idx="87">
                  <c:v>2035</c:v>
                </c:pt>
                <c:pt idx="88">
                  <c:v>2036</c:v>
                </c:pt>
                <c:pt idx="89">
                  <c:v>2036</c:v>
                </c:pt>
                <c:pt idx="90">
                  <c:v>2036</c:v>
                </c:pt>
                <c:pt idx="91">
                  <c:v>2036</c:v>
                </c:pt>
                <c:pt idx="92">
                  <c:v>2037</c:v>
                </c:pt>
                <c:pt idx="93">
                  <c:v>2037</c:v>
                </c:pt>
                <c:pt idx="94">
                  <c:v>2037</c:v>
                </c:pt>
                <c:pt idx="95">
                  <c:v>2037</c:v>
                </c:pt>
                <c:pt idx="96">
                  <c:v>2038</c:v>
                </c:pt>
                <c:pt idx="97">
                  <c:v>2038</c:v>
                </c:pt>
                <c:pt idx="98">
                  <c:v>2038</c:v>
                </c:pt>
                <c:pt idx="99">
                  <c:v>2038</c:v>
                </c:pt>
                <c:pt idx="100">
                  <c:v>2039</c:v>
                </c:pt>
                <c:pt idx="101">
                  <c:v>2039</c:v>
                </c:pt>
                <c:pt idx="102">
                  <c:v>2039</c:v>
                </c:pt>
                <c:pt idx="103">
                  <c:v>2039</c:v>
                </c:pt>
                <c:pt idx="104">
                  <c:v>2040</c:v>
                </c:pt>
                <c:pt idx="105">
                  <c:v>2040</c:v>
                </c:pt>
                <c:pt idx="106">
                  <c:v>2040</c:v>
                </c:pt>
                <c:pt idx="107">
                  <c:v>2040</c:v>
                </c:pt>
              </c:numCache>
            </c:numRef>
          </c:cat>
          <c:val>
            <c:numRef>
              <c:f>'GDP evolution by scenario'!$R$7:$R$114</c:f>
              <c:numCache>
                <c:formatCode>General</c:formatCode>
                <c:ptCount val="108"/>
                <c:pt idx="6" formatCode="0.00%">
                  <c:v>2.7311598390646674E-2</c:v>
                </c:pt>
                <c:pt idx="10" formatCode="0.00%">
                  <c:v>-2.0803278492649069E-2</c:v>
                </c:pt>
                <c:pt idx="14" formatCode="0.00%">
                  <c:v>2.6685903828072455E-2</c:v>
                </c:pt>
                <c:pt idx="18" formatCode="0.00%">
                  <c:v>-2.4817924445603157E-2</c:v>
                </c:pt>
                <c:pt idx="22" formatCode="0.00%">
                  <c:v>-3.1000000000000028E-2</c:v>
                </c:pt>
                <c:pt idx="26" formatCode="0.00%">
                  <c:v>0</c:v>
                </c:pt>
                <c:pt idx="30" formatCode="0.00%">
                  <c:v>3.116280841773067E-2</c:v>
                </c:pt>
                <c:pt idx="34" formatCode="0.00%">
                  <c:v>8.0212316701462338E-3</c:v>
                </c:pt>
                <c:pt idx="38" formatCode="0.00%">
                  <c:v>1.2096651310072648E-2</c:v>
                </c:pt>
                <c:pt idx="42" formatCode="0.00%">
                  <c:v>1.6357305888012874E-2</c:v>
                </c:pt>
                <c:pt idx="46" formatCode="0.00%">
                  <c:v>2.4102986737207344E-2</c:v>
                </c:pt>
                <c:pt idx="50" formatCode="0.00%">
                  <c:v>3.2777728933785166E-2</c:v>
                </c:pt>
                <c:pt idx="54" formatCode="0.00%">
                  <c:v>1.6852939518420484E-2</c:v>
                </c:pt>
                <c:pt idx="58" formatCode="0.00%">
                  <c:v>2.5379163911738889E-2</c:v>
                </c:pt>
                <c:pt idx="62" formatCode="0.00%">
                  <c:v>1.8115419932550392E-2</c:v>
                </c:pt>
                <c:pt idx="66" formatCode="0.00%">
                  <c:v>2.3386570959762265E-2</c:v>
                </c:pt>
                <c:pt idx="70" formatCode="0.00%">
                  <c:v>1.4987999132683116E-2</c:v>
                </c:pt>
                <c:pt idx="74" formatCode="0.00%">
                  <c:v>7.6857010601145692E-3</c:v>
                </c:pt>
                <c:pt idx="78" formatCode="0.00%">
                  <c:v>8.389985175068615E-3</c:v>
                </c:pt>
                <c:pt idx="82" formatCode="0.00%">
                  <c:v>6.9256269251893876E-3</c:v>
                </c:pt>
                <c:pt idx="86" formatCode="0.00%">
                  <c:v>1.7204921060651746E-2</c:v>
                </c:pt>
                <c:pt idx="90" formatCode="0.00%">
                  <c:v>1.546312168264774E-2</c:v>
                </c:pt>
                <c:pt idx="94" formatCode="0.00%">
                  <c:v>1.2553595533779882E-2</c:v>
                </c:pt>
                <c:pt idx="98" formatCode="0.00%">
                  <c:v>1.3928671474969789E-2</c:v>
                </c:pt>
                <c:pt idx="102" formatCode="0.00%">
                  <c:v>8.4865905253839191E-3</c:v>
                </c:pt>
                <c:pt idx="106" formatCode="0.00%">
                  <c:v>5.9872525895388051E-3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80-4ECE-B384-D39A341C99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96473899"/>
        <c:axId val="18342826"/>
      </c:lineChart>
      <c:catAx>
        <c:axId val="46241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lang="es-AR" sz="1000" b="0" strike="noStrike" spc="-1">
                <a:latin typeface="Arial"/>
              </a:defRPr>
            </a:pPr>
            <a:endParaRPr lang="es-ES"/>
          </a:p>
        </c:txPr>
        <c:crossAx val="55481426"/>
        <c:crosses val="autoZero"/>
        <c:auto val="1"/>
        <c:lblAlgn val="ctr"/>
        <c:lblOffset val="100"/>
        <c:noMultiLvlLbl val="1"/>
      </c:catAx>
      <c:valAx>
        <c:axId val="55481426"/>
        <c:scaling>
          <c:orientation val="minMax"/>
          <c:min val="8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lang="es-AR" sz="1000" b="0" strike="noStrike" spc="-1">
                <a:latin typeface="Arial"/>
              </a:defRPr>
            </a:pPr>
            <a:endParaRPr lang="es-ES"/>
          </a:p>
        </c:txPr>
        <c:crossAx val="46241552"/>
        <c:crossesAt val="1"/>
        <c:crossBetween val="midCat"/>
      </c:valAx>
      <c:catAx>
        <c:axId val="9647389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342826"/>
        <c:crosses val="autoZero"/>
        <c:auto val="1"/>
        <c:lblAlgn val="ctr"/>
        <c:lblOffset val="100"/>
        <c:noMultiLvlLbl val="1"/>
      </c:catAx>
      <c:valAx>
        <c:axId val="18342826"/>
        <c:scaling>
          <c:orientation val="minMax"/>
        </c:scaling>
        <c:delete val="0"/>
        <c:axPos val="r"/>
        <c:numFmt formatCode="0.0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lang="es-AR" sz="1000" b="0" strike="noStrike" spc="-1">
                <a:latin typeface="Arial"/>
              </a:defRPr>
            </a:pPr>
            <a:endParaRPr lang="es-ES"/>
          </a:p>
        </c:txPr>
        <c:crossAx val="96473899"/>
        <c:crosses val="max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lang="es-AR" sz="1000" b="0" strike="noStrike" spc="-1">
              <a:latin typeface="Arial"/>
            </a:defRPr>
          </a:pPr>
          <a:endParaRPr lang="es-ES"/>
        </a:p>
      </c:txPr>
    </c:legend>
    <c:plotVisOnly val="1"/>
    <c:dispBlanksAs val="span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'Graphiques déficit'!$B$3:$B$4</c:f>
              <c:strCache>
                <c:ptCount val="2"/>
                <c:pt idx="0">
                  <c:v>Central scenario, ANSES bismarckian deficit</c:v>
                </c:pt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square"/>
            <c:size val="5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AR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'Graphiques déficit'!$A$5:$A$31</c:f>
              <c:numCache>
                <c:formatCode>General</c:formatCod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numCache>
            </c:numRef>
          </c:cat>
          <c:val>
            <c:numRef>
              <c:f>'Graphiques déficit'!$B$5:$B$31</c:f>
              <c:numCache>
                <c:formatCode>0.00%</c:formatCode>
                <c:ptCount val="27"/>
                <c:pt idx="0">
                  <c:v>-1.9692504721512523E-2</c:v>
                </c:pt>
                <c:pt idx="1">
                  <c:v>-3.2874367663992966E-2</c:v>
                </c:pt>
                <c:pt idx="2">
                  <c:v>-3.2769767104184076E-2</c:v>
                </c:pt>
                <c:pt idx="3">
                  <c:v>-3.657028727940486E-2</c:v>
                </c:pt>
                <c:pt idx="4">
                  <c:v>-3.6128299721158844E-2</c:v>
                </c:pt>
                <c:pt idx="5">
                  <c:v>-3.702863314835745E-2</c:v>
                </c:pt>
                <c:pt idx="6">
                  <c:v>-3.4924575866021303E-2</c:v>
                </c:pt>
                <c:pt idx="7">
                  <c:v>-3.288330693205848E-2</c:v>
                </c:pt>
                <c:pt idx="8">
                  <c:v>-3.223316884102987E-2</c:v>
                </c:pt>
                <c:pt idx="9">
                  <c:v>-3.1238802403607668E-2</c:v>
                </c:pt>
                <c:pt idx="10">
                  <c:v>-2.9956679353725556E-2</c:v>
                </c:pt>
                <c:pt idx="11">
                  <c:v>-2.9300901743958066E-2</c:v>
                </c:pt>
                <c:pt idx="12">
                  <c:v>-2.7072431344146369E-2</c:v>
                </c:pt>
                <c:pt idx="13">
                  <c:v>-2.5361670924052122E-2</c:v>
                </c:pt>
                <c:pt idx="14">
                  <c:v>-2.3323469568539798E-2</c:v>
                </c:pt>
                <c:pt idx="15">
                  <c:v>-2.0724055387641535E-2</c:v>
                </c:pt>
                <c:pt idx="16">
                  <c:v>-1.8849895463106676E-2</c:v>
                </c:pt>
                <c:pt idx="17">
                  <c:v>-1.7116590132436403E-2</c:v>
                </c:pt>
                <c:pt idx="18">
                  <c:v>-1.6723440028358925E-2</c:v>
                </c:pt>
                <c:pt idx="19">
                  <c:v>-1.4894216888064683E-2</c:v>
                </c:pt>
                <c:pt idx="20">
                  <c:v>-1.3705548078932313E-2</c:v>
                </c:pt>
                <c:pt idx="21">
                  <c:v>-1.3035000246651808E-2</c:v>
                </c:pt>
                <c:pt idx="22">
                  <c:v>-1.1730608021064893E-2</c:v>
                </c:pt>
                <c:pt idx="23">
                  <c:v>-1.1282430355684363E-2</c:v>
                </c:pt>
                <c:pt idx="24">
                  <c:v>-9.9878791509745036E-3</c:v>
                </c:pt>
                <c:pt idx="25">
                  <c:v>-9.3992574025878149E-3</c:v>
                </c:pt>
                <c:pt idx="26">
                  <c:v>-8.4804117953724591E-3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31-49FC-86AB-96DB85C71A6B}"/>
            </c:ext>
          </c:extLst>
        </c:ser>
        <c:ser>
          <c:idx val="1"/>
          <c:order val="1"/>
          <c:tx>
            <c:strRef>
              <c:f>'Graphiques déficit'!$C$3:$C$4</c:f>
              <c:strCache>
                <c:ptCount val="2"/>
                <c:pt idx="0">
                  <c:v>Central scenario, bismarckian deficit including universal pension</c:v>
                </c:pt>
              </c:strCache>
            </c:strRef>
          </c:tx>
          <c:spPr>
            <a:ln w="28800">
              <a:solidFill>
                <a:srgbClr val="FF420E"/>
              </a:solidFill>
              <a:round/>
            </a:ln>
          </c:spPr>
          <c:marker>
            <c:symbol val="square"/>
            <c:size val="5"/>
            <c:spPr>
              <a:solidFill>
                <a:srgbClr val="FF420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AR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'Graphiques déficit'!$A$5:$A$31</c:f>
              <c:numCache>
                <c:formatCode>General</c:formatCod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numCache>
            </c:numRef>
          </c:cat>
          <c:val>
            <c:numRef>
              <c:f>'Graphiques déficit'!$C$5:$C$31</c:f>
              <c:numCache>
                <c:formatCode>0.00%</c:formatCode>
                <c:ptCount val="27"/>
                <c:pt idx="0">
                  <c:v>-1.9692504721512523E-2</c:v>
                </c:pt>
                <c:pt idx="1">
                  <c:v>-3.2874367663992966E-2</c:v>
                </c:pt>
                <c:pt idx="2">
                  <c:v>-3.2809735076633359E-2</c:v>
                </c:pt>
                <c:pt idx="3">
                  <c:v>-3.7113901938517706E-2</c:v>
                </c:pt>
                <c:pt idx="4">
                  <c:v>-3.7080046459942104E-2</c:v>
                </c:pt>
                <c:pt idx="5">
                  <c:v>-3.7886901160571959E-2</c:v>
                </c:pt>
                <c:pt idx="6">
                  <c:v>-3.6046273529294105E-2</c:v>
                </c:pt>
                <c:pt idx="7">
                  <c:v>-3.4433691394260814E-2</c:v>
                </c:pt>
                <c:pt idx="8">
                  <c:v>-3.4199075310982693E-2</c:v>
                </c:pt>
                <c:pt idx="9">
                  <c:v>-3.3532821913051986E-2</c:v>
                </c:pt>
                <c:pt idx="10">
                  <c:v>-3.2509909262887111E-2</c:v>
                </c:pt>
                <c:pt idx="11">
                  <c:v>-3.282116111996166E-2</c:v>
                </c:pt>
                <c:pt idx="12">
                  <c:v>-3.1703789539046054E-2</c:v>
                </c:pt>
                <c:pt idx="13">
                  <c:v>-3.07597171560101E-2</c:v>
                </c:pt>
                <c:pt idx="14">
                  <c:v>-2.9576104722891853E-2</c:v>
                </c:pt>
                <c:pt idx="15">
                  <c:v>-2.7841728304600341E-2</c:v>
                </c:pt>
                <c:pt idx="16">
                  <c:v>-2.679753484565749E-2</c:v>
                </c:pt>
                <c:pt idx="17">
                  <c:v>-2.573842636126103E-2</c:v>
                </c:pt>
                <c:pt idx="18">
                  <c:v>-2.5576988897550768E-2</c:v>
                </c:pt>
                <c:pt idx="19">
                  <c:v>-2.4273401895879995E-2</c:v>
                </c:pt>
                <c:pt idx="20">
                  <c:v>-2.368871199673768E-2</c:v>
                </c:pt>
                <c:pt idx="21">
                  <c:v>-2.3473926651839117E-2</c:v>
                </c:pt>
                <c:pt idx="22">
                  <c:v>-2.2575790728110785E-2</c:v>
                </c:pt>
                <c:pt idx="23">
                  <c:v>-2.2707919648391115E-2</c:v>
                </c:pt>
                <c:pt idx="24">
                  <c:v>-2.1726216046043925E-2</c:v>
                </c:pt>
                <c:pt idx="25">
                  <c:v>-2.1775406550464008E-2</c:v>
                </c:pt>
                <c:pt idx="26">
                  <c:v>-2.1486227180161434E-2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31-49FC-86AB-96DB85C71A6B}"/>
            </c:ext>
          </c:extLst>
        </c:ser>
        <c:ser>
          <c:idx val="2"/>
          <c:order val="2"/>
          <c:tx>
            <c:strRef>
              <c:f>'Graphiques déficit'!$D$3:$D$4</c:f>
              <c:strCache>
                <c:ptCount val="2"/>
                <c:pt idx="0">
                  <c:v>Low scenario, ANSES bismarckian deficit</c:v>
                </c:pt>
              </c:strCache>
            </c:strRef>
          </c:tx>
          <c:spPr>
            <a:ln w="28800">
              <a:solidFill>
                <a:srgbClr val="FFD320"/>
              </a:solidFill>
              <a:round/>
            </a:ln>
          </c:spPr>
          <c:marker>
            <c:symbol val="square"/>
            <c:size val="5"/>
            <c:spPr>
              <a:solidFill>
                <a:srgbClr val="FFD32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AR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'Graphiques déficit'!$A$5:$A$31</c:f>
              <c:numCache>
                <c:formatCode>General</c:formatCod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numCache>
            </c:numRef>
          </c:cat>
          <c:val>
            <c:numRef>
              <c:f>'Graphiques déficit'!$D$5:$D$31</c:f>
              <c:numCache>
                <c:formatCode>0.00%</c:formatCode>
                <c:ptCount val="27"/>
                <c:pt idx="0">
                  <c:v>-1.9692504721512523E-2</c:v>
                </c:pt>
                <c:pt idx="1">
                  <c:v>-3.2867566498381316E-2</c:v>
                </c:pt>
                <c:pt idx="2">
                  <c:v>-3.276929305522492E-2</c:v>
                </c:pt>
                <c:pt idx="3">
                  <c:v>-3.6563964922451557E-2</c:v>
                </c:pt>
                <c:pt idx="4">
                  <c:v>-3.6082251208706832E-2</c:v>
                </c:pt>
                <c:pt idx="5">
                  <c:v>-3.6959709762769091E-2</c:v>
                </c:pt>
                <c:pt idx="6">
                  <c:v>-3.5360577800789592E-2</c:v>
                </c:pt>
                <c:pt idx="7">
                  <c:v>-3.4935344075168066E-2</c:v>
                </c:pt>
                <c:pt idx="8">
                  <c:v>-3.5700095099385452E-2</c:v>
                </c:pt>
                <c:pt idx="9">
                  <c:v>-3.5870790177635926E-2</c:v>
                </c:pt>
                <c:pt idx="10">
                  <c:v>-3.6560327530100578E-2</c:v>
                </c:pt>
                <c:pt idx="11">
                  <c:v>-3.7131348783478874E-2</c:v>
                </c:pt>
                <c:pt idx="12">
                  <c:v>-3.5047143539884987E-2</c:v>
                </c:pt>
                <c:pt idx="13">
                  <c:v>-3.3381340130824506E-2</c:v>
                </c:pt>
                <c:pt idx="14">
                  <c:v>-3.127555790366366E-2</c:v>
                </c:pt>
                <c:pt idx="15">
                  <c:v>-3.0862807376122674E-2</c:v>
                </c:pt>
                <c:pt idx="16">
                  <c:v>-2.9550569413448018E-2</c:v>
                </c:pt>
                <c:pt idx="17">
                  <c:v>-2.9570183667920139E-2</c:v>
                </c:pt>
                <c:pt idx="18">
                  <c:v>-2.944757985326377E-2</c:v>
                </c:pt>
                <c:pt idx="19">
                  <c:v>-2.8577002621147738E-2</c:v>
                </c:pt>
                <c:pt idx="20">
                  <c:v>-2.8570831837772283E-2</c:v>
                </c:pt>
                <c:pt idx="21">
                  <c:v>-2.871690688409648E-2</c:v>
                </c:pt>
                <c:pt idx="22">
                  <c:v>-2.7663437612180691E-2</c:v>
                </c:pt>
                <c:pt idx="23">
                  <c:v>-2.7216951068335302E-2</c:v>
                </c:pt>
                <c:pt idx="24">
                  <c:v>-2.6164412322930545E-2</c:v>
                </c:pt>
                <c:pt idx="25">
                  <c:v>-2.6265909347726896E-2</c:v>
                </c:pt>
                <c:pt idx="26">
                  <c:v>-2.6568581284783361E-2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31-49FC-86AB-96DB85C71A6B}"/>
            </c:ext>
          </c:extLst>
        </c:ser>
        <c:ser>
          <c:idx val="3"/>
          <c:order val="3"/>
          <c:tx>
            <c:strRef>
              <c:f>'Graphiques déficit'!$E$3:$E$4</c:f>
              <c:strCache>
                <c:ptCount val="2"/>
                <c:pt idx="0">
                  <c:v>Low scenario, bismarckian deficit including universal pension</c:v>
                </c:pt>
              </c:strCache>
            </c:strRef>
          </c:tx>
          <c:spPr>
            <a:ln w="28800">
              <a:solidFill>
                <a:srgbClr val="579D1C"/>
              </a:solidFill>
              <a:round/>
            </a:ln>
          </c:spPr>
          <c:marker>
            <c:symbol val="square"/>
            <c:size val="5"/>
            <c:spPr>
              <a:solidFill>
                <a:srgbClr val="579D1C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AR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'Graphiques déficit'!$A$5:$A$31</c:f>
              <c:numCache>
                <c:formatCode>General</c:formatCod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numCache>
            </c:numRef>
          </c:cat>
          <c:val>
            <c:numRef>
              <c:f>'Graphiques déficit'!$E$5:$E$31</c:f>
              <c:numCache>
                <c:formatCode>0.00%</c:formatCode>
                <c:ptCount val="27"/>
                <c:pt idx="0">
                  <c:v>-1.9692504721512523E-2</c:v>
                </c:pt>
                <c:pt idx="1">
                  <c:v>-3.2867566498381316E-2</c:v>
                </c:pt>
                <c:pt idx="2">
                  <c:v>-3.2809261027674202E-2</c:v>
                </c:pt>
                <c:pt idx="3">
                  <c:v>-3.7107579581564402E-2</c:v>
                </c:pt>
                <c:pt idx="4">
                  <c:v>-3.7033997947490092E-2</c:v>
                </c:pt>
                <c:pt idx="5">
                  <c:v>-3.7817977774983601E-2</c:v>
                </c:pt>
                <c:pt idx="6">
                  <c:v>-3.6481827746020642E-2</c:v>
                </c:pt>
                <c:pt idx="7">
                  <c:v>-3.647004207287316E-2</c:v>
                </c:pt>
                <c:pt idx="8">
                  <c:v>-3.7640097728357046E-2</c:v>
                </c:pt>
                <c:pt idx="9">
                  <c:v>-3.811116926405992E-2</c:v>
                </c:pt>
                <c:pt idx="10">
                  <c:v>-3.9161004052621767E-2</c:v>
                </c:pt>
                <c:pt idx="11">
                  <c:v>-4.0676113156491986E-2</c:v>
                </c:pt>
                <c:pt idx="12">
                  <c:v>-3.9649294126746268E-2</c:v>
                </c:pt>
                <c:pt idx="13">
                  <c:v>-3.8925349821705042E-2</c:v>
                </c:pt>
                <c:pt idx="14">
                  <c:v>-3.7774206448495273E-2</c:v>
                </c:pt>
                <c:pt idx="15">
                  <c:v>-3.8166853555446655E-2</c:v>
                </c:pt>
                <c:pt idx="16">
                  <c:v>-3.7495087634763356E-2</c:v>
                </c:pt>
                <c:pt idx="17">
                  <c:v>-3.8081633514525114E-2</c:v>
                </c:pt>
                <c:pt idx="18">
                  <c:v>-3.896152794159459E-2</c:v>
                </c:pt>
                <c:pt idx="19">
                  <c:v>-3.9165808055551241E-2</c:v>
                </c:pt>
                <c:pt idx="20">
                  <c:v>-3.9847320973945957E-2</c:v>
                </c:pt>
                <c:pt idx="21">
                  <c:v>-4.0454287718779978E-2</c:v>
                </c:pt>
                <c:pt idx="22">
                  <c:v>-3.9969971355316644E-2</c:v>
                </c:pt>
                <c:pt idx="23">
                  <c:v>-4.0321670725133582E-2</c:v>
                </c:pt>
                <c:pt idx="24">
                  <c:v>-4.0095847832240766E-2</c:v>
                </c:pt>
                <c:pt idx="25">
                  <c:v>-4.093189898063599E-2</c:v>
                </c:pt>
                <c:pt idx="26">
                  <c:v>-4.1887820893441591E-2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231-49FC-86AB-96DB85C71A6B}"/>
            </c:ext>
          </c:extLst>
        </c:ser>
        <c:ser>
          <c:idx val="4"/>
          <c:order val="4"/>
          <c:tx>
            <c:strRef>
              <c:f>'Graphiques déficit'!$F$3:$F$4</c:f>
              <c:strCache>
                <c:ptCount val="2"/>
                <c:pt idx="0">
                  <c:v>High scenario, ANSES bismarckian deficit</c:v>
                </c:pt>
              </c:strCache>
            </c:strRef>
          </c:tx>
          <c:spPr>
            <a:ln w="28800">
              <a:solidFill>
                <a:srgbClr val="7E0021"/>
              </a:solidFill>
              <a:round/>
            </a:ln>
          </c:spPr>
          <c:marker>
            <c:symbol val="square"/>
            <c:size val="5"/>
            <c:spPr>
              <a:solidFill>
                <a:srgbClr val="7E002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AR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'Graphiques déficit'!$A$5:$A$31</c:f>
              <c:numCache>
                <c:formatCode>General</c:formatCod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numCache>
            </c:numRef>
          </c:cat>
          <c:val>
            <c:numRef>
              <c:f>'Graphiques déficit'!$F$5:$F$31</c:f>
              <c:numCache>
                <c:formatCode>0.00%</c:formatCode>
                <c:ptCount val="27"/>
                <c:pt idx="0">
                  <c:v>-1.9692504721512523E-2</c:v>
                </c:pt>
                <c:pt idx="1">
                  <c:v>-3.2867428942015789E-2</c:v>
                </c:pt>
                <c:pt idx="2">
                  <c:v>-3.2768031474307693E-2</c:v>
                </c:pt>
                <c:pt idx="3">
                  <c:v>-3.6559160254587511E-2</c:v>
                </c:pt>
                <c:pt idx="4">
                  <c:v>-3.6935377871097748E-2</c:v>
                </c:pt>
                <c:pt idx="5">
                  <c:v>-3.7570961536689318E-2</c:v>
                </c:pt>
                <c:pt idx="6">
                  <c:v>-3.2800543627865109E-2</c:v>
                </c:pt>
                <c:pt idx="7">
                  <c:v>-2.8141138623761022E-2</c:v>
                </c:pt>
                <c:pt idx="8">
                  <c:v>-2.7758031888344064E-2</c:v>
                </c:pt>
                <c:pt idx="9">
                  <c:v>-2.7158206306906803E-2</c:v>
                </c:pt>
                <c:pt idx="10">
                  <c:v>-2.5425116287734615E-2</c:v>
                </c:pt>
                <c:pt idx="11">
                  <c:v>-2.2906259960261351E-2</c:v>
                </c:pt>
                <c:pt idx="12">
                  <c:v>-2.0476877959928735E-2</c:v>
                </c:pt>
                <c:pt idx="13">
                  <c:v>-1.7694430143396885E-2</c:v>
                </c:pt>
                <c:pt idx="14">
                  <c:v>-1.5126432238653379E-2</c:v>
                </c:pt>
                <c:pt idx="15">
                  <c:v>-1.2295460080909265E-2</c:v>
                </c:pt>
                <c:pt idx="16">
                  <c:v>-1.0368483958178324E-2</c:v>
                </c:pt>
                <c:pt idx="17">
                  <c:v>-7.8663426791195298E-3</c:v>
                </c:pt>
                <c:pt idx="18">
                  <c:v>-6.077540612204271E-3</c:v>
                </c:pt>
                <c:pt idx="19">
                  <c:v>-4.6952188150375541E-3</c:v>
                </c:pt>
                <c:pt idx="20">
                  <c:v>-3.1418434437787456E-3</c:v>
                </c:pt>
                <c:pt idx="21">
                  <c:v>-1.0348028414617046E-3</c:v>
                </c:pt>
                <c:pt idx="22">
                  <c:v>5.931321081369419E-4</c:v>
                </c:pt>
                <c:pt idx="23">
                  <c:v>2.1636788096876789E-3</c:v>
                </c:pt>
                <c:pt idx="24">
                  <c:v>3.5771316909351584E-3</c:v>
                </c:pt>
                <c:pt idx="25">
                  <c:v>4.5457029201457586E-3</c:v>
                </c:pt>
                <c:pt idx="26">
                  <c:v>5.601666229652383E-3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231-49FC-86AB-96DB85C71A6B}"/>
            </c:ext>
          </c:extLst>
        </c:ser>
        <c:ser>
          <c:idx val="5"/>
          <c:order val="5"/>
          <c:tx>
            <c:strRef>
              <c:f>'Graphiques déficit'!$G$3:$G$4</c:f>
              <c:strCache>
                <c:ptCount val="2"/>
                <c:pt idx="0">
                  <c:v>High scenario, bismarckian deficit including universal pension</c:v>
                </c:pt>
              </c:strCache>
            </c:strRef>
          </c:tx>
          <c:spPr>
            <a:ln w="28800">
              <a:solidFill>
                <a:srgbClr val="83CAFF"/>
              </a:solidFill>
              <a:round/>
            </a:ln>
          </c:spPr>
          <c:marker>
            <c:symbol val="square"/>
            <c:size val="5"/>
            <c:spPr>
              <a:solidFill>
                <a:srgbClr val="83CAFF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AR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'Graphiques déficit'!$A$5:$A$31</c:f>
              <c:numCache>
                <c:formatCode>General</c:formatCod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numCache>
            </c:numRef>
          </c:cat>
          <c:val>
            <c:numRef>
              <c:f>'Graphiques déficit'!$G$5:$G$31</c:f>
              <c:numCache>
                <c:formatCode>0.00%</c:formatCode>
                <c:ptCount val="27"/>
                <c:pt idx="0">
                  <c:v>-1.9692504721512523E-2</c:v>
                </c:pt>
                <c:pt idx="1">
                  <c:v>-3.2867428942015789E-2</c:v>
                </c:pt>
                <c:pt idx="2">
                  <c:v>-3.2807999446756976E-2</c:v>
                </c:pt>
                <c:pt idx="3">
                  <c:v>-3.7102774913700357E-2</c:v>
                </c:pt>
                <c:pt idx="4">
                  <c:v>-3.7887124609881008E-2</c:v>
                </c:pt>
                <c:pt idx="5">
                  <c:v>-3.8422430941969461E-2</c:v>
                </c:pt>
                <c:pt idx="6">
                  <c:v>-3.3905941460582623E-2</c:v>
                </c:pt>
                <c:pt idx="7">
                  <c:v>-2.9697993972140249E-2</c:v>
                </c:pt>
                <c:pt idx="8">
                  <c:v>-2.9740677646189942E-2</c:v>
                </c:pt>
                <c:pt idx="9">
                  <c:v>-2.9356388502072728E-2</c:v>
                </c:pt>
                <c:pt idx="10">
                  <c:v>-2.7930927429747406E-2</c:v>
                </c:pt>
                <c:pt idx="11">
                  <c:v>-2.6265723744712782E-2</c:v>
                </c:pt>
                <c:pt idx="12">
                  <c:v>-2.4849070947865586E-2</c:v>
                </c:pt>
                <c:pt idx="13">
                  <c:v>-2.2626265683255646E-2</c:v>
                </c:pt>
                <c:pt idx="14">
                  <c:v>-2.0805727907156513E-2</c:v>
                </c:pt>
                <c:pt idx="15">
                  <c:v>-1.8636524920830101E-2</c:v>
                </c:pt>
                <c:pt idx="16">
                  <c:v>-1.7362740433170147E-2</c:v>
                </c:pt>
                <c:pt idx="17">
                  <c:v>-1.5266492808230857E-2</c:v>
                </c:pt>
                <c:pt idx="18">
                  <c:v>-1.3955187495331249E-2</c:v>
                </c:pt>
                <c:pt idx="19">
                  <c:v>-1.2896077269265475E-2</c:v>
                </c:pt>
                <c:pt idx="20">
                  <c:v>-1.1634102893917714E-2</c:v>
                </c:pt>
                <c:pt idx="21">
                  <c:v>-9.990962299290581E-3</c:v>
                </c:pt>
                <c:pt idx="22">
                  <c:v>-8.8052344253002745E-3</c:v>
                </c:pt>
                <c:pt idx="23">
                  <c:v>-7.7528221152042432E-3</c:v>
                </c:pt>
                <c:pt idx="24">
                  <c:v>-6.7118323139120882E-3</c:v>
                </c:pt>
                <c:pt idx="25">
                  <c:v>-6.2201210191368227E-3</c:v>
                </c:pt>
                <c:pt idx="26">
                  <c:v>-5.4269541536038053E-3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231-49FC-86AB-96DB85C71A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5948117"/>
        <c:axId val="97135645"/>
      </c:lineChart>
      <c:catAx>
        <c:axId val="594811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B3B3B3"/>
            </a:solidFill>
            <a:round/>
          </a:ln>
        </c:spPr>
        <c:txPr>
          <a:bodyPr/>
          <a:lstStyle/>
          <a:p>
            <a:pPr>
              <a:defRPr lang="es-AR" sz="1000" b="0" strike="noStrike" spc="-1">
                <a:solidFill>
                  <a:srgbClr val="000000"/>
                </a:solidFill>
                <a:latin typeface="Calibri"/>
              </a:defRPr>
            </a:pPr>
            <a:endParaRPr lang="es-ES"/>
          </a:p>
        </c:txPr>
        <c:crossAx val="97135645"/>
        <c:crosses val="autoZero"/>
        <c:auto val="1"/>
        <c:lblAlgn val="ctr"/>
        <c:lblOffset val="100"/>
        <c:noMultiLvlLbl val="1"/>
      </c:catAx>
      <c:valAx>
        <c:axId val="97135645"/>
        <c:scaling>
          <c:orientation val="minMax"/>
        </c:scaling>
        <c:delete val="0"/>
        <c:axPos val="l"/>
        <c:majorGridlines>
          <c:spPr>
            <a:ln w="9360">
              <a:solidFill>
                <a:srgbClr val="B3B3B3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B3B3B3"/>
            </a:solidFill>
            <a:round/>
          </a:ln>
        </c:spPr>
        <c:txPr>
          <a:bodyPr/>
          <a:lstStyle/>
          <a:p>
            <a:pPr>
              <a:defRPr lang="es-AR" sz="1000" b="0" strike="noStrike" spc="-1">
                <a:solidFill>
                  <a:srgbClr val="000000"/>
                </a:solidFill>
                <a:latin typeface="Calibri"/>
              </a:defRPr>
            </a:pPr>
            <a:endParaRPr lang="es-ES"/>
          </a:p>
        </c:txPr>
        <c:crossAx val="594811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lang="es-AR" sz="1000" b="0" strike="noStrike" spc="-1">
              <a:solidFill>
                <a:srgbClr val="000000"/>
              </a:solidFill>
              <a:latin typeface="Calibri"/>
            </a:defRPr>
          </a:pPr>
          <a:endParaRPr lang="es-ES"/>
        </a:p>
      </c:tx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'Bismarckian Deficit'!$B$1</c:f>
              <c:strCache>
                <c:ptCount val="1"/>
                <c:pt idx="0">
                  <c:v>Historical values</c:v>
                </c:pt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AR" sz="1000" b="0" strike="noStrike" spc="-1">
                    <a:latin typeface="Arial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Deficit'!$B$2:$B$50</c:f>
              <c:numCache>
                <c:formatCode>0.00%</c:formatCode>
                <c:ptCount val="49"/>
                <c:pt idx="1">
                  <c:v>-1.7697577032705799E-2</c:v>
                </c:pt>
                <c:pt idx="2">
                  <c:v>-2.6570673333472301E-2</c:v>
                </c:pt>
                <c:pt idx="3">
                  <c:v>-2.2325678019504299E-2</c:v>
                </c:pt>
                <c:pt idx="4">
                  <c:v>-2.32748001171907E-2</c:v>
                </c:pt>
                <c:pt idx="5">
                  <c:v>-2.08020897656273E-2</c:v>
                </c:pt>
                <c:pt idx="6">
                  <c:v>-2.7145082304134899E-2</c:v>
                </c:pt>
                <c:pt idx="7">
                  <c:v>-3.2151636866645898E-2</c:v>
                </c:pt>
                <c:pt idx="8">
                  <c:v>-3.3775496536600801E-2</c:v>
                </c:pt>
                <c:pt idx="9">
                  <c:v>-3.4332497652917501E-2</c:v>
                </c:pt>
                <c:pt idx="10">
                  <c:v>-2.9700339572263899E-2</c:v>
                </c:pt>
                <c:pt idx="11">
                  <c:v>-2.7757938036131601E-2</c:v>
                </c:pt>
                <c:pt idx="12">
                  <c:v>-2.1885368915817702E-2</c:v>
                </c:pt>
                <c:pt idx="13">
                  <c:v>-1.7904057274325699E-2</c:v>
                </c:pt>
                <c:pt idx="14">
                  <c:v>-1.65135934957867E-2</c:v>
                </c:pt>
                <c:pt idx="15">
                  <c:v>-1.5865651263535299E-2</c:v>
                </c:pt>
                <c:pt idx="16">
                  <c:v>-1.8301337163690701E-2</c:v>
                </c:pt>
                <c:pt idx="17">
                  <c:v>-1.5671090903257801E-2</c:v>
                </c:pt>
                <c:pt idx="18">
                  <c:v>-1.58039957303612E-2</c:v>
                </c:pt>
                <c:pt idx="19">
                  <c:v>-1.58943271566621E-2</c:v>
                </c:pt>
                <c:pt idx="20">
                  <c:v>-1.9533585931480201E-2</c:v>
                </c:pt>
                <c:pt idx="21">
                  <c:v>-2.1099128494210001E-2</c:v>
                </c:pt>
                <c:pt idx="22">
                  <c:v>-2.1741859491781399E-2</c:v>
                </c:pt>
                <c:pt idx="23">
                  <c:v>-2.830905931782E-2</c:v>
                </c:pt>
                <c:pt idx="24">
                  <c:v>-3.1163226932361E-2</c:v>
                </c:pt>
                <c:pt idx="25">
                  <c:v>-3.1311152517781E-2</c:v>
                </c:pt>
                <c:pt idx="26">
                  <c:v>-3.3240002411513002E-2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53-4305-880C-1049A8DAA6C5}"/>
            </c:ext>
          </c:extLst>
        </c:ser>
        <c:ser>
          <c:idx val="1"/>
          <c:order val="1"/>
          <c:tx>
            <c:strRef>
              <c:f>'Bismarckian Deficit'!$C$1</c:f>
              <c:strCache>
                <c:ptCount val="1"/>
                <c:pt idx="0">
                  <c:v>Central scenario</c:v>
                </c:pt>
              </c:strCache>
            </c:strRef>
          </c:tx>
          <c:spPr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AR" sz="1000" b="0" strike="noStrike" spc="-1">
                    <a:latin typeface="Arial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Deficit'!$C$2:$C$50</c:f>
              <c:numCache>
                <c:formatCode>General</c:formatCode>
                <c:ptCount val="49"/>
                <c:pt idx="22" formatCode="0.00%">
                  <c:v>-1.9692504721512523E-2</c:v>
                </c:pt>
                <c:pt idx="23" formatCode="0.00%">
                  <c:v>-3.2874367663992966E-2</c:v>
                </c:pt>
                <c:pt idx="24" formatCode="0.00%">
                  <c:v>-3.2769767104184076E-2</c:v>
                </c:pt>
                <c:pt idx="25" formatCode="0.00%">
                  <c:v>-3.657028727940486E-2</c:v>
                </c:pt>
                <c:pt idx="26" formatCode="0.00%">
                  <c:v>-3.6128299721158844E-2</c:v>
                </c:pt>
                <c:pt idx="27" formatCode="0.00%">
                  <c:v>-3.702863314835745E-2</c:v>
                </c:pt>
                <c:pt idx="28" formatCode="0.00%">
                  <c:v>-3.4924575866021303E-2</c:v>
                </c:pt>
                <c:pt idx="29" formatCode="0.00%">
                  <c:v>-3.288330693205848E-2</c:v>
                </c:pt>
                <c:pt idx="30" formatCode="0.00%">
                  <c:v>-3.223316884102987E-2</c:v>
                </c:pt>
                <c:pt idx="31" formatCode="0.00%">
                  <c:v>-3.1238802403607668E-2</c:v>
                </c:pt>
                <c:pt idx="32" formatCode="0.00%">
                  <c:v>-2.9956679353725556E-2</c:v>
                </c:pt>
                <c:pt idx="33" formatCode="0.00%">
                  <c:v>-2.9300901743958066E-2</c:v>
                </c:pt>
                <c:pt idx="34" formatCode="0.00%">
                  <c:v>-2.7072431344146369E-2</c:v>
                </c:pt>
                <c:pt idx="35" formatCode="0.00%">
                  <c:v>-2.5361670924052122E-2</c:v>
                </c:pt>
                <c:pt idx="36" formatCode="0.00%">
                  <c:v>-2.3323469568539798E-2</c:v>
                </c:pt>
                <c:pt idx="37" formatCode="0.00%">
                  <c:v>-2.0724055387641535E-2</c:v>
                </c:pt>
                <c:pt idx="38" formatCode="0.00%">
                  <c:v>-1.8849895463106676E-2</c:v>
                </c:pt>
                <c:pt idx="39" formatCode="0.00%">
                  <c:v>-1.7116590132436403E-2</c:v>
                </c:pt>
                <c:pt idx="40" formatCode="0.00%">
                  <c:v>-1.6723440028358925E-2</c:v>
                </c:pt>
                <c:pt idx="41" formatCode="0.00%">
                  <c:v>-1.4894216888064683E-2</c:v>
                </c:pt>
                <c:pt idx="42" formatCode="0.00%">
                  <c:v>-1.3705548078932313E-2</c:v>
                </c:pt>
                <c:pt idx="43" formatCode="0.00%">
                  <c:v>-1.3035000246651808E-2</c:v>
                </c:pt>
                <c:pt idx="44" formatCode="0.00%">
                  <c:v>-1.1730608021064893E-2</c:v>
                </c:pt>
                <c:pt idx="45" formatCode="0.00%">
                  <c:v>-1.1282430355684363E-2</c:v>
                </c:pt>
                <c:pt idx="46" formatCode="0.00%">
                  <c:v>-9.9878791509745036E-3</c:v>
                </c:pt>
                <c:pt idx="47" formatCode="0.00%">
                  <c:v>-9.3992574025878149E-3</c:v>
                </c:pt>
                <c:pt idx="48" formatCode="0.00%">
                  <c:v>-8.4804117953724591E-3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53-4305-880C-1049A8DAA6C5}"/>
            </c:ext>
          </c:extLst>
        </c:ser>
        <c:ser>
          <c:idx val="2"/>
          <c:order val="2"/>
          <c:tx>
            <c:strRef>
              <c:f>'Bismarckian Deficit'!$D$1</c:f>
              <c:strCache>
                <c:ptCount val="1"/>
                <c:pt idx="0">
                  <c:v>Central scenario, including universal pension</c:v>
                </c:pt>
              </c:strCache>
            </c:strRef>
          </c:tx>
          <c:spPr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AR" sz="1000" b="0" strike="noStrike" spc="-1">
                    <a:latin typeface="Arial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Deficit'!$D$2:$D$50</c:f>
              <c:numCache>
                <c:formatCode>General</c:formatCode>
                <c:ptCount val="49"/>
                <c:pt idx="24" formatCode="0.00%">
                  <c:v>-3.2809735076633359E-2</c:v>
                </c:pt>
                <c:pt idx="25" formatCode="0.00%">
                  <c:v>-3.7113901938517706E-2</c:v>
                </c:pt>
                <c:pt idx="26" formatCode="0.00%">
                  <c:v>-3.7080046459942104E-2</c:v>
                </c:pt>
                <c:pt idx="27" formatCode="0.00%">
                  <c:v>-3.7886901160571959E-2</c:v>
                </c:pt>
                <c:pt idx="28" formatCode="0.00%">
                  <c:v>-3.6046273529294105E-2</c:v>
                </c:pt>
                <c:pt idx="29" formatCode="0.00%">
                  <c:v>-3.4433691394260814E-2</c:v>
                </c:pt>
                <c:pt idx="30" formatCode="0.00%">
                  <c:v>-3.4199075310982693E-2</c:v>
                </c:pt>
                <c:pt idx="31" formatCode="0.00%">
                  <c:v>-3.3532821913051986E-2</c:v>
                </c:pt>
                <c:pt idx="32" formatCode="0.00%">
                  <c:v>-3.2509909262887111E-2</c:v>
                </c:pt>
                <c:pt idx="33" formatCode="0.00%">
                  <c:v>-3.282116111996166E-2</c:v>
                </c:pt>
                <c:pt idx="34" formatCode="0.00%">
                  <c:v>-3.1703789539046054E-2</c:v>
                </c:pt>
                <c:pt idx="35" formatCode="0.00%">
                  <c:v>-3.07597171560101E-2</c:v>
                </c:pt>
                <c:pt idx="36" formatCode="0.00%">
                  <c:v>-2.9576104722891853E-2</c:v>
                </c:pt>
                <c:pt idx="37" formatCode="0.00%">
                  <c:v>-2.7841728304600341E-2</c:v>
                </c:pt>
                <c:pt idx="38" formatCode="0.00%">
                  <c:v>-2.679753484565749E-2</c:v>
                </c:pt>
                <c:pt idx="39" formatCode="0.00%">
                  <c:v>-2.573842636126103E-2</c:v>
                </c:pt>
                <c:pt idx="40" formatCode="0.00%">
                  <c:v>-2.5576988897550768E-2</c:v>
                </c:pt>
                <c:pt idx="41" formatCode="0.00%">
                  <c:v>-2.4273401895879995E-2</c:v>
                </c:pt>
                <c:pt idx="42" formatCode="0.00%">
                  <c:v>-2.368871199673768E-2</c:v>
                </c:pt>
                <c:pt idx="43" formatCode="0.00%">
                  <c:v>-2.3473926651839117E-2</c:v>
                </c:pt>
                <c:pt idx="44" formatCode="0.00%">
                  <c:v>-2.2575790728110785E-2</c:v>
                </c:pt>
                <c:pt idx="45" formatCode="0.00%">
                  <c:v>-2.2707919648391115E-2</c:v>
                </c:pt>
                <c:pt idx="46" formatCode="0.00%">
                  <c:v>-2.1726216046043925E-2</c:v>
                </c:pt>
                <c:pt idx="47" formatCode="0.00%">
                  <c:v>-2.1775406550464008E-2</c:v>
                </c:pt>
                <c:pt idx="48" formatCode="0.00%">
                  <c:v>-2.1486227180161434E-2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B53-4305-880C-1049A8DAA6C5}"/>
            </c:ext>
          </c:extLst>
        </c:ser>
        <c:ser>
          <c:idx val="3"/>
          <c:order val="3"/>
          <c:tx>
            <c:strRef>
              <c:f>'Bismarckian Deficit'!$E$1</c:f>
              <c:strCache>
                <c:ptCount val="1"/>
                <c:pt idx="0">
                  <c:v>Low scenario</c:v>
                </c:pt>
              </c:strCache>
            </c:strRef>
          </c:tx>
          <c:spPr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AR" sz="1000" b="0" strike="noStrike" spc="-1">
                    <a:latin typeface="Arial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Deficit'!$E$2:$E$50</c:f>
              <c:numCache>
                <c:formatCode>General</c:formatCode>
                <c:ptCount val="49"/>
                <c:pt idx="25" formatCode="0.00%">
                  <c:v>-3.6563964922451557E-2</c:v>
                </c:pt>
                <c:pt idx="26" formatCode="0.00%">
                  <c:v>-3.6082251208706832E-2</c:v>
                </c:pt>
                <c:pt idx="27" formatCode="0.00%">
                  <c:v>-3.6959709762769091E-2</c:v>
                </c:pt>
                <c:pt idx="28" formatCode="0.00%">
                  <c:v>-3.5360577800789592E-2</c:v>
                </c:pt>
                <c:pt idx="29" formatCode="0.00%">
                  <c:v>-3.4935344075168066E-2</c:v>
                </c:pt>
                <c:pt idx="30" formatCode="0.00%">
                  <c:v>-3.5700095099385452E-2</c:v>
                </c:pt>
                <c:pt idx="31" formatCode="0.00%">
                  <c:v>-3.5870790177635926E-2</c:v>
                </c:pt>
                <c:pt idx="32" formatCode="0.00%">
                  <c:v>-3.6560327530100578E-2</c:v>
                </c:pt>
                <c:pt idx="33" formatCode="0.00%">
                  <c:v>-3.7131348783478874E-2</c:v>
                </c:pt>
                <c:pt idx="34" formatCode="0.00%">
                  <c:v>-3.5047143539884987E-2</c:v>
                </c:pt>
                <c:pt idx="35" formatCode="0.00%">
                  <c:v>-3.3381340130824506E-2</c:v>
                </c:pt>
                <c:pt idx="36" formatCode="0.00%">
                  <c:v>-3.127555790366366E-2</c:v>
                </c:pt>
                <c:pt idx="37" formatCode="0.00%">
                  <c:v>-3.0862807376122674E-2</c:v>
                </c:pt>
                <c:pt idx="38" formatCode="0.00%">
                  <c:v>-2.9550569413448018E-2</c:v>
                </c:pt>
                <c:pt idx="39" formatCode="0.00%">
                  <c:v>-2.9570183667920139E-2</c:v>
                </c:pt>
                <c:pt idx="40" formatCode="0.00%">
                  <c:v>-2.944757985326377E-2</c:v>
                </c:pt>
                <c:pt idx="41" formatCode="0.00%">
                  <c:v>-2.8577002621147738E-2</c:v>
                </c:pt>
                <c:pt idx="42" formatCode="0.00%">
                  <c:v>-2.8570831837772283E-2</c:v>
                </c:pt>
                <c:pt idx="43" formatCode="0.00%">
                  <c:v>-2.871690688409648E-2</c:v>
                </c:pt>
                <c:pt idx="44" formatCode="0.00%">
                  <c:v>-2.7663437612180691E-2</c:v>
                </c:pt>
                <c:pt idx="45" formatCode="0.00%">
                  <c:v>-2.7216951068335302E-2</c:v>
                </c:pt>
                <c:pt idx="46" formatCode="0.00%">
                  <c:v>-2.6164412322930545E-2</c:v>
                </c:pt>
                <c:pt idx="47" formatCode="0.00%">
                  <c:v>-2.6265909347726896E-2</c:v>
                </c:pt>
                <c:pt idx="48" formatCode="0.00%">
                  <c:v>-2.6568581284783361E-2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B53-4305-880C-1049A8DAA6C5}"/>
            </c:ext>
          </c:extLst>
        </c:ser>
        <c:ser>
          <c:idx val="4"/>
          <c:order val="4"/>
          <c:tx>
            <c:strRef>
              <c:f>'Bismarckian Deficit'!$F$1</c:f>
              <c:strCache>
                <c:ptCount val="1"/>
                <c:pt idx="0">
                  <c:v>Low scenario, including universal pension</c:v>
                </c:pt>
              </c:strCache>
            </c:strRef>
          </c:tx>
          <c:spPr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AR" sz="1000" b="0" strike="noStrike" spc="-1">
                    <a:latin typeface="Arial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Deficit'!$F$2:$F$50</c:f>
              <c:numCache>
                <c:formatCode>General</c:formatCode>
                <c:ptCount val="49"/>
                <c:pt idx="25" formatCode="0.00%">
                  <c:v>-3.7107579581564402E-2</c:v>
                </c:pt>
                <c:pt idx="26" formatCode="0.00%">
                  <c:v>-3.7033997947490092E-2</c:v>
                </c:pt>
                <c:pt idx="27" formatCode="0.00%">
                  <c:v>-3.7817977774983601E-2</c:v>
                </c:pt>
                <c:pt idx="28" formatCode="0.00%">
                  <c:v>-3.6481827746020642E-2</c:v>
                </c:pt>
                <c:pt idx="29" formatCode="0.00%">
                  <c:v>-3.647004207287316E-2</c:v>
                </c:pt>
                <c:pt idx="30" formatCode="0.00%">
                  <c:v>-3.7640097728357046E-2</c:v>
                </c:pt>
                <c:pt idx="31" formatCode="0.00%">
                  <c:v>-3.811116926405992E-2</c:v>
                </c:pt>
                <c:pt idx="32" formatCode="0.00%">
                  <c:v>-3.9161004052621767E-2</c:v>
                </c:pt>
                <c:pt idx="33" formatCode="0.00%">
                  <c:v>-4.0676113156491986E-2</c:v>
                </c:pt>
                <c:pt idx="34" formatCode="0.00%">
                  <c:v>-3.9649294126746268E-2</c:v>
                </c:pt>
                <c:pt idx="35" formatCode="0.00%">
                  <c:v>-3.8925349821705042E-2</c:v>
                </c:pt>
                <c:pt idx="36" formatCode="0.00%">
                  <c:v>-3.7774206448495273E-2</c:v>
                </c:pt>
                <c:pt idx="37" formatCode="0.00%">
                  <c:v>-3.8166853555446655E-2</c:v>
                </c:pt>
                <c:pt idx="38" formatCode="0.00%">
                  <c:v>-3.7495087634763356E-2</c:v>
                </c:pt>
                <c:pt idx="39" formatCode="0.00%">
                  <c:v>-3.8081633514525114E-2</c:v>
                </c:pt>
                <c:pt idx="40" formatCode="0.00%">
                  <c:v>-3.896152794159459E-2</c:v>
                </c:pt>
                <c:pt idx="41" formatCode="0.00%">
                  <c:v>-3.9165808055551241E-2</c:v>
                </c:pt>
                <c:pt idx="42" formatCode="0.00%">
                  <c:v>-3.9847320973945957E-2</c:v>
                </c:pt>
                <c:pt idx="43" formatCode="0.00%">
                  <c:v>-4.0454287718779978E-2</c:v>
                </c:pt>
                <c:pt idx="44" formatCode="0.00%">
                  <c:v>-3.9969971355316644E-2</c:v>
                </c:pt>
                <c:pt idx="45" formatCode="0.00%">
                  <c:v>-4.0321670725133582E-2</c:v>
                </c:pt>
                <c:pt idx="46" formatCode="0.00%">
                  <c:v>-4.0095847832240766E-2</c:v>
                </c:pt>
                <c:pt idx="47" formatCode="0.00%">
                  <c:v>-4.093189898063599E-2</c:v>
                </c:pt>
                <c:pt idx="48" formatCode="0.00%">
                  <c:v>-4.1887820893441591E-2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B53-4305-880C-1049A8DAA6C5}"/>
            </c:ext>
          </c:extLst>
        </c:ser>
        <c:ser>
          <c:idx val="5"/>
          <c:order val="5"/>
          <c:tx>
            <c:strRef>
              <c:f>'Bismarckian Deficit'!$G$1</c:f>
              <c:strCache>
                <c:ptCount val="1"/>
                <c:pt idx="0">
                  <c:v>High scenario</c:v>
                </c:pt>
              </c:strCache>
            </c:strRef>
          </c:tx>
          <c:spPr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AR" sz="1000" b="0" strike="noStrike" spc="-1">
                    <a:latin typeface="Arial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Deficit'!$G$2:$G$50</c:f>
              <c:numCache>
                <c:formatCode>General</c:formatCode>
                <c:ptCount val="49"/>
                <c:pt idx="25" formatCode="0.00%">
                  <c:v>-3.6559160254587511E-2</c:v>
                </c:pt>
                <c:pt idx="26" formatCode="0.00%">
                  <c:v>-3.6935377871097748E-2</c:v>
                </c:pt>
                <c:pt idx="27" formatCode="0.00%">
                  <c:v>-3.7570961536689318E-2</c:v>
                </c:pt>
                <c:pt idx="28" formatCode="0.00%">
                  <c:v>-3.2800543627865109E-2</c:v>
                </c:pt>
                <c:pt idx="29" formatCode="0.00%">
                  <c:v>-2.8141138623761022E-2</c:v>
                </c:pt>
                <c:pt idx="30" formatCode="0.00%">
                  <c:v>-2.7758031888344064E-2</c:v>
                </c:pt>
                <c:pt idx="31" formatCode="0.00%">
                  <c:v>-2.7158206306906803E-2</c:v>
                </c:pt>
                <c:pt idx="32" formatCode="0.00%">
                  <c:v>-2.5425116287734615E-2</c:v>
                </c:pt>
                <c:pt idx="33" formatCode="0.00%">
                  <c:v>-2.2906259960261351E-2</c:v>
                </c:pt>
                <c:pt idx="34" formatCode="0.00%">
                  <c:v>-2.0476877959928735E-2</c:v>
                </c:pt>
                <c:pt idx="35" formatCode="0.00%">
                  <c:v>-1.7694430143396885E-2</c:v>
                </c:pt>
                <c:pt idx="36" formatCode="0.00%">
                  <c:v>-1.5126432238653379E-2</c:v>
                </c:pt>
                <c:pt idx="37" formatCode="0.00%">
                  <c:v>-1.2295460080909265E-2</c:v>
                </c:pt>
                <c:pt idx="38" formatCode="0.00%">
                  <c:v>-1.0368483958178324E-2</c:v>
                </c:pt>
                <c:pt idx="39" formatCode="0.00%">
                  <c:v>-7.8663426791195298E-3</c:v>
                </c:pt>
                <c:pt idx="40" formatCode="0.00%">
                  <c:v>-6.077540612204271E-3</c:v>
                </c:pt>
                <c:pt idx="41" formatCode="0.00%">
                  <c:v>-4.6952188150375541E-3</c:v>
                </c:pt>
                <c:pt idx="42" formatCode="0.00%">
                  <c:v>-3.1418434437787456E-3</c:v>
                </c:pt>
                <c:pt idx="43" formatCode="0.00%">
                  <c:v>-1.0348028414617046E-3</c:v>
                </c:pt>
                <c:pt idx="44" formatCode="0.00%">
                  <c:v>5.931321081369419E-4</c:v>
                </c:pt>
                <c:pt idx="45" formatCode="0.00%">
                  <c:v>2.1636788096876789E-3</c:v>
                </c:pt>
                <c:pt idx="46" formatCode="0.00%">
                  <c:v>3.5771316909351584E-3</c:v>
                </c:pt>
                <c:pt idx="47" formatCode="0.00%">
                  <c:v>4.5457029201457586E-3</c:v>
                </c:pt>
                <c:pt idx="48" formatCode="0.00%">
                  <c:v>5.601666229652383E-3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B53-4305-880C-1049A8DAA6C5}"/>
            </c:ext>
          </c:extLst>
        </c:ser>
        <c:ser>
          <c:idx val="6"/>
          <c:order val="6"/>
          <c:tx>
            <c:strRef>
              <c:f>'Bismarckian Deficit'!$H$1</c:f>
              <c:strCache>
                <c:ptCount val="1"/>
                <c:pt idx="0">
                  <c:v>High scenario, including universal pension</c:v>
                </c:pt>
              </c:strCache>
            </c:strRef>
          </c:tx>
          <c:spPr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AR" sz="1000" b="0" strike="noStrike" spc="-1">
                    <a:latin typeface="Arial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Deficit'!$H$2:$H$50</c:f>
              <c:numCache>
                <c:formatCode>General</c:formatCode>
                <c:ptCount val="49"/>
                <c:pt idx="25" formatCode="0.00%">
                  <c:v>-3.7102774913700357E-2</c:v>
                </c:pt>
                <c:pt idx="26" formatCode="0.00%">
                  <c:v>-3.7887124609881008E-2</c:v>
                </c:pt>
                <c:pt idx="27" formatCode="0.00%">
                  <c:v>-3.8422430941969461E-2</c:v>
                </c:pt>
                <c:pt idx="28" formatCode="0.00%">
                  <c:v>-3.3905941460582623E-2</c:v>
                </c:pt>
                <c:pt idx="29" formatCode="0.00%">
                  <c:v>-2.9697993972140249E-2</c:v>
                </c:pt>
                <c:pt idx="30" formatCode="0.00%">
                  <c:v>-2.9740677646189942E-2</c:v>
                </c:pt>
                <c:pt idx="31" formatCode="0.00%">
                  <c:v>-2.9356388502072728E-2</c:v>
                </c:pt>
                <c:pt idx="32" formatCode="0.00%">
                  <c:v>-2.7930927429747406E-2</c:v>
                </c:pt>
                <c:pt idx="33" formatCode="0.00%">
                  <c:v>-2.6265723744712782E-2</c:v>
                </c:pt>
                <c:pt idx="34" formatCode="0.00%">
                  <c:v>-2.4849070947865586E-2</c:v>
                </c:pt>
                <c:pt idx="35" formatCode="0.00%">
                  <c:v>-2.2626265683255646E-2</c:v>
                </c:pt>
                <c:pt idx="36" formatCode="0.00%">
                  <c:v>-2.0805727907156513E-2</c:v>
                </c:pt>
                <c:pt idx="37" formatCode="0.00%">
                  <c:v>-1.8636524920830101E-2</c:v>
                </c:pt>
                <c:pt idx="38" formatCode="0.00%">
                  <c:v>-1.7362740433170147E-2</c:v>
                </c:pt>
                <c:pt idx="39" formatCode="0.00%">
                  <c:v>-1.5266492808230857E-2</c:v>
                </c:pt>
                <c:pt idx="40" formatCode="0.00%">
                  <c:v>-1.3955187495331249E-2</c:v>
                </c:pt>
                <c:pt idx="41" formatCode="0.00%">
                  <c:v>-1.2896077269265475E-2</c:v>
                </c:pt>
                <c:pt idx="42" formatCode="0.00%">
                  <c:v>-1.1634102893917714E-2</c:v>
                </c:pt>
                <c:pt idx="43" formatCode="0.00%">
                  <c:v>-9.990962299290581E-3</c:v>
                </c:pt>
                <c:pt idx="44" formatCode="0.00%">
                  <c:v>-8.8052344253002745E-3</c:v>
                </c:pt>
                <c:pt idx="45" formatCode="0.00%">
                  <c:v>-7.7528221152042432E-3</c:v>
                </c:pt>
                <c:pt idx="46" formatCode="0.00%">
                  <c:v>-6.7118323139120882E-3</c:v>
                </c:pt>
                <c:pt idx="47" formatCode="0.00%">
                  <c:v>-6.2201210191368227E-3</c:v>
                </c:pt>
                <c:pt idx="48" formatCode="0.00%">
                  <c:v>-5.4269541536038053E-3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B53-4305-880C-1049A8DAA6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99645"/>
        <c:axId val="679419"/>
      </c:scatterChart>
      <c:valAx>
        <c:axId val="55699645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lang="es-AR" sz="1000" b="0" strike="noStrike" spc="-1">
                <a:latin typeface="Arial"/>
              </a:defRPr>
            </a:pPr>
            <a:endParaRPr lang="es-ES"/>
          </a:p>
        </c:txPr>
        <c:crossAx val="679419"/>
        <c:crosses val="autoZero"/>
        <c:crossBetween val="midCat"/>
      </c:valAx>
      <c:valAx>
        <c:axId val="67941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lang="es-AR" sz="1000" b="0" strike="noStrike" spc="-1">
                <a:latin typeface="Arial"/>
              </a:defRPr>
            </a:pPr>
            <a:endParaRPr lang="es-ES"/>
          </a:p>
        </c:txPr>
        <c:crossAx val="55699645"/>
        <c:crosses val="autoZero"/>
        <c:crossBetween val="midCat"/>
      </c:valAx>
      <c:spPr>
        <a:solidFill>
          <a:srgbClr val="D9D9D9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lang="es-AR" sz="2000" b="0" strike="noStrike" spc="-1">
              <a:solidFill>
                <a:srgbClr val="000000"/>
              </a:solidFill>
              <a:latin typeface="Calibri"/>
            </a:defRPr>
          </a:pPr>
          <a:endParaRPr lang="es-ES"/>
        </a:p>
      </c:txPr>
    </c:legend>
    <c:plotVisOnly val="0"/>
    <c:dispBlanksAs val="span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'Economic result'!$B$1</c:f>
              <c:strCache>
                <c:ptCount val="1"/>
                <c:pt idx="0">
                  <c:v>Historical values</c:v>
                </c:pt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AR" sz="1000" b="0" strike="noStrike" spc="-1">
                    <a:latin typeface="Arial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yVal>
            <c:numRef>
              <c:f>'Economic result'!$B$2:$B$50</c:f>
              <c:numCache>
                <c:formatCode>0.00%</c:formatCode>
                <c:ptCount val="49"/>
                <c:pt idx="1">
                  <c:v>-4.4606927546389302E-4</c:v>
                </c:pt>
                <c:pt idx="2">
                  <c:v>-1.3085329461061499E-2</c:v>
                </c:pt>
                <c:pt idx="3">
                  <c:v>-6.3793495975881902E-3</c:v>
                </c:pt>
                <c:pt idx="4">
                  <c:v>-5.2873047307913897E-3</c:v>
                </c:pt>
                <c:pt idx="5">
                  <c:v>-3.15594528811225E-3</c:v>
                </c:pt>
                <c:pt idx="6">
                  <c:v>-2.6600621239856099E-3</c:v>
                </c:pt>
                <c:pt idx="7">
                  <c:v>-7.7596880146275004E-3</c:v>
                </c:pt>
                <c:pt idx="8">
                  <c:v>-6.7385444537740799E-3</c:v>
                </c:pt>
                <c:pt idx="9">
                  <c:v>-1.0164928737260199E-2</c:v>
                </c:pt>
                <c:pt idx="10">
                  <c:v>-1.1439861798283499E-2</c:v>
                </c:pt>
                <c:pt idx="11">
                  <c:v>-4.9270739941502696E-3</c:v>
                </c:pt>
                <c:pt idx="12">
                  <c:v>3.82133245719463E-3</c:v>
                </c:pt>
                <c:pt idx="13">
                  <c:v>7.5776910275119798E-3</c:v>
                </c:pt>
                <c:pt idx="14">
                  <c:v>9.1779183173693706E-3</c:v>
                </c:pt>
                <c:pt idx="15">
                  <c:v>1.08470293692913E-2</c:v>
                </c:pt>
                <c:pt idx="16">
                  <c:v>4.7304740220958904E-3</c:v>
                </c:pt>
                <c:pt idx="17">
                  <c:v>3.4788465677864102E-3</c:v>
                </c:pt>
                <c:pt idx="18">
                  <c:v>4.11235591593429E-3</c:v>
                </c:pt>
                <c:pt idx="19">
                  <c:v>3.2630790588100899E-3</c:v>
                </c:pt>
                <c:pt idx="20">
                  <c:v>1.05161751029002E-3</c:v>
                </c:pt>
                <c:pt idx="21">
                  <c:v>-9.5166855816117605E-4</c:v>
                </c:pt>
                <c:pt idx="22">
                  <c:v>-1.2928637559684599E-3</c:v>
                </c:pt>
                <c:pt idx="23">
                  <c:v>-7.5073330617732104E-3</c:v>
                </c:pt>
                <c:pt idx="24">
                  <c:v>-2.0346799695848902E-2</c:v>
                </c:pt>
                <c:pt idx="25">
                  <c:v>-2.4104702008189639E-2</c:v>
                </c:pt>
                <c:pt idx="26">
                  <c:v>-1.8271797800212462E-2</c:v>
                </c:pt>
                <c:pt idx="27">
                  <c:v>-2.6190479056360311E-2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6C-4C6D-A235-3D6E7ED97850}"/>
            </c:ext>
          </c:extLst>
        </c:ser>
        <c:ser>
          <c:idx val="1"/>
          <c:order val="1"/>
          <c:tx>
            <c:strRef>
              <c:f>'Economic result'!$C$1</c:f>
              <c:strCache>
                <c:ptCount val="1"/>
                <c:pt idx="0">
                  <c:v>Central scenario</c:v>
                </c:pt>
              </c:strCache>
            </c:strRef>
          </c:tx>
          <c:spPr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AR" sz="1000" b="0" strike="noStrike" spc="-1">
                    <a:latin typeface="Arial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yVal>
            <c:numRef>
              <c:f>'Economic result'!$C$2:$C$50</c:f>
              <c:numCache>
                <c:formatCode>General</c:formatCode>
                <c:ptCount val="49"/>
                <c:pt idx="22" formatCode="0.00%">
                  <c:v>1.1582536628149571E-3</c:v>
                </c:pt>
                <c:pt idx="23" formatCode="0.00%">
                  <c:v>-1.1632605873130773E-2</c:v>
                </c:pt>
                <c:pt idx="24" formatCode="0.00%">
                  <c:v>-1.5354230537384703E-2</c:v>
                </c:pt>
                <c:pt idx="25" formatCode="0.00%">
                  <c:v>-1.8188328906456101E-2</c:v>
                </c:pt>
                <c:pt idx="26" formatCode="0.00%">
                  <c:v>-8.70503909312304E-3</c:v>
                </c:pt>
                <c:pt idx="27" formatCode="0.00%">
                  <c:v>-1.329894514257135E-2</c:v>
                </c:pt>
                <c:pt idx="28" formatCode="0.00%">
                  <c:v>-1.1194887860235203E-2</c:v>
                </c:pt>
                <c:pt idx="29" formatCode="0.00%">
                  <c:v>-9.1536189262723805E-3</c:v>
                </c:pt>
                <c:pt idx="30" formatCode="0.00%">
                  <c:v>-8.5034808352437707E-3</c:v>
                </c:pt>
                <c:pt idx="31" formatCode="0.00%">
                  <c:v>-7.5091143978215681E-3</c:v>
                </c:pt>
                <c:pt idx="32" formatCode="0.00%">
                  <c:v>-6.2269913479394562E-3</c:v>
                </c:pt>
                <c:pt idx="33" formatCode="0.00%">
                  <c:v>-5.5712137381719665E-3</c:v>
                </c:pt>
                <c:pt idx="34" formatCode="0.00%">
                  <c:v>-3.3427433383602691E-3</c:v>
                </c:pt>
                <c:pt idx="35" formatCode="0.00%">
                  <c:v>-1.6319829182660228E-3</c:v>
                </c:pt>
                <c:pt idx="36" formatCode="0.00%">
                  <c:v>4.0621843724630152E-4</c:v>
                </c:pt>
                <c:pt idx="37" formatCode="0.00%">
                  <c:v>3.0056326181445644E-3</c:v>
                </c:pt>
                <c:pt idx="38" formatCode="0.00%">
                  <c:v>4.8797925426794231E-3</c:v>
                </c:pt>
                <c:pt idx="39" formatCode="0.00%">
                  <c:v>6.6130978733496965E-3</c:v>
                </c:pt>
                <c:pt idx="40" formatCode="0.00%">
                  <c:v>7.0062479774271741E-3</c:v>
                </c:pt>
                <c:pt idx="41" formatCode="0.00%">
                  <c:v>8.8354711177214169E-3</c:v>
                </c:pt>
                <c:pt idx="42" formatCode="0.00%">
                  <c:v>1.0024139926853786E-2</c:v>
                </c:pt>
                <c:pt idx="43" formatCode="0.00%">
                  <c:v>1.0694687759134291E-2</c:v>
                </c:pt>
                <c:pt idx="44" formatCode="0.00%">
                  <c:v>1.1999079984721207E-2</c:v>
                </c:pt>
                <c:pt idx="45" formatCode="0.00%">
                  <c:v>1.2447257650101736E-2</c:v>
                </c:pt>
                <c:pt idx="46" formatCode="0.00%">
                  <c:v>1.3741808854811598E-2</c:v>
                </c:pt>
                <c:pt idx="47" formatCode="0.00%">
                  <c:v>1.4330430603198281E-2</c:v>
                </c:pt>
                <c:pt idx="48" formatCode="0.00%">
                  <c:v>1.5249276210413644E-2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86C-4C6D-A235-3D6E7ED97850}"/>
            </c:ext>
          </c:extLst>
        </c:ser>
        <c:ser>
          <c:idx val="2"/>
          <c:order val="2"/>
          <c:tx>
            <c:strRef>
              <c:f>'Economic result'!$D$1</c:f>
              <c:strCache>
                <c:ptCount val="1"/>
                <c:pt idx="0">
                  <c:v>Central scenario, including universal pension and without coparticipation</c:v>
                </c:pt>
              </c:strCache>
            </c:strRef>
          </c:tx>
          <c:spPr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AR" sz="1000" b="0" strike="noStrike" spc="-1">
                    <a:latin typeface="Arial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yVal>
            <c:numRef>
              <c:f>'Economic result'!$D$2:$D$50</c:f>
              <c:numCache>
                <c:formatCode>General</c:formatCode>
                <c:ptCount val="49"/>
                <c:pt idx="24" formatCode="0.00%">
                  <c:v>-1.9198276131218564E-2</c:v>
                </c:pt>
                <c:pt idx="25" formatCode="0.00%">
                  <c:v>-2.6057443821146595E-2</c:v>
                </c:pt>
                <c:pt idx="26" formatCode="0.00%">
                  <c:v>-2.1199779701978103E-2</c:v>
                </c:pt>
                <c:pt idx="27" formatCode="0.00%">
                  <c:v>-2.6598941199901575E-2</c:v>
                </c:pt>
                <c:pt idx="28" formatCode="0.00%">
                  <c:v>-2.7868745579902654E-2</c:v>
                </c:pt>
                <c:pt idx="29" formatCode="0.00%">
                  <c:v>-2.6256163444869363E-2</c:v>
                </c:pt>
                <c:pt idx="30" formatCode="0.00%">
                  <c:v>-2.6021547361591242E-2</c:v>
                </c:pt>
                <c:pt idx="31" formatCode="0.00%">
                  <c:v>-2.5355293963660534E-2</c:v>
                </c:pt>
                <c:pt idx="32" formatCode="0.00%">
                  <c:v>-2.433238131349566E-2</c:v>
                </c:pt>
                <c:pt idx="33" formatCode="0.00%">
                  <c:v>-2.4643633170570209E-2</c:v>
                </c:pt>
                <c:pt idx="34" formatCode="0.00%">
                  <c:v>-2.3526261589654603E-2</c:v>
                </c:pt>
                <c:pt idx="35" formatCode="0.00%">
                  <c:v>-2.2582189206618648E-2</c:v>
                </c:pt>
                <c:pt idx="36" formatCode="0.00%">
                  <c:v>-2.1398576773500398E-2</c:v>
                </c:pt>
                <c:pt idx="37" formatCode="0.00%">
                  <c:v>-1.966420035520889E-2</c:v>
                </c:pt>
                <c:pt idx="38" formatCode="0.00%">
                  <c:v>-1.8620006896266035E-2</c:v>
                </c:pt>
                <c:pt idx="39" formatCode="0.00%">
                  <c:v>-1.7560898411869579E-2</c:v>
                </c:pt>
                <c:pt idx="40" formatCode="0.00%">
                  <c:v>-1.7399460948159313E-2</c:v>
                </c:pt>
                <c:pt idx="41" formatCode="0.00%">
                  <c:v>-1.6095873946488544E-2</c:v>
                </c:pt>
                <c:pt idx="42" formatCode="0.00%">
                  <c:v>-1.5511184047346227E-2</c:v>
                </c:pt>
                <c:pt idx="43" formatCode="0.00%">
                  <c:v>-1.5296398702447664E-2</c:v>
                </c:pt>
                <c:pt idx="44" formatCode="0.00%">
                  <c:v>-1.4398262778719332E-2</c:v>
                </c:pt>
                <c:pt idx="45" formatCode="0.00%">
                  <c:v>-1.4530391698999662E-2</c:v>
                </c:pt>
                <c:pt idx="46" formatCode="0.00%">
                  <c:v>-1.3548688096652472E-2</c:v>
                </c:pt>
                <c:pt idx="47" formatCode="0.00%">
                  <c:v>-1.3597878601072555E-2</c:v>
                </c:pt>
                <c:pt idx="48" formatCode="0.00%">
                  <c:v>-1.3308699230769981E-2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86C-4C6D-A235-3D6E7ED97850}"/>
            </c:ext>
          </c:extLst>
        </c:ser>
        <c:ser>
          <c:idx val="3"/>
          <c:order val="3"/>
          <c:tx>
            <c:strRef>
              <c:f>'Economic result'!$E$1</c:f>
              <c:strCache>
                <c:ptCount val="1"/>
                <c:pt idx="0">
                  <c:v>Low scenario</c:v>
                </c:pt>
              </c:strCache>
            </c:strRef>
          </c:tx>
          <c:spPr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AR" sz="1000" b="0" strike="noStrike" spc="-1">
                    <a:latin typeface="Arial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yVal>
            <c:numRef>
              <c:f>'Economic result'!$E$2:$E$50</c:f>
              <c:numCache>
                <c:formatCode>General</c:formatCode>
                <c:ptCount val="49"/>
                <c:pt idx="27" formatCode="0.00%">
                  <c:v>-1.3230021756982992E-2</c:v>
                </c:pt>
                <c:pt idx="28" formatCode="0.00%">
                  <c:v>-1.1630889795003492E-2</c:v>
                </c:pt>
                <c:pt idx="29" formatCode="0.00%">
                  <c:v>-1.1205656069381967E-2</c:v>
                </c:pt>
                <c:pt idx="30" formatCode="0.00%">
                  <c:v>-1.1970407093599353E-2</c:v>
                </c:pt>
                <c:pt idx="31" formatCode="0.00%">
                  <c:v>-1.2141102171849827E-2</c:v>
                </c:pt>
                <c:pt idx="32" formatCode="0.00%">
                  <c:v>-1.2830639524314479E-2</c:v>
                </c:pt>
                <c:pt idx="33" formatCode="0.00%">
                  <c:v>-1.3401660777692774E-2</c:v>
                </c:pt>
                <c:pt idx="34" formatCode="0.00%">
                  <c:v>-1.1317455534098887E-2</c:v>
                </c:pt>
                <c:pt idx="35" formatCode="0.00%">
                  <c:v>-9.6516521250384069E-3</c:v>
                </c:pt>
                <c:pt idx="36" formatCode="0.00%">
                  <c:v>-7.5458698978775607E-3</c:v>
                </c:pt>
                <c:pt idx="37" formatCode="0.00%">
                  <c:v>-7.1331193703365742E-3</c:v>
                </c:pt>
                <c:pt idx="38" formatCode="0.00%">
                  <c:v>-5.8208814076619181E-3</c:v>
                </c:pt>
                <c:pt idx="39" formatCode="0.00%">
                  <c:v>-5.8404956621340397E-3</c:v>
                </c:pt>
                <c:pt idx="40" formatCode="0.00%">
                  <c:v>-5.7178918474776706E-3</c:v>
                </c:pt>
                <c:pt idx="41" formatCode="0.00%">
                  <c:v>-4.8473146153616385E-3</c:v>
                </c:pt>
                <c:pt idx="42" formatCode="0.00%">
                  <c:v>-4.8411438319861839E-3</c:v>
                </c:pt>
                <c:pt idx="43" formatCode="0.00%">
                  <c:v>-4.9872188783103809E-3</c:v>
                </c:pt>
                <c:pt idx="44" formatCode="0.00%">
                  <c:v>-3.9337496063945911E-3</c:v>
                </c:pt>
                <c:pt idx="45" formatCode="0.00%">
                  <c:v>-3.4872630625492028E-3</c:v>
                </c:pt>
                <c:pt idx="46" formatCode="0.00%">
                  <c:v>-2.4347243171444453E-3</c:v>
                </c:pt>
                <c:pt idx="47" formatCode="0.00%">
                  <c:v>-2.5362213419407968E-3</c:v>
                </c:pt>
                <c:pt idx="48" formatCode="0.00%">
                  <c:v>-2.8388932789972614E-3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86C-4C6D-A235-3D6E7ED97850}"/>
            </c:ext>
          </c:extLst>
        </c:ser>
        <c:ser>
          <c:idx val="4"/>
          <c:order val="4"/>
          <c:tx>
            <c:strRef>
              <c:f>'Economic result'!$F$1</c:f>
              <c:strCache>
                <c:ptCount val="1"/>
                <c:pt idx="0">
                  <c:v>Low scenario, including universal pension and without coparticipation</c:v>
                </c:pt>
              </c:strCache>
            </c:strRef>
          </c:tx>
          <c:spPr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AR" sz="1000" b="0" strike="noStrike" spc="-1">
                    <a:latin typeface="Arial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yVal>
            <c:numRef>
              <c:f>'Economic result'!$F$2:$F$50</c:f>
              <c:numCache>
                <c:formatCode>General</c:formatCode>
                <c:ptCount val="49"/>
                <c:pt idx="27" formatCode="0.00%">
                  <c:v>-2.6530017814313217E-2</c:v>
                </c:pt>
                <c:pt idx="28" formatCode="0.00%">
                  <c:v>-2.8304299796629191E-2</c:v>
                </c:pt>
                <c:pt idx="29" formatCode="0.00%">
                  <c:v>-2.8292514123481709E-2</c:v>
                </c:pt>
                <c:pt idx="30" formatCode="0.00%">
                  <c:v>-2.9462569778965594E-2</c:v>
                </c:pt>
                <c:pt idx="31" formatCode="0.00%">
                  <c:v>-2.9933641314668469E-2</c:v>
                </c:pt>
                <c:pt idx="32" formatCode="0.00%">
                  <c:v>-3.0983476103230316E-2</c:v>
                </c:pt>
                <c:pt idx="33" formatCode="0.00%">
                  <c:v>-3.2498585207100535E-2</c:v>
                </c:pt>
                <c:pt idx="34" formatCode="0.00%">
                  <c:v>-3.1471766177354817E-2</c:v>
                </c:pt>
                <c:pt idx="35" formatCode="0.00%">
                  <c:v>-3.0747821872313591E-2</c:v>
                </c:pt>
                <c:pt idx="36" formatCode="0.00%">
                  <c:v>-2.9596678499103822E-2</c:v>
                </c:pt>
                <c:pt idx="37" formatCode="0.00%">
                  <c:v>-2.9989325606055203E-2</c:v>
                </c:pt>
                <c:pt idx="38" formatCode="0.00%">
                  <c:v>-2.9317559685371905E-2</c:v>
                </c:pt>
                <c:pt idx="39" formatCode="0.00%">
                  <c:v>-2.9904105565133662E-2</c:v>
                </c:pt>
                <c:pt idx="40" formatCode="0.00%">
                  <c:v>-3.0783999992203138E-2</c:v>
                </c:pt>
                <c:pt idx="41" formatCode="0.00%">
                  <c:v>-3.0988280106159789E-2</c:v>
                </c:pt>
                <c:pt idx="42" formatCode="0.00%">
                  <c:v>-3.1669793024554506E-2</c:v>
                </c:pt>
                <c:pt idx="43" formatCode="0.00%">
                  <c:v>-3.2276759769388527E-2</c:v>
                </c:pt>
                <c:pt idx="44" formatCode="0.00%">
                  <c:v>-3.1792443405925193E-2</c:v>
                </c:pt>
                <c:pt idx="45" formatCode="0.00%">
                  <c:v>-3.2144142775742131E-2</c:v>
                </c:pt>
                <c:pt idx="46" formatCode="0.00%">
                  <c:v>-3.1918319882849315E-2</c:v>
                </c:pt>
                <c:pt idx="47" formatCode="0.00%">
                  <c:v>-3.2754371031244539E-2</c:v>
                </c:pt>
                <c:pt idx="48" formatCode="0.00%">
                  <c:v>-3.3710292944050139E-2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86C-4C6D-A235-3D6E7ED97850}"/>
            </c:ext>
          </c:extLst>
        </c:ser>
        <c:ser>
          <c:idx val="5"/>
          <c:order val="5"/>
          <c:tx>
            <c:strRef>
              <c:f>'Economic result'!$G$1</c:f>
              <c:strCache>
                <c:ptCount val="1"/>
                <c:pt idx="0">
                  <c:v>High scenario</c:v>
                </c:pt>
              </c:strCache>
            </c:strRef>
          </c:tx>
          <c:spPr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AR" sz="1000" b="0" strike="noStrike" spc="-1">
                    <a:latin typeface="Arial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yVal>
            <c:numRef>
              <c:f>'Economic result'!$G$2:$G$50</c:f>
              <c:numCache>
                <c:formatCode>General</c:formatCode>
                <c:ptCount val="49"/>
                <c:pt idx="27" formatCode="0.00%">
                  <c:v>-1.3841273530903218E-2</c:v>
                </c:pt>
                <c:pt idx="28" formatCode="0.00%">
                  <c:v>-9.070855622079009E-3</c:v>
                </c:pt>
                <c:pt idx="29" formatCode="0.00%">
                  <c:v>-4.411450617974922E-3</c:v>
                </c:pt>
                <c:pt idx="30" formatCode="0.00%">
                  <c:v>-4.0283438825579644E-3</c:v>
                </c:pt>
                <c:pt idx="31" formatCode="0.00%">
                  <c:v>-3.4285183011207032E-3</c:v>
                </c:pt>
                <c:pt idx="32" formatCode="0.00%">
                  <c:v>-1.6954282819485154E-3</c:v>
                </c:pt>
                <c:pt idx="33" formatCode="0.00%">
                  <c:v>8.2342804552474821E-4</c:v>
                </c:pt>
                <c:pt idx="34" formatCode="0.00%">
                  <c:v>3.2528100458573649E-3</c:v>
                </c:pt>
                <c:pt idx="35" formatCode="0.00%">
                  <c:v>6.0352578623892143E-3</c:v>
                </c:pt>
                <c:pt idx="36" formatCode="0.00%">
                  <c:v>8.6032557671327226E-3</c:v>
                </c:pt>
                <c:pt idx="37" formatCode="0.00%">
                  <c:v>1.1434227924876833E-2</c:v>
                </c:pt>
                <c:pt idx="38" formatCode="0.00%">
                  <c:v>1.3361204047607773E-2</c:v>
                </c:pt>
                <c:pt idx="39" formatCode="0.00%">
                  <c:v>1.586334532666657E-2</c:v>
                </c:pt>
                <c:pt idx="40" formatCode="0.00%">
                  <c:v>1.7652147393581827E-2</c:v>
                </c:pt>
                <c:pt idx="41" formatCode="0.00%">
                  <c:v>1.9034469190748547E-2</c:v>
                </c:pt>
                <c:pt idx="42" formatCode="0.00%">
                  <c:v>2.0587844562007351E-2</c:v>
                </c:pt>
                <c:pt idx="43" formatCode="0.00%">
                  <c:v>2.2694885164324392E-2</c:v>
                </c:pt>
                <c:pt idx="44" formatCode="0.00%">
                  <c:v>2.432282011392304E-2</c:v>
                </c:pt>
                <c:pt idx="45" formatCode="0.00%">
                  <c:v>2.589336681547378E-2</c:v>
                </c:pt>
                <c:pt idx="46" formatCode="0.00%">
                  <c:v>2.730681969672126E-2</c:v>
                </c:pt>
                <c:pt idx="47" formatCode="0.00%">
                  <c:v>2.8275390925931856E-2</c:v>
                </c:pt>
                <c:pt idx="48" formatCode="0.00%">
                  <c:v>2.9331354235438485E-2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86C-4C6D-A235-3D6E7ED97850}"/>
            </c:ext>
          </c:extLst>
        </c:ser>
        <c:ser>
          <c:idx val="6"/>
          <c:order val="6"/>
          <c:tx>
            <c:strRef>
              <c:f>'Economic result'!$H$1</c:f>
              <c:strCache>
                <c:ptCount val="1"/>
                <c:pt idx="0">
                  <c:v>High scenario, including universal pension and without coparticipation</c:v>
                </c:pt>
              </c:strCache>
            </c:strRef>
          </c:tx>
          <c:spPr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AR" sz="1000" b="0" strike="noStrike" spc="-1">
                    <a:latin typeface="Arial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yVal>
            <c:numRef>
              <c:f>'Economic result'!$H$2:$H$50</c:f>
              <c:numCache>
                <c:formatCode>General</c:formatCode>
                <c:ptCount val="49"/>
                <c:pt idx="27" formatCode="0.00%">
                  <c:v>-2.7134470981299078E-2</c:v>
                </c:pt>
                <c:pt idx="28" formatCode="0.00%">
                  <c:v>-2.5728413511191171E-2</c:v>
                </c:pt>
                <c:pt idx="29" formatCode="0.00%">
                  <c:v>-2.1520466022748798E-2</c:v>
                </c:pt>
                <c:pt idx="30" formatCode="0.00%">
                  <c:v>-2.1563149696798491E-2</c:v>
                </c:pt>
                <c:pt idx="31" formatCode="0.00%">
                  <c:v>-2.1178860552681276E-2</c:v>
                </c:pt>
                <c:pt idx="32" formatCode="0.00%">
                  <c:v>-1.9753399480355954E-2</c:v>
                </c:pt>
                <c:pt idx="33" formatCode="0.00%">
                  <c:v>-1.8088195795321331E-2</c:v>
                </c:pt>
                <c:pt idx="34" formatCode="0.00%">
                  <c:v>-1.6671542998474134E-2</c:v>
                </c:pt>
                <c:pt idx="35" formatCode="0.00%">
                  <c:v>-1.4448737733864193E-2</c:v>
                </c:pt>
                <c:pt idx="36" formatCode="0.00%">
                  <c:v>-1.262819995776506E-2</c:v>
                </c:pt>
                <c:pt idx="37" formatCode="0.00%">
                  <c:v>-1.0458996971438648E-2</c:v>
                </c:pt>
                <c:pt idx="38" formatCode="0.00%">
                  <c:v>-9.1852124837786941E-3</c:v>
                </c:pt>
                <c:pt idx="39" formatCode="0.00%">
                  <c:v>-7.0889648588394038E-3</c:v>
                </c:pt>
                <c:pt idx="40" formatCode="0.00%">
                  <c:v>-5.7776595459397961E-3</c:v>
                </c:pt>
                <c:pt idx="41" formatCode="0.00%">
                  <c:v>-4.7185493198740238E-3</c:v>
                </c:pt>
                <c:pt idx="42" formatCode="0.00%">
                  <c:v>-3.4565749445262615E-3</c:v>
                </c:pt>
                <c:pt idx="43" formatCode="0.00%">
                  <c:v>-1.813434349899128E-3</c:v>
                </c:pt>
                <c:pt idx="44" formatCode="0.00%">
                  <c:v>-6.2770647590882321E-4</c:v>
                </c:pt>
                <c:pt idx="45" formatCode="0.00%">
                  <c:v>4.2470583418721154E-4</c:v>
                </c:pt>
                <c:pt idx="46" formatCode="0.00%">
                  <c:v>1.4656956354793613E-3</c:v>
                </c:pt>
                <c:pt idx="47" formatCode="0.00%">
                  <c:v>1.9574069302546269E-3</c:v>
                </c:pt>
                <c:pt idx="48" formatCode="0.00%">
                  <c:v>2.7505737957876451E-3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86C-4C6D-A235-3D6E7ED978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24479"/>
        <c:axId val="58604524"/>
      </c:scatterChart>
      <c:valAx>
        <c:axId val="8324479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lang="es-AR" sz="1000" b="0" strike="noStrike" spc="-1">
                <a:latin typeface="Arial"/>
              </a:defRPr>
            </a:pPr>
            <a:endParaRPr lang="es-ES"/>
          </a:p>
        </c:txPr>
        <c:crossAx val="58604524"/>
        <c:crosses val="autoZero"/>
        <c:crossBetween val="midCat"/>
      </c:valAx>
      <c:valAx>
        <c:axId val="5860452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lang="es-AR" sz="1000" b="0" strike="noStrike" spc="-1">
                <a:latin typeface="Arial"/>
              </a:defRPr>
            </a:pPr>
            <a:endParaRPr lang="es-ES"/>
          </a:p>
        </c:txPr>
        <c:crossAx val="8324479"/>
        <c:crosses val="autoZero"/>
        <c:crossBetween val="midCat"/>
      </c:valAx>
      <c:spPr>
        <a:solidFill>
          <a:srgbClr val="D9D9D9"/>
        </a:solidFill>
        <a:ln>
          <a:noFill/>
        </a:ln>
      </c:spPr>
    </c:plotArea>
    <c:legend>
      <c:legendPos val="b"/>
      <c:layout/>
      <c:overlay val="0"/>
      <c:spPr>
        <a:noFill/>
        <a:ln>
          <a:noFill/>
        </a:ln>
      </c:spPr>
      <c:txPr>
        <a:bodyPr/>
        <a:lstStyle/>
        <a:p>
          <a:pPr>
            <a:defRPr lang="es-AR" sz="2000" b="0" strike="noStrike" spc="-1">
              <a:solidFill>
                <a:srgbClr val="000000"/>
              </a:solidFill>
              <a:latin typeface="Calibri"/>
            </a:defRPr>
          </a:pPr>
          <a:endParaRPr lang="es-ES"/>
        </a:p>
      </c:txPr>
    </c:legend>
    <c:plotVisOnly val="0"/>
    <c:dispBlanksAs val="span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'Economic result'!$C$146</c:f>
              <c:strCache>
                <c:ptCount val="1"/>
                <c:pt idx="0">
                  <c:v>Family benefits</c:v>
                </c:pt>
              </c:strCache>
            </c:strRef>
          </c:tx>
          <c:spPr>
            <a:solidFill>
              <a:srgbClr val="DDDDDD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AR" sz="1000" b="0" strike="noStrike" spc="-1">
                    <a:latin typeface="Arial"/>
                  </a:defRPr>
                </a:pPr>
                <a:endParaRPr lang="es-E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'Economic result'!$B$147:$B$173</c:f>
              <c:numCache>
                <c:formatCode>General</c:formatCod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numCache>
            </c:numRef>
          </c:cat>
          <c:val>
            <c:numRef>
              <c:f>'Economic result'!$C$147:$C$173</c:f>
              <c:numCache>
                <c:formatCode>0.00%</c:formatCode>
                <c:ptCount val="27"/>
                <c:pt idx="0">
                  <c:v>-1.0008000397610349E-2</c:v>
                </c:pt>
                <c:pt idx="1">
                  <c:v>-1.0733978419463381E-2</c:v>
                </c:pt>
                <c:pt idx="2">
                  <c:v>-1.2091560077479408E-2</c:v>
                </c:pt>
                <c:pt idx="3">
                  <c:v>-1.554136546049264E-2</c:v>
                </c:pt>
                <c:pt idx="4">
                  <c:v>-1.4019521974912765E-2</c:v>
                </c:pt>
                <c:pt idx="5">
                  <c:v>-1.2702444379541364E-2</c:v>
                </c:pt>
                <c:pt idx="6">
                  <c:v>-1.1268695137061857E-2</c:v>
                </c:pt>
                <c:pt idx="7">
                  <c:v>-1.0910949507679745E-2</c:v>
                </c:pt>
                <c:pt idx="8">
                  <c:v>-1.1205644930234697E-2</c:v>
                </c:pt>
                <c:pt idx="9">
                  <c:v>-1.1064710350659665E-2</c:v>
                </c:pt>
                <c:pt idx="10">
                  <c:v>-1.0713684506604981E-2</c:v>
                </c:pt>
                <c:pt idx="11">
                  <c:v>-1.0482941161429242E-2</c:v>
                </c:pt>
                <c:pt idx="12">
                  <c:v>-1.0027137311141859E-2</c:v>
                </c:pt>
                <c:pt idx="13">
                  <c:v>-9.492204194990056E-3</c:v>
                </c:pt>
                <c:pt idx="14">
                  <c:v>-8.9647751886930208E-3</c:v>
                </c:pt>
                <c:pt idx="15">
                  <c:v>-8.4667047583085828E-3</c:v>
                </c:pt>
                <c:pt idx="16">
                  <c:v>-8.0927991121594635E-3</c:v>
                </c:pt>
                <c:pt idx="17">
                  <c:v>-7.6216045012665653E-3</c:v>
                </c:pt>
                <c:pt idx="18">
                  <c:v>-7.3453506558385151E-3</c:v>
                </c:pt>
                <c:pt idx="19">
                  <c:v>-6.9395188554526241E-3</c:v>
                </c:pt>
                <c:pt idx="20">
                  <c:v>-6.7308903513886445E-3</c:v>
                </c:pt>
                <c:pt idx="21">
                  <c:v>-6.272581314049612E-3</c:v>
                </c:pt>
                <c:pt idx="22">
                  <c:v>-5.8657855590337742E-3</c:v>
                </c:pt>
                <c:pt idx="23">
                  <c:v>-5.7939748192554928E-3</c:v>
                </c:pt>
                <c:pt idx="24">
                  <c:v>-5.5774428693964552E-3</c:v>
                </c:pt>
                <c:pt idx="25">
                  <c:v>-5.3193574931828542E-3</c:v>
                </c:pt>
                <c:pt idx="26">
                  <c:v>-5.2496165999940279E-3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13-4C3A-95DB-96027ACBD0A2}"/>
            </c:ext>
          </c:extLst>
        </c:ser>
        <c:ser>
          <c:idx val="1"/>
          <c:order val="1"/>
          <c:tx>
            <c:strRef>
              <c:f>'Economic result'!$D$146</c:f>
              <c:strCache>
                <c:ptCount val="1"/>
                <c:pt idx="0">
                  <c:v>Pensions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AR" sz="1000" b="0" strike="noStrike" spc="-1">
                    <a:latin typeface="Arial"/>
                  </a:defRPr>
                </a:pPr>
                <a:endParaRPr lang="es-E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'Economic result'!$B$147:$B$173</c:f>
              <c:numCache>
                <c:formatCode>General</c:formatCod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numCache>
            </c:numRef>
          </c:cat>
          <c:val>
            <c:numRef>
              <c:f>'Economic result'!$D$147:$D$173</c:f>
              <c:numCache>
                <c:formatCode>0.00%</c:formatCode>
                <c:ptCount val="27"/>
                <c:pt idx="0">
                  <c:v>-6.3664264133957843E-2</c:v>
                </c:pt>
                <c:pt idx="1">
                  <c:v>-8.2948103451456354E-2</c:v>
                </c:pt>
                <c:pt idx="2">
                  <c:v>-8.2117470348233676E-2</c:v>
                </c:pt>
                <c:pt idx="3">
                  <c:v>-8.4876333297424458E-2</c:v>
                </c:pt>
                <c:pt idx="4">
                  <c:v>-8.2113694061877462E-2</c:v>
                </c:pt>
                <c:pt idx="5">
                  <c:v>-7.7556699807614232E-2</c:v>
                </c:pt>
                <c:pt idx="6">
                  <c:v>-7.974529971588494E-2</c:v>
                </c:pt>
                <c:pt idx="7">
                  <c:v>-8.0898665674575099E-2</c:v>
                </c:pt>
                <c:pt idx="8">
                  <c:v>-8.3711297756094552E-2</c:v>
                </c:pt>
                <c:pt idx="9">
                  <c:v>-8.4178067086400549E-2</c:v>
                </c:pt>
                <c:pt idx="10">
                  <c:v>-8.4691399218412886E-2</c:v>
                </c:pt>
                <c:pt idx="11">
                  <c:v>-8.5922486630167411E-2</c:v>
                </c:pt>
                <c:pt idx="12">
                  <c:v>-8.5568116096404495E-2</c:v>
                </c:pt>
                <c:pt idx="13">
                  <c:v>-8.4996181594447523E-2</c:v>
                </c:pt>
                <c:pt idx="14">
                  <c:v>-8.4296485102645896E-2</c:v>
                </c:pt>
                <c:pt idx="15">
                  <c:v>-8.3129079396285471E-2</c:v>
                </c:pt>
                <c:pt idx="16">
                  <c:v>-8.3047533998559173E-2</c:v>
                </c:pt>
                <c:pt idx="17">
                  <c:v>-8.2412481908438792E-2</c:v>
                </c:pt>
                <c:pt idx="18">
                  <c:v>-8.2257298199221729E-2</c:v>
                </c:pt>
                <c:pt idx="19">
                  <c:v>-8.1838867745157362E-2</c:v>
                </c:pt>
                <c:pt idx="20">
                  <c:v>-8.2469224683012585E-2</c:v>
                </c:pt>
                <c:pt idx="21">
                  <c:v>-8.2107324818218197E-2</c:v>
                </c:pt>
                <c:pt idx="22">
                  <c:v>-8.1685802550046205E-2</c:v>
                </c:pt>
                <c:pt idx="23">
                  <c:v>-8.1977838525657362E-2</c:v>
                </c:pt>
                <c:pt idx="24">
                  <c:v>-8.1459644762655353E-2</c:v>
                </c:pt>
                <c:pt idx="25">
                  <c:v>-8.2112480887854458E-2</c:v>
                </c:pt>
                <c:pt idx="26">
                  <c:v>-8.314909800444488E-2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13-4C3A-95DB-96027ACBD0A2}"/>
            </c:ext>
          </c:extLst>
        </c:ser>
        <c:ser>
          <c:idx val="2"/>
          <c:order val="2"/>
          <c:tx>
            <c:strRef>
              <c:f>'Economic result'!$E$146</c:f>
              <c:strCache>
                <c:ptCount val="1"/>
                <c:pt idx="0">
                  <c:v>Social security contributions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AR" sz="1000" b="0" strike="noStrike" spc="-1">
                    <a:latin typeface="Arial"/>
                  </a:defRPr>
                </a:pPr>
                <a:endParaRPr lang="es-E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'Economic result'!$B$147:$B$173</c:f>
              <c:numCache>
                <c:formatCode>General</c:formatCod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numCache>
            </c:numRef>
          </c:cat>
          <c:val>
            <c:numRef>
              <c:f>'Economic result'!$E$147:$E$173</c:f>
              <c:numCache>
                <c:formatCode>0.00%</c:formatCode>
                <c:ptCount val="27"/>
                <c:pt idx="0">
                  <c:v>5.3979759810055671E-2</c:v>
                </c:pt>
                <c:pt idx="1">
                  <c:v>6.0807714206926787E-2</c:v>
                </c:pt>
                <c:pt idx="2">
                  <c:v>6.1399295349079737E-2</c:v>
                </c:pt>
                <c:pt idx="3">
                  <c:v>6.3303796819399405E-2</c:v>
                </c:pt>
                <c:pt idx="4">
                  <c:v>5.905316957684812E-2</c:v>
                </c:pt>
                <c:pt idx="5">
                  <c:v>5.237224302658363E-2</c:v>
                </c:pt>
                <c:pt idx="6">
                  <c:v>5.4967721323652706E-2</c:v>
                </c:pt>
                <c:pt idx="7">
                  <c:v>5.7375923787994033E-2</c:v>
                </c:pt>
                <c:pt idx="8">
                  <c:v>6.0717867375346568E-2</c:v>
                </c:pt>
                <c:pt idx="9">
                  <c:v>6.1709955524008223E-2</c:v>
                </c:pt>
                <c:pt idx="10">
                  <c:v>6.2895174462130776E-2</c:v>
                </c:pt>
                <c:pt idx="11">
                  <c:v>6.3584266671634998E-2</c:v>
                </c:pt>
                <c:pt idx="12">
                  <c:v>6.3891463868500309E-2</c:v>
                </c:pt>
                <c:pt idx="13">
                  <c:v>6.3728668633427479E-2</c:v>
                </c:pt>
                <c:pt idx="14">
                  <c:v>6.3685155568447088E-2</c:v>
                </c:pt>
                <c:pt idx="15">
                  <c:v>6.3754055849993718E-2</c:v>
                </c:pt>
                <c:pt idx="16">
                  <c:v>6.4342798265061132E-2</c:v>
                </c:pt>
                <c:pt idx="17">
                  <c:v>6.4295660048444309E-2</c:v>
                </c:pt>
                <c:pt idx="18">
                  <c:v>6.4025659957509473E-2</c:v>
                </c:pt>
                <c:pt idx="19">
                  <c:v>6.4504984704729984E-2</c:v>
                </c:pt>
                <c:pt idx="20">
                  <c:v>6.5511403037663563E-2</c:v>
                </c:pt>
                <c:pt idx="21">
                  <c:v>6.4905979480428685E-2</c:v>
                </c:pt>
                <c:pt idx="22">
                  <c:v>6.4975797380969202E-2</c:v>
                </c:pt>
                <c:pt idx="23">
                  <c:v>6.5063893696521727E-2</c:v>
                </c:pt>
                <c:pt idx="24">
                  <c:v>6.5310871586007901E-2</c:v>
                </c:pt>
                <c:pt idx="25">
                  <c:v>6.5656431830573306E-2</c:v>
                </c:pt>
                <c:pt idx="26">
                  <c:v>6.6912487424277467E-2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813-4C3A-95DB-96027ACBD0A2}"/>
            </c:ext>
          </c:extLst>
        </c:ser>
        <c:ser>
          <c:idx val="3"/>
          <c:order val="3"/>
          <c:tx>
            <c:strRef>
              <c:f>'Economic result'!$F$146</c:f>
              <c:strCache>
                <c:ptCount val="1"/>
                <c:pt idx="0">
                  <c:v>Fiscal income net of non-simulated expenses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AR" sz="1000" b="0" strike="noStrike" spc="-1">
                    <a:latin typeface="Arial"/>
                  </a:defRPr>
                </a:pPr>
                <a:endParaRPr lang="es-E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'Economic result'!$B$147:$B$173</c:f>
              <c:numCache>
                <c:formatCode>General</c:formatCod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numCache>
            </c:numRef>
          </c:cat>
          <c:val>
            <c:numRef>
              <c:f>'Economic result'!$F$147:$F$173</c:f>
              <c:numCache>
                <c:formatCode>0.00%</c:formatCode>
                <c:ptCount val="27"/>
                <c:pt idx="0">
                  <c:v>2.085075838432748E-2</c:v>
                </c:pt>
                <c:pt idx="1">
                  <c:v>2.124176179086219E-2</c:v>
                </c:pt>
                <c:pt idx="2">
                  <c:v>1.3611458945414791E-2</c:v>
                </c:pt>
                <c:pt idx="3">
                  <c:v>1.1056458117371111E-2</c:v>
                </c:pt>
                <c:pt idx="4">
                  <c:v>1.5880266757964005E-2</c:v>
                </c:pt>
                <c:pt idx="5">
                  <c:v>1.1287959960670382E-2</c:v>
                </c:pt>
                <c:pt idx="6">
                  <c:v>1.4177527949391453E-2</c:v>
                </c:pt>
                <c:pt idx="7">
                  <c:v>1.4177527949391453E-2</c:v>
                </c:pt>
                <c:pt idx="8">
                  <c:v>1.4177527949391453E-2</c:v>
                </c:pt>
                <c:pt idx="9">
                  <c:v>1.4177527949391453E-2</c:v>
                </c:pt>
                <c:pt idx="10">
                  <c:v>1.4177527949391453E-2</c:v>
                </c:pt>
                <c:pt idx="11">
                  <c:v>1.4177527949391453E-2</c:v>
                </c:pt>
                <c:pt idx="12">
                  <c:v>1.4177527949391453E-2</c:v>
                </c:pt>
                <c:pt idx="13">
                  <c:v>1.4177527949391453E-2</c:v>
                </c:pt>
                <c:pt idx="14">
                  <c:v>1.4177527949391453E-2</c:v>
                </c:pt>
                <c:pt idx="15">
                  <c:v>1.4177527949391453E-2</c:v>
                </c:pt>
                <c:pt idx="16">
                  <c:v>1.4177527949391453E-2</c:v>
                </c:pt>
                <c:pt idx="17">
                  <c:v>1.4177527949391453E-2</c:v>
                </c:pt>
                <c:pt idx="18">
                  <c:v>1.4177527949391453E-2</c:v>
                </c:pt>
                <c:pt idx="19">
                  <c:v>1.4177527949391453E-2</c:v>
                </c:pt>
                <c:pt idx="20">
                  <c:v>1.4177527949391453E-2</c:v>
                </c:pt>
                <c:pt idx="21">
                  <c:v>1.4177527949391453E-2</c:v>
                </c:pt>
                <c:pt idx="22">
                  <c:v>1.4177527949391453E-2</c:v>
                </c:pt>
                <c:pt idx="23">
                  <c:v>1.4177527949391453E-2</c:v>
                </c:pt>
                <c:pt idx="24">
                  <c:v>1.4177527949391453E-2</c:v>
                </c:pt>
                <c:pt idx="25">
                  <c:v>1.4177527949391453E-2</c:v>
                </c:pt>
                <c:pt idx="26">
                  <c:v>1.4177527949391453E-2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813-4C3A-95DB-96027ACBD0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37015463"/>
        <c:axId val="12033425"/>
      </c:barChart>
      <c:lineChart>
        <c:grouping val="stacked"/>
        <c:varyColors val="0"/>
        <c:ser>
          <c:idx val="4"/>
          <c:order val="4"/>
          <c:tx>
            <c:strRef>
              <c:f>'Economic result'!$G$146</c:f>
              <c:strCache>
                <c:ptCount val="1"/>
                <c:pt idx="0">
                  <c:v>Economic result</c:v>
                </c:pt>
              </c:strCache>
            </c:strRef>
          </c:tx>
          <c:spPr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AR" sz="1000" b="0" strike="noStrike" spc="-1">
                    <a:latin typeface="Arial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'Economic result'!$B$147:$B$173</c:f>
              <c:numCache>
                <c:formatCode>General</c:formatCod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numCache>
            </c:numRef>
          </c:cat>
          <c:val>
            <c:numRef>
              <c:f>'Economic result'!$G$147:$G$173</c:f>
              <c:numCache>
                <c:formatCode>0.00%</c:formatCode>
                <c:ptCount val="27"/>
                <c:pt idx="0">
                  <c:v>1.1582536628149554E-3</c:v>
                </c:pt>
                <c:pt idx="1">
                  <c:v>-1.1632605873130761E-2</c:v>
                </c:pt>
                <c:pt idx="2">
                  <c:v>-1.9198276131218557E-2</c:v>
                </c:pt>
                <c:pt idx="3">
                  <c:v>-2.6057443821146588E-2</c:v>
                </c:pt>
                <c:pt idx="4">
                  <c:v>-2.1199779701978099E-2</c:v>
                </c:pt>
                <c:pt idx="5">
                  <c:v>-2.6598941199901582E-2</c:v>
                </c:pt>
                <c:pt idx="6">
                  <c:v>-2.1868745579902635E-2</c:v>
                </c:pt>
                <c:pt idx="7">
                  <c:v>-2.0256163444869354E-2</c:v>
                </c:pt>
                <c:pt idx="8">
                  <c:v>-2.002154736159123E-2</c:v>
                </c:pt>
                <c:pt idx="9">
                  <c:v>-1.9355293963660543E-2</c:v>
                </c:pt>
                <c:pt idx="10">
                  <c:v>-1.8332381313495641E-2</c:v>
                </c:pt>
                <c:pt idx="11">
                  <c:v>-1.8643633170570204E-2</c:v>
                </c:pt>
                <c:pt idx="12">
                  <c:v>-1.7526261589654597E-2</c:v>
                </c:pt>
                <c:pt idx="13">
                  <c:v>-1.658218920661865E-2</c:v>
                </c:pt>
                <c:pt idx="14">
                  <c:v>-1.5398576773500379E-2</c:v>
                </c:pt>
                <c:pt idx="15">
                  <c:v>-1.3664200355208886E-2</c:v>
                </c:pt>
                <c:pt idx="16">
                  <c:v>-1.2620006896266054E-2</c:v>
                </c:pt>
                <c:pt idx="17">
                  <c:v>-1.1560898411869599E-2</c:v>
                </c:pt>
                <c:pt idx="18">
                  <c:v>-1.1399460948159322E-2</c:v>
                </c:pt>
                <c:pt idx="19">
                  <c:v>-1.0095873946488552E-2</c:v>
                </c:pt>
                <c:pt idx="20">
                  <c:v>-9.5111840473462161E-3</c:v>
                </c:pt>
                <c:pt idx="21">
                  <c:v>-9.2963987024476738E-3</c:v>
                </c:pt>
                <c:pt idx="22">
                  <c:v>-8.398262778719327E-3</c:v>
                </c:pt>
                <c:pt idx="23">
                  <c:v>-8.5303916989996793E-3</c:v>
                </c:pt>
                <c:pt idx="24">
                  <c:v>-7.5486880966524573E-3</c:v>
                </c:pt>
                <c:pt idx="25">
                  <c:v>-7.5978786010725569E-3</c:v>
                </c:pt>
                <c:pt idx="26">
                  <c:v>-7.3086992307699909E-3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813-4C3A-95DB-96027ACBD0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37015463"/>
        <c:axId val="12033425"/>
      </c:lineChart>
      <c:catAx>
        <c:axId val="3701546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lang="es-AR" sz="1000" b="0" strike="noStrike" spc="-1">
                <a:latin typeface="Arial"/>
              </a:defRPr>
            </a:pPr>
            <a:endParaRPr lang="es-ES"/>
          </a:p>
        </c:txPr>
        <c:crossAx val="12033425"/>
        <c:crosses val="autoZero"/>
        <c:auto val="1"/>
        <c:lblAlgn val="ctr"/>
        <c:lblOffset val="100"/>
        <c:noMultiLvlLbl val="1"/>
      </c:catAx>
      <c:valAx>
        <c:axId val="1203342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lang="es-AR" sz="1000" b="0" strike="noStrike" spc="-1">
                <a:latin typeface="Arial"/>
              </a:defRPr>
            </a:pPr>
            <a:endParaRPr lang="es-ES"/>
          </a:p>
        </c:txPr>
        <c:crossAx val="37015463"/>
        <c:crossesAt val="1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lang="es-AR" sz="1000" b="0" strike="noStrike" spc="-1">
              <a:latin typeface="Arial"/>
            </a:defRPr>
          </a:pPr>
          <a:endParaRPr lang="es-ES"/>
        </a:p>
      </c:txPr>
    </c:legend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'Economic result'!$B$1</c:f>
              <c:strCache>
                <c:ptCount val="1"/>
                <c:pt idx="0">
                  <c:v>Historical values</c:v>
                </c:pt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AR" sz="1000" b="0" strike="noStrike" spc="-1">
                    <a:latin typeface="Arial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yVal>
            <c:numRef>
              <c:f>'Economic result'!$B$2:$B$50</c:f>
              <c:numCache>
                <c:formatCode>0.00%</c:formatCode>
                <c:ptCount val="49"/>
                <c:pt idx="1">
                  <c:v>-4.4606927546389302E-4</c:v>
                </c:pt>
                <c:pt idx="2">
                  <c:v>-1.3085329461061499E-2</c:v>
                </c:pt>
                <c:pt idx="3">
                  <c:v>-6.3793495975881902E-3</c:v>
                </c:pt>
                <c:pt idx="4">
                  <c:v>-5.2873047307913897E-3</c:v>
                </c:pt>
                <c:pt idx="5">
                  <c:v>-3.15594528811225E-3</c:v>
                </c:pt>
                <c:pt idx="6">
                  <c:v>-2.6600621239856099E-3</c:v>
                </c:pt>
                <c:pt idx="7">
                  <c:v>-7.7596880146275004E-3</c:v>
                </c:pt>
                <c:pt idx="8">
                  <c:v>-6.7385444537740799E-3</c:v>
                </c:pt>
                <c:pt idx="9">
                  <c:v>-1.0164928737260199E-2</c:v>
                </c:pt>
                <c:pt idx="10">
                  <c:v>-1.1439861798283499E-2</c:v>
                </c:pt>
                <c:pt idx="11">
                  <c:v>-4.9270739941502696E-3</c:v>
                </c:pt>
                <c:pt idx="12">
                  <c:v>3.82133245719463E-3</c:v>
                </c:pt>
                <c:pt idx="13">
                  <c:v>7.5776910275119798E-3</c:v>
                </c:pt>
                <c:pt idx="14">
                  <c:v>9.1779183173693706E-3</c:v>
                </c:pt>
                <c:pt idx="15">
                  <c:v>1.08470293692913E-2</c:v>
                </c:pt>
                <c:pt idx="16">
                  <c:v>4.7304740220958904E-3</c:v>
                </c:pt>
                <c:pt idx="17">
                  <c:v>3.4788465677864102E-3</c:v>
                </c:pt>
                <c:pt idx="18">
                  <c:v>4.11235591593429E-3</c:v>
                </c:pt>
                <c:pt idx="19">
                  <c:v>3.2630790588100899E-3</c:v>
                </c:pt>
                <c:pt idx="20">
                  <c:v>1.05161751029002E-3</c:v>
                </c:pt>
                <c:pt idx="21">
                  <c:v>-9.5166855816117605E-4</c:v>
                </c:pt>
                <c:pt idx="22">
                  <c:v>-1.2928637559684599E-3</c:v>
                </c:pt>
                <c:pt idx="23">
                  <c:v>-7.5073330617732104E-3</c:v>
                </c:pt>
                <c:pt idx="24">
                  <c:v>-2.0346799695848902E-2</c:v>
                </c:pt>
                <c:pt idx="25">
                  <c:v>-2.4104702008189639E-2</c:v>
                </c:pt>
                <c:pt idx="26">
                  <c:v>-1.8271797800212462E-2</c:v>
                </c:pt>
                <c:pt idx="27">
                  <c:v>-2.6190479056360311E-2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BC-438E-96B2-8845E7138504}"/>
            </c:ext>
          </c:extLst>
        </c:ser>
        <c:ser>
          <c:idx val="1"/>
          <c:order val="1"/>
          <c:tx>
            <c:strRef>
              <c:f>'Economic result'!$D$1</c:f>
              <c:strCache>
                <c:ptCount val="1"/>
                <c:pt idx="0">
                  <c:v>Central scenario, including universal pension and without coparticipation</c:v>
                </c:pt>
              </c:strCache>
            </c:strRef>
          </c:tx>
          <c:spPr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AR" sz="1000" b="0" strike="noStrike" spc="-1">
                    <a:latin typeface="Arial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yVal>
            <c:numRef>
              <c:f>'Economic result'!$D$2:$D$50</c:f>
              <c:numCache>
                <c:formatCode>General</c:formatCode>
                <c:ptCount val="49"/>
                <c:pt idx="24" formatCode="0.00%">
                  <c:v>-1.9198276131218564E-2</c:v>
                </c:pt>
                <c:pt idx="25" formatCode="0.00%">
                  <c:v>-2.6057443821146595E-2</c:v>
                </c:pt>
                <c:pt idx="26" formatCode="0.00%">
                  <c:v>-2.1199779701978103E-2</c:v>
                </c:pt>
                <c:pt idx="27" formatCode="0.00%">
                  <c:v>-2.6598941199901575E-2</c:v>
                </c:pt>
                <c:pt idx="28" formatCode="0.00%">
                  <c:v>-2.7868745579902654E-2</c:v>
                </c:pt>
                <c:pt idx="29" formatCode="0.00%">
                  <c:v>-2.6256163444869363E-2</c:v>
                </c:pt>
                <c:pt idx="30" formatCode="0.00%">
                  <c:v>-2.6021547361591242E-2</c:v>
                </c:pt>
                <c:pt idx="31" formatCode="0.00%">
                  <c:v>-2.5355293963660534E-2</c:v>
                </c:pt>
                <c:pt idx="32" formatCode="0.00%">
                  <c:v>-2.433238131349566E-2</c:v>
                </c:pt>
                <c:pt idx="33" formatCode="0.00%">
                  <c:v>-2.4643633170570209E-2</c:v>
                </c:pt>
                <c:pt idx="34" formatCode="0.00%">
                  <c:v>-2.3526261589654603E-2</c:v>
                </c:pt>
                <c:pt idx="35" formatCode="0.00%">
                  <c:v>-2.2582189206618648E-2</c:v>
                </c:pt>
                <c:pt idx="36" formatCode="0.00%">
                  <c:v>-2.1398576773500398E-2</c:v>
                </c:pt>
                <c:pt idx="37" formatCode="0.00%">
                  <c:v>-1.966420035520889E-2</c:v>
                </c:pt>
                <c:pt idx="38" formatCode="0.00%">
                  <c:v>-1.8620006896266035E-2</c:v>
                </c:pt>
                <c:pt idx="39" formatCode="0.00%">
                  <c:v>-1.7560898411869579E-2</c:v>
                </c:pt>
                <c:pt idx="40" formatCode="0.00%">
                  <c:v>-1.7399460948159313E-2</c:v>
                </c:pt>
                <c:pt idx="41" formatCode="0.00%">
                  <c:v>-1.6095873946488544E-2</c:v>
                </c:pt>
                <c:pt idx="42" formatCode="0.00%">
                  <c:v>-1.5511184047346227E-2</c:v>
                </c:pt>
                <c:pt idx="43" formatCode="0.00%">
                  <c:v>-1.5296398702447664E-2</c:v>
                </c:pt>
                <c:pt idx="44" formatCode="0.00%">
                  <c:v>-1.4398262778719332E-2</c:v>
                </c:pt>
                <c:pt idx="45" formatCode="0.00%">
                  <c:v>-1.4530391698999662E-2</c:v>
                </c:pt>
                <c:pt idx="46" formatCode="0.00%">
                  <c:v>-1.3548688096652472E-2</c:v>
                </c:pt>
                <c:pt idx="47" formatCode="0.00%">
                  <c:v>-1.3597878601072555E-2</c:v>
                </c:pt>
                <c:pt idx="48" formatCode="0.00%">
                  <c:v>-1.3308699230769981E-2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7BC-438E-96B2-8845E7138504}"/>
            </c:ext>
          </c:extLst>
        </c:ser>
        <c:ser>
          <c:idx val="2"/>
          <c:order val="2"/>
          <c:tx>
            <c:strRef>
              <c:f>'Economic result'!$F$1</c:f>
              <c:strCache>
                <c:ptCount val="1"/>
                <c:pt idx="0">
                  <c:v>Low scenario, including universal pension and without coparticipation</c:v>
                </c:pt>
              </c:strCache>
            </c:strRef>
          </c:tx>
          <c:spPr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AR" sz="1000" b="0" strike="noStrike" spc="-1">
                    <a:latin typeface="Arial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yVal>
            <c:numRef>
              <c:f>'Economic result'!$F$2:$F$50</c:f>
              <c:numCache>
                <c:formatCode>General</c:formatCode>
                <c:ptCount val="49"/>
                <c:pt idx="27" formatCode="0.00%">
                  <c:v>-2.6530017814313217E-2</c:v>
                </c:pt>
                <c:pt idx="28" formatCode="0.00%">
                  <c:v>-2.8304299796629191E-2</c:v>
                </c:pt>
                <c:pt idx="29" formatCode="0.00%">
                  <c:v>-2.8292514123481709E-2</c:v>
                </c:pt>
                <c:pt idx="30" formatCode="0.00%">
                  <c:v>-2.9462569778965594E-2</c:v>
                </c:pt>
                <c:pt idx="31" formatCode="0.00%">
                  <c:v>-2.9933641314668469E-2</c:v>
                </c:pt>
                <c:pt idx="32" formatCode="0.00%">
                  <c:v>-3.0983476103230316E-2</c:v>
                </c:pt>
                <c:pt idx="33" formatCode="0.00%">
                  <c:v>-3.2498585207100535E-2</c:v>
                </c:pt>
                <c:pt idx="34" formatCode="0.00%">
                  <c:v>-3.1471766177354817E-2</c:v>
                </c:pt>
                <c:pt idx="35" formatCode="0.00%">
                  <c:v>-3.0747821872313591E-2</c:v>
                </c:pt>
                <c:pt idx="36" formatCode="0.00%">
                  <c:v>-2.9596678499103822E-2</c:v>
                </c:pt>
                <c:pt idx="37" formatCode="0.00%">
                  <c:v>-2.9989325606055203E-2</c:v>
                </c:pt>
                <c:pt idx="38" formatCode="0.00%">
                  <c:v>-2.9317559685371905E-2</c:v>
                </c:pt>
                <c:pt idx="39" formatCode="0.00%">
                  <c:v>-2.9904105565133662E-2</c:v>
                </c:pt>
                <c:pt idx="40" formatCode="0.00%">
                  <c:v>-3.0783999992203138E-2</c:v>
                </c:pt>
                <c:pt idx="41" formatCode="0.00%">
                  <c:v>-3.0988280106159789E-2</c:v>
                </c:pt>
                <c:pt idx="42" formatCode="0.00%">
                  <c:v>-3.1669793024554506E-2</c:v>
                </c:pt>
                <c:pt idx="43" formatCode="0.00%">
                  <c:v>-3.2276759769388527E-2</c:v>
                </c:pt>
                <c:pt idx="44" formatCode="0.00%">
                  <c:v>-3.1792443405925193E-2</c:v>
                </c:pt>
                <c:pt idx="45" formatCode="0.00%">
                  <c:v>-3.2144142775742131E-2</c:v>
                </c:pt>
                <c:pt idx="46" formatCode="0.00%">
                  <c:v>-3.1918319882849315E-2</c:v>
                </c:pt>
                <c:pt idx="47" formatCode="0.00%">
                  <c:v>-3.2754371031244539E-2</c:v>
                </c:pt>
                <c:pt idx="48" formatCode="0.00%">
                  <c:v>-3.3710292944050139E-2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7BC-438E-96B2-8845E7138504}"/>
            </c:ext>
          </c:extLst>
        </c:ser>
        <c:ser>
          <c:idx val="3"/>
          <c:order val="3"/>
          <c:tx>
            <c:strRef>
              <c:f>'Economic result'!$H$1</c:f>
              <c:strCache>
                <c:ptCount val="1"/>
                <c:pt idx="0">
                  <c:v>High scenario, including universal pension and without coparticipation</c:v>
                </c:pt>
              </c:strCache>
            </c:strRef>
          </c:tx>
          <c:spPr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AR" sz="1000" b="0" strike="noStrike" spc="-1">
                    <a:latin typeface="Arial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yVal>
            <c:numRef>
              <c:f>'Economic result'!$H$2:$H$50</c:f>
              <c:numCache>
                <c:formatCode>General</c:formatCode>
                <c:ptCount val="49"/>
                <c:pt idx="27" formatCode="0.00%">
                  <c:v>-2.7134470981299078E-2</c:v>
                </c:pt>
                <c:pt idx="28" formatCode="0.00%">
                  <c:v>-2.5728413511191171E-2</c:v>
                </c:pt>
                <c:pt idx="29" formatCode="0.00%">
                  <c:v>-2.1520466022748798E-2</c:v>
                </c:pt>
                <c:pt idx="30" formatCode="0.00%">
                  <c:v>-2.1563149696798491E-2</c:v>
                </c:pt>
                <c:pt idx="31" formatCode="0.00%">
                  <c:v>-2.1178860552681276E-2</c:v>
                </c:pt>
                <c:pt idx="32" formatCode="0.00%">
                  <c:v>-1.9753399480355954E-2</c:v>
                </c:pt>
                <c:pt idx="33" formatCode="0.00%">
                  <c:v>-1.8088195795321331E-2</c:v>
                </c:pt>
                <c:pt idx="34" formatCode="0.00%">
                  <c:v>-1.6671542998474134E-2</c:v>
                </c:pt>
                <c:pt idx="35" formatCode="0.00%">
                  <c:v>-1.4448737733864193E-2</c:v>
                </c:pt>
                <c:pt idx="36" formatCode="0.00%">
                  <c:v>-1.262819995776506E-2</c:v>
                </c:pt>
                <c:pt idx="37" formatCode="0.00%">
                  <c:v>-1.0458996971438648E-2</c:v>
                </c:pt>
                <c:pt idx="38" formatCode="0.00%">
                  <c:v>-9.1852124837786941E-3</c:v>
                </c:pt>
                <c:pt idx="39" formatCode="0.00%">
                  <c:v>-7.0889648588394038E-3</c:v>
                </c:pt>
                <c:pt idx="40" formatCode="0.00%">
                  <c:v>-5.7776595459397961E-3</c:v>
                </c:pt>
                <c:pt idx="41" formatCode="0.00%">
                  <c:v>-4.7185493198740238E-3</c:v>
                </c:pt>
                <c:pt idx="42" formatCode="0.00%">
                  <c:v>-3.4565749445262615E-3</c:v>
                </c:pt>
                <c:pt idx="43" formatCode="0.00%">
                  <c:v>-1.813434349899128E-3</c:v>
                </c:pt>
                <c:pt idx="44" formatCode="0.00%">
                  <c:v>-6.2770647590882321E-4</c:v>
                </c:pt>
                <c:pt idx="45" formatCode="0.00%">
                  <c:v>4.2470583418721154E-4</c:v>
                </c:pt>
                <c:pt idx="46" formatCode="0.00%">
                  <c:v>1.4656956354793613E-3</c:v>
                </c:pt>
                <c:pt idx="47" formatCode="0.00%">
                  <c:v>1.9574069302546269E-3</c:v>
                </c:pt>
                <c:pt idx="48" formatCode="0.00%">
                  <c:v>2.7505737957876451E-3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7BC-438E-96B2-8845E71385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574523"/>
        <c:axId val="54794393"/>
      </c:scatterChart>
      <c:valAx>
        <c:axId val="71574523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lang="es-AR" sz="1000" b="0" strike="noStrike" spc="-1">
                <a:latin typeface="Arial"/>
              </a:defRPr>
            </a:pPr>
            <a:endParaRPr lang="es-ES"/>
          </a:p>
        </c:txPr>
        <c:crossAx val="54794393"/>
        <c:crosses val="autoZero"/>
        <c:crossBetween val="midCat"/>
      </c:valAx>
      <c:valAx>
        <c:axId val="5479439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lang="es-AR" sz="1000" b="0" strike="noStrike" spc="-1">
                <a:latin typeface="Arial"/>
              </a:defRPr>
            </a:pPr>
            <a:endParaRPr lang="es-ES"/>
          </a:p>
        </c:txPr>
        <c:crossAx val="71574523"/>
        <c:crosses val="autoZero"/>
        <c:crossBetween val="midCat"/>
      </c:valAx>
      <c:spPr>
        <a:solidFill>
          <a:srgbClr val="D9D9D9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lang="es-AR" sz="2000" b="0" strike="noStrike" spc="-1">
              <a:solidFill>
                <a:srgbClr val="000000"/>
              </a:solidFill>
              <a:latin typeface="Calibri"/>
            </a:defRPr>
          </a:pPr>
          <a:endParaRPr lang="es-ES"/>
        </a:p>
      </c:txPr>
    </c:legend>
    <c:plotVisOnly val="0"/>
    <c:dispBlanksAs val="span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wmf"/><Relationship Id="rId2" Type="http://schemas.openxmlformats.org/officeDocument/2006/relationships/image" Target="../media/image1.wmf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562320</xdr:colOff>
      <xdr:row>121</xdr:row>
      <xdr:rowOff>129600</xdr:rowOff>
    </xdr:from>
    <xdr:to>
      <xdr:col>9</xdr:col>
      <xdr:colOff>397800</xdr:colOff>
      <xdr:row>141</xdr:row>
      <xdr:rowOff>110160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1800</xdr:colOff>
      <xdr:row>122</xdr:row>
      <xdr:rowOff>1440</xdr:rowOff>
    </xdr:from>
    <xdr:to>
      <xdr:col>18</xdr:col>
      <xdr:colOff>347040</xdr:colOff>
      <xdr:row>141</xdr:row>
      <xdr:rowOff>144360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20</xdr:col>
      <xdr:colOff>360</xdr:colOff>
      <xdr:row>122</xdr:row>
      <xdr:rowOff>720</xdr:rowOff>
    </xdr:from>
    <xdr:to>
      <xdr:col>27</xdr:col>
      <xdr:colOff>66960</xdr:colOff>
      <xdr:row>141</xdr:row>
      <xdr:rowOff>143640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485775</xdr:colOff>
      <xdr:row>53</xdr:row>
      <xdr:rowOff>38100</xdr:rowOff>
    </xdr:to>
    <xdr:sp macro="" textlink="">
      <xdr:nvSpPr>
        <xdr:cNvPr id="2050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485775</xdr:colOff>
      <xdr:row>53</xdr:row>
      <xdr:rowOff>38100</xdr:rowOff>
    </xdr:to>
    <xdr:sp macro="" textlink="">
      <xdr:nvSpPr>
        <xdr:cNvPr id="2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288000</xdr:colOff>
      <xdr:row>0</xdr:row>
      <xdr:rowOff>55080</xdr:rowOff>
    </xdr:from>
    <xdr:to>
      <xdr:col>20</xdr:col>
      <xdr:colOff>547920</xdr:colOff>
      <xdr:row>35</xdr:row>
      <xdr:rowOff>57240</xdr:rowOff>
    </xdr:to>
    <xdr:graphicFrame macro="">
      <xdr:nvGraphicFramePr>
        <xdr:cNvPr id="3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78120</xdr:colOff>
      <xdr:row>0</xdr:row>
      <xdr:rowOff>336960</xdr:rowOff>
    </xdr:from>
    <xdr:to>
      <xdr:col>24</xdr:col>
      <xdr:colOff>695520</xdr:colOff>
      <xdr:row>36</xdr:row>
      <xdr:rowOff>157680</xdr:rowOff>
    </xdr:to>
    <xdr:graphicFrame macro="">
      <xdr:nvGraphicFramePr>
        <xdr:cNvPr id="4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9</xdr:col>
      <xdr:colOff>0</xdr:colOff>
      <xdr:row>72</xdr:row>
      <xdr:rowOff>0</xdr:rowOff>
    </xdr:from>
    <xdr:to>
      <xdr:col>21</xdr:col>
      <xdr:colOff>223560</xdr:colOff>
      <xdr:row>78</xdr:row>
      <xdr:rowOff>118800</xdr:rowOff>
    </xdr:to>
    <xdr:pic>
      <xdr:nvPicPr>
        <xdr:cNvPr id="5" name="Image 2"/>
        <xdr:cNvPicPr/>
      </xdr:nvPicPr>
      <xdr:blipFill>
        <a:blip xmlns:r="http://schemas.openxmlformats.org/officeDocument/2006/relationships" r:embed="rId2"/>
        <a:stretch/>
      </xdr:blipFill>
      <xdr:spPr>
        <a:xfrm>
          <a:off x="7297920" y="13698000"/>
          <a:ext cx="9954360" cy="12618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10</xdr:col>
      <xdr:colOff>322560</xdr:colOff>
      <xdr:row>39</xdr:row>
      <xdr:rowOff>134640</xdr:rowOff>
    </xdr:from>
    <xdr:to>
      <xdr:col>26</xdr:col>
      <xdr:colOff>402480</xdr:colOff>
      <xdr:row>69</xdr:row>
      <xdr:rowOff>166320</xdr:rowOff>
    </xdr:to>
    <xdr:pic>
      <xdr:nvPicPr>
        <xdr:cNvPr id="6" name="Image 1"/>
        <xdr:cNvPicPr/>
      </xdr:nvPicPr>
      <xdr:blipFill>
        <a:blip xmlns:r="http://schemas.openxmlformats.org/officeDocument/2006/relationships" r:embed="rId3"/>
        <a:stretch/>
      </xdr:blipFill>
      <xdr:spPr>
        <a:xfrm>
          <a:off x="8431200" y="7853400"/>
          <a:ext cx="13054320" cy="54396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1080</xdr:colOff>
      <xdr:row>2</xdr:row>
      <xdr:rowOff>15840</xdr:rowOff>
    </xdr:from>
    <xdr:to>
      <xdr:col>29</xdr:col>
      <xdr:colOff>618120</xdr:colOff>
      <xdr:row>40</xdr:row>
      <xdr:rowOff>128440</xdr:rowOff>
    </xdr:to>
    <xdr:graphicFrame macro="">
      <xdr:nvGraphicFramePr>
        <xdr:cNvPr id="7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360</xdr:colOff>
      <xdr:row>138</xdr:row>
      <xdr:rowOff>6840</xdr:rowOff>
    </xdr:from>
    <xdr:to>
      <xdr:col>15</xdr:col>
      <xdr:colOff>617040</xdr:colOff>
      <xdr:row>191</xdr:row>
      <xdr:rowOff>95400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32</xdr:col>
      <xdr:colOff>720</xdr:colOff>
      <xdr:row>2</xdr:row>
      <xdr:rowOff>20880</xdr:rowOff>
    </xdr:from>
    <xdr:to>
      <xdr:col>48</xdr:col>
      <xdr:colOff>617760</xdr:colOff>
      <xdr:row>40</xdr:row>
      <xdr:rowOff>133480</xdr:rowOff>
    </xdr:to>
    <xdr:graphicFrame macro="">
      <xdr:nvGraphicFramePr>
        <xdr:cNvPr id="9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323850</xdr:colOff>
      <xdr:row>54</xdr:row>
      <xdr:rowOff>9525</xdr:rowOff>
    </xdr:to>
    <xdr:sp macro="" textlink="">
      <xdr:nvSpPr>
        <xdr:cNvPr id="6148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323850</xdr:colOff>
      <xdr:row>54</xdr:row>
      <xdr:rowOff>9525</xdr:rowOff>
    </xdr:to>
    <xdr:sp macro="" textlink="">
      <xdr:nvSpPr>
        <xdr:cNvPr id="6146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323850</xdr:colOff>
      <xdr:row>54</xdr:row>
      <xdr:rowOff>9525</xdr:rowOff>
    </xdr:to>
    <xdr:sp macro="" textlink="">
      <xdr:nvSpPr>
        <xdr:cNvPr id="2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323850</xdr:colOff>
      <xdr:row>54</xdr:row>
      <xdr:rowOff>9525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457200</xdr:colOff>
      <xdr:row>54</xdr:row>
      <xdr:rowOff>38100</xdr:rowOff>
    </xdr:to>
    <xdr:sp macro="" textlink="">
      <xdr:nvSpPr>
        <xdr:cNvPr id="7172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457200</xdr:colOff>
      <xdr:row>54</xdr:row>
      <xdr:rowOff>38100</xdr:rowOff>
    </xdr:to>
    <xdr:sp macro="" textlink="">
      <xdr:nvSpPr>
        <xdr:cNvPr id="7170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457200</xdr:colOff>
      <xdr:row>54</xdr:row>
      <xdr:rowOff>38100</xdr:rowOff>
    </xdr:to>
    <xdr:sp macro="" textlink="">
      <xdr:nvSpPr>
        <xdr:cNvPr id="2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457200</xdr:colOff>
      <xdr:row>54</xdr:row>
      <xdr:rowOff>38100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76200</xdr:colOff>
      <xdr:row>55</xdr:row>
      <xdr:rowOff>142875</xdr:rowOff>
    </xdr:to>
    <xdr:sp macro="" textlink="">
      <xdr:nvSpPr>
        <xdr:cNvPr id="8196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76200</xdr:colOff>
      <xdr:row>55</xdr:row>
      <xdr:rowOff>142875</xdr:rowOff>
    </xdr:to>
    <xdr:sp macro="" textlink="">
      <xdr:nvSpPr>
        <xdr:cNvPr id="8194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76200</xdr:colOff>
      <xdr:row>55</xdr:row>
      <xdr:rowOff>142875</xdr:rowOff>
    </xdr:to>
    <xdr:sp macro="" textlink="">
      <xdr:nvSpPr>
        <xdr:cNvPr id="2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76200</xdr:colOff>
      <xdr:row>55</xdr:row>
      <xdr:rowOff>142875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8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W122"/>
  <sheetViews>
    <sheetView zoomScale="75" zoomScaleNormal="75" workbookViewId="0">
      <selection activeCell="W121" sqref="W121"/>
    </sheetView>
  </sheetViews>
  <sheetFormatPr baseColWidth="10" defaultColWidth="11.7109375" defaultRowHeight="12.75" x14ac:dyDescent="0.2"/>
  <cols>
    <col min="5" max="5" width="14.85546875" customWidth="1"/>
    <col min="11" max="11" width="13.140625" customWidth="1"/>
    <col min="16" max="16" width="19.28515625" customWidth="1"/>
  </cols>
  <sheetData>
    <row r="3" spans="2:19" x14ac:dyDescent="0.2">
      <c r="D3" t="s">
        <v>0</v>
      </c>
      <c r="K3" t="s">
        <v>1</v>
      </c>
      <c r="O3" t="s">
        <v>0</v>
      </c>
    </row>
    <row r="5" spans="2:19" x14ac:dyDescent="0.2">
      <c r="E5" s="1" t="s">
        <v>2</v>
      </c>
      <c r="F5" s="1"/>
      <c r="K5" s="1"/>
      <c r="P5" s="1" t="s">
        <v>2</v>
      </c>
      <c r="Q5" s="1"/>
    </row>
    <row r="6" spans="2:19" x14ac:dyDescent="0.2">
      <c r="E6" s="2"/>
      <c r="F6" s="2" t="s">
        <v>3</v>
      </c>
      <c r="G6" t="s">
        <v>4</v>
      </c>
      <c r="H6" s="3" t="s">
        <v>5</v>
      </c>
      <c r="K6" s="2"/>
      <c r="L6" s="2" t="s">
        <v>3</v>
      </c>
      <c r="P6" s="2"/>
      <c r="Q6" s="2" t="s">
        <v>3</v>
      </c>
      <c r="R6" t="s">
        <v>4</v>
      </c>
      <c r="S6" s="3" t="s">
        <v>5</v>
      </c>
    </row>
    <row r="7" spans="2:19" x14ac:dyDescent="0.2">
      <c r="D7" s="2">
        <v>2014</v>
      </c>
      <c r="E7" s="4">
        <f>'Central scenario'!AG3</f>
        <v>4896479257.5378141</v>
      </c>
      <c r="F7" s="4">
        <f t="shared" ref="F7:F38" si="0">E7/$B$14*100</f>
        <v>95.551796897113448</v>
      </c>
      <c r="K7" s="4">
        <f>'High scenario'!AG3</f>
        <v>4896479257.5378141</v>
      </c>
      <c r="L7" s="4">
        <f t="shared" ref="L7:L38" si="1">K7/$B$14*100</f>
        <v>95.551796897113448</v>
      </c>
      <c r="O7" s="2">
        <v>2014</v>
      </c>
      <c r="P7" s="4">
        <f>'Low scenario'!AG3</f>
        <v>4896479257.5378141</v>
      </c>
      <c r="Q7" s="4">
        <f t="shared" ref="Q7:Q38" si="2">P7/$B$14*100</f>
        <v>95.551796897113448</v>
      </c>
    </row>
    <row r="8" spans="2:19" x14ac:dyDescent="0.2">
      <c r="D8" s="2">
        <v>2014</v>
      </c>
      <c r="E8" s="4">
        <f>'Central scenario'!AG4</f>
        <v>5549601083.6833839</v>
      </c>
      <c r="F8" s="4">
        <f t="shared" si="0"/>
        <v>108.29706973470626</v>
      </c>
      <c r="K8" s="4">
        <f>'High scenario'!AG4</f>
        <v>5549601083.6833839</v>
      </c>
      <c r="L8" s="4">
        <f t="shared" si="1"/>
        <v>108.29706973470626</v>
      </c>
      <c r="O8" s="2">
        <v>2014</v>
      </c>
      <c r="P8" s="4">
        <f>'Low scenario'!AG4</f>
        <v>5549601083.6833839</v>
      </c>
      <c r="Q8" s="4">
        <f t="shared" si="2"/>
        <v>108.29706973470626</v>
      </c>
    </row>
    <row r="9" spans="2:19" x14ac:dyDescent="0.2">
      <c r="D9" s="2">
        <v>2014</v>
      </c>
      <c r="E9" s="4">
        <f>'Central scenario'!AG5</f>
        <v>5041051649.914485</v>
      </c>
      <c r="F9" s="4">
        <f t="shared" si="0"/>
        <v>98.373038680592757</v>
      </c>
      <c r="K9" s="4">
        <f>'High scenario'!AG5</f>
        <v>5041051649.914485</v>
      </c>
      <c r="L9" s="4">
        <f t="shared" si="1"/>
        <v>98.373038680592757</v>
      </c>
      <c r="O9" s="2">
        <v>2014</v>
      </c>
      <c r="P9" s="4">
        <f>'Low scenario'!AG5</f>
        <v>5041051649.914485</v>
      </c>
      <c r="Q9" s="4">
        <f t="shared" si="2"/>
        <v>98.373038680592757</v>
      </c>
    </row>
    <row r="10" spans="2:19" x14ac:dyDescent="0.2">
      <c r="D10" s="2">
        <v>2014</v>
      </c>
      <c r="E10" s="4">
        <f>'Central scenario'!AG6</f>
        <v>5010564196.8707304</v>
      </c>
      <c r="F10" s="4">
        <f t="shared" si="0"/>
        <v>97.778094687587469</v>
      </c>
      <c r="K10" s="4">
        <f>'High scenario'!AG6</f>
        <v>5010564196.8707304</v>
      </c>
      <c r="L10" s="4">
        <f t="shared" si="1"/>
        <v>97.778094687587469</v>
      </c>
      <c r="O10" s="2">
        <v>2014</v>
      </c>
      <c r="P10" s="4">
        <f>'Low scenario'!AG6</f>
        <v>5010564196.8707304</v>
      </c>
      <c r="Q10" s="4">
        <f t="shared" si="2"/>
        <v>97.778094687587469</v>
      </c>
    </row>
    <row r="11" spans="2:19" x14ac:dyDescent="0.2">
      <c r="D11" s="5">
        <v>2015</v>
      </c>
      <c r="E11" s="6">
        <f>'Central scenario'!AG14</f>
        <v>4908764962.1220083</v>
      </c>
      <c r="F11" s="6">
        <f t="shared" si="0"/>
        <v>95.79154490530928</v>
      </c>
      <c r="G11" s="7"/>
      <c r="K11" s="6">
        <f>'High scenario'!AG14</f>
        <v>4908764962.1220083</v>
      </c>
      <c r="L11" s="6">
        <f t="shared" si="1"/>
        <v>95.79154490530928</v>
      </c>
      <c r="M11" s="7"/>
      <c r="O11" s="5">
        <v>2015</v>
      </c>
      <c r="P11" s="8">
        <f>'Low scenario'!AG14</f>
        <v>4908764962.1220083</v>
      </c>
      <c r="Q11" s="6">
        <f t="shared" si="2"/>
        <v>95.79154490530928</v>
      </c>
      <c r="R11" s="7"/>
    </row>
    <row r="12" spans="2:19" x14ac:dyDescent="0.2">
      <c r="D12" s="7">
        <v>2015</v>
      </c>
      <c r="E12" s="9">
        <f>'Central scenario'!AG15</f>
        <v>5773307281.0336723</v>
      </c>
      <c r="F12" s="9">
        <f t="shared" si="0"/>
        <v>112.66255930579636</v>
      </c>
      <c r="G12" s="7"/>
      <c r="K12" s="9">
        <f>'High scenario'!AG15</f>
        <v>5773307281.0336723</v>
      </c>
      <c r="L12" s="9">
        <f t="shared" si="1"/>
        <v>112.66255930579636</v>
      </c>
      <c r="M12" s="7"/>
      <c r="O12" s="7">
        <v>2015</v>
      </c>
      <c r="P12" s="9">
        <f>'Low scenario'!AG15</f>
        <v>5773307281.0336723</v>
      </c>
      <c r="Q12" s="9">
        <f t="shared" si="2"/>
        <v>112.66255930579636</v>
      </c>
      <c r="R12" s="7"/>
    </row>
    <row r="13" spans="2:19" x14ac:dyDescent="0.2">
      <c r="D13" s="7">
        <v>2015</v>
      </c>
      <c r="E13" s="9">
        <f>'Central scenario'!AG16</f>
        <v>5240988327.4358244</v>
      </c>
      <c r="F13" s="9">
        <f t="shared" si="0"/>
        <v>102.27468061513028</v>
      </c>
      <c r="G13" s="10">
        <f>AVERAGE(E11:E14)/AVERAGE(E7:E10)-1</f>
        <v>2.7311598390646674E-2</v>
      </c>
      <c r="K13" s="9">
        <f>'High scenario'!AG16</f>
        <v>5240988327.4358244</v>
      </c>
      <c r="L13" s="9">
        <f t="shared" si="1"/>
        <v>102.27468061513028</v>
      </c>
      <c r="M13" s="10">
        <f>AVERAGE(K11:K14)/AVERAGE(K7:K10)-1</f>
        <v>2.7311598390646674E-2</v>
      </c>
      <c r="O13" s="7">
        <v>2015</v>
      </c>
      <c r="P13" s="9">
        <f>'Low scenario'!AG16</f>
        <v>5240988327.4358244</v>
      </c>
      <c r="Q13" s="9">
        <f t="shared" si="2"/>
        <v>102.27468061513028</v>
      </c>
      <c r="R13" s="10">
        <f>AVERAGE(P11:P14)/AVERAGE(P7:P10)-1</f>
        <v>2.7311598390646674E-2</v>
      </c>
    </row>
    <row r="14" spans="2:19" x14ac:dyDescent="0.2">
      <c r="B14">
        <f>AVERAGE(E7:E10)</f>
        <v>5124424047.0016041</v>
      </c>
      <c r="D14" s="7">
        <v>2015</v>
      </c>
      <c r="E14" s="9">
        <f>'Central scenario'!AG17</f>
        <v>5134460463.6352301</v>
      </c>
      <c r="F14" s="9">
        <f t="shared" si="0"/>
        <v>100.19585453002271</v>
      </c>
      <c r="G14" s="7"/>
      <c r="K14" s="9">
        <f>'High scenario'!AG17</f>
        <v>5134460463.6352301</v>
      </c>
      <c r="L14" s="9">
        <f t="shared" si="1"/>
        <v>100.19585453002271</v>
      </c>
      <c r="M14" s="7"/>
      <c r="O14" s="7">
        <v>2015</v>
      </c>
      <c r="P14" s="9">
        <f>'Low scenario'!AG17</f>
        <v>5134460463.6352301</v>
      </c>
      <c r="Q14" s="9">
        <f t="shared" si="2"/>
        <v>100.19585453002271</v>
      </c>
      <c r="R14" s="7"/>
    </row>
    <row r="15" spans="2:19" x14ac:dyDescent="0.2">
      <c r="D15" s="5">
        <f t="shared" ref="D15:D46" si="3">D11+1</f>
        <v>2016</v>
      </c>
      <c r="E15" s="6">
        <f>'Central scenario'!AG18</f>
        <v>4944534766.466361</v>
      </c>
      <c r="F15" s="6">
        <f t="shared" si="0"/>
        <v>96.489570752043846</v>
      </c>
      <c r="G15" s="7"/>
      <c r="H15" s="11">
        <f>'Central scenario'!BB18</f>
        <v>54.236515250880799</v>
      </c>
      <c r="K15" s="6">
        <f>'High scenario'!AG18</f>
        <v>4944534766.466361</v>
      </c>
      <c r="L15" s="6">
        <f t="shared" si="1"/>
        <v>96.489570752043846</v>
      </c>
      <c r="M15" s="7"/>
      <c r="O15" s="5">
        <f t="shared" ref="O15:O46" si="4">O11+1</f>
        <v>2016</v>
      </c>
      <c r="P15" s="6">
        <f>'Low scenario'!AG18</f>
        <v>4944534766.466361</v>
      </c>
      <c r="Q15" s="6">
        <f t="shared" si="2"/>
        <v>96.489570752043846</v>
      </c>
      <c r="R15" s="7"/>
      <c r="S15" s="11"/>
    </row>
    <row r="16" spans="2:19" x14ac:dyDescent="0.2">
      <c r="D16" s="7">
        <f t="shared" si="3"/>
        <v>2016</v>
      </c>
      <c r="E16" s="9">
        <f>'Central scenario'!AG19</f>
        <v>5550523456.0453796</v>
      </c>
      <c r="F16" s="9">
        <f t="shared" si="0"/>
        <v>108.31506926701537</v>
      </c>
      <c r="G16" s="7"/>
      <c r="H16" s="12">
        <f>'Central scenario'!BB19</f>
        <v>48.357197024301399</v>
      </c>
      <c r="K16" s="9">
        <f>'High scenario'!AG19</f>
        <v>5550523456.0453796</v>
      </c>
      <c r="L16" s="9">
        <f t="shared" si="1"/>
        <v>108.31506926701537</v>
      </c>
      <c r="M16" s="7"/>
      <c r="O16" s="7">
        <f t="shared" si="4"/>
        <v>2016</v>
      </c>
      <c r="P16" s="9">
        <f>'Low scenario'!AG19</f>
        <v>5550523456.0453796</v>
      </c>
      <c r="Q16" s="9">
        <f t="shared" si="2"/>
        <v>108.31506926701537</v>
      </c>
      <c r="R16" s="7"/>
      <c r="S16" s="12"/>
    </row>
    <row r="17" spans="4:19" x14ac:dyDescent="0.2">
      <c r="D17" s="7">
        <f t="shared" si="3"/>
        <v>2016</v>
      </c>
      <c r="E17" s="9">
        <f>'Central scenario'!AG20</f>
        <v>5066609175.7806692</v>
      </c>
      <c r="F17" s="9">
        <f t="shared" si="0"/>
        <v>98.871778161005949</v>
      </c>
      <c r="G17" s="10">
        <f>AVERAGE(E15:E18)/AVERAGE(E11:E14)-1</f>
        <v>-2.0803278492649069E-2</v>
      </c>
      <c r="H17" s="12">
        <f>'Central scenario'!BB20</f>
        <v>51.155923549896897</v>
      </c>
      <c r="K17" s="9">
        <f>'High scenario'!AG20</f>
        <v>5066609175.7806692</v>
      </c>
      <c r="L17" s="9">
        <f t="shared" si="1"/>
        <v>98.871778161005949</v>
      </c>
      <c r="M17" s="10">
        <f>AVERAGE(K15:K18)/AVERAGE(K11:K14)-1</f>
        <v>-2.0803278492649069E-2</v>
      </c>
      <c r="O17" s="7">
        <f t="shared" si="4"/>
        <v>2016</v>
      </c>
      <c r="P17" s="9">
        <f>'Low scenario'!AG20</f>
        <v>5066609175.7806692</v>
      </c>
      <c r="Q17" s="9">
        <f t="shared" si="2"/>
        <v>98.871778161005949</v>
      </c>
      <c r="R17" s="10">
        <f>AVERAGE(P15:P18)/AVERAGE(P11:P14)-1</f>
        <v>-2.0803278492649069E-2</v>
      </c>
      <c r="S17" s="12"/>
    </row>
    <row r="18" spans="4:19" x14ac:dyDescent="0.2">
      <c r="D18" s="7">
        <f t="shared" si="3"/>
        <v>2016</v>
      </c>
      <c r="E18" s="9">
        <f>'Central scenario'!AG21</f>
        <v>5057788161.4944935</v>
      </c>
      <c r="F18" s="9">
        <f t="shared" si="0"/>
        <v>98.699641464173908</v>
      </c>
      <c r="G18" s="7"/>
      <c r="H18" s="12">
        <f>'Central scenario'!BB21</f>
        <v>53.901815154490301</v>
      </c>
      <c r="K18" s="9">
        <f>'High scenario'!AG21</f>
        <v>5057788161.4944935</v>
      </c>
      <c r="L18" s="9">
        <f t="shared" si="1"/>
        <v>98.699641464173908</v>
      </c>
      <c r="M18" s="7"/>
      <c r="O18" s="7">
        <f t="shared" si="4"/>
        <v>2016</v>
      </c>
      <c r="P18" s="9">
        <f>'Low scenario'!AG21</f>
        <v>5057788161.4944935</v>
      </c>
      <c r="Q18" s="9">
        <f t="shared" si="2"/>
        <v>98.699641464173908</v>
      </c>
      <c r="R18" s="7"/>
      <c r="S18" s="12"/>
    </row>
    <row r="19" spans="4:19" x14ac:dyDescent="0.2">
      <c r="D19" s="5">
        <f t="shared" si="3"/>
        <v>2017</v>
      </c>
      <c r="E19" s="6">
        <f>'Central scenario'!AG22</f>
        <v>4959041644.8252344</v>
      </c>
      <c r="F19" s="6">
        <f t="shared" si="0"/>
        <v>96.772663607471401</v>
      </c>
      <c r="G19" s="7"/>
      <c r="H19" s="11">
        <f>'Central scenario'!BB22</f>
        <v>54.553642181864497</v>
      </c>
      <c r="K19" s="6">
        <f>'High scenario'!AG22</f>
        <v>4959041644.8252344</v>
      </c>
      <c r="L19" s="6">
        <f t="shared" si="1"/>
        <v>96.772663607471401</v>
      </c>
      <c r="M19" s="7"/>
      <c r="O19" s="5">
        <f t="shared" si="4"/>
        <v>2017</v>
      </c>
      <c r="P19" s="6">
        <f>'Low scenario'!AG22</f>
        <v>4959041644.8252344</v>
      </c>
      <c r="Q19" s="6">
        <f t="shared" si="2"/>
        <v>96.772663607471401</v>
      </c>
      <c r="R19" s="7"/>
      <c r="S19" s="11"/>
    </row>
    <row r="20" spans="4:19" x14ac:dyDescent="0.2">
      <c r="D20" s="7">
        <f t="shared" si="3"/>
        <v>2017</v>
      </c>
      <c r="E20" s="9">
        <f>'Central scenario'!AG23</f>
        <v>5665901320.8227959</v>
      </c>
      <c r="F20" s="9">
        <f t="shared" si="0"/>
        <v>110.56659770648803</v>
      </c>
      <c r="G20" s="7"/>
      <c r="H20" s="12">
        <f>'Central scenario'!BB23</f>
        <v>49.9198466641054</v>
      </c>
      <c r="K20" s="9">
        <f>'High scenario'!AG23</f>
        <v>5665901320.8227959</v>
      </c>
      <c r="L20" s="9">
        <f t="shared" si="1"/>
        <v>110.56659770648803</v>
      </c>
      <c r="M20" s="7"/>
      <c r="O20" s="7">
        <f t="shared" si="4"/>
        <v>2017</v>
      </c>
      <c r="P20" s="9">
        <f>'Low scenario'!AG23</f>
        <v>5665901320.8227959</v>
      </c>
      <c r="Q20" s="9">
        <f t="shared" si="2"/>
        <v>110.56659770648803</v>
      </c>
      <c r="R20" s="7"/>
      <c r="S20" s="12"/>
    </row>
    <row r="21" spans="4:19" x14ac:dyDescent="0.2">
      <c r="D21" s="7">
        <f t="shared" si="3"/>
        <v>2017</v>
      </c>
      <c r="E21" s="9">
        <f>'Central scenario'!AG24</f>
        <v>5260049751.4820948</v>
      </c>
      <c r="F21" s="9">
        <f t="shared" si="0"/>
        <v>102.64665264303893</v>
      </c>
      <c r="G21" s="10">
        <f>AVERAGE(E19:E22)/AVERAGE(E15:E18)-1</f>
        <v>2.6685903828072455E-2</v>
      </c>
      <c r="H21" s="12">
        <f>'Central scenario'!BB24</f>
        <v>50.646714140221597</v>
      </c>
      <c r="K21" s="9">
        <f>'High scenario'!AG24</f>
        <v>5260049751.4820948</v>
      </c>
      <c r="L21" s="9">
        <f t="shared" si="1"/>
        <v>102.64665264303893</v>
      </c>
      <c r="M21" s="10">
        <f>AVERAGE(K19:K22)/AVERAGE(K15:K18)-1</f>
        <v>2.6685903828072455E-2</v>
      </c>
      <c r="O21" s="7">
        <f t="shared" si="4"/>
        <v>2017</v>
      </c>
      <c r="P21" s="9">
        <f>'Low scenario'!AG24</f>
        <v>5260049751.4820948</v>
      </c>
      <c r="Q21" s="9">
        <f t="shared" si="2"/>
        <v>102.64665264303893</v>
      </c>
      <c r="R21" s="10">
        <f>AVERAGE(P19:P22)/AVERAGE(P15:P18)-1</f>
        <v>2.6685903828072455E-2</v>
      </c>
      <c r="S21" s="12"/>
    </row>
    <row r="22" spans="4:19" x14ac:dyDescent="0.2">
      <c r="D22" s="7">
        <f t="shared" si="3"/>
        <v>2017</v>
      </c>
      <c r="E22" s="9">
        <f>'Central scenario'!AG25</f>
        <v>5284711650.7124662</v>
      </c>
      <c r="F22" s="9">
        <f t="shared" si="0"/>
        <v>103.12791451762564</v>
      </c>
      <c r="G22" s="7"/>
      <c r="H22" s="12">
        <f>'Central scenario'!BB25</f>
        <v>52.575910775771497</v>
      </c>
      <c r="K22" s="9">
        <f>'High scenario'!AG25</f>
        <v>5284711650.7124662</v>
      </c>
      <c r="L22" s="9">
        <f t="shared" si="1"/>
        <v>103.12791451762564</v>
      </c>
      <c r="M22" s="7"/>
      <c r="O22" s="7">
        <f t="shared" si="4"/>
        <v>2017</v>
      </c>
      <c r="P22" s="9">
        <f>'Low scenario'!AG25</f>
        <v>5284711650.7124662</v>
      </c>
      <c r="Q22" s="9">
        <f t="shared" si="2"/>
        <v>103.12791451762564</v>
      </c>
      <c r="R22" s="7"/>
      <c r="S22" s="12"/>
    </row>
    <row r="23" spans="4:19" x14ac:dyDescent="0.2">
      <c r="D23" s="5">
        <f t="shared" si="3"/>
        <v>2018</v>
      </c>
      <c r="E23" s="6">
        <f>'Central scenario'!AG26</f>
        <v>5162809755.5819197</v>
      </c>
      <c r="F23" s="6">
        <f t="shared" si="0"/>
        <v>100.74907361741026</v>
      </c>
      <c r="G23" s="7"/>
      <c r="H23" s="11">
        <f>'Central scenario'!BB26</f>
        <v>51.315371544376099</v>
      </c>
      <c r="K23" s="6">
        <f>'High scenario'!AG26</f>
        <v>5162809755.5819197</v>
      </c>
      <c r="L23" s="6">
        <f t="shared" si="1"/>
        <v>100.74907361741026</v>
      </c>
      <c r="M23" s="7"/>
      <c r="O23" s="5">
        <f t="shared" si="4"/>
        <v>2018</v>
      </c>
      <c r="P23" s="6">
        <f>'Low scenario'!AG26</f>
        <v>5162809755.5819197</v>
      </c>
      <c r="Q23" s="6">
        <f t="shared" si="2"/>
        <v>100.74907361741026</v>
      </c>
      <c r="R23" s="7"/>
      <c r="S23" s="11"/>
    </row>
    <row r="24" spans="4:19" x14ac:dyDescent="0.2">
      <c r="D24" s="7">
        <f t="shared" si="3"/>
        <v>2018</v>
      </c>
      <c r="E24" s="9">
        <f>'Central scenario'!AG27</f>
        <v>5450235053.7402563</v>
      </c>
      <c r="F24" s="9">
        <f t="shared" si="0"/>
        <v>106.35800245550114</v>
      </c>
      <c r="G24" s="7"/>
      <c r="H24" s="12">
        <f>'Central scenario'!BB27</f>
        <v>46.429258173358598</v>
      </c>
      <c r="K24" s="9">
        <f>'High scenario'!AG27</f>
        <v>5450235053.7402563</v>
      </c>
      <c r="L24" s="9">
        <f t="shared" si="1"/>
        <v>106.35800245550114</v>
      </c>
      <c r="M24" s="7"/>
      <c r="O24" s="7">
        <f t="shared" si="4"/>
        <v>2018</v>
      </c>
      <c r="P24" s="9">
        <f>'Low scenario'!AG27</f>
        <v>5450235053.7402563</v>
      </c>
      <c r="Q24" s="9">
        <f t="shared" si="2"/>
        <v>106.35800245550114</v>
      </c>
      <c r="R24" s="7"/>
      <c r="S24" s="12"/>
    </row>
    <row r="25" spans="4:19" x14ac:dyDescent="0.2">
      <c r="D25" s="7">
        <f t="shared" si="3"/>
        <v>2018</v>
      </c>
      <c r="E25" s="9">
        <f>'Central scenario'!AG28</f>
        <v>5068039238.7415113</v>
      </c>
      <c r="F25" s="9">
        <f t="shared" si="0"/>
        <v>98.899684964731122</v>
      </c>
      <c r="G25" s="10">
        <f>AVERAGE(E23:E26)/AVERAGE(E19:E22)-1</f>
        <v>-2.4817924445603157E-2</v>
      </c>
      <c r="H25" s="12">
        <f>'Central scenario'!BB28</f>
        <v>45.537953064162501</v>
      </c>
      <c r="K25" s="9">
        <f>'High scenario'!AG28</f>
        <v>5068039238.7415113</v>
      </c>
      <c r="L25" s="9">
        <f t="shared" si="1"/>
        <v>98.899684964731122</v>
      </c>
      <c r="M25" s="10">
        <f>AVERAGE(K23:K26)/AVERAGE(K19:K22)-1</f>
        <v>-2.4817924445603157E-2</v>
      </c>
      <c r="O25" s="7">
        <f t="shared" si="4"/>
        <v>2018</v>
      </c>
      <c r="P25" s="9">
        <f>'Low scenario'!AG28</f>
        <v>5068039238.7415113</v>
      </c>
      <c r="Q25" s="9">
        <f t="shared" si="2"/>
        <v>98.899684964731122</v>
      </c>
      <c r="R25" s="10">
        <f>AVERAGE(P23:P26)/AVERAGE(P19:P22)-1</f>
        <v>-2.4817924445603157E-2</v>
      </c>
      <c r="S25" s="12"/>
    </row>
    <row r="26" spans="4:19" x14ac:dyDescent="0.2">
      <c r="D26" s="7">
        <f t="shared" si="3"/>
        <v>2018</v>
      </c>
      <c r="E26" s="9">
        <f>'Central scenario'!AG29</f>
        <v>4963232196.242033</v>
      </c>
      <c r="F26" s="9">
        <f t="shared" si="0"/>
        <v>96.854439654464443</v>
      </c>
      <c r="G26" s="7"/>
      <c r="H26" s="12">
        <f>'Central scenario'!BB29</f>
        <v>47.142882950167099</v>
      </c>
      <c r="K26" s="9">
        <f>'High scenario'!AG29</f>
        <v>4963232196.242033</v>
      </c>
      <c r="L26" s="9">
        <f t="shared" si="1"/>
        <v>96.854439654464443</v>
      </c>
      <c r="M26" s="7"/>
      <c r="O26" s="7">
        <f t="shared" si="4"/>
        <v>2018</v>
      </c>
      <c r="P26" s="9">
        <f>'Low scenario'!AG29</f>
        <v>4963232196.242033</v>
      </c>
      <c r="Q26" s="9">
        <f t="shared" si="2"/>
        <v>96.854439654464443</v>
      </c>
      <c r="R26" s="7"/>
      <c r="S26" s="12"/>
    </row>
    <row r="27" spans="4:19" x14ac:dyDescent="0.2">
      <c r="D27" s="5">
        <f t="shared" si="3"/>
        <v>2019</v>
      </c>
      <c r="E27" s="6">
        <f>'Central scenario'!AG30</f>
        <v>4861591469.2917519</v>
      </c>
      <c r="F27" s="6">
        <f t="shared" si="0"/>
        <v>94.87098305489296</v>
      </c>
      <c r="G27" s="7"/>
      <c r="H27" s="11">
        <f>'Central scenario'!BB30</f>
        <v>48.222214917215901</v>
      </c>
      <c r="K27" s="6">
        <f>'High scenario'!AG30</f>
        <v>4861591469.2917519</v>
      </c>
      <c r="L27" s="6">
        <f t="shared" si="1"/>
        <v>94.87098305489296</v>
      </c>
      <c r="M27" s="7"/>
      <c r="O27" s="5">
        <f t="shared" si="4"/>
        <v>2019</v>
      </c>
      <c r="P27" s="6">
        <f>'Low scenario'!AG30</f>
        <v>4861591469.2917519</v>
      </c>
      <c r="Q27" s="6">
        <f t="shared" si="2"/>
        <v>94.87098305489296</v>
      </c>
      <c r="R27" s="7"/>
      <c r="S27" s="11"/>
    </row>
    <row r="28" spans="4:19" x14ac:dyDescent="0.2">
      <c r="D28" s="7">
        <f t="shared" si="3"/>
        <v>2019</v>
      </c>
      <c r="E28" s="9">
        <f>'Central scenario'!AG31</f>
        <v>5485627117.5218229</v>
      </c>
      <c r="F28" s="9">
        <f t="shared" si="0"/>
        <v>107.04865692626599</v>
      </c>
      <c r="G28" s="7"/>
      <c r="H28" s="12">
        <f>'Central scenario'!BB31</f>
        <v>42.462046450139397</v>
      </c>
      <c r="K28" s="9">
        <f>'High scenario'!AG31</f>
        <v>5485627117.5218229</v>
      </c>
      <c r="L28" s="9">
        <f t="shared" si="1"/>
        <v>107.04865692626599</v>
      </c>
      <c r="M28" s="7"/>
      <c r="O28" s="7">
        <f t="shared" si="4"/>
        <v>2019</v>
      </c>
      <c r="P28" s="9">
        <f>'Low scenario'!AG31</f>
        <v>5485627117.5218229</v>
      </c>
      <c r="Q28" s="9">
        <f t="shared" si="2"/>
        <v>107.04865692626599</v>
      </c>
      <c r="R28" s="7"/>
      <c r="S28" s="12"/>
    </row>
    <row r="29" spans="4:19" x14ac:dyDescent="0.2">
      <c r="D29" s="7">
        <f t="shared" si="3"/>
        <v>2019</v>
      </c>
      <c r="E29" s="9">
        <f>'Central scenario'!AG32</f>
        <v>5069990023.3072987</v>
      </c>
      <c r="F29" s="9">
        <f t="shared" si="0"/>
        <v>98.9377533319836</v>
      </c>
      <c r="G29" s="10">
        <f>AVERAGE(E27:E30)/AVERAGE(E23:E26)-1</f>
        <v>-3.1000000000000028E-2</v>
      </c>
      <c r="H29" s="12">
        <f>'Central scenario'!BB32</f>
        <v>44.657869316322348</v>
      </c>
      <c r="K29" s="9">
        <f>'High scenario'!AG32</f>
        <v>5069990023.3072987</v>
      </c>
      <c r="L29" s="9">
        <f t="shared" si="1"/>
        <v>98.9377533319836</v>
      </c>
      <c r="M29" s="10">
        <f>AVERAGE(K27:K30)/AVERAGE(K23:K26)-1</f>
        <v>-3.1000000000000028E-2</v>
      </c>
      <c r="O29" s="7">
        <f t="shared" si="4"/>
        <v>2019</v>
      </c>
      <c r="P29" s="9">
        <f>'Low scenario'!AG32</f>
        <v>5069990023.3072987</v>
      </c>
      <c r="Q29" s="9">
        <f t="shared" si="2"/>
        <v>98.9377533319836</v>
      </c>
      <c r="R29" s="10">
        <f>AVERAGE(P27:P30)/AVERAGE(P23:P26)-1</f>
        <v>-3.1000000000000028E-2</v>
      </c>
      <c r="S29" s="12"/>
    </row>
    <row r="30" spans="4:19" x14ac:dyDescent="0.2">
      <c r="D30" s="7">
        <f t="shared" si="3"/>
        <v>2019</v>
      </c>
      <c r="E30" s="9">
        <f>'Central scenario'!AG33</f>
        <v>4587133830.6113644</v>
      </c>
      <c r="F30" s="9">
        <f t="shared" si="0"/>
        <v>89.515110157508957</v>
      </c>
      <c r="G30" s="7"/>
      <c r="H30" s="12">
        <f>'Central scenario'!BB33</f>
        <v>44.657869316322348</v>
      </c>
      <c r="K30" s="9">
        <f>'High scenario'!AG33</f>
        <v>4587133830.6113644</v>
      </c>
      <c r="L30" s="9">
        <f t="shared" si="1"/>
        <v>89.515110157508957</v>
      </c>
      <c r="M30" s="7"/>
      <c r="O30" s="7">
        <f t="shared" si="4"/>
        <v>2019</v>
      </c>
      <c r="P30" s="9">
        <f>'Low scenario'!AG33</f>
        <v>4587133830.6113644</v>
      </c>
      <c r="Q30" s="9">
        <f t="shared" si="2"/>
        <v>89.515110157508957</v>
      </c>
      <c r="R30" s="7"/>
      <c r="S30" s="12"/>
    </row>
    <row r="31" spans="4:19" x14ac:dyDescent="0.2">
      <c r="D31" s="5">
        <f t="shared" si="3"/>
        <v>2020</v>
      </c>
      <c r="E31" s="6">
        <f>'Central scenario'!AG34</f>
        <v>4751031329.6739063</v>
      </c>
      <c r="F31" s="6">
        <f t="shared" si="0"/>
        <v>92.713469574279728</v>
      </c>
      <c r="G31" s="7"/>
      <c r="H31" s="11">
        <f>'Central scenario'!BB34</f>
        <v>45.243401987241761</v>
      </c>
      <c r="K31" s="6">
        <f>'High scenario'!AG34</f>
        <v>4751031329.6739063</v>
      </c>
      <c r="L31" s="6">
        <f t="shared" si="1"/>
        <v>92.713469574279728</v>
      </c>
      <c r="M31" s="7"/>
      <c r="O31" s="5">
        <f t="shared" si="4"/>
        <v>2020</v>
      </c>
      <c r="P31" s="6">
        <f>'Low scenario'!AG34</f>
        <v>4751031329.6739063</v>
      </c>
      <c r="Q31" s="6">
        <f t="shared" si="2"/>
        <v>92.713469574279728</v>
      </c>
      <c r="R31" s="7"/>
      <c r="S31" s="11"/>
    </row>
    <row r="32" spans="4:19" x14ac:dyDescent="0.2">
      <c r="D32" s="7">
        <f t="shared" si="3"/>
        <v>2020</v>
      </c>
      <c r="E32" s="9">
        <f>'Central scenario'!AG35</f>
        <v>4876058469.928483</v>
      </c>
      <c r="F32" s="9">
        <f t="shared" si="0"/>
        <v>95.15329772097131</v>
      </c>
      <c r="G32" s="7"/>
      <c r="H32" s="12">
        <f>'Central scenario'!BB35</f>
        <v>45.828934658161174</v>
      </c>
      <c r="K32" s="9">
        <f>'High scenario'!AG35</f>
        <v>4876058469.928483</v>
      </c>
      <c r="L32" s="9">
        <f t="shared" si="1"/>
        <v>95.15329772097131</v>
      </c>
      <c r="M32" s="7"/>
      <c r="O32" s="7">
        <f t="shared" si="4"/>
        <v>2020</v>
      </c>
      <c r="P32" s="9">
        <f>'Low scenario'!AG35</f>
        <v>4876058469.928483</v>
      </c>
      <c r="Q32" s="9">
        <f t="shared" si="2"/>
        <v>95.15329772097131</v>
      </c>
      <c r="R32" s="7"/>
      <c r="S32" s="12"/>
    </row>
    <row r="33" spans="4:19" x14ac:dyDescent="0.2">
      <c r="D33" s="7">
        <f t="shared" si="3"/>
        <v>2020</v>
      </c>
      <c r="E33" s="9">
        <f>'Central scenario'!AG36</f>
        <v>5126112750.4376354</v>
      </c>
      <c r="F33" s="9">
        <f t="shared" si="0"/>
        <v>100.03295401435443</v>
      </c>
      <c r="G33" s="10">
        <f>AVERAGE(E31:E34)/AVERAGE(E27:E30)-1</f>
        <v>0</v>
      </c>
      <c r="H33" s="12">
        <f>'Central scenario'!BB36</f>
        <v>46.414467329080587</v>
      </c>
      <c r="K33" s="9">
        <f>'High scenario'!AG36</f>
        <v>5126112750.4376354</v>
      </c>
      <c r="L33" s="9">
        <f t="shared" si="1"/>
        <v>100.03295401435443</v>
      </c>
      <c r="M33" s="10">
        <f>AVERAGE(K31:K34)/AVERAGE(K27:K30)-1</f>
        <v>0</v>
      </c>
      <c r="O33" s="7">
        <f t="shared" si="4"/>
        <v>2020</v>
      </c>
      <c r="P33" s="9">
        <f>'Low scenario'!AG36</f>
        <v>5126112750.4376354</v>
      </c>
      <c r="Q33" s="9">
        <f t="shared" si="2"/>
        <v>100.03295401435443</v>
      </c>
      <c r="R33" s="10">
        <f>AVERAGE(P31:P34)/AVERAGE(P27:P30)-1</f>
        <v>0</v>
      </c>
      <c r="S33" s="12"/>
    </row>
    <row r="34" spans="4:19" x14ac:dyDescent="0.2">
      <c r="D34" s="7">
        <f t="shared" si="3"/>
        <v>2020</v>
      </c>
      <c r="E34" s="9">
        <f>'Central scenario'!AG37</f>
        <v>5251139890.6922131</v>
      </c>
      <c r="F34" s="9">
        <f t="shared" si="0"/>
        <v>102.47278216104603</v>
      </c>
      <c r="G34" s="7"/>
      <c r="H34" s="12">
        <f>'Central scenario'!BB37</f>
        <v>47</v>
      </c>
      <c r="K34" s="9">
        <f>'High scenario'!AG37</f>
        <v>5251139890.6922131</v>
      </c>
      <c r="L34" s="9">
        <f t="shared" si="1"/>
        <v>102.47278216104603</v>
      </c>
      <c r="M34" s="7"/>
      <c r="O34" s="7">
        <f t="shared" si="4"/>
        <v>2020</v>
      </c>
      <c r="P34" s="9">
        <f>'Low scenario'!AG37</f>
        <v>5251139890.6922131</v>
      </c>
      <c r="Q34" s="9">
        <f t="shared" si="2"/>
        <v>102.47278216104603</v>
      </c>
      <c r="R34" s="7"/>
      <c r="S34" s="12"/>
    </row>
    <row r="35" spans="4:19" x14ac:dyDescent="0.2">
      <c r="D35" s="5">
        <f t="shared" si="3"/>
        <v>2021</v>
      </c>
      <c r="E35" s="6">
        <f>'Central scenario'!AG38</f>
        <v>5230375545.8432121</v>
      </c>
      <c r="F35" s="6">
        <f t="shared" si="0"/>
        <v>102.06757867557042</v>
      </c>
      <c r="G35" s="7"/>
      <c r="H35" s="11">
        <f>'Central scenario'!BB38</f>
        <v>48</v>
      </c>
      <c r="K35" s="6">
        <f>'High scenario'!AG38</f>
        <v>5255899018.726841</v>
      </c>
      <c r="L35" s="6">
        <f t="shared" si="1"/>
        <v>102.56565363286367</v>
      </c>
      <c r="M35" s="7"/>
      <c r="O35" s="5">
        <f t="shared" si="4"/>
        <v>2021</v>
      </c>
      <c r="P35" s="6">
        <f>'Low scenario'!AG38</f>
        <v>5222991657.6309967</v>
      </c>
      <c r="Q35" s="6">
        <f t="shared" si="2"/>
        <v>101.92348661479463</v>
      </c>
      <c r="R35" s="7"/>
      <c r="S35" s="11"/>
    </row>
    <row r="36" spans="4:19" x14ac:dyDescent="0.2">
      <c r="D36" s="7">
        <f t="shared" si="3"/>
        <v>2021</v>
      </c>
      <c r="E36" s="9">
        <f>'Central scenario'!AG39</f>
        <v>5165910920.692009</v>
      </c>
      <c r="F36" s="9">
        <f t="shared" si="0"/>
        <v>100.80959095714725</v>
      </c>
      <c r="G36" s="7"/>
      <c r="H36" s="12">
        <f>'Central scenario'!BB39</f>
        <v>49</v>
      </c>
      <c r="K36" s="9">
        <f>'High scenario'!AG39</f>
        <v>5257187789.5552292</v>
      </c>
      <c r="L36" s="9">
        <f t="shared" si="1"/>
        <v>102.59080320707082</v>
      </c>
      <c r="M36" s="7"/>
      <c r="O36" s="7">
        <f t="shared" si="4"/>
        <v>2021</v>
      </c>
      <c r="P36" s="9">
        <f>'Low scenario'!AG39</f>
        <v>5159995107.4401398</v>
      </c>
      <c r="Q36" s="9">
        <f t="shared" si="2"/>
        <v>100.69414748101006</v>
      </c>
      <c r="R36" s="7"/>
      <c r="S36" s="12"/>
    </row>
    <row r="37" spans="4:19" x14ac:dyDescent="0.2">
      <c r="D37" s="7">
        <f t="shared" si="3"/>
        <v>2021</v>
      </c>
      <c r="E37" s="9">
        <f>'Central scenario'!AG40</f>
        <v>5158692836.0709238</v>
      </c>
      <c r="F37" s="9">
        <f t="shared" si="0"/>
        <v>100.66873445200872</v>
      </c>
      <c r="G37" s="10">
        <f>AVERAGE(E35:E38)/AVERAGE(E31:E34)-1</f>
        <v>3.6035907023620029E-2</v>
      </c>
      <c r="H37" s="12">
        <f>'Central scenario'!BB40</f>
        <v>50</v>
      </c>
      <c r="K37" s="9">
        <f>'High scenario'!AG40</f>
        <v>5256548380.3336258</v>
      </c>
      <c r="L37" s="9">
        <f t="shared" si="1"/>
        <v>102.57832552732107</v>
      </c>
      <c r="M37" s="10">
        <f>AVERAGE(K35:K38)/AVERAGE(K31:K34)-1</f>
        <v>5.1511619932926855E-2</v>
      </c>
      <c r="O37" s="7">
        <f t="shared" si="4"/>
        <v>2021</v>
      </c>
      <c r="P37" s="9">
        <f>'Low scenario'!AG40</f>
        <v>5131124853.4027328</v>
      </c>
      <c r="Q37" s="9">
        <f t="shared" si="2"/>
        <v>100.13076213716249</v>
      </c>
      <c r="R37" s="10">
        <f>AVERAGE(P35:P38)/AVERAGE(P31:P34)-1</f>
        <v>3.116280841773067E-2</v>
      </c>
      <c r="S37" s="12"/>
    </row>
    <row r="38" spans="4:19" x14ac:dyDescent="0.2">
      <c r="D38" s="7">
        <f t="shared" si="3"/>
        <v>2021</v>
      </c>
      <c r="E38" s="9">
        <f>'Central scenario'!AG41</f>
        <v>5170237762.388978</v>
      </c>
      <c r="F38" s="9">
        <f t="shared" si="0"/>
        <v>100.89402662557131</v>
      </c>
      <c r="G38" s="7"/>
      <c r="H38" s="12">
        <f>'Central scenario'!BB41</f>
        <v>51</v>
      </c>
      <c r="K38" s="9">
        <f>'High scenario'!AG41</f>
        <v>5265163336.9316587</v>
      </c>
      <c r="L38" s="9">
        <f t="shared" si="1"/>
        <v>102.74644113444131</v>
      </c>
      <c r="M38" s="7"/>
      <c r="O38" s="7">
        <f t="shared" si="4"/>
        <v>2021</v>
      </c>
      <c r="P38" s="9">
        <f>'Low scenario'!AG41</f>
        <v>5113622313.2615871</v>
      </c>
      <c r="Q38" s="9">
        <f t="shared" si="2"/>
        <v>99.789210774890165</v>
      </c>
      <c r="R38" s="7"/>
      <c r="S38" s="12"/>
    </row>
    <row r="39" spans="4:19" x14ac:dyDescent="0.2">
      <c r="D39" s="5">
        <f t="shared" si="3"/>
        <v>2022</v>
      </c>
      <c r="E39" s="6">
        <f>'Central scenario'!AG42</f>
        <v>5182683753.9924898</v>
      </c>
      <c r="F39" s="6">
        <f t="shared" ref="F39:F70" si="5">E39/$B$14*100</f>
        <v>101.1369025368807</v>
      </c>
      <c r="G39" s="7"/>
      <c r="H39" s="11">
        <f>'Central scenario'!BB42</f>
        <v>51.125</v>
      </c>
      <c r="K39" s="6">
        <f>'High scenario'!AG42</f>
        <v>5313376172.7355909</v>
      </c>
      <c r="L39" s="6">
        <f t="shared" ref="L39:L70" si="6">K39/$B$14*100</f>
        <v>103.68728512708753</v>
      </c>
      <c r="M39" s="7"/>
      <c r="O39" s="5">
        <f t="shared" si="4"/>
        <v>2022</v>
      </c>
      <c r="P39" s="6">
        <f>'Low scenario'!AG42</f>
        <v>5145368395.8546095</v>
      </c>
      <c r="Q39" s="6">
        <f t="shared" ref="Q39:Q70" si="7">P39/$B$14*100</f>
        <v>100.40871615348188</v>
      </c>
      <c r="R39" s="7"/>
      <c r="S39" s="11"/>
    </row>
    <row r="40" spans="4:19" x14ac:dyDescent="0.2">
      <c r="D40" s="7">
        <f t="shared" si="3"/>
        <v>2022</v>
      </c>
      <c r="E40" s="9">
        <f>'Central scenario'!AG43</f>
        <v>5212055943.4159765</v>
      </c>
      <c r="F40" s="9">
        <f t="shared" si="5"/>
        <v>101.71008284268839</v>
      </c>
      <c r="G40" s="7"/>
      <c r="H40" s="12">
        <f>'Central scenario'!BB43</f>
        <v>51.25</v>
      </c>
      <c r="K40" s="9">
        <f>'High scenario'!AG43</f>
        <v>5396229937.2709522</v>
      </c>
      <c r="L40" s="9">
        <f t="shared" si="6"/>
        <v>105.30412564956227</v>
      </c>
      <c r="M40" s="7"/>
      <c r="O40" s="7">
        <f t="shared" si="4"/>
        <v>2022</v>
      </c>
      <c r="P40" s="9">
        <f>'Low scenario'!AG43</f>
        <v>5173670682.791151</v>
      </c>
      <c r="Q40" s="9">
        <f t="shared" si="7"/>
        <v>100.96101796685547</v>
      </c>
      <c r="R40" s="7"/>
      <c r="S40" s="12"/>
    </row>
    <row r="41" spans="4:19" x14ac:dyDescent="0.2">
      <c r="D41" s="7">
        <f t="shared" si="3"/>
        <v>2022</v>
      </c>
      <c r="E41" s="9">
        <f>'Central scenario'!AG44</f>
        <v>5270247001.0214491</v>
      </c>
      <c r="F41" s="9">
        <f t="shared" si="5"/>
        <v>102.84564572881452</v>
      </c>
      <c r="G41" s="10">
        <f>AVERAGE(E39:E42)/AVERAGE(E35:E38)-1</f>
        <v>1.1748643981432938E-2</v>
      </c>
      <c r="H41" s="12">
        <f>'Central scenario'!BB44</f>
        <v>51.375</v>
      </c>
      <c r="K41" s="9">
        <f>'High scenario'!AG44</f>
        <v>5457609849.8590307</v>
      </c>
      <c r="L41" s="9">
        <f t="shared" si="6"/>
        <v>106.50191708963625</v>
      </c>
      <c r="M41" s="10">
        <f>AVERAGE(K39:K42)/AVERAGE(K35:K38)-1</f>
        <v>3.2004155474480989E-2</v>
      </c>
      <c r="O41" s="7">
        <f t="shared" si="4"/>
        <v>2022</v>
      </c>
      <c r="P41" s="9">
        <f>'Low scenario'!AG44</f>
        <v>5227606434.3062096</v>
      </c>
      <c r="Q41" s="9">
        <f t="shared" si="7"/>
        <v>102.0135411581518</v>
      </c>
      <c r="R41" s="10">
        <f>AVERAGE(P39:P42)/AVERAGE(P35:P38)-1</f>
        <v>8.0212316701462338E-3</v>
      </c>
      <c r="S41" s="12"/>
    </row>
    <row r="42" spans="4:19" x14ac:dyDescent="0.2">
      <c r="D42" s="7">
        <f t="shared" si="3"/>
        <v>2022</v>
      </c>
      <c r="E42" s="9">
        <f>'Central scenario'!AG45</f>
        <v>5303723563.2997494</v>
      </c>
      <c r="F42" s="9">
        <f t="shared" si="5"/>
        <v>103.49892035970475</v>
      </c>
      <c r="G42" s="7"/>
      <c r="H42" s="12">
        <f>'Central scenario'!BB45</f>
        <v>51.5</v>
      </c>
      <c r="K42" s="9">
        <f>'High scenario'!AG45</f>
        <v>5540783528.0677824</v>
      </c>
      <c r="L42" s="9">
        <f t="shared" si="6"/>
        <v>108.12500053171435</v>
      </c>
      <c r="M42" s="7"/>
      <c r="O42" s="7">
        <f t="shared" si="4"/>
        <v>2022</v>
      </c>
      <c r="P42" s="9">
        <f>'Low scenario'!AG45</f>
        <v>5246548251.4800777</v>
      </c>
      <c r="Q42" s="9">
        <f t="shared" si="7"/>
        <v>102.38317913112462</v>
      </c>
      <c r="R42" s="7"/>
      <c r="S42" s="12"/>
    </row>
    <row r="43" spans="4:19" x14ac:dyDescent="0.2">
      <c r="D43" s="5">
        <f t="shared" si="3"/>
        <v>2023</v>
      </c>
      <c r="E43" s="6">
        <f>'Central scenario'!AG46</f>
        <v>5367543385.6537476</v>
      </c>
      <c r="F43" s="6">
        <f t="shared" si="5"/>
        <v>104.74432514605026</v>
      </c>
      <c r="G43" s="7"/>
      <c r="H43" s="11">
        <f>'Central scenario'!BB46</f>
        <v>51.625</v>
      </c>
      <c r="K43" s="6">
        <f>'High scenario'!AG46</f>
        <v>5612446585.3421831</v>
      </c>
      <c r="L43" s="6">
        <f t="shared" si="6"/>
        <v>109.52346124880377</v>
      </c>
      <c r="M43" s="7"/>
      <c r="O43" s="5">
        <f t="shared" si="4"/>
        <v>2023</v>
      </c>
      <c r="P43" s="6">
        <f>'Low scenario'!AG46</f>
        <v>5258793566.2238102</v>
      </c>
      <c r="Q43" s="6">
        <f t="shared" si="7"/>
        <v>102.62213895629554</v>
      </c>
      <c r="R43" s="7"/>
      <c r="S43" s="11"/>
    </row>
    <row r="44" spans="4:19" x14ac:dyDescent="0.2">
      <c r="D44" s="7">
        <f t="shared" si="3"/>
        <v>2023</v>
      </c>
      <c r="E44" s="9">
        <f>'Central scenario'!AG47</f>
        <v>5401415244.7296429</v>
      </c>
      <c r="F44" s="9">
        <f t="shared" si="5"/>
        <v>105.40531375209106</v>
      </c>
      <c r="G44" s="7"/>
      <c r="H44" s="12">
        <f>'Central scenario'!BB47</f>
        <v>51.75</v>
      </c>
      <c r="K44" s="9">
        <f>'High scenario'!AG47</f>
        <v>5650269766.6735735</v>
      </c>
      <c r="L44" s="9">
        <f t="shared" si="6"/>
        <v>110.26155749112236</v>
      </c>
      <c r="M44" s="7"/>
      <c r="O44" s="7">
        <f t="shared" si="4"/>
        <v>2023</v>
      </c>
      <c r="P44" s="9">
        <f>'Low scenario'!AG47</f>
        <v>5220444563.8726072</v>
      </c>
      <c r="Q44" s="9">
        <f t="shared" si="7"/>
        <v>101.87378163848845</v>
      </c>
      <c r="R44" s="7"/>
      <c r="S44" s="12"/>
    </row>
    <row r="45" spans="4:19" x14ac:dyDescent="0.2">
      <c r="D45" s="7">
        <f t="shared" si="3"/>
        <v>2023</v>
      </c>
      <c r="E45" s="9">
        <f>'Central scenario'!AG48</f>
        <v>5462034895.8994951</v>
      </c>
      <c r="F45" s="9">
        <f t="shared" si="5"/>
        <v>106.58826915573924</v>
      </c>
      <c r="G45" s="10">
        <f>AVERAGE(E43:E46)/AVERAGE(E39:E42)-1</f>
        <v>3.8202102437838725E-2</v>
      </c>
      <c r="H45" s="12">
        <f>'Central scenario'!BB48</f>
        <v>51.875</v>
      </c>
      <c r="K45" s="9">
        <f>'High scenario'!AG48</f>
        <v>5722910756.8236084</v>
      </c>
      <c r="L45" s="9">
        <f t="shared" si="6"/>
        <v>111.67910196995095</v>
      </c>
      <c r="M45" s="10">
        <f>AVERAGE(K43:K46)/AVERAGE(K39:K42)-1</f>
        <v>4.991059625128047E-2</v>
      </c>
      <c r="O45" s="7">
        <f t="shared" si="4"/>
        <v>2023</v>
      </c>
      <c r="P45" s="9">
        <f>'Low scenario'!AG48</f>
        <v>5278775738.2103319</v>
      </c>
      <c r="Q45" s="9">
        <f t="shared" si="7"/>
        <v>103.01207881691683</v>
      </c>
      <c r="R45" s="10">
        <f>AVERAGE(P43:P46)/AVERAGE(P39:P42)-1</f>
        <v>1.2096651310072648E-2</v>
      </c>
      <c r="S45" s="12"/>
    </row>
    <row r="46" spans="4:19" x14ac:dyDescent="0.2">
      <c r="D46" s="7">
        <f t="shared" si="3"/>
        <v>2023</v>
      </c>
      <c r="E46" s="9">
        <f>'Central scenario'!AG49</f>
        <v>5538765552.8547363</v>
      </c>
      <c r="F46" s="9">
        <f t="shared" si="5"/>
        <v>108.08562098008987</v>
      </c>
      <c r="G46" s="7"/>
      <c r="H46" s="12">
        <f>'Central scenario'!BB49</f>
        <v>52</v>
      </c>
      <c r="K46" s="9">
        <f>'High scenario'!AG49</f>
        <v>5805831576.959239</v>
      </c>
      <c r="L46" s="9">
        <f t="shared" si="6"/>
        <v>113.29725104143829</v>
      </c>
      <c r="M46" s="7"/>
      <c r="O46" s="7">
        <f t="shared" si="4"/>
        <v>2023</v>
      </c>
      <c r="P46" s="9">
        <f>'Low scenario'!AG49</f>
        <v>5286707910.7164059</v>
      </c>
      <c r="Q46" s="9">
        <f t="shared" si="7"/>
        <v>103.16687031023042</v>
      </c>
      <c r="R46" s="7"/>
      <c r="S46" s="12"/>
    </row>
    <row r="47" spans="4:19" x14ac:dyDescent="0.2">
      <c r="D47" s="5">
        <f t="shared" ref="D47:D78" si="8">D43+1</f>
        <v>2024</v>
      </c>
      <c r="E47" s="6">
        <f>'Central scenario'!AG50</f>
        <v>5620861404.8366632</v>
      </c>
      <c r="F47" s="6">
        <f t="shared" si="5"/>
        <v>109.68767130279808</v>
      </c>
      <c r="G47" s="7"/>
      <c r="H47" s="11">
        <f>'Central scenario'!BB50</f>
        <v>52</v>
      </c>
      <c r="K47" s="6">
        <f>'High scenario'!AG50</f>
        <v>5846685861.400486</v>
      </c>
      <c r="L47" s="6">
        <f t="shared" si="6"/>
        <v>114.09449740642543</v>
      </c>
      <c r="M47" s="7"/>
      <c r="O47" s="5">
        <f t="shared" ref="O47:O78" si="9">O43+1</f>
        <v>2024</v>
      </c>
      <c r="P47" s="6">
        <f>'Low scenario'!AG50</f>
        <v>5313870133.8292179</v>
      </c>
      <c r="Q47" s="6">
        <f t="shared" si="7"/>
        <v>103.69692447560936</v>
      </c>
      <c r="R47" s="7"/>
      <c r="S47" s="11"/>
    </row>
    <row r="48" spans="4:19" x14ac:dyDescent="0.2">
      <c r="D48" s="7">
        <f t="shared" si="8"/>
        <v>2024</v>
      </c>
      <c r="E48" s="9">
        <f>'Central scenario'!AG51</f>
        <v>5639450470.1017923</v>
      </c>
      <c r="F48" s="9">
        <f t="shared" si="5"/>
        <v>110.05042553809612</v>
      </c>
      <c r="G48" s="7"/>
      <c r="H48" s="12">
        <f>'Central scenario'!BB51</f>
        <v>52</v>
      </c>
      <c r="K48" s="9">
        <f>'High scenario'!AG51</f>
        <v>5883976466.2025528</v>
      </c>
      <c r="L48" s="9">
        <f t="shared" si="6"/>
        <v>114.82220074362068</v>
      </c>
      <c r="M48" s="7"/>
      <c r="O48" s="7">
        <f t="shared" si="9"/>
        <v>2024</v>
      </c>
      <c r="P48" s="9">
        <f>'Low scenario'!AG51</f>
        <v>5325474478.1478014</v>
      </c>
      <c r="Q48" s="9">
        <f t="shared" si="7"/>
        <v>103.92337615509855</v>
      </c>
      <c r="R48" s="7"/>
      <c r="S48" s="12"/>
    </row>
    <row r="49" spans="4:19" x14ac:dyDescent="0.2">
      <c r="D49" s="7">
        <f t="shared" si="8"/>
        <v>2024</v>
      </c>
      <c r="E49" s="9">
        <f>'Central scenario'!AG52</f>
        <v>5667258891.313715</v>
      </c>
      <c r="F49" s="9">
        <f t="shared" si="5"/>
        <v>110.59308986401572</v>
      </c>
      <c r="G49" s="10">
        <f>AVERAGE(E47:E50)/AVERAGE(E43:E46)-1</f>
        <v>3.9950886700828914E-2</v>
      </c>
      <c r="H49" s="12">
        <f>'Central scenario'!BB52</f>
        <v>52</v>
      </c>
      <c r="K49" s="9">
        <f>'High scenario'!AG52</f>
        <v>5960869217.9995909</v>
      </c>
      <c r="L49" s="9">
        <f t="shared" si="6"/>
        <v>116.32271574963447</v>
      </c>
      <c r="M49" s="10">
        <f>AVERAGE(K47:K50)/AVERAGE(K43:K46)-1</f>
        <v>4.0088657677133765E-2</v>
      </c>
      <c r="O49" s="7">
        <f t="shared" si="9"/>
        <v>2024</v>
      </c>
      <c r="P49" s="9">
        <f>'Low scenario'!AG52</f>
        <v>5363326297.0830431</v>
      </c>
      <c r="Q49" s="9">
        <f t="shared" si="7"/>
        <v>104.66203124273498</v>
      </c>
      <c r="R49" s="10">
        <f>AVERAGE(P47:P50)/AVERAGE(P43:P46)-1</f>
        <v>1.6357305888012874E-2</v>
      </c>
      <c r="S49" s="12"/>
    </row>
    <row r="50" spans="4:19" x14ac:dyDescent="0.2">
      <c r="D50" s="7">
        <f t="shared" si="8"/>
        <v>2024</v>
      </c>
      <c r="E50" s="9">
        <f>'Central scenario'!AG53</f>
        <v>5711909491.3604212</v>
      </c>
      <c r="F50" s="9">
        <f t="shared" si="5"/>
        <v>111.46441900534296</v>
      </c>
      <c r="G50" s="7"/>
      <c r="H50" s="7">
        <v>52</v>
      </c>
      <c r="K50" s="9">
        <f>'High scenario'!AG53</f>
        <v>6013606125.4134912</v>
      </c>
      <c r="L50" s="9">
        <f t="shared" si="6"/>
        <v>117.35184423178571</v>
      </c>
      <c r="M50" s="7"/>
      <c r="O50" s="7">
        <f t="shared" si="9"/>
        <v>2024</v>
      </c>
      <c r="P50" s="9">
        <f>'Low scenario'!AG53</f>
        <v>5386285821.4307032</v>
      </c>
      <c r="Q50" s="9">
        <f t="shared" si="7"/>
        <v>105.11007231304987</v>
      </c>
      <c r="R50" s="7"/>
      <c r="S50" s="7"/>
    </row>
    <row r="51" spans="4:19" x14ac:dyDescent="0.2">
      <c r="D51" s="5">
        <f t="shared" si="8"/>
        <v>2025</v>
      </c>
      <c r="E51" s="6">
        <f>'Central scenario'!AG54</f>
        <v>5753492032.1339474</v>
      </c>
      <c r="F51" s="6">
        <f t="shared" si="5"/>
        <v>112.27587684708533</v>
      </c>
      <c r="G51" s="7"/>
      <c r="H51" s="3">
        <f t="shared" ref="H51:H82" si="10">H50</f>
        <v>52</v>
      </c>
      <c r="K51" s="6">
        <f>'High scenario'!AG54</f>
        <v>6068880190.770133</v>
      </c>
      <c r="L51" s="6">
        <f t="shared" si="6"/>
        <v>118.43048379887975</v>
      </c>
      <c r="M51" s="7"/>
      <c r="O51" s="5">
        <f t="shared" si="9"/>
        <v>2025</v>
      </c>
      <c r="P51" s="6">
        <f>'Low scenario'!AG54</f>
        <v>5412001597.7366686</v>
      </c>
      <c r="Q51" s="6">
        <f t="shared" si="7"/>
        <v>105.61189995397299</v>
      </c>
      <c r="R51" s="7"/>
      <c r="S51" s="3"/>
    </row>
    <row r="52" spans="4:19" x14ac:dyDescent="0.2">
      <c r="D52" s="7">
        <f t="shared" si="8"/>
        <v>2025</v>
      </c>
      <c r="E52" s="9">
        <f>'Central scenario'!AG55</f>
        <v>5799841639.1297216</v>
      </c>
      <c r="F52" s="9">
        <f t="shared" si="5"/>
        <v>113.18036106951995</v>
      </c>
      <c r="G52" s="7"/>
      <c r="H52" s="3">
        <f t="shared" si="10"/>
        <v>52</v>
      </c>
      <c r="K52" s="9">
        <f>'High scenario'!AG55</f>
        <v>6136288207.4054661</v>
      </c>
      <c r="L52" s="9">
        <f t="shared" si="6"/>
        <v>119.74591000126</v>
      </c>
      <c r="M52" s="7"/>
      <c r="O52" s="7">
        <f t="shared" si="9"/>
        <v>2025</v>
      </c>
      <c r="P52" s="9">
        <f>'Low scenario'!AG55</f>
        <v>5448511980.9364538</v>
      </c>
      <c r="Q52" s="9">
        <f t="shared" si="7"/>
        <v>106.32437774396284</v>
      </c>
      <c r="R52" s="7"/>
      <c r="S52" s="3"/>
    </row>
    <row r="53" spans="4:19" x14ac:dyDescent="0.2">
      <c r="D53" s="7">
        <f t="shared" si="8"/>
        <v>2025</v>
      </c>
      <c r="E53" s="9">
        <f>'Central scenario'!AG56</f>
        <v>5835033108.4463663</v>
      </c>
      <c r="F53" s="9">
        <f t="shared" si="5"/>
        <v>113.86710106203159</v>
      </c>
      <c r="G53" s="10">
        <f>AVERAGE(E51:E54)/AVERAGE(E47:E50)-1</f>
        <v>2.9815223414285441E-2</v>
      </c>
      <c r="H53" s="3">
        <f t="shared" si="10"/>
        <v>52</v>
      </c>
      <c r="K53" s="9">
        <f>'High scenario'!AG56</f>
        <v>6194524622.1299381</v>
      </c>
      <c r="L53" s="9">
        <f t="shared" si="6"/>
        <v>120.88235800381256</v>
      </c>
      <c r="M53" s="10">
        <f>AVERAGE(K51:K54)/AVERAGE(K47:K50)-1</f>
        <v>4.0821135170938883E-2</v>
      </c>
      <c r="O53" s="7">
        <f t="shared" si="9"/>
        <v>2025</v>
      </c>
      <c r="P53" s="9">
        <f>'Low scenario'!AG56</f>
        <v>5499930940.5384703</v>
      </c>
      <c r="Q53" s="9">
        <f t="shared" si="7"/>
        <v>107.32778728092541</v>
      </c>
      <c r="R53" s="10">
        <f>AVERAGE(P51:P54)/AVERAGE(P47:P50)-1</f>
        <v>2.4102986737207344E-2</v>
      </c>
      <c r="S53" s="3"/>
    </row>
    <row r="54" spans="4:19" x14ac:dyDescent="0.2">
      <c r="D54" s="7">
        <f t="shared" si="8"/>
        <v>2025</v>
      </c>
      <c r="E54" s="9">
        <f>'Central scenario'!AG57</f>
        <v>5926114639.7665825</v>
      </c>
      <c r="F54" s="9">
        <f t="shared" si="5"/>
        <v>115.64450141931681</v>
      </c>
      <c r="G54" s="7"/>
      <c r="H54" s="3">
        <f t="shared" si="10"/>
        <v>52</v>
      </c>
      <c r="K54" s="9">
        <f>'High scenario'!AG57</f>
        <v>6273115279.824852</v>
      </c>
      <c r="L54" s="9">
        <f t="shared" si="6"/>
        <v>122.41600660459333</v>
      </c>
      <c r="M54" s="7"/>
      <c r="O54" s="7">
        <f t="shared" si="9"/>
        <v>2025</v>
      </c>
      <c r="P54" s="9">
        <f>'Low scenario'!AG57</f>
        <v>5544049951.6768904</v>
      </c>
      <c r="Q54" s="9">
        <f t="shared" si="7"/>
        <v>108.18874278994959</v>
      </c>
      <c r="R54" s="7"/>
      <c r="S54" s="3"/>
    </row>
    <row r="55" spans="4:19" x14ac:dyDescent="0.2">
      <c r="D55" s="5">
        <f t="shared" si="8"/>
        <v>2026</v>
      </c>
      <c r="E55" s="6">
        <f>'Central scenario'!AG58</f>
        <v>5961328548.8660555</v>
      </c>
      <c r="F55" s="6">
        <f t="shared" si="5"/>
        <v>116.33167931046104</v>
      </c>
      <c r="G55" s="7"/>
      <c r="H55" s="3">
        <f t="shared" si="10"/>
        <v>52</v>
      </c>
      <c r="K55" s="6">
        <f>'High scenario'!AG58</f>
        <v>6312458111.1256227</v>
      </c>
      <c r="L55" s="6">
        <f t="shared" si="6"/>
        <v>123.18375788629669</v>
      </c>
      <c r="M55" s="7"/>
      <c r="O55" s="5">
        <f t="shared" si="9"/>
        <v>2026</v>
      </c>
      <c r="P55" s="6">
        <f>'Low scenario'!AG58</f>
        <v>5607207166.6175776</v>
      </c>
      <c r="Q55" s="6">
        <f t="shared" si="7"/>
        <v>109.42121719802753</v>
      </c>
      <c r="R55" s="7"/>
      <c r="S55" s="3"/>
    </row>
    <row r="56" spans="4:19" x14ac:dyDescent="0.2">
      <c r="D56" s="7">
        <f t="shared" si="8"/>
        <v>2026</v>
      </c>
      <c r="E56" s="9">
        <f>'Central scenario'!AG59</f>
        <v>6043680416.7803421</v>
      </c>
      <c r="F56" s="9">
        <f t="shared" si="5"/>
        <v>117.93872562745101</v>
      </c>
      <c r="G56" s="7"/>
      <c r="H56" s="3">
        <f t="shared" si="10"/>
        <v>52</v>
      </c>
      <c r="K56" s="9">
        <f>'High scenario'!AG59</f>
        <v>6396677196.2816477</v>
      </c>
      <c r="L56" s="9">
        <f t="shared" si="6"/>
        <v>124.82724180533933</v>
      </c>
      <c r="M56" s="7"/>
      <c r="O56" s="7">
        <f t="shared" si="9"/>
        <v>2026</v>
      </c>
      <c r="P56" s="9">
        <f>'Low scenario'!AG59</f>
        <v>5626068752.8324461</v>
      </c>
      <c r="Q56" s="9">
        <f t="shared" si="7"/>
        <v>109.78928951292319</v>
      </c>
      <c r="R56" s="7"/>
      <c r="S56" s="3"/>
    </row>
    <row r="57" spans="4:19" x14ac:dyDescent="0.2">
      <c r="D57" s="7">
        <f t="shared" si="8"/>
        <v>2026</v>
      </c>
      <c r="E57" s="9">
        <f>'Central scenario'!AG60</f>
        <v>6074194127.9637251</v>
      </c>
      <c r="F57" s="9">
        <f t="shared" si="5"/>
        <v>118.53418203198561</v>
      </c>
      <c r="G57" s="10">
        <f>AVERAGE(E55:E58)/AVERAGE(E51:E54)-1</f>
        <v>3.7225826554808661E-2</v>
      </c>
      <c r="H57" s="3">
        <f t="shared" si="10"/>
        <v>52</v>
      </c>
      <c r="K57" s="9">
        <f>'High scenario'!AG60</f>
        <v>6432410262.6572447</v>
      </c>
      <c r="L57" s="9">
        <f t="shared" si="6"/>
        <v>125.52455073309103</v>
      </c>
      <c r="M57" s="10">
        <f>AVERAGE(K55:K58)/AVERAGE(K51:K54)-1</f>
        <v>3.9340526719939595E-2</v>
      </c>
      <c r="O57" s="7">
        <f t="shared" si="9"/>
        <v>2026</v>
      </c>
      <c r="P57" s="9">
        <f>'Low scenario'!AG60</f>
        <v>5683739706.5549431</v>
      </c>
      <c r="Q57" s="9">
        <f t="shared" si="7"/>
        <v>110.91470288998828</v>
      </c>
      <c r="R57" s="10">
        <f>AVERAGE(P55:P58)/AVERAGE(P51:P54)-1</f>
        <v>3.2777728933785166E-2</v>
      </c>
      <c r="S57" s="3"/>
    </row>
    <row r="58" spans="4:19" x14ac:dyDescent="0.2">
      <c r="D58" s="7">
        <f t="shared" si="8"/>
        <v>2026</v>
      </c>
      <c r="E58" s="9">
        <f>'Central scenario'!AG61</f>
        <v>6103179167.4032373</v>
      </c>
      <c r="F58" s="9">
        <f t="shared" si="5"/>
        <v>119.09980734272607</v>
      </c>
      <c r="G58" s="7"/>
      <c r="H58" s="3">
        <f t="shared" si="10"/>
        <v>52</v>
      </c>
      <c r="K58" s="9">
        <f>'High scenario'!AG61</f>
        <v>6501904004.2530966</v>
      </c>
      <c r="L58" s="9">
        <f t="shared" si="6"/>
        <v>126.88067858196632</v>
      </c>
      <c r="M58" s="7"/>
      <c r="O58" s="7">
        <f t="shared" si="9"/>
        <v>2026</v>
      </c>
      <c r="P58" s="9">
        <f>'Low scenario'!AG61</f>
        <v>5705458427.0818987</v>
      </c>
      <c r="Q58" s="9">
        <f t="shared" si="7"/>
        <v>111.33853043290335</v>
      </c>
      <c r="R58" s="7"/>
      <c r="S58" s="3"/>
    </row>
    <row r="59" spans="4:19" x14ac:dyDescent="0.2">
      <c r="D59" s="5">
        <f t="shared" si="8"/>
        <v>2027</v>
      </c>
      <c r="E59" s="6">
        <f>'Central scenario'!AG62</f>
        <v>6166822204.04006</v>
      </c>
      <c r="F59" s="6">
        <f t="shared" si="5"/>
        <v>120.34176226396373</v>
      </c>
      <c r="G59" s="7"/>
      <c r="H59" s="3">
        <f t="shared" si="10"/>
        <v>52</v>
      </c>
      <c r="K59" s="6">
        <f>'High scenario'!AG62</f>
        <v>6550061525.2811117</v>
      </c>
      <c r="L59" s="6">
        <f t="shared" si="6"/>
        <v>127.82044314060377</v>
      </c>
      <c r="M59" s="7"/>
      <c r="O59" s="5">
        <f t="shared" si="9"/>
        <v>2027</v>
      </c>
      <c r="P59" s="6">
        <f>'Low scenario'!AG62</f>
        <v>5716637905.2278204</v>
      </c>
      <c r="Q59" s="6">
        <f t="shared" si="7"/>
        <v>111.55669110897901</v>
      </c>
      <c r="R59" s="7"/>
      <c r="S59" s="3"/>
    </row>
    <row r="60" spans="4:19" x14ac:dyDescent="0.2">
      <c r="D60" s="7">
        <f t="shared" si="8"/>
        <v>2027</v>
      </c>
      <c r="E60" s="9">
        <f>'Central scenario'!AG63</f>
        <v>6210413448.0212355</v>
      </c>
      <c r="F60" s="9">
        <f t="shared" si="5"/>
        <v>121.19241871981816</v>
      </c>
      <c r="G60" s="7"/>
      <c r="H60" s="3">
        <f t="shared" si="10"/>
        <v>52</v>
      </c>
      <c r="K60" s="9">
        <f>'High scenario'!AG63</f>
        <v>6606937702.9689512</v>
      </c>
      <c r="L60" s="9">
        <f t="shared" si="6"/>
        <v>128.93034694962049</v>
      </c>
      <c r="M60" s="7"/>
      <c r="O60" s="7">
        <f t="shared" si="9"/>
        <v>2027</v>
      </c>
      <c r="P60" s="9">
        <f>'Low scenario'!AG63</f>
        <v>5737150924.4829378</v>
      </c>
      <c r="Q60" s="9">
        <f t="shared" si="7"/>
        <v>111.95699012925854</v>
      </c>
      <c r="R60" s="7"/>
      <c r="S60" s="3"/>
    </row>
    <row r="61" spans="4:19" x14ac:dyDescent="0.2">
      <c r="D61" s="7">
        <f t="shared" si="8"/>
        <v>2027</v>
      </c>
      <c r="E61" s="9">
        <f>'Central scenario'!AG64</f>
        <v>6254056275.1257858</v>
      </c>
      <c r="F61" s="9">
        <f t="shared" si="5"/>
        <v>122.04408178876514</v>
      </c>
      <c r="G61" s="10">
        <f>AVERAGE(E59:E62)/AVERAGE(E55:E58)-1</f>
        <v>3.1366251971677528E-2</v>
      </c>
      <c r="H61" s="3">
        <f t="shared" si="10"/>
        <v>52</v>
      </c>
      <c r="K61" s="9">
        <f>'High scenario'!AG64</f>
        <v>6710272499.6818295</v>
      </c>
      <c r="L61" s="9">
        <f t="shared" si="6"/>
        <v>130.94686228412607</v>
      </c>
      <c r="M61" s="10">
        <f>AVERAGE(K59:K62)/AVERAGE(K55:K58)-1</f>
        <v>3.8360772647614505E-2</v>
      </c>
      <c r="O61" s="7">
        <f t="shared" si="9"/>
        <v>2027</v>
      </c>
      <c r="P61" s="9">
        <f>'Low scenario'!AG64</f>
        <v>5767319860.6268854</v>
      </c>
      <c r="Q61" s="9">
        <f t="shared" si="7"/>
        <v>112.54571845984236</v>
      </c>
      <c r="R61" s="10">
        <f>AVERAGE(P59:P62)/AVERAGE(P55:P58)-1</f>
        <v>1.6852939518420484E-2</v>
      </c>
      <c r="S61" s="3"/>
    </row>
    <row r="62" spans="4:19" x14ac:dyDescent="0.2">
      <c r="D62" s="7">
        <f t="shared" si="8"/>
        <v>2027</v>
      </c>
      <c r="E62" s="9">
        <f>'Central scenario'!AG65</f>
        <v>6309601029.1006479</v>
      </c>
      <c r="F62" s="9">
        <f t="shared" si="5"/>
        <v>123.12800367862829</v>
      </c>
      <c r="G62" s="7"/>
      <c r="H62" s="3">
        <f t="shared" si="10"/>
        <v>52</v>
      </c>
      <c r="K62" s="9">
        <f>'High scenario'!AG65</f>
        <v>6759880385.4066849</v>
      </c>
      <c r="L62" s="9">
        <f t="shared" si="6"/>
        <v>131.91492982244543</v>
      </c>
      <c r="M62" s="7"/>
      <c r="O62" s="7">
        <f t="shared" si="9"/>
        <v>2027</v>
      </c>
      <c r="P62" s="9">
        <f>'Low scenario'!AG65</f>
        <v>5782620549.7229319</v>
      </c>
      <c r="Q62" s="9">
        <f t="shared" si="7"/>
        <v>112.84430204612849</v>
      </c>
      <c r="R62" s="7"/>
      <c r="S62" s="3"/>
    </row>
    <row r="63" spans="4:19" x14ac:dyDescent="0.2">
      <c r="D63" s="5">
        <f t="shared" si="8"/>
        <v>2028</v>
      </c>
      <c r="E63" s="6">
        <f>'Central scenario'!AG66</f>
        <v>6392936262.8669472</v>
      </c>
      <c r="F63" s="6">
        <f t="shared" si="5"/>
        <v>124.75423977856737</v>
      </c>
      <c r="G63" s="7"/>
      <c r="H63" s="3">
        <f t="shared" si="10"/>
        <v>52</v>
      </c>
      <c r="K63" s="6">
        <f>'High scenario'!AG66</f>
        <v>6853845755.1043205</v>
      </c>
      <c r="L63" s="6">
        <f t="shared" si="6"/>
        <v>133.74860652124667</v>
      </c>
      <c r="M63" s="7"/>
      <c r="O63" s="5">
        <f t="shared" si="9"/>
        <v>2028</v>
      </c>
      <c r="P63" s="6">
        <f>'Low scenario'!AG66</f>
        <v>5805943685.1657257</v>
      </c>
      <c r="Q63" s="6">
        <f t="shared" si="7"/>
        <v>113.29943876449668</v>
      </c>
      <c r="R63" s="7"/>
      <c r="S63" s="3"/>
    </row>
    <row r="64" spans="4:19" x14ac:dyDescent="0.2">
      <c r="D64" s="7">
        <f t="shared" si="8"/>
        <v>2028</v>
      </c>
      <c r="E64" s="9">
        <f>'Central scenario'!AG67</f>
        <v>6417110731.2855387</v>
      </c>
      <c r="F64" s="9">
        <f t="shared" si="5"/>
        <v>125.22598973908705</v>
      </c>
      <c r="G64" s="7"/>
      <c r="H64" s="3">
        <f t="shared" si="10"/>
        <v>52</v>
      </c>
      <c r="K64" s="9">
        <f>'High scenario'!AG67</f>
        <v>6911978205.5825262</v>
      </c>
      <c r="L64" s="9">
        <f t="shared" si="6"/>
        <v>134.88302572514181</v>
      </c>
      <c r="M64" s="7"/>
      <c r="O64" s="7">
        <f t="shared" si="9"/>
        <v>2028</v>
      </c>
      <c r="P64" s="9">
        <f>'Low scenario'!AG67</f>
        <v>5877414663.895257</v>
      </c>
      <c r="Q64" s="9">
        <f t="shared" si="7"/>
        <v>114.69415118630242</v>
      </c>
      <c r="R64" s="7"/>
      <c r="S64" s="3"/>
    </row>
    <row r="65" spans="4:19" x14ac:dyDescent="0.2">
      <c r="D65" s="7">
        <f t="shared" si="8"/>
        <v>2028</v>
      </c>
      <c r="E65" s="9">
        <f>'Central scenario'!AG68</f>
        <v>6468512371.3437405</v>
      </c>
      <c r="F65" s="9">
        <f t="shared" si="5"/>
        <v>126.22906129574869</v>
      </c>
      <c r="G65" s="10">
        <f>AVERAGE(E63:E66)/AVERAGE(E59:E62)-1</f>
        <v>3.4915079396412585E-2</v>
      </c>
      <c r="H65" s="3">
        <f t="shared" si="10"/>
        <v>52</v>
      </c>
      <c r="K65" s="9">
        <f>'High scenario'!AG68</f>
        <v>6957317715.0866957</v>
      </c>
      <c r="L65" s="9">
        <f t="shared" si="6"/>
        <v>135.76779851303587</v>
      </c>
      <c r="M65" s="10">
        <f>AVERAGE(K63:K66)/AVERAGE(K59:K62)-1</f>
        <v>4.277643007840104E-2</v>
      </c>
      <c r="O65" s="7">
        <f t="shared" si="9"/>
        <v>2028</v>
      </c>
      <c r="P65" s="9">
        <f>'Low scenario'!AG68</f>
        <v>5942258220.8286009</v>
      </c>
      <c r="Q65" s="9">
        <f t="shared" si="7"/>
        <v>115.95953352661216</v>
      </c>
      <c r="R65" s="10">
        <f>AVERAGE(P63:P66)/AVERAGE(P59:P62)-1</f>
        <v>2.5379163911738889E-2</v>
      </c>
      <c r="S65" s="3"/>
    </row>
    <row r="66" spans="4:19" x14ac:dyDescent="0.2">
      <c r="D66" s="7">
        <f t="shared" si="8"/>
        <v>2028</v>
      </c>
      <c r="E66" s="9">
        <f>'Central scenario'!AG69</f>
        <v>6533146848.5777168</v>
      </c>
      <c r="F66" s="9">
        <f t="shared" si="5"/>
        <v>127.49036357364653</v>
      </c>
      <c r="G66" s="7"/>
      <c r="H66" s="3">
        <f t="shared" si="10"/>
        <v>52</v>
      </c>
      <c r="K66" s="9">
        <f>'High scenario'!AG69</f>
        <v>7043024948.1282101</v>
      </c>
      <c r="L66" s="9">
        <f t="shared" si="6"/>
        <v>137.44032272757002</v>
      </c>
      <c r="M66" s="7"/>
      <c r="O66" s="7">
        <f t="shared" si="9"/>
        <v>2028</v>
      </c>
      <c r="P66" s="9">
        <f>'Low scenario'!AG69</f>
        <v>5961928085.1357441</v>
      </c>
      <c r="Q66" s="9">
        <f t="shared" si="7"/>
        <v>116.34337889394963</v>
      </c>
      <c r="R66" s="7"/>
      <c r="S66" s="3"/>
    </row>
    <row r="67" spans="4:19" x14ac:dyDescent="0.2">
      <c r="D67" s="5">
        <f t="shared" si="8"/>
        <v>2029</v>
      </c>
      <c r="E67" s="6">
        <f>'Central scenario'!AG70</f>
        <v>6603308489.8345737</v>
      </c>
      <c r="F67" s="6">
        <f t="shared" si="5"/>
        <v>128.85952507576519</v>
      </c>
      <c r="G67" s="7"/>
      <c r="H67" s="3">
        <f t="shared" si="10"/>
        <v>52</v>
      </c>
      <c r="K67" s="6">
        <f>'High scenario'!AG70</f>
        <v>7109892047.638217</v>
      </c>
      <c r="L67" s="6">
        <f t="shared" si="6"/>
        <v>138.74519326319896</v>
      </c>
      <c r="M67" s="7"/>
      <c r="O67" s="5">
        <f t="shared" si="9"/>
        <v>2029</v>
      </c>
      <c r="P67" s="6">
        <f>'Low scenario'!AG70</f>
        <v>5984216099.5374088</v>
      </c>
      <c r="Q67" s="6">
        <f t="shared" si="7"/>
        <v>116.77831585851848</v>
      </c>
      <c r="R67" s="7"/>
      <c r="S67" s="3"/>
    </row>
    <row r="68" spans="4:19" x14ac:dyDescent="0.2">
      <c r="D68" s="7">
        <f t="shared" si="8"/>
        <v>2029</v>
      </c>
      <c r="E68" s="9">
        <f>'Central scenario'!AG71</f>
        <v>6639076779.6295652</v>
      </c>
      <c r="F68" s="9">
        <f t="shared" si="5"/>
        <v>129.55752136699564</v>
      </c>
      <c r="G68" s="7"/>
      <c r="H68" s="3">
        <f t="shared" si="10"/>
        <v>52</v>
      </c>
      <c r="K68" s="9">
        <f>'High scenario'!AG71</f>
        <v>7170166598.1504879</v>
      </c>
      <c r="L68" s="9">
        <f t="shared" si="6"/>
        <v>139.92141423865743</v>
      </c>
      <c r="M68" s="7"/>
      <c r="O68" s="7">
        <f t="shared" si="9"/>
        <v>2029</v>
      </c>
      <c r="P68" s="9">
        <f>'Low scenario'!AG71</f>
        <v>5990844001.8990068</v>
      </c>
      <c r="Q68" s="9">
        <f t="shared" si="7"/>
        <v>116.90765531795444</v>
      </c>
      <c r="R68" s="7"/>
      <c r="S68" s="3"/>
    </row>
    <row r="69" spans="4:19" x14ac:dyDescent="0.2">
      <c r="D69" s="7">
        <f t="shared" si="8"/>
        <v>2029</v>
      </c>
      <c r="E69" s="9">
        <f>'Central scenario'!AG72</f>
        <v>6712907457.0948133</v>
      </c>
      <c r="F69" s="9">
        <f t="shared" si="5"/>
        <v>130.998281865894</v>
      </c>
      <c r="G69" s="10">
        <f>AVERAGE(E67:E70)/AVERAGE(E63:E66)-1</f>
        <v>3.5060906702967021E-2</v>
      </c>
      <c r="H69" s="3">
        <f t="shared" si="10"/>
        <v>52</v>
      </c>
      <c r="K69" s="9">
        <f>'High scenario'!AG72</f>
        <v>7254701014.9691296</v>
      </c>
      <c r="L69" s="9">
        <f t="shared" si="6"/>
        <v>141.57105166216661</v>
      </c>
      <c r="M69" s="10">
        <f>AVERAGE(K67:K70)/AVERAGE(K63:K66)-1</f>
        <v>3.8956656890552388E-2</v>
      </c>
      <c r="O69" s="7">
        <f t="shared" si="9"/>
        <v>2029</v>
      </c>
      <c r="P69" s="9">
        <f>'Low scenario'!AG72</f>
        <v>5992933345.0241776</v>
      </c>
      <c r="Q69" s="9">
        <f t="shared" si="7"/>
        <v>116.94842757071899</v>
      </c>
      <c r="R69" s="10">
        <f>AVERAGE(P67:P70)/AVERAGE(P63:P66)-1</f>
        <v>1.8115419932550392E-2</v>
      </c>
      <c r="S69" s="3"/>
    </row>
    <row r="70" spans="4:19" x14ac:dyDescent="0.2">
      <c r="D70" s="7">
        <f t="shared" si="8"/>
        <v>2029</v>
      </c>
      <c r="E70" s="9">
        <f>'Central scenario'!AG73</f>
        <v>6761395310.9310284</v>
      </c>
      <c r="F70" s="9">
        <f t="shared" si="5"/>
        <v>131.94449266717587</v>
      </c>
      <c r="G70" s="7"/>
      <c r="H70" s="3">
        <f t="shared" si="10"/>
        <v>52</v>
      </c>
      <c r="K70" s="9">
        <f>'High scenario'!AG73</f>
        <v>7313083989.4771681</v>
      </c>
      <c r="L70" s="9">
        <f t="shared" si="6"/>
        <v>142.71035968922575</v>
      </c>
      <c r="M70" s="7"/>
      <c r="O70" s="7">
        <f t="shared" si="9"/>
        <v>2029</v>
      </c>
      <c r="P70" s="9">
        <f>'Low scenario'!AG73</f>
        <v>6046849485.1683035</v>
      </c>
      <c r="Q70" s="9">
        <f t="shared" si="7"/>
        <v>118.00056805811042</v>
      </c>
      <c r="R70" s="7"/>
      <c r="S70" s="3"/>
    </row>
    <row r="71" spans="4:19" x14ac:dyDescent="0.2">
      <c r="D71" s="5">
        <f t="shared" si="8"/>
        <v>2030</v>
      </c>
      <c r="E71" s="6">
        <f>'Central scenario'!AG74</f>
        <v>6810366021.9924212</v>
      </c>
      <c r="F71" s="6">
        <f t="shared" ref="F71:F102" si="11">E71/$B$14*100</f>
        <v>132.90012613178047</v>
      </c>
      <c r="G71" s="7"/>
      <c r="H71" s="3">
        <f t="shared" si="10"/>
        <v>52</v>
      </c>
      <c r="K71" s="6">
        <f>'High scenario'!AG74</f>
        <v>7408699994.7967033</v>
      </c>
      <c r="L71" s="6">
        <f t="shared" ref="L71:L102" si="12">K71/$B$14*100</f>
        <v>144.57624753227969</v>
      </c>
      <c r="M71" s="7"/>
      <c r="O71" s="5">
        <f t="shared" si="9"/>
        <v>2030</v>
      </c>
      <c r="P71" s="6">
        <f>'Low scenario'!AG74</f>
        <v>6103060294.0070257</v>
      </c>
      <c r="Q71" s="6">
        <f t="shared" ref="Q71:Q102" si="13">P71/$B$14*100</f>
        <v>119.09748760112934</v>
      </c>
      <c r="R71" s="7"/>
      <c r="S71" s="3"/>
    </row>
    <row r="72" spans="4:19" x14ac:dyDescent="0.2">
      <c r="D72" s="7">
        <f t="shared" si="8"/>
        <v>2030</v>
      </c>
      <c r="E72" s="9">
        <f>'Central scenario'!AG75</f>
        <v>6815618793.7794161</v>
      </c>
      <c r="F72" s="9">
        <f t="shared" si="11"/>
        <v>133.00263075939941</v>
      </c>
      <c r="G72" s="7"/>
      <c r="H72" s="3">
        <f t="shared" si="10"/>
        <v>52</v>
      </c>
      <c r="K72" s="9">
        <f>'High scenario'!AG75</f>
        <v>7451242528.4136953</v>
      </c>
      <c r="L72" s="9">
        <f t="shared" si="12"/>
        <v>145.40643904700968</v>
      </c>
      <c r="M72" s="7"/>
      <c r="O72" s="7">
        <f t="shared" si="9"/>
        <v>2030</v>
      </c>
      <c r="P72" s="9">
        <f>'Low scenario'!AG75</f>
        <v>6136372439.8231668</v>
      </c>
      <c r="Q72" s="9">
        <f t="shared" si="13"/>
        <v>119.74755374535549</v>
      </c>
      <c r="R72" s="7"/>
      <c r="S72" s="3"/>
    </row>
    <row r="73" spans="4:19" x14ac:dyDescent="0.2">
      <c r="D73" s="7">
        <f t="shared" si="8"/>
        <v>2030</v>
      </c>
      <c r="E73" s="9">
        <f>'Central scenario'!AG76</f>
        <v>6847732358.7046146</v>
      </c>
      <c r="F73" s="9">
        <f t="shared" si="11"/>
        <v>133.62930733086677</v>
      </c>
      <c r="G73" s="10">
        <f>AVERAGE(E71:E74)/AVERAGE(E67:E70)-1</f>
        <v>2.4801523418037208E-2</v>
      </c>
      <c r="H73" s="3">
        <f t="shared" si="10"/>
        <v>52</v>
      </c>
      <c r="K73" s="9">
        <f>'High scenario'!AG76</f>
        <v>7490385680.3536348</v>
      </c>
      <c r="L73" s="9">
        <f t="shared" si="12"/>
        <v>146.17029370815629</v>
      </c>
      <c r="M73" s="10">
        <f>AVERAGE(K71:K74)/AVERAGE(K67:K70)-1</f>
        <v>3.7271303063876937E-2</v>
      </c>
      <c r="O73" s="7">
        <f t="shared" si="9"/>
        <v>2030</v>
      </c>
      <c r="P73" s="9">
        <f>'Low scenario'!AG76</f>
        <v>6128772772.6036406</v>
      </c>
      <c r="Q73" s="9">
        <f t="shared" si="13"/>
        <v>119.59925088927213</v>
      </c>
      <c r="R73" s="10">
        <f>AVERAGE(P71:P74)/AVERAGE(P67:P70)-1</f>
        <v>2.3386570959762265E-2</v>
      </c>
      <c r="S73" s="3"/>
    </row>
    <row r="74" spans="4:19" x14ac:dyDescent="0.2">
      <c r="D74" s="7">
        <f t="shared" si="8"/>
        <v>2030</v>
      </c>
      <c r="E74" s="9">
        <f>'Central scenario'!AG77</f>
        <v>6905585427.0277338</v>
      </c>
      <c r="F74" s="9">
        <f t="shared" si="11"/>
        <v>134.75827456293982</v>
      </c>
      <c r="G74" s="7"/>
      <c r="H74" s="3">
        <f t="shared" si="10"/>
        <v>52</v>
      </c>
      <c r="K74" s="9">
        <f>'High scenario'!AG77</f>
        <v>7572712170.0982189</v>
      </c>
      <c r="L74" s="9">
        <f t="shared" si="12"/>
        <v>147.77684478569165</v>
      </c>
      <c r="M74" s="7"/>
      <c r="O74" s="7">
        <f t="shared" si="9"/>
        <v>2030</v>
      </c>
      <c r="P74" s="9">
        <f>'Low scenario'!AG77</f>
        <v>6208262253.5031452</v>
      </c>
      <c r="Q74" s="9">
        <f t="shared" si="13"/>
        <v>121.15043947496333</v>
      </c>
      <c r="R74" s="7"/>
      <c r="S74" s="3"/>
    </row>
    <row r="75" spans="4:19" x14ac:dyDescent="0.2">
      <c r="D75" s="5">
        <f t="shared" si="8"/>
        <v>2031</v>
      </c>
      <c r="E75" s="6">
        <f>'Central scenario'!AG78</f>
        <v>6962789890.0423193</v>
      </c>
      <c r="F75" s="6">
        <f t="shared" si="11"/>
        <v>135.87458465925312</v>
      </c>
      <c r="G75" s="7"/>
      <c r="H75" s="3">
        <f t="shared" si="10"/>
        <v>52</v>
      </c>
      <c r="K75" s="6">
        <f>'High scenario'!AG78</f>
        <v>7645646043.5909195</v>
      </c>
      <c r="L75" s="6">
        <f t="shared" si="12"/>
        <v>149.20010470375749</v>
      </c>
      <c r="M75" s="7"/>
      <c r="O75" s="5">
        <f t="shared" si="9"/>
        <v>2031</v>
      </c>
      <c r="P75" s="6">
        <f>'Low scenario'!AG78</f>
        <v>6224785459.7715282</v>
      </c>
      <c r="Q75" s="6">
        <f t="shared" si="13"/>
        <v>121.47287973589474</v>
      </c>
      <c r="R75" s="7"/>
      <c r="S75" s="3"/>
    </row>
    <row r="76" spans="4:19" x14ac:dyDescent="0.2">
      <c r="D76" s="7">
        <f t="shared" si="8"/>
        <v>2031</v>
      </c>
      <c r="E76" s="9">
        <f>'Central scenario'!AG79</f>
        <v>6997336625.1061134</v>
      </c>
      <c r="F76" s="9">
        <f t="shared" si="11"/>
        <v>136.54874305728828</v>
      </c>
      <c r="G76" s="7"/>
      <c r="H76" s="3">
        <f t="shared" si="10"/>
        <v>52</v>
      </c>
      <c r="K76" s="9">
        <f>'High scenario'!AG79</f>
        <v>7750549045.0999489</v>
      </c>
      <c r="L76" s="9">
        <f t="shared" si="12"/>
        <v>151.24722259538493</v>
      </c>
      <c r="M76" s="7"/>
      <c r="O76" s="7">
        <f t="shared" si="9"/>
        <v>2031</v>
      </c>
      <c r="P76" s="9">
        <f>'Low scenario'!AG79</f>
        <v>6217760434.1787777</v>
      </c>
      <c r="Q76" s="9">
        <f t="shared" si="13"/>
        <v>121.3357906595748</v>
      </c>
      <c r="R76" s="7"/>
      <c r="S76" s="3"/>
    </row>
    <row r="77" spans="4:19" x14ac:dyDescent="0.2">
      <c r="D77" s="7">
        <f t="shared" si="8"/>
        <v>2031</v>
      </c>
      <c r="E77" s="9">
        <f>'Central scenario'!AG80</f>
        <v>7037925970.611784</v>
      </c>
      <c r="F77" s="9">
        <f t="shared" si="11"/>
        <v>137.34081930104526</v>
      </c>
      <c r="G77" s="10">
        <f>AVERAGE(E75:E78)/AVERAGE(E71:E74)-1</f>
        <v>2.5718429679006061E-2</v>
      </c>
      <c r="H77" s="3">
        <f t="shared" si="10"/>
        <v>52</v>
      </c>
      <c r="K77" s="9">
        <f>'High scenario'!AG80</f>
        <v>7830891489.3927345</v>
      </c>
      <c r="L77" s="9">
        <f t="shared" si="12"/>
        <v>152.81505623982727</v>
      </c>
      <c r="M77" s="10">
        <f>AVERAGE(K75:K78)/AVERAGE(K71:K74)-1</f>
        <v>3.9745341716699745E-2</v>
      </c>
      <c r="O77" s="7">
        <f t="shared" si="9"/>
        <v>2031</v>
      </c>
      <c r="P77" s="9">
        <f>'Low scenario'!AG80</f>
        <v>6237406817.0393286</v>
      </c>
      <c r="Q77" s="9">
        <f t="shared" si="13"/>
        <v>121.71917780084868</v>
      </c>
      <c r="R77" s="10">
        <f>AVERAGE(P75:P78)/AVERAGE(P71:P74)-1</f>
        <v>1.4987999132683116E-2</v>
      </c>
      <c r="S77" s="3"/>
    </row>
    <row r="78" spans="4:19" x14ac:dyDescent="0.2">
      <c r="D78" s="7">
        <f t="shared" si="8"/>
        <v>2031</v>
      </c>
      <c r="E78" s="9">
        <f>'Central scenario'!AG81</f>
        <v>7085402784.360981</v>
      </c>
      <c r="F78" s="9">
        <f t="shared" si="11"/>
        <v>138.26730027361381</v>
      </c>
      <c r="G78" s="7"/>
      <c r="H78" s="3">
        <f t="shared" si="10"/>
        <v>52</v>
      </c>
      <c r="K78" s="9">
        <f>'High scenario'!AG81</f>
        <v>7885255260.4324617</v>
      </c>
      <c r="L78" s="9">
        <f t="shared" si="12"/>
        <v>153.87593197027226</v>
      </c>
      <c r="M78" s="7"/>
      <c r="O78" s="7">
        <f t="shared" si="9"/>
        <v>2031</v>
      </c>
      <c r="P78" s="9">
        <f>'Low scenario'!AG81</f>
        <v>6264867126.417697</v>
      </c>
      <c r="Q78" s="9">
        <f t="shared" si="13"/>
        <v>122.2550489373218</v>
      </c>
      <c r="R78" s="7"/>
      <c r="S78" s="3"/>
    </row>
    <row r="79" spans="4:19" x14ac:dyDescent="0.2">
      <c r="D79" s="5">
        <f t="shared" ref="D79:D110" si="14">D75+1</f>
        <v>2032</v>
      </c>
      <c r="E79" s="6">
        <f>'Central scenario'!AG82</f>
        <v>7135406827.2208414</v>
      </c>
      <c r="F79" s="6">
        <f t="shared" si="11"/>
        <v>139.24309857604194</v>
      </c>
      <c r="G79" s="7"/>
      <c r="H79" s="3">
        <f t="shared" si="10"/>
        <v>52</v>
      </c>
      <c r="K79" s="6">
        <f>'High scenario'!AG82</f>
        <v>7936917293.7417755</v>
      </c>
      <c r="L79" s="6">
        <f t="shared" si="12"/>
        <v>154.8840849419129</v>
      </c>
      <c r="M79" s="7"/>
      <c r="O79" s="5">
        <f t="shared" ref="O79:O110" si="15">O75+1</f>
        <v>2032</v>
      </c>
      <c r="P79" s="6">
        <f>'Low scenario'!AG82</f>
        <v>6263295147.9641237</v>
      </c>
      <c r="Q79" s="6">
        <f t="shared" si="13"/>
        <v>122.22437273958415</v>
      </c>
      <c r="R79" s="7"/>
      <c r="S79" s="3"/>
    </row>
    <row r="80" spans="4:19" x14ac:dyDescent="0.2">
      <c r="D80" s="7">
        <f t="shared" si="14"/>
        <v>2032</v>
      </c>
      <c r="E80" s="9">
        <f>'Central scenario'!AG83</f>
        <v>7175330994.2775431</v>
      </c>
      <c r="F80" s="9">
        <f t="shared" si="11"/>
        <v>140.02219426934354</v>
      </c>
      <c r="G80" s="7"/>
      <c r="H80" s="3">
        <f t="shared" si="10"/>
        <v>52</v>
      </c>
      <c r="K80" s="9">
        <f>'High scenario'!AG83</f>
        <v>8010135303.330677</v>
      </c>
      <c r="L80" s="9">
        <f t="shared" si="12"/>
        <v>156.31288960205305</v>
      </c>
      <c r="M80" s="7"/>
      <c r="O80" s="7">
        <f t="shared" si="15"/>
        <v>2032</v>
      </c>
      <c r="P80" s="9">
        <f>'Low scenario'!AG83</f>
        <v>6284499079.9876585</v>
      </c>
      <c r="Q80" s="9">
        <f t="shared" si="13"/>
        <v>122.6381544998181</v>
      </c>
      <c r="R80" s="7"/>
      <c r="S80" s="3"/>
    </row>
    <row r="81" spans="4:19" x14ac:dyDescent="0.2">
      <c r="D81" s="7">
        <f t="shared" si="14"/>
        <v>2032</v>
      </c>
      <c r="E81" s="9">
        <f>'Central scenario'!AG84</f>
        <v>7231311390.1664839</v>
      </c>
      <c r="F81" s="9">
        <f t="shared" si="11"/>
        <v>141.1146174446211</v>
      </c>
      <c r="G81" s="10">
        <f>AVERAGE(E79:E82)/AVERAGE(E75:E78)-1</f>
        <v>2.5686784207568092E-2</v>
      </c>
      <c r="H81" s="3">
        <f t="shared" si="10"/>
        <v>52</v>
      </c>
      <c r="K81" s="9">
        <f>'High scenario'!AG84</f>
        <v>8103228656.1810408</v>
      </c>
      <c r="L81" s="9">
        <f t="shared" si="12"/>
        <v>158.129549425606</v>
      </c>
      <c r="M81" s="10">
        <f>AVERAGE(K79:K82)/AVERAGE(K75:K78)-1</f>
        <v>3.5073609252844085E-2</v>
      </c>
      <c r="O81" s="7">
        <f t="shared" si="15"/>
        <v>2032</v>
      </c>
      <c r="P81" s="9">
        <f>'Low scenario'!AG84</f>
        <v>6264828539.2787752</v>
      </c>
      <c r="Q81" s="9">
        <f t="shared" si="13"/>
        <v>122.2542959329145</v>
      </c>
      <c r="R81" s="10">
        <f>AVERAGE(P79:P82)/AVERAGE(P75:P78)-1</f>
        <v>7.6857010601145692E-3</v>
      </c>
      <c r="S81" s="3"/>
    </row>
    <row r="82" spans="4:19" x14ac:dyDescent="0.2">
      <c r="D82" s="7">
        <f t="shared" si="14"/>
        <v>2032</v>
      </c>
      <c r="E82" s="9">
        <f>'Central scenario'!AG85</f>
        <v>7262779713.7828207</v>
      </c>
      <c r="F82" s="9">
        <f t="shared" si="11"/>
        <v>141.72870252672411</v>
      </c>
      <c r="G82" s="7"/>
      <c r="H82" s="3">
        <f t="shared" si="10"/>
        <v>52</v>
      </c>
      <c r="K82" s="9">
        <f>'High scenario'!AG85</f>
        <v>8153282705.8475914</v>
      </c>
      <c r="L82" s="9">
        <f t="shared" si="12"/>
        <v>159.10632358027101</v>
      </c>
      <c r="M82" s="7"/>
      <c r="O82" s="7">
        <f t="shared" si="15"/>
        <v>2032</v>
      </c>
      <c r="P82" s="9">
        <f>'Low scenario'!AG85</f>
        <v>6323915498.4455051</v>
      </c>
      <c r="Q82" s="9">
        <f t="shared" si="13"/>
        <v>123.40734178986897</v>
      </c>
      <c r="R82" s="7"/>
      <c r="S82" s="3"/>
    </row>
    <row r="83" spans="4:19" x14ac:dyDescent="0.2">
      <c r="D83" s="5">
        <f t="shared" si="14"/>
        <v>2033</v>
      </c>
      <c r="E83" s="6">
        <f>'Central scenario'!AG86</f>
        <v>7325803152.7788277</v>
      </c>
      <c r="F83" s="6">
        <f t="shared" si="11"/>
        <v>142.9585663790898</v>
      </c>
      <c r="G83" s="7"/>
      <c r="H83" s="3">
        <f t="shared" ref="H83:H114" si="16">H82</f>
        <v>52</v>
      </c>
      <c r="K83" s="6">
        <f>'High scenario'!AG86</f>
        <v>8227276879.0186453</v>
      </c>
      <c r="L83" s="6">
        <f t="shared" si="12"/>
        <v>160.55027459783656</v>
      </c>
      <c r="M83" s="7"/>
      <c r="O83" s="5">
        <f t="shared" si="15"/>
        <v>2033</v>
      </c>
      <c r="P83" s="6">
        <f>'Low scenario'!AG86</f>
        <v>6315077571.2341928</v>
      </c>
      <c r="Q83" s="6">
        <f t="shared" si="13"/>
        <v>123.23487504765072</v>
      </c>
      <c r="R83" s="7"/>
      <c r="S83" s="3"/>
    </row>
    <row r="84" spans="4:19" x14ac:dyDescent="0.2">
      <c r="D84" s="7">
        <f t="shared" si="14"/>
        <v>2033</v>
      </c>
      <c r="E84" s="9">
        <f>'Central scenario'!AG87</f>
        <v>7361022195.5158739</v>
      </c>
      <c r="F84" s="9">
        <f t="shared" si="11"/>
        <v>143.64584445003035</v>
      </c>
      <c r="G84" s="7"/>
      <c r="H84" s="3">
        <f t="shared" si="16"/>
        <v>52</v>
      </c>
      <c r="K84" s="9">
        <f>'High scenario'!AG87</f>
        <v>8306045823.7527637</v>
      </c>
      <c r="L84" s="9">
        <f t="shared" si="12"/>
        <v>162.08740236110603</v>
      </c>
      <c r="M84" s="7"/>
      <c r="O84" s="7">
        <f t="shared" si="15"/>
        <v>2033</v>
      </c>
      <c r="P84" s="9">
        <f>'Low scenario'!AG87</f>
        <v>6338777032.1698389</v>
      </c>
      <c r="Q84" s="9">
        <f t="shared" si="13"/>
        <v>123.69735552776464</v>
      </c>
      <c r="R84" s="7"/>
      <c r="S84" s="3"/>
    </row>
    <row r="85" spans="4:19" x14ac:dyDescent="0.2">
      <c r="D85" s="7">
        <f t="shared" si="14"/>
        <v>2033</v>
      </c>
      <c r="E85" s="9">
        <f>'Central scenario'!AG88</f>
        <v>7433849466.1865387</v>
      </c>
      <c r="F85" s="9">
        <f t="shared" si="11"/>
        <v>145.06702407924698</v>
      </c>
      <c r="G85" s="10">
        <f>AVERAGE(E83:E86)/AVERAGE(E79:E82)-1</f>
        <v>2.729289636916854E-2</v>
      </c>
      <c r="H85" s="3">
        <f t="shared" si="16"/>
        <v>52</v>
      </c>
      <c r="K85" s="9">
        <f>'High scenario'!AG88</f>
        <v>8393673419.3221645</v>
      </c>
      <c r="L85" s="9">
        <f t="shared" si="12"/>
        <v>163.79740127543621</v>
      </c>
      <c r="M85" s="10">
        <f>AVERAGE(K83:K86)/AVERAGE(K79:K82)-1</f>
        <v>3.8516640042307593E-2</v>
      </c>
      <c r="O85" s="7">
        <f t="shared" si="15"/>
        <v>2033</v>
      </c>
      <c r="P85" s="9">
        <f>'Low scenario'!AG88</f>
        <v>6351529844.440134</v>
      </c>
      <c r="Q85" s="9">
        <f t="shared" si="13"/>
        <v>123.94621885666415</v>
      </c>
      <c r="R85" s="10">
        <f>AVERAGE(P83:P86)/AVERAGE(P79:P82)-1</f>
        <v>8.389985175068615E-3</v>
      </c>
      <c r="S85" s="3"/>
    </row>
    <row r="86" spans="4:19" x14ac:dyDescent="0.2">
      <c r="D86" s="7">
        <f t="shared" si="14"/>
        <v>2033</v>
      </c>
      <c r="E86" s="9">
        <f>'Central scenario'!AG89</f>
        <v>7470321321.7603235</v>
      </c>
      <c r="F86" s="9">
        <f t="shared" si="11"/>
        <v>145.77875002618777</v>
      </c>
      <c r="G86" s="7"/>
      <c r="H86" s="3">
        <f t="shared" si="16"/>
        <v>52</v>
      </c>
      <c r="K86" s="9">
        <f>'High scenario'!AG89</f>
        <v>8516940918.0996399</v>
      </c>
      <c r="L86" s="9">
        <f t="shared" si="12"/>
        <v>166.2028910953039</v>
      </c>
      <c r="M86" s="7"/>
      <c r="O86" s="7">
        <f t="shared" si="15"/>
        <v>2033</v>
      </c>
      <c r="P86" s="9">
        <f>'Low scenario'!AG89</f>
        <v>6342049001.2334633</v>
      </c>
      <c r="Q86" s="9">
        <f t="shared" si="13"/>
        <v>123.76120600215188</v>
      </c>
      <c r="R86" s="7"/>
      <c r="S86" s="3"/>
    </row>
    <row r="87" spans="4:19" x14ac:dyDescent="0.2">
      <c r="D87" s="5">
        <f t="shared" si="14"/>
        <v>2034</v>
      </c>
      <c r="E87" s="6">
        <f>'Central scenario'!AG90</f>
        <v>7474322287.3695383</v>
      </c>
      <c r="F87" s="6">
        <f t="shared" si="11"/>
        <v>145.85682642214013</v>
      </c>
      <c r="G87" s="7"/>
      <c r="H87" s="3">
        <f t="shared" si="16"/>
        <v>52</v>
      </c>
      <c r="K87" s="6">
        <f>'High scenario'!AG90</f>
        <v>8560443952.1961517</v>
      </c>
      <c r="L87" s="6">
        <f t="shared" si="12"/>
        <v>167.05182618922856</v>
      </c>
      <c r="M87" s="7"/>
      <c r="O87" s="5">
        <f t="shared" si="15"/>
        <v>2034</v>
      </c>
      <c r="P87" s="6">
        <f>'Low scenario'!AG90</f>
        <v>6341204720.4044123</v>
      </c>
      <c r="Q87" s="6">
        <f t="shared" si="13"/>
        <v>123.74473037832942</v>
      </c>
      <c r="R87" s="7"/>
      <c r="S87" s="3"/>
    </row>
    <row r="88" spans="4:19" x14ac:dyDescent="0.2">
      <c r="D88" s="7">
        <f t="shared" si="14"/>
        <v>2034</v>
      </c>
      <c r="E88" s="9">
        <f>'Central scenario'!AG91</f>
        <v>7533902664.7472897</v>
      </c>
      <c r="F88" s="9">
        <f t="shared" si="11"/>
        <v>147.01950103359454</v>
      </c>
      <c r="G88" s="7"/>
      <c r="H88" s="3">
        <f t="shared" si="16"/>
        <v>52</v>
      </c>
      <c r="K88" s="9">
        <f>'High scenario'!AG91</f>
        <v>8611380425.7928925</v>
      </c>
      <c r="L88" s="9">
        <f t="shared" si="12"/>
        <v>168.04582030699765</v>
      </c>
      <c r="M88" s="7"/>
      <c r="O88" s="7">
        <f t="shared" si="15"/>
        <v>2034</v>
      </c>
      <c r="P88" s="9">
        <f>'Low scenario'!AG91</f>
        <v>6380936831.1642809</v>
      </c>
      <c r="Q88" s="9">
        <f t="shared" si="13"/>
        <v>124.52007821050417</v>
      </c>
      <c r="R88" s="7"/>
      <c r="S88" s="3"/>
    </row>
    <row r="89" spans="4:19" x14ac:dyDescent="0.2">
      <c r="D89" s="7">
        <f t="shared" si="14"/>
        <v>2034</v>
      </c>
      <c r="E89" s="9">
        <f>'Central scenario'!AG92</f>
        <v>7516181335.0224304</v>
      </c>
      <c r="F89" s="9">
        <f t="shared" si="11"/>
        <v>146.67368012645807</v>
      </c>
      <c r="G89" s="10">
        <f>AVERAGE(E87:E90)/AVERAGE(E83:E86)-1</f>
        <v>1.7208219460950858E-2</v>
      </c>
      <c r="H89" s="3">
        <f t="shared" si="16"/>
        <v>52</v>
      </c>
      <c r="K89" s="9">
        <f>'High scenario'!AG92</f>
        <v>8726708299.5465279</v>
      </c>
      <c r="L89" s="9">
        <f t="shared" si="12"/>
        <v>170.29637320222724</v>
      </c>
      <c r="M89" s="10">
        <f>AVERAGE(K87:K90)/AVERAGE(K83:K86)-1</f>
        <v>3.6839082998897155E-2</v>
      </c>
      <c r="O89" s="7">
        <f t="shared" si="15"/>
        <v>2034</v>
      </c>
      <c r="P89" s="9">
        <f>'Low scenario'!AG92</f>
        <v>6401156567.5474977</v>
      </c>
      <c r="Q89" s="9">
        <f t="shared" si="13"/>
        <v>124.9146539949779</v>
      </c>
      <c r="R89" s="10">
        <f>AVERAGE(P87:P90)/AVERAGE(P83:P86)-1</f>
        <v>6.9256269251893876E-3</v>
      </c>
      <c r="S89" s="3"/>
    </row>
    <row r="90" spans="4:19" x14ac:dyDescent="0.2">
      <c r="D90" s="7">
        <f t="shared" si="14"/>
        <v>2034</v>
      </c>
      <c r="E90" s="9">
        <f>'Central scenario'!AG93</f>
        <v>7575798204.6828947</v>
      </c>
      <c r="F90" s="9">
        <f t="shared" si="11"/>
        <v>147.83706686248252</v>
      </c>
      <c r="G90" s="7"/>
      <c r="H90" s="3">
        <f t="shared" si="16"/>
        <v>52</v>
      </c>
      <c r="K90" s="9">
        <f>'High scenario'!AG93</f>
        <v>8777448335.0912094</v>
      </c>
      <c r="L90" s="9">
        <f t="shared" si="12"/>
        <v>171.28653395159711</v>
      </c>
      <c r="M90" s="7"/>
      <c r="O90" s="7">
        <f t="shared" si="15"/>
        <v>2034</v>
      </c>
      <c r="P90" s="9">
        <f>'Low scenario'!AG93</f>
        <v>6399682197.5408173</v>
      </c>
      <c r="Q90" s="9">
        <f t="shared" si="13"/>
        <v>124.8858825663616</v>
      </c>
      <c r="R90" s="7"/>
      <c r="S90" s="3"/>
    </row>
    <row r="91" spans="4:19" x14ac:dyDescent="0.2">
      <c r="D91" s="5">
        <f t="shared" si="14"/>
        <v>2035</v>
      </c>
      <c r="E91" s="6">
        <f>'Central scenario'!AG94</f>
        <v>7641514484.4090061</v>
      </c>
      <c r="F91" s="6">
        <f t="shared" si="11"/>
        <v>149.11947985413499</v>
      </c>
      <c r="G91" s="7"/>
      <c r="H91" s="3">
        <f t="shared" si="16"/>
        <v>52</v>
      </c>
      <c r="K91" s="6">
        <f>'High scenario'!AG94</f>
        <v>8801017361.4574337</v>
      </c>
      <c r="L91" s="6">
        <f t="shared" si="12"/>
        <v>171.74646908089258</v>
      </c>
      <c r="M91" s="7"/>
      <c r="O91" s="5">
        <f t="shared" si="15"/>
        <v>2035</v>
      </c>
      <c r="P91" s="6">
        <f>'Low scenario'!AG94</f>
        <v>6444441392.4171867</v>
      </c>
      <c r="Q91" s="6">
        <f t="shared" si="13"/>
        <v>125.75933086934812</v>
      </c>
      <c r="R91" s="7"/>
      <c r="S91" s="3"/>
    </row>
    <row r="92" spans="4:19" x14ac:dyDescent="0.2">
      <c r="D92" s="7">
        <f t="shared" si="14"/>
        <v>2035</v>
      </c>
      <c r="E92" s="9">
        <f>'Central scenario'!AG95</f>
        <v>7708234706.8338366</v>
      </c>
      <c r="F92" s="9">
        <f t="shared" si="11"/>
        <v>150.42148417331052</v>
      </c>
      <c r="G92" s="7"/>
      <c r="H92" s="3">
        <f t="shared" si="16"/>
        <v>52</v>
      </c>
      <c r="K92" s="9">
        <f>'High scenario'!AG95</f>
        <v>8848469187.0332279</v>
      </c>
      <c r="L92" s="9">
        <f t="shared" si="12"/>
        <v>172.67246242454567</v>
      </c>
      <c r="M92" s="7"/>
      <c r="O92" s="7">
        <f t="shared" si="15"/>
        <v>2035</v>
      </c>
      <c r="P92" s="9">
        <f>'Low scenario'!AG95</f>
        <v>6480422024.47015</v>
      </c>
      <c r="Q92" s="9">
        <f t="shared" si="13"/>
        <v>126.46147088982546</v>
      </c>
      <c r="R92" s="7"/>
      <c r="S92" s="3"/>
    </row>
    <row r="93" spans="4:19" x14ac:dyDescent="0.2">
      <c r="D93" s="7">
        <f t="shared" si="14"/>
        <v>2035</v>
      </c>
      <c r="E93" s="9">
        <f>'Central scenario'!AG96</f>
        <v>7731958043.6254244</v>
      </c>
      <c r="F93" s="9">
        <f t="shared" si="11"/>
        <v>150.88443057614518</v>
      </c>
      <c r="G93" s="10">
        <f>AVERAGE(E91:E94)/AVERAGE(E87:E90)-1</f>
        <v>2.5271663107623521E-2</v>
      </c>
      <c r="H93" s="3">
        <f t="shared" si="16"/>
        <v>52</v>
      </c>
      <c r="K93" s="9">
        <f>'High scenario'!AG96</f>
        <v>8911619498.7004356</v>
      </c>
      <c r="L93" s="9">
        <f t="shared" si="12"/>
        <v>173.9048021194653</v>
      </c>
      <c r="M93" s="10">
        <f>AVERAGE(K91:K94)/AVERAGE(K87:K90)-1</f>
        <v>2.5701201744293689E-2</v>
      </c>
      <c r="O93" s="7">
        <f t="shared" si="15"/>
        <v>2035</v>
      </c>
      <c r="P93" s="9">
        <f>'Low scenario'!AG96</f>
        <v>6479837782.8115005</v>
      </c>
      <c r="Q93" s="9">
        <f t="shared" si="13"/>
        <v>126.45006977131361</v>
      </c>
      <c r="R93" s="10">
        <f>AVERAGE(P91:P94)/AVERAGE(P87:P90)-1</f>
        <v>1.7204921060651746E-2</v>
      </c>
      <c r="S93" s="3"/>
    </row>
    <row r="94" spans="4:19" x14ac:dyDescent="0.2">
      <c r="D94" s="7">
        <f t="shared" si="14"/>
        <v>2035</v>
      </c>
      <c r="E94" s="9">
        <f>'Central scenario'!AG97</f>
        <v>7779179484.341794</v>
      </c>
      <c r="F94" s="9">
        <f t="shared" si="11"/>
        <v>151.80592810022301</v>
      </c>
      <c r="G94" s="7"/>
      <c r="H94" s="3">
        <f t="shared" si="16"/>
        <v>52</v>
      </c>
      <c r="K94" s="9">
        <f>'High scenario'!AG97</f>
        <v>9006089349.1225071</v>
      </c>
      <c r="L94" s="9">
        <f t="shared" si="12"/>
        <v>175.74832345094737</v>
      </c>
      <c r="M94" s="7"/>
      <c r="O94" s="7">
        <f t="shared" si="15"/>
        <v>2035</v>
      </c>
      <c r="P94" s="9">
        <f>'Low scenario'!AG97</f>
        <v>6557399978.5388231</v>
      </c>
      <c r="Q94" s="9">
        <f t="shared" si="13"/>
        <v>127.9636485660409</v>
      </c>
      <c r="R94" s="7"/>
      <c r="S94" s="3"/>
    </row>
    <row r="95" spans="4:19" x14ac:dyDescent="0.2">
      <c r="D95" s="5">
        <f t="shared" si="14"/>
        <v>2036</v>
      </c>
      <c r="E95" s="6">
        <f>'Central scenario'!AG98</f>
        <v>7818414719.8783436</v>
      </c>
      <c r="F95" s="6">
        <f t="shared" si="11"/>
        <v>152.57157971641794</v>
      </c>
      <c r="G95" s="7"/>
      <c r="H95" s="3">
        <f t="shared" si="16"/>
        <v>52</v>
      </c>
      <c r="K95" s="6">
        <f>'High scenario'!AG98</f>
        <v>9005030022.2384777</v>
      </c>
      <c r="L95" s="6">
        <f t="shared" si="12"/>
        <v>175.72765133493368</v>
      </c>
      <c r="M95" s="7"/>
      <c r="O95" s="5">
        <f t="shared" si="15"/>
        <v>2036</v>
      </c>
      <c r="P95" s="6">
        <f>'Low scenario'!AG98</f>
        <v>6550860558.9677496</v>
      </c>
      <c r="Q95" s="6">
        <f t="shared" si="13"/>
        <v>127.83603579412559</v>
      </c>
      <c r="R95" s="7"/>
      <c r="S95" s="3"/>
    </row>
    <row r="96" spans="4:19" x14ac:dyDescent="0.2">
      <c r="D96" s="7">
        <f t="shared" si="14"/>
        <v>2036</v>
      </c>
      <c r="E96" s="9">
        <f>'Central scenario'!AG99</f>
        <v>7895506535.3754034</v>
      </c>
      <c r="F96" s="9">
        <f t="shared" si="11"/>
        <v>154.07597932874449</v>
      </c>
      <c r="G96" s="7"/>
      <c r="H96" s="3">
        <f t="shared" si="16"/>
        <v>52</v>
      </c>
      <c r="K96" s="9">
        <f>'High scenario'!AG99</f>
        <v>9103166639.7476711</v>
      </c>
      <c r="L96" s="9">
        <f t="shared" si="12"/>
        <v>177.64272738268224</v>
      </c>
      <c r="M96" s="7"/>
      <c r="O96" s="7">
        <f t="shared" si="15"/>
        <v>2036</v>
      </c>
      <c r="P96" s="9">
        <f>'Low scenario'!AG99</f>
        <v>6596701648.4027033</v>
      </c>
      <c r="Q96" s="9">
        <f t="shared" si="13"/>
        <v>128.73059660748714</v>
      </c>
      <c r="R96" s="7"/>
      <c r="S96" s="3"/>
    </row>
    <row r="97" spans="4:19" x14ac:dyDescent="0.2">
      <c r="D97" s="7">
        <f t="shared" si="14"/>
        <v>2036</v>
      </c>
      <c r="E97" s="9">
        <f>'Central scenario'!AG100</f>
        <v>7949138177.2128954</v>
      </c>
      <c r="F97" s="9">
        <f t="shared" si="11"/>
        <v>155.12256800574659</v>
      </c>
      <c r="G97" s="10">
        <f>AVERAGE(E95:E98)/AVERAGE(E91:E94)-1</f>
        <v>2.5894297724105453E-2</v>
      </c>
      <c r="H97" s="3">
        <f t="shared" si="16"/>
        <v>52</v>
      </c>
      <c r="K97" s="9">
        <f>'High scenario'!AG100</f>
        <v>9174017126.0924301</v>
      </c>
      <c r="L97" s="9">
        <f t="shared" si="12"/>
        <v>179.02533127523509</v>
      </c>
      <c r="M97" s="10">
        <f>AVERAGE(K95:K98)/AVERAGE(K91:K94)-1</f>
        <v>2.7975777771884314E-2</v>
      </c>
      <c r="O97" s="7">
        <f t="shared" si="15"/>
        <v>2036</v>
      </c>
      <c r="P97" s="9">
        <f>'Low scenario'!AG100</f>
        <v>6621986154.0306377</v>
      </c>
      <c r="Q97" s="9">
        <f t="shared" si="13"/>
        <v>129.2240082649929</v>
      </c>
      <c r="R97" s="10">
        <f>AVERAGE(P95:P98)/AVERAGE(P91:P94)-1</f>
        <v>1.546312168264774E-2</v>
      </c>
      <c r="S97" s="3"/>
    </row>
    <row r="98" spans="4:19" x14ac:dyDescent="0.2">
      <c r="D98" s="7">
        <f t="shared" si="14"/>
        <v>2036</v>
      </c>
      <c r="E98" s="9">
        <f>'Central scenario'!AG101</f>
        <v>7996948275.4805355</v>
      </c>
      <c r="F98" s="9">
        <f t="shared" si="11"/>
        <v>156.05555282177903</v>
      </c>
      <c r="G98" s="7"/>
      <c r="H98" s="3">
        <f t="shared" si="16"/>
        <v>52</v>
      </c>
      <c r="K98" s="9">
        <f>'High scenario'!AG101</f>
        <v>9280001562.6114807</v>
      </c>
      <c r="L98" s="9">
        <f t="shared" si="12"/>
        <v>181.09355270942854</v>
      </c>
      <c r="M98" s="7"/>
      <c r="O98" s="7">
        <f t="shared" si="15"/>
        <v>2036</v>
      </c>
      <c r="P98" s="9">
        <f>'Low scenario'!AG101</f>
        <v>6594007946.4928665</v>
      </c>
      <c r="Q98" s="9">
        <f t="shared" si="13"/>
        <v>128.67803066280479</v>
      </c>
      <c r="R98" s="7"/>
      <c r="S98" s="3"/>
    </row>
    <row r="99" spans="4:19" x14ac:dyDescent="0.2">
      <c r="D99" s="5">
        <f t="shared" si="14"/>
        <v>2037</v>
      </c>
      <c r="E99" s="6">
        <f>'Central scenario'!AG102</f>
        <v>8045361894.9863729</v>
      </c>
      <c r="F99" s="6">
        <f t="shared" si="11"/>
        <v>157.00031498552241</v>
      </c>
      <c r="G99" s="7"/>
      <c r="H99" s="3">
        <f t="shared" si="16"/>
        <v>52</v>
      </c>
      <c r="K99" s="6">
        <f>'High scenario'!AG102</f>
        <v>9312895652.2433777</v>
      </c>
      <c r="L99" s="6">
        <f t="shared" si="12"/>
        <v>181.73546074299855</v>
      </c>
      <c r="M99" s="7"/>
      <c r="O99" s="5">
        <f t="shared" si="15"/>
        <v>2037</v>
      </c>
      <c r="P99" s="6">
        <f>'Low scenario'!AG102</f>
        <v>6647828443.1974735</v>
      </c>
      <c r="Q99" s="6">
        <f t="shared" si="13"/>
        <v>129.72830472699155</v>
      </c>
      <c r="R99" s="7"/>
      <c r="S99" s="3"/>
    </row>
    <row r="100" spans="4:19" x14ac:dyDescent="0.2">
      <c r="D100" s="7">
        <f t="shared" si="14"/>
        <v>2037</v>
      </c>
      <c r="E100" s="9">
        <f>'Central scenario'!AG103</f>
        <v>8034177051.8681011</v>
      </c>
      <c r="F100" s="9">
        <f t="shared" si="11"/>
        <v>156.7820496152938</v>
      </c>
      <c r="G100" s="7"/>
      <c r="H100" s="3">
        <f t="shared" si="16"/>
        <v>52</v>
      </c>
      <c r="K100" s="9">
        <f>'High scenario'!AG103</f>
        <v>9373205695.3298283</v>
      </c>
      <c r="L100" s="9">
        <f t="shared" si="12"/>
        <v>182.91237433432673</v>
      </c>
      <c r="M100" s="7"/>
      <c r="O100" s="7">
        <f t="shared" si="15"/>
        <v>2037</v>
      </c>
      <c r="P100" s="9">
        <f>'Low scenario'!AG103</f>
        <v>6656334907.8214855</v>
      </c>
      <c r="Q100" s="9">
        <f t="shared" si="13"/>
        <v>129.89430317961745</v>
      </c>
      <c r="R100" s="7"/>
      <c r="S100" s="3"/>
    </row>
    <row r="101" spans="4:19" x14ac:dyDescent="0.2">
      <c r="D101" s="7">
        <f t="shared" si="14"/>
        <v>2037</v>
      </c>
      <c r="E101" s="9">
        <f>'Central scenario'!AG104</f>
        <v>8084387968.8121347</v>
      </c>
      <c r="F101" s="9">
        <f t="shared" si="11"/>
        <v>157.76188493890274</v>
      </c>
      <c r="G101" s="10">
        <f>AVERAGE(E99:E102)/AVERAGE(E95:E98)-1</f>
        <v>2.0571484384780181E-2</v>
      </c>
      <c r="H101" s="3">
        <f t="shared" si="16"/>
        <v>52</v>
      </c>
      <c r="K101" s="9">
        <f>'High scenario'!AG104</f>
        <v>9415066801.8613377</v>
      </c>
      <c r="L101" s="9">
        <f t="shared" si="12"/>
        <v>183.72926821640118</v>
      </c>
      <c r="M101" s="10">
        <f>AVERAGE(K99:K102)/AVERAGE(K95:K98)-1</f>
        <v>2.8928513502670006E-2</v>
      </c>
      <c r="O101" s="7">
        <f t="shared" si="15"/>
        <v>2037</v>
      </c>
      <c r="P101" s="9">
        <f>'Low scenario'!AG104</f>
        <v>6684086004.408226</v>
      </c>
      <c r="Q101" s="9">
        <f t="shared" si="13"/>
        <v>130.43584885054952</v>
      </c>
      <c r="R101" s="10">
        <f>AVERAGE(P99:P102)/AVERAGE(P95:P98)-1</f>
        <v>1.2553595533779882E-2</v>
      </c>
      <c r="S101" s="3"/>
    </row>
    <row r="102" spans="4:19" x14ac:dyDescent="0.2">
      <c r="D102" s="7">
        <f t="shared" si="14"/>
        <v>2037</v>
      </c>
      <c r="E102" s="9">
        <f>'Central scenario'!AG105</f>
        <v>8147374146.4666214</v>
      </c>
      <c r="F102" s="9">
        <f t="shared" si="11"/>
        <v>158.99102165898628</v>
      </c>
      <c r="G102" s="7"/>
      <c r="H102" s="3">
        <f t="shared" si="16"/>
        <v>52</v>
      </c>
      <c r="K102" s="9">
        <f>'High scenario'!AG105</f>
        <v>9518737741.7154903</v>
      </c>
      <c r="L102" s="9">
        <f t="shared" si="12"/>
        <v>185.75234317864621</v>
      </c>
      <c r="M102" s="7"/>
      <c r="O102" s="7">
        <f t="shared" si="15"/>
        <v>2037</v>
      </c>
      <c r="P102" s="9">
        <f>'Low scenario'!AG105</f>
        <v>6706264375.1881065</v>
      </c>
      <c r="Q102" s="9">
        <f t="shared" si="13"/>
        <v>130.86864618692255</v>
      </c>
      <c r="R102" s="7"/>
      <c r="S102" s="3"/>
    </row>
    <row r="103" spans="4:19" x14ac:dyDescent="0.2">
      <c r="D103" s="5">
        <f t="shared" si="14"/>
        <v>2038</v>
      </c>
      <c r="E103" s="6">
        <f>'Central scenario'!AG106</f>
        <v>8221041392.4276419</v>
      </c>
      <c r="F103" s="6">
        <f t="shared" ref="F103:F114" si="17">E103/$B$14*100</f>
        <v>160.42859289207198</v>
      </c>
      <c r="G103" s="7"/>
      <c r="H103" s="3">
        <f t="shared" si="16"/>
        <v>52</v>
      </c>
      <c r="K103" s="6">
        <f>'High scenario'!AG106</f>
        <v>9619923156.8194828</v>
      </c>
      <c r="L103" s="6">
        <f t="shared" ref="L103:L114" si="18">K103/$B$14*100</f>
        <v>187.72691464611088</v>
      </c>
      <c r="M103" s="7"/>
      <c r="O103" s="5">
        <f t="shared" si="15"/>
        <v>2038</v>
      </c>
      <c r="P103" s="6">
        <f>'Low scenario'!AG106</f>
        <v>6743274238.3109894</v>
      </c>
      <c r="Q103" s="6">
        <f t="shared" ref="Q103:Q114" si="19">P103/$B$14*100</f>
        <v>131.59087102201474</v>
      </c>
      <c r="R103" s="7"/>
      <c r="S103" s="3"/>
    </row>
    <row r="104" spans="4:19" x14ac:dyDescent="0.2">
      <c r="D104" s="7">
        <f t="shared" si="14"/>
        <v>2038</v>
      </c>
      <c r="E104" s="9">
        <f>'Central scenario'!AG107</f>
        <v>8264099606.0479059</v>
      </c>
      <c r="F104" s="9">
        <f t="shared" si="17"/>
        <v>161.26884758655726</v>
      </c>
      <c r="G104" s="7"/>
      <c r="H104" s="3">
        <f t="shared" si="16"/>
        <v>52</v>
      </c>
      <c r="K104" s="9">
        <f>'High scenario'!AG107</f>
        <v>9689615464.8983326</v>
      </c>
      <c r="L104" s="9">
        <f t="shared" si="18"/>
        <v>189.08691739841294</v>
      </c>
      <c r="M104" s="7"/>
      <c r="O104" s="7">
        <f t="shared" si="15"/>
        <v>2038</v>
      </c>
      <c r="P104" s="9">
        <f>'Low scenario'!AG107</f>
        <v>6773521917.1257591</v>
      </c>
      <c r="Q104" s="9">
        <f t="shared" si="19"/>
        <v>132.18113596764252</v>
      </c>
      <c r="R104" s="7"/>
      <c r="S104" s="3"/>
    </row>
    <row r="105" spans="4:19" x14ac:dyDescent="0.2">
      <c r="D105" s="7">
        <f t="shared" si="14"/>
        <v>2038</v>
      </c>
      <c r="E105" s="9">
        <f>'Central scenario'!AG108</f>
        <v>8317820613.2006779</v>
      </c>
      <c r="F105" s="9">
        <f t="shared" si="17"/>
        <v>162.31718017301066</v>
      </c>
      <c r="G105" s="10">
        <f>AVERAGE(E103:E106)/AVERAGE(E99:E102)-1</f>
        <v>2.664178532980932E-2</v>
      </c>
      <c r="H105" s="3">
        <f t="shared" si="16"/>
        <v>52</v>
      </c>
      <c r="K105" s="9">
        <f>'High scenario'!AG108</f>
        <v>9737747920.0144787</v>
      </c>
      <c r="L105" s="9">
        <f t="shared" si="18"/>
        <v>190.02619281111632</v>
      </c>
      <c r="M105" s="10">
        <f>AVERAGE(K103:K106)/AVERAGE(K99:K102)-1</f>
        <v>3.245293367264046E-2</v>
      </c>
      <c r="O105" s="7">
        <f t="shared" si="15"/>
        <v>2038</v>
      </c>
      <c r="P105" s="9">
        <f>'Low scenario'!AG108</f>
        <v>6764602564.6440516</v>
      </c>
      <c r="Q105" s="9">
        <f t="shared" si="19"/>
        <v>132.00708026109095</v>
      </c>
      <c r="R105" s="10">
        <f>AVERAGE(P103:P106)/AVERAGE(P99:P102)-1</f>
        <v>1.3928671474969789E-2</v>
      </c>
      <c r="S105" s="3"/>
    </row>
    <row r="106" spans="4:19" x14ac:dyDescent="0.2">
      <c r="D106" s="7">
        <f t="shared" si="14"/>
        <v>2038</v>
      </c>
      <c r="E106" s="9">
        <f>'Central scenario'!AG109</f>
        <v>8369170197.0811968</v>
      </c>
      <c r="F106" s="9">
        <f t="shared" si="17"/>
        <v>163.31923588521434</v>
      </c>
      <c r="G106" s="7"/>
      <c r="H106" s="3">
        <f t="shared" si="16"/>
        <v>52</v>
      </c>
      <c r="K106" s="9">
        <f>'High scenario'!AG109</f>
        <v>9793495660.074213</v>
      </c>
      <c r="L106" s="9">
        <f t="shared" si="18"/>
        <v>191.11407585023278</v>
      </c>
      <c r="M106" s="7"/>
      <c r="O106" s="7">
        <f t="shared" si="15"/>
        <v>2038</v>
      </c>
      <c r="P106" s="9">
        <f>'Low scenario'!AG109</f>
        <v>6784934122.4723024</v>
      </c>
      <c r="Q106" s="9">
        <f t="shared" si="19"/>
        <v>132.40383817264876</v>
      </c>
      <c r="R106" s="7"/>
      <c r="S106" s="3"/>
    </row>
    <row r="107" spans="4:19" x14ac:dyDescent="0.2">
      <c r="D107" s="5">
        <f t="shared" si="14"/>
        <v>2039</v>
      </c>
      <c r="E107" s="6">
        <f>'Central scenario'!AG110</f>
        <v>8388887314.9237633</v>
      </c>
      <c r="F107" s="6">
        <f t="shared" si="17"/>
        <v>163.70400337638446</v>
      </c>
      <c r="G107" s="7"/>
      <c r="H107" s="3">
        <f t="shared" si="16"/>
        <v>52</v>
      </c>
      <c r="K107" s="6">
        <f>'High scenario'!AG110</f>
        <v>9866015295.447094</v>
      </c>
      <c r="L107" s="6">
        <f t="shared" si="18"/>
        <v>192.52925216483371</v>
      </c>
      <c r="M107" s="7"/>
      <c r="O107" s="5">
        <f t="shared" si="15"/>
        <v>2039</v>
      </c>
      <c r="P107" s="6">
        <f>'Low scenario'!AG110</f>
        <v>6834729541.6333866</v>
      </c>
      <c r="Q107" s="6">
        <f t="shared" si="19"/>
        <v>133.37556531123755</v>
      </c>
      <c r="R107" s="7"/>
      <c r="S107" s="3"/>
    </row>
    <row r="108" spans="4:19" x14ac:dyDescent="0.2">
      <c r="D108" s="7">
        <f t="shared" si="14"/>
        <v>2039</v>
      </c>
      <c r="E108" s="9">
        <f>'Central scenario'!AG111</f>
        <v>8400196828.0139532</v>
      </c>
      <c r="F108" s="9">
        <f t="shared" si="17"/>
        <v>163.92470160483822</v>
      </c>
      <c r="G108" s="7"/>
      <c r="H108" s="3">
        <f t="shared" si="16"/>
        <v>52</v>
      </c>
      <c r="K108" s="9">
        <f>'High scenario'!AG111</f>
        <v>9911626838.9428711</v>
      </c>
      <c r="L108" s="9">
        <f t="shared" si="18"/>
        <v>193.41933352963537</v>
      </c>
      <c r="M108" s="7"/>
      <c r="O108" s="7">
        <f t="shared" si="15"/>
        <v>2039</v>
      </c>
      <c r="P108" s="9">
        <f>'Low scenario'!AG111</f>
        <v>6831870822.9657536</v>
      </c>
      <c r="Q108" s="9">
        <f t="shared" si="19"/>
        <v>133.319779165489</v>
      </c>
      <c r="R108" s="7"/>
      <c r="S108" s="3"/>
    </row>
    <row r="109" spans="4:19" x14ac:dyDescent="0.2">
      <c r="D109" s="7">
        <f t="shared" si="14"/>
        <v>2039</v>
      </c>
      <c r="E109" s="9">
        <f>'Central scenario'!AG112</f>
        <v>8424223958.1972027</v>
      </c>
      <c r="F109" s="9">
        <f t="shared" si="17"/>
        <v>164.39357634984117</v>
      </c>
      <c r="G109" s="10">
        <f>AVERAGE(E107:E110)/AVERAGE(E103:E106)-1</f>
        <v>1.4422146140486536E-2</v>
      </c>
      <c r="H109" s="3">
        <f t="shared" si="16"/>
        <v>52</v>
      </c>
      <c r="K109" s="9">
        <f>'High scenario'!AG112</f>
        <v>10012036446.324221</v>
      </c>
      <c r="L109" s="9">
        <f t="shared" si="18"/>
        <v>195.37876558405526</v>
      </c>
      <c r="M109" s="10">
        <f>AVERAGE(K107:K110)/AVERAGE(K103:K106)-1</f>
        <v>2.7196881574554244E-2</v>
      </c>
      <c r="O109" s="7">
        <f t="shared" si="15"/>
        <v>2039</v>
      </c>
      <c r="P109" s="9">
        <f>'Low scenario'!AG112</f>
        <v>6830214542.7394123</v>
      </c>
      <c r="Q109" s="9">
        <f t="shared" si="19"/>
        <v>133.28745787023416</v>
      </c>
      <c r="R109" s="10">
        <f>AVERAGE(P107:P110)/AVERAGE(P103:P106)-1</f>
        <v>8.4865905253839191E-3</v>
      </c>
      <c r="S109" s="3"/>
    </row>
    <row r="110" spans="4:19" x14ac:dyDescent="0.2">
      <c r="D110" s="7">
        <f t="shared" si="14"/>
        <v>2039</v>
      </c>
      <c r="E110" s="9">
        <f>'Central scenario'!AG113</f>
        <v>8437237040.3598824</v>
      </c>
      <c r="F110" s="9">
        <f t="shared" si="17"/>
        <v>164.64751868644959</v>
      </c>
      <c r="G110" s="7"/>
      <c r="H110" s="3">
        <f t="shared" si="16"/>
        <v>52</v>
      </c>
      <c r="K110" s="9">
        <f>'High scenario'!AG113</f>
        <v>10107451774.897907</v>
      </c>
      <c r="L110" s="9">
        <f t="shared" si="18"/>
        <v>197.24073734319404</v>
      </c>
      <c r="M110" s="7"/>
      <c r="O110" s="7">
        <f t="shared" si="15"/>
        <v>2039</v>
      </c>
      <c r="P110" s="9">
        <f>'Low scenario'!AG113</f>
        <v>6799218819.0730419</v>
      </c>
      <c r="Q110" s="9">
        <f t="shared" si="19"/>
        <v>132.68259528700383</v>
      </c>
      <c r="R110" s="7"/>
      <c r="S110" s="3"/>
    </row>
    <row r="111" spans="4:19" x14ac:dyDescent="0.2">
      <c r="D111" s="5">
        <f t="shared" ref="D111:D114" si="20">D107+1</f>
        <v>2040</v>
      </c>
      <c r="E111" s="6">
        <f>'Central scenario'!AG114</f>
        <v>8435468895.094079</v>
      </c>
      <c r="F111" s="6">
        <f t="shared" si="17"/>
        <v>164.61301441339205</v>
      </c>
      <c r="G111" s="7"/>
      <c r="H111" s="3">
        <f t="shared" si="16"/>
        <v>52</v>
      </c>
      <c r="K111" s="6">
        <f>'High scenario'!AG114</f>
        <v>10156579230.931461</v>
      </c>
      <c r="L111" s="6">
        <f t="shared" si="18"/>
        <v>198.19942959002904</v>
      </c>
      <c r="M111" s="7"/>
      <c r="O111" s="5">
        <f t="shared" ref="O111:O114" si="21">O107+1</f>
        <v>2040</v>
      </c>
      <c r="P111" s="6">
        <f>'Low scenario'!AG114</f>
        <v>6833005414.1415348</v>
      </c>
      <c r="Q111" s="6">
        <f t="shared" si="19"/>
        <v>133.34192001810726</v>
      </c>
      <c r="R111" s="7"/>
      <c r="S111" s="3"/>
    </row>
    <row r="112" spans="4:19" x14ac:dyDescent="0.2">
      <c r="D112" s="7">
        <f t="shared" si="20"/>
        <v>2040</v>
      </c>
      <c r="E112" s="9">
        <f>'Central scenario'!AG115</f>
        <v>8480884714.5319891</v>
      </c>
      <c r="F112" s="9">
        <f t="shared" si="17"/>
        <v>165.49927634295435</v>
      </c>
      <c r="G112" s="7"/>
      <c r="H112" s="3">
        <f t="shared" si="16"/>
        <v>52</v>
      </c>
      <c r="K112" s="9">
        <f>'High scenario'!AG115</f>
        <v>10225410618.049047</v>
      </c>
      <c r="L112" s="9">
        <f t="shared" si="18"/>
        <v>199.54263199650944</v>
      </c>
      <c r="M112" s="7"/>
      <c r="O112" s="7">
        <f t="shared" si="21"/>
        <v>2040</v>
      </c>
      <c r="P112" s="9">
        <f>'Low scenario'!AG115</f>
        <v>6862472549.1455431</v>
      </c>
      <c r="Q112" s="9">
        <f t="shared" si="19"/>
        <v>133.91695312882828</v>
      </c>
      <c r="R112" s="7"/>
      <c r="S112" s="3"/>
    </row>
    <row r="113" spans="4:23" x14ac:dyDescent="0.2">
      <c r="D113" s="7">
        <f t="shared" si="20"/>
        <v>2040</v>
      </c>
      <c r="E113" s="9">
        <f>'Central scenario'!AG116</f>
        <v>8543652754.3390369</v>
      </c>
      <c r="F113" s="9">
        <f t="shared" si="17"/>
        <v>166.72415623640842</v>
      </c>
      <c r="G113" s="10">
        <f>AVERAGE(E111:E114)/AVERAGE(E107:E110)-1</f>
        <v>1.2051879048398773E-2</v>
      </c>
      <c r="H113" s="3">
        <f t="shared" si="16"/>
        <v>52</v>
      </c>
      <c r="K113" s="9">
        <f>'High scenario'!AG116</f>
        <v>10298569161.494724</v>
      </c>
      <c r="L113" s="9">
        <f t="shared" si="18"/>
        <v>200.97027621124775</v>
      </c>
      <c r="M113" s="10">
        <f>AVERAGE(K111:K114)/AVERAGE(K107:K110)-1</f>
        <v>2.8449781968706844E-2</v>
      </c>
      <c r="O113" s="7">
        <f t="shared" si="21"/>
        <v>2040</v>
      </c>
      <c r="P113" s="9">
        <f>'Low scenario'!AG116</f>
        <v>6889112659.7101536</v>
      </c>
      <c r="Q113" s="9">
        <f t="shared" si="19"/>
        <v>134.43681858727328</v>
      </c>
      <c r="R113" s="10">
        <f>AVERAGE(P111:P114)/AVERAGE(P107:P110)-1</f>
        <v>5.9872525895388051E-3</v>
      </c>
      <c r="S113" s="3"/>
    </row>
    <row r="114" spans="4:23" x14ac:dyDescent="0.2">
      <c r="D114" s="7">
        <f t="shared" si="20"/>
        <v>2040</v>
      </c>
      <c r="E114" s="9">
        <f>'Central scenario'!AG117</f>
        <v>8596091077.4876766</v>
      </c>
      <c r="F114" s="9">
        <f t="shared" si="17"/>
        <v>167.74745802930593</v>
      </c>
      <c r="G114" s="7"/>
      <c r="H114" s="3">
        <f t="shared" si="16"/>
        <v>52</v>
      </c>
      <c r="K114" s="9">
        <f>'High scenario'!AG117</f>
        <v>10351636004.931091</v>
      </c>
      <c r="L114" s="9">
        <f t="shared" si="18"/>
        <v>202.00584319301259</v>
      </c>
      <c r="M114" s="7"/>
      <c r="O114" s="7">
        <f t="shared" si="21"/>
        <v>2040</v>
      </c>
      <c r="P114" s="9">
        <f>'Low scenario'!AG117</f>
        <v>6874871352.0269613</v>
      </c>
      <c r="Q114" s="9">
        <f t="shared" si="19"/>
        <v>134.15890818109747</v>
      </c>
      <c r="R114" s="7"/>
      <c r="S114" s="3"/>
    </row>
    <row r="115" spans="4:23" x14ac:dyDescent="0.2">
      <c r="K115" s="13"/>
    </row>
    <row r="116" spans="4:23" x14ac:dyDescent="0.2">
      <c r="K116" s="13"/>
    </row>
    <row r="117" spans="4:23" x14ac:dyDescent="0.2">
      <c r="K117" s="13"/>
    </row>
    <row r="118" spans="4:23" x14ac:dyDescent="0.2">
      <c r="K118" s="13"/>
    </row>
    <row r="119" spans="4:23" x14ac:dyDescent="0.2">
      <c r="K119" s="13"/>
    </row>
    <row r="120" spans="4:23" x14ac:dyDescent="0.2">
      <c r="F120" t="s">
        <v>6</v>
      </c>
      <c r="K120" s="13"/>
      <c r="P120" t="s">
        <v>7</v>
      </c>
    </row>
    <row r="121" spans="4:23" x14ac:dyDescent="0.2">
      <c r="K121" s="13"/>
      <c r="W121" t="s">
        <v>8</v>
      </c>
    </row>
    <row r="122" spans="4:23" x14ac:dyDescent="0.2">
      <c r="K122" s="13"/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L120"/>
  <sheetViews>
    <sheetView zoomScale="75" zoomScaleNormal="75" workbookViewId="0">
      <selection activeCell="J14" sqref="J14"/>
    </sheetView>
  </sheetViews>
  <sheetFormatPr baseColWidth="10" defaultColWidth="9" defaultRowHeight="12.75" x14ac:dyDescent="0.2"/>
  <cols>
    <col min="6" max="7" width="14.85546875" style="32" customWidth="1"/>
    <col min="8" max="8" width="19" customWidth="1"/>
    <col min="9" max="9" width="14.85546875" customWidth="1"/>
    <col min="10" max="10" width="17.28515625" style="32" customWidth="1"/>
    <col min="11" max="11" width="15.85546875" style="32" customWidth="1"/>
    <col min="12" max="12" width="13.85546875" customWidth="1"/>
    <col min="13" max="13" width="15.28515625" customWidth="1"/>
    <col min="14" max="14" width="8.85546875" style="32" customWidth="1"/>
    <col min="17" max="18" width="13.42578125" customWidth="1"/>
    <col min="24" max="24" width="16.42578125" customWidth="1"/>
  </cols>
  <sheetData>
    <row r="1" spans="1:64" ht="12.75" customHeight="1" x14ac:dyDescent="0.2">
      <c r="A1" s="101"/>
      <c r="B1" s="102"/>
      <c r="C1" s="101"/>
      <c r="D1" s="101"/>
      <c r="E1" s="101"/>
      <c r="F1" s="103" t="s">
        <v>111</v>
      </c>
      <c r="G1" s="103" t="s">
        <v>112</v>
      </c>
      <c r="H1" s="101"/>
      <c r="I1" s="101"/>
      <c r="J1" s="104" t="s">
        <v>113</v>
      </c>
      <c r="K1" s="104" t="s">
        <v>114</v>
      </c>
      <c r="L1" s="101"/>
      <c r="M1" s="105"/>
      <c r="N1" s="106" t="s">
        <v>115</v>
      </c>
      <c r="O1" s="101"/>
      <c r="P1" s="102"/>
      <c r="Q1" s="101"/>
      <c r="R1" s="101"/>
      <c r="S1" s="101"/>
      <c r="T1" s="101"/>
      <c r="U1" s="102"/>
      <c r="V1" s="101"/>
      <c r="W1" s="101"/>
      <c r="X1" s="101"/>
      <c r="Y1" s="101"/>
      <c r="Z1" s="101"/>
      <c r="AA1" s="101"/>
      <c r="AB1" s="101"/>
      <c r="AC1" s="101"/>
      <c r="AD1" s="101"/>
      <c r="AE1" s="107"/>
      <c r="AF1" s="107"/>
      <c r="AG1" s="107"/>
      <c r="AH1" s="107"/>
      <c r="AI1" s="107"/>
      <c r="AJ1" s="107"/>
      <c r="AK1" s="107"/>
      <c r="AL1" s="107"/>
      <c r="AM1" s="107"/>
      <c r="AN1" s="107"/>
      <c r="AO1" s="107"/>
      <c r="AP1" s="107"/>
      <c r="AQ1" s="107"/>
      <c r="AR1" s="107"/>
      <c r="AS1" s="107"/>
      <c r="AT1" s="107"/>
      <c r="AU1" s="107"/>
      <c r="AV1" s="107"/>
      <c r="AW1" s="107"/>
      <c r="AX1" s="107"/>
      <c r="AY1" s="107"/>
      <c r="AZ1" s="107"/>
      <c r="BA1" s="107"/>
      <c r="BB1" s="107"/>
      <c r="BC1" s="107"/>
      <c r="BD1" s="107"/>
      <c r="BE1" s="107"/>
      <c r="BF1" s="107"/>
      <c r="BG1" s="107"/>
      <c r="BH1" s="107"/>
      <c r="BI1" s="107"/>
      <c r="BJ1" s="107"/>
      <c r="BK1" s="107"/>
      <c r="BL1" s="107"/>
    </row>
    <row r="2" spans="1:64" ht="12.75" customHeight="1" x14ac:dyDescent="0.2">
      <c r="A2" s="101"/>
      <c r="B2" s="102"/>
      <c r="C2" s="101"/>
      <c r="D2" s="101"/>
      <c r="E2" s="101"/>
      <c r="F2" s="104" t="s">
        <v>116</v>
      </c>
      <c r="G2" s="104" t="s">
        <v>117</v>
      </c>
      <c r="H2" s="101"/>
      <c r="I2" s="101"/>
      <c r="J2" s="106"/>
      <c r="K2" s="106"/>
      <c r="L2" s="101"/>
      <c r="M2" s="105"/>
      <c r="N2" s="106" t="s">
        <v>118</v>
      </c>
      <c r="O2" s="101"/>
      <c r="P2" s="102"/>
      <c r="Q2" s="101"/>
      <c r="R2" s="101"/>
      <c r="S2" s="101"/>
      <c r="T2" s="101"/>
      <c r="U2" s="102"/>
      <c r="V2" s="101"/>
      <c r="W2" s="101"/>
      <c r="X2" s="101"/>
      <c r="Y2" s="101"/>
      <c r="Z2" s="101"/>
      <c r="AA2" s="101"/>
      <c r="AB2" s="101"/>
      <c r="AC2" s="101"/>
      <c r="AD2" s="101"/>
      <c r="AE2" s="107"/>
      <c r="AF2" s="107"/>
      <c r="AG2" s="107"/>
      <c r="AH2" s="107"/>
      <c r="AI2" s="107"/>
      <c r="AJ2" s="107"/>
      <c r="AK2" s="107"/>
      <c r="AL2" s="107"/>
      <c r="AM2" s="107"/>
      <c r="AN2" s="107"/>
      <c r="AO2" s="107"/>
      <c r="AP2" s="107"/>
      <c r="AQ2" s="107"/>
      <c r="AR2" s="107"/>
      <c r="AS2" s="107"/>
      <c r="AT2" s="107"/>
      <c r="AU2" s="107"/>
      <c r="AV2" s="107"/>
      <c r="AW2" s="107"/>
      <c r="AX2" s="107"/>
      <c r="AY2" s="107"/>
      <c r="AZ2" s="107"/>
      <c r="BA2" s="107"/>
      <c r="BB2" s="107"/>
      <c r="BC2" s="107"/>
      <c r="BD2" s="107"/>
      <c r="BE2" s="107"/>
      <c r="BF2" s="107"/>
      <c r="BG2" s="107"/>
      <c r="BH2" s="107"/>
      <c r="BI2" s="107"/>
      <c r="BJ2" s="107"/>
      <c r="BK2" s="107"/>
      <c r="BL2" s="107"/>
    </row>
    <row r="3" spans="1:64" ht="50.25" customHeight="1" x14ac:dyDescent="0.2">
      <c r="A3" s="108" t="s">
        <v>119</v>
      </c>
      <c r="B3" s="109"/>
      <c r="C3" s="108" t="s">
        <v>120</v>
      </c>
      <c r="D3" s="108" t="s">
        <v>121</v>
      </c>
      <c r="E3" s="108" t="s">
        <v>122</v>
      </c>
      <c r="F3" s="110" t="s">
        <v>123</v>
      </c>
      <c r="G3" s="110" t="s">
        <v>124</v>
      </c>
      <c r="H3" s="108" t="s">
        <v>125</v>
      </c>
      <c r="I3" s="108" t="s">
        <v>126</v>
      </c>
      <c r="J3" s="110" t="s">
        <v>127</v>
      </c>
      <c r="K3" s="110" t="s">
        <v>128</v>
      </c>
      <c r="L3" s="108" t="s">
        <v>129</v>
      </c>
      <c r="M3" s="111" t="s">
        <v>130</v>
      </c>
      <c r="N3" s="110" t="s">
        <v>131</v>
      </c>
      <c r="O3" s="108" t="s">
        <v>132</v>
      </c>
      <c r="P3" s="109" t="s">
        <v>133</v>
      </c>
      <c r="Q3" s="108" t="s">
        <v>134</v>
      </c>
      <c r="R3" s="108" t="s">
        <v>135</v>
      </c>
      <c r="S3" s="108" t="s">
        <v>136</v>
      </c>
      <c r="T3" s="108" t="s">
        <v>137</v>
      </c>
      <c r="U3" s="109" t="s">
        <v>138</v>
      </c>
      <c r="V3" s="108" t="s">
        <v>139</v>
      </c>
      <c r="W3" s="108" t="s">
        <v>140</v>
      </c>
      <c r="X3" s="108" t="s">
        <v>141</v>
      </c>
      <c r="Y3" s="108" t="s">
        <v>142</v>
      </c>
      <c r="Z3" s="108" t="s">
        <v>143</v>
      </c>
      <c r="AA3" s="108"/>
      <c r="AB3" s="108"/>
      <c r="AC3" s="108"/>
      <c r="AD3" s="108"/>
      <c r="AE3" s="112"/>
      <c r="AF3" s="112"/>
      <c r="AG3" s="112"/>
      <c r="AH3" s="112"/>
      <c r="AI3" s="112"/>
      <c r="AJ3" s="112"/>
      <c r="AK3" s="112"/>
      <c r="AL3" s="112"/>
      <c r="AM3" s="112"/>
      <c r="AN3" s="112"/>
      <c r="AO3" s="112"/>
      <c r="AP3" s="112"/>
      <c r="AQ3" s="112"/>
      <c r="AR3" s="112"/>
      <c r="AS3" s="112"/>
      <c r="AT3" s="112"/>
      <c r="AU3" s="112"/>
      <c r="AV3" s="112"/>
      <c r="AW3" s="112"/>
      <c r="AX3" s="112"/>
      <c r="AY3" s="112"/>
      <c r="AZ3" s="112"/>
      <c r="BA3" s="112"/>
      <c r="BB3" s="112"/>
      <c r="BC3" s="112"/>
      <c r="BD3" s="112"/>
      <c r="BE3" s="112"/>
      <c r="BF3" s="112"/>
      <c r="BG3" s="112"/>
      <c r="BH3" s="112"/>
      <c r="BI3" s="112"/>
      <c r="BJ3" s="112"/>
      <c r="BK3" s="112"/>
      <c r="BL3" s="112"/>
    </row>
    <row r="4" spans="1:64" x14ac:dyDescent="0.2">
      <c r="A4" s="113" t="s">
        <v>144</v>
      </c>
      <c r="B4" s="114"/>
      <c r="C4" s="113">
        <v>2014</v>
      </c>
      <c r="D4" s="113">
        <v>1</v>
      </c>
      <c r="E4" s="113">
        <v>1005</v>
      </c>
      <c r="F4" s="115">
        <v>13919743</v>
      </c>
      <c r="G4" s="115">
        <v>13367098</v>
      </c>
      <c r="H4" s="116">
        <f t="shared" ref="H4:H35" si="0">F4-J4</f>
        <v>13919743</v>
      </c>
      <c r="I4" s="116">
        <f t="shared" ref="I4:I35" si="1">G4-K4</f>
        <v>13367098</v>
      </c>
      <c r="J4" s="117"/>
      <c r="K4" s="117"/>
      <c r="L4" s="116">
        <f t="shared" ref="L4:L35" si="2">H4-I4</f>
        <v>552645</v>
      </c>
      <c r="M4" s="116">
        <f t="shared" ref="M4:M35" si="3">J4-K4</f>
        <v>0</v>
      </c>
      <c r="N4" s="115">
        <v>2431521</v>
      </c>
      <c r="O4" s="118">
        <v>68064666.118185595</v>
      </c>
      <c r="P4" s="113">
        <f t="shared" ref="P4:P9" si="4">O4/I4</f>
        <v>5.0919553457441245</v>
      </c>
      <c r="Q4" s="116">
        <f t="shared" ref="Q4:Q35" si="5">I4*5.5017049523</f>
        <v>73541829.264479429</v>
      </c>
      <c r="R4" s="116">
        <v>11018747.805427499</v>
      </c>
      <c r="S4" s="116">
        <v>2463940.91347832</v>
      </c>
      <c r="T4" s="118">
        <v>13733232.311209099</v>
      </c>
      <c r="U4" s="113">
        <f t="shared" ref="U4:U9" si="6">R4/N4</f>
        <v>4.5316276542244545</v>
      </c>
      <c r="V4" s="114"/>
      <c r="W4" s="114"/>
      <c r="X4" s="116">
        <f>N4*U12+L4*P13</f>
        <v>15657663.761230841</v>
      </c>
      <c r="Y4" s="116">
        <f t="shared" ref="Y4:Y9" si="7">N4*5.1890047538</f>
        <v>12617174.027964531</v>
      </c>
      <c r="Z4" s="116">
        <f t="shared" ref="Z4:Z9" si="8">L4*5.5017049523</f>
        <v>3040489.7333638333</v>
      </c>
      <c r="AA4" s="116"/>
      <c r="AB4" s="116"/>
      <c r="AC4" s="116"/>
      <c r="AD4" s="116"/>
      <c r="AE4" s="113"/>
      <c r="AF4" s="113"/>
      <c r="AG4" s="113"/>
      <c r="AH4" s="113"/>
      <c r="AI4" s="113"/>
      <c r="AJ4" s="113"/>
      <c r="AK4" s="113"/>
      <c r="AL4" s="113"/>
      <c r="AM4" s="113"/>
      <c r="AN4" s="113"/>
      <c r="AO4" s="113"/>
      <c r="AP4" s="113"/>
      <c r="AQ4" s="113"/>
      <c r="AR4" s="113"/>
      <c r="AS4" s="113"/>
      <c r="AT4" s="113"/>
      <c r="AU4" s="113"/>
      <c r="AV4" s="113"/>
      <c r="AW4" s="113"/>
      <c r="AX4" s="113"/>
      <c r="AY4" s="113"/>
      <c r="AZ4" s="113"/>
      <c r="BA4" s="113"/>
      <c r="BB4" s="113"/>
      <c r="BC4" s="113"/>
      <c r="BD4" s="113"/>
      <c r="BE4" s="113"/>
      <c r="BF4" s="113"/>
      <c r="BG4" s="113"/>
      <c r="BH4" s="113"/>
      <c r="BI4" s="113"/>
      <c r="BJ4" s="113"/>
      <c r="BK4" s="113"/>
      <c r="BL4" s="113"/>
    </row>
    <row r="5" spans="1:64" x14ac:dyDescent="0.2">
      <c r="B5" s="114"/>
      <c r="C5" s="113">
        <v>2014</v>
      </c>
      <c r="D5" s="113">
        <v>2</v>
      </c>
      <c r="E5" s="113">
        <v>1004</v>
      </c>
      <c r="F5" s="115">
        <v>14482790</v>
      </c>
      <c r="G5" s="115">
        <v>13911325</v>
      </c>
      <c r="H5" s="116">
        <f t="shared" si="0"/>
        <v>14482790</v>
      </c>
      <c r="I5" s="116">
        <f t="shared" si="1"/>
        <v>13911325</v>
      </c>
      <c r="J5" s="117"/>
      <c r="K5" s="117"/>
      <c r="L5" s="116">
        <f t="shared" si="2"/>
        <v>571465</v>
      </c>
      <c r="M5" s="116">
        <f t="shared" si="3"/>
        <v>0</v>
      </c>
      <c r="N5" s="115">
        <v>2156056</v>
      </c>
      <c r="O5" s="118">
        <v>80470827.889267698</v>
      </c>
      <c r="P5" s="113">
        <f t="shared" si="4"/>
        <v>5.7845552374966225</v>
      </c>
      <c r="Q5" s="116">
        <f t="shared" si="5"/>
        <v>76536005.645554796</v>
      </c>
      <c r="R5" s="116">
        <v>13090128.797517</v>
      </c>
      <c r="S5" s="116">
        <v>2913043.96959149</v>
      </c>
      <c r="T5" s="118">
        <v>16270046.9661959</v>
      </c>
      <c r="U5" s="113">
        <f t="shared" si="6"/>
        <v>6.0713306136375866</v>
      </c>
      <c r="V5" s="114"/>
      <c r="W5" s="114"/>
      <c r="X5" s="116">
        <f>N5*5.1890047538+L5*5.5017049523</f>
        <v>14331816.654025132</v>
      </c>
      <c r="Y5" s="116">
        <f t="shared" si="7"/>
        <v>11187784.833459012</v>
      </c>
      <c r="Z5" s="116">
        <f t="shared" si="8"/>
        <v>3144031.8205661196</v>
      </c>
      <c r="AA5" s="116"/>
      <c r="AB5" s="116"/>
      <c r="AC5" s="116"/>
      <c r="AD5" s="116"/>
    </row>
    <row r="6" spans="1:64" x14ac:dyDescent="0.2">
      <c r="B6" s="114"/>
      <c r="C6" s="113">
        <v>2014</v>
      </c>
      <c r="D6" s="113">
        <v>3</v>
      </c>
      <c r="E6" s="113">
        <v>1003</v>
      </c>
      <c r="F6" s="115">
        <v>15149966</v>
      </c>
      <c r="G6" s="115">
        <v>14531608</v>
      </c>
      <c r="H6" s="116">
        <f t="shared" si="0"/>
        <v>15149966</v>
      </c>
      <c r="I6" s="116">
        <f t="shared" si="1"/>
        <v>14531608</v>
      </c>
      <c r="J6" s="117"/>
      <c r="K6" s="117"/>
      <c r="L6" s="116">
        <f t="shared" si="2"/>
        <v>618358</v>
      </c>
      <c r="M6" s="116">
        <f t="shared" si="3"/>
        <v>0</v>
      </c>
      <c r="N6" s="115">
        <v>2697106</v>
      </c>
      <c r="O6" s="118">
        <v>71025009.154040605</v>
      </c>
      <c r="P6" s="113">
        <f t="shared" si="4"/>
        <v>4.8876221512471716</v>
      </c>
      <c r="Q6" s="116">
        <f t="shared" si="5"/>
        <v>79948619.69848229</v>
      </c>
      <c r="R6" s="116">
        <v>13303482.9648562</v>
      </c>
      <c r="S6" s="116">
        <v>2571105.3313762699</v>
      </c>
      <c r="T6" s="118">
        <v>17670963.688597001</v>
      </c>
      <c r="U6" s="113">
        <f t="shared" si="6"/>
        <v>4.9325028251971554</v>
      </c>
      <c r="V6" s="114"/>
      <c r="W6" s="114"/>
      <c r="X6" s="116">
        <f>N6*5.1890047538+L6*5.5017049523</f>
        <v>17397319.126396827</v>
      </c>
      <c r="Y6" s="116">
        <f t="shared" si="7"/>
        <v>13995295.855502503</v>
      </c>
      <c r="Z6" s="116">
        <f t="shared" si="8"/>
        <v>3402023.2708943235</v>
      </c>
      <c r="AA6" s="116"/>
      <c r="AB6" s="116"/>
      <c r="AC6" s="116"/>
      <c r="AD6" s="116"/>
    </row>
    <row r="7" spans="1:64" x14ac:dyDescent="0.2">
      <c r="C7" s="113">
        <v>2014</v>
      </c>
      <c r="D7" s="113">
        <v>4</v>
      </c>
      <c r="E7" s="113">
        <v>160</v>
      </c>
      <c r="F7" s="115">
        <v>15745971</v>
      </c>
      <c r="G7" s="115">
        <v>15148486</v>
      </c>
      <c r="H7" s="116">
        <f t="shared" si="0"/>
        <v>15745971</v>
      </c>
      <c r="I7" s="116">
        <f t="shared" si="1"/>
        <v>15148486</v>
      </c>
      <c r="J7" s="117"/>
      <c r="K7" s="117"/>
      <c r="L7" s="116">
        <f t="shared" si="2"/>
        <v>597485</v>
      </c>
      <c r="M7" s="116">
        <f t="shared" si="3"/>
        <v>0</v>
      </c>
      <c r="N7" s="115">
        <v>2598761</v>
      </c>
      <c r="O7" s="118">
        <v>90838150.785999998</v>
      </c>
      <c r="P7" s="113">
        <f t="shared" si="4"/>
        <v>5.9965167995006237</v>
      </c>
      <c r="Q7" s="116">
        <f t="shared" si="5"/>
        <v>83342500.446047217</v>
      </c>
      <c r="R7" s="116">
        <v>12713686.068</v>
      </c>
      <c r="S7" s="116">
        <v>3288341.0584531999</v>
      </c>
      <c r="T7" s="118">
        <v>17161490.754453201</v>
      </c>
      <c r="U7" s="113">
        <f t="shared" si="6"/>
        <v>4.8922105834280263</v>
      </c>
      <c r="V7" s="114"/>
      <c r="W7" s="114"/>
      <c r="X7" s="116">
        <f>N7*5.1890047538+L7*5.5017049523</f>
        <v>16772169.366415009</v>
      </c>
      <c r="Y7" s="116">
        <f t="shared" si="7"/>
        <v>13484983.182990042</v>
      </c>
      <c r="Z7" s="116">
        <f t="shared" si="8"/>
        <v>3287186.1834249655</v>
      </c>
      <c r="AA7" s="116"/>
      <c r="AB7" s="116"/>
      <c r="AC7" s="116"/>
      <c r="AD7" s="116"/>
    </row>
    <row r="8" spans="1:64" x14ac:dyDescent="0.2">
      <c r="B8" s="114"/>
      <c r="C8" s="113">
        <f>C4+1</f>
        <v>2015</v>
      </c>
      <c r="D8" s="113">
        <f>D4</f>
        <v>1</v>
      </c>
      <c r="E8" s="113">
        <v>1001</v>
      </c>
      <c r="F8" s="115">
        <v>16507879</v>
      </c>
      <c r="G8" s="115">
        <v>15853349</v>
      </c>
      <c r="H8" s="116">
        <f t="shared" si="0"/>
        <v>16507879</v>
      </c>
      <c r="I8" s="116">
        <f t="shared" si="1"/>
        <v>15853349</v>
      </c>
      <c r="J8" s="117"/>
      <c r="K8" s="117"/>
      <c r="L8" s="116">
        <f t="shared" si="2"/>
        <v>654530</v>
      </c>
      <c r="M8" s="116">
        <f t="shared" si="3"/>
        <v>0</v>
      </c>
      <c r="N8" s="115">
        <v>3002195</v>
      </c>
      <c r="O8" s="118">
        <v>81897043.967565298</v>
      </c>
      <c r="P8" s="113">
        <f t="shared" si="4"/>
        <v>5.1659144050613719</v>
      </c>
      <c r="Q8" s="116">
        <f t="shared" si="5"/>
        <v>87220448.703840256</v>
      </c>
      <c r="R8" s="116">
        <v>13986686.083893999</v>
      </c>
      <c r="S8" s="116">
        <v>2964672.9916258599</v>
      </c>
      <c r="T8" s="118">
        <v>18231627.4986104</v>
      </c>
      <c r="U8" s="113">
        <f t="shared" si="6"/>
        <v>4.6588199913376709</v>
      </c>
      <c r="V8" s="114"/>
      <c r="W8" s="114"/>
      <c r="X8" s="116">
        <f>N8*5.1890047538+L8*5.5017049523</f>
        <v>19179435.06926351</v>
      </c>
      <c r="Y8" s="116">
        <f t="shared" si="7"/>
        <v>15578404.12683459</v>
      </c>
      <c r="Z8" s="116">
        <f t="shared" si="8"/>
        <v>3601030.942428919</v>
      </c>
      <c r="AA8" s="116"/>
      <c r="AB8" s="116"/>
      <c r="AC8" s="116"/>
      <c r="AD8" s="116"/>
    </row>
    <row r="9" spans="1:64" x14ac:dyDescent="0.2">
      <c r="B9" s="114"/>
      <c r="C9" s="113">
        <f>C5+1</f>
        <v>2015</v>
      </c>
      <c r="D9" s="113">
        <f>D5</f>
        <v>2</v>
      </c>
      <c r="E9" s="113">
        <v>1000</v>
      </c>
      <c r="F9" s="115">
        <v>17877475</v>
      </c>
      <c r="G9" s="115">
        <v>17180984</v>
      </c>
      <c r="H9" s="116">
        <f t="shared" si="0"/>
        <v>17877475</v>
      </c>
      <c r="I9" s="116">
        <f t="shared" si="1"/>
        <v>17180984</v>
      </c>
      <c r="J9" s="117"/>
      <c r="K9" s="117"/>
      <c r="L9" s="116">
        <f t="shared" si="2"/>
        <v>696491</v>
      </c>
      <c r="M9" s="116">
        <f t="shared" si="3"/>
        <v>0</v>
      </c>
      <c r="N9" s="115">
        <v>2371185</v>
      </c>
      <c r="O9" s="118">
        <v>104523364.33665401</v>
      </c>
      <c r="P9" s="113">
        <f t="shared" si="4"/>
        <v>6.0836657747108083</v>
      </c>
      <c r="Q9" s="116">
        <f t="shared" si="5"/>
        <v>94524704.758187056</v>
      </c>
      <c r="R9" s="116">
        <v>14339828.676914699</v>
      </c>
      <c r="S9" s="116">
        <v>3783745.7889868701</v>
      </c>
      <c r="T9" s="118">
        <v>19687951.529640902</v>
      </c>
      <c r="U9" s="113">
        <f t="shared" si="6"/>
        <v>6.0475368547433872</v>
      </c>
      <c r="V9" s="114"/>
      <c r="W9" s="114"/>
      <c r="X9" s="116">
        <f>N9*5.1890047538+L9*5.5017049523</f>
        <v>16135978.221071633</v>
      </c>
      <c r="Y9" s="116">
        <f t="shared" si="7"/>
        <v>12304090.237139253</v>
      </c>
      <c r="Z9" s="116">
        <f t="shared" si="8"/>
        <v>3831887.9839323792</v>
      </c>
      <c r="AA9" s="116"/>
      <c r="AB9" s="116"/>
      <c r="AC9" s="116"/>
      <c r="AD9" s="116"/>
    </row>
    <row r="10" spans="1:64" x14ac:dyDescent="0.2">
      <c r="B10" s="114"/>
      <c r="C10" s="113">
        <v>2016</v>
      </c>
      <c r="D10" s="113">
        <v>2</v>
      </c>
      <c r="E10" s="113">
        <v>996</v>
      </c>
      <c r="F10" s="115">
        <v>18529945</v>
      </c>
      <c r="G10" s="115">
        <v>17797215</v>
      </c>
      <c r="H10" s="116">
        <f t="shared" si="0"/>
        <v>18529945</v>
      </c>
      <c r="I10" s="116">
        <f t="shared" si="1"/>
        <v>17797215</v>
      </c>
      <c r="J10" s="117"/>
      <c r="K10" s="117"/>
      <c r="L10" s="116">
        <f t="shared" si="2"/>
        <v>732730</v>
      </c>
      <c r="M10" s="116">
        <f t="shared" si="3"/>
        <v>0</v>
      </c>
      <c r="N10" s="117"/>
      <c r="O10" s="114"/>
      <c r="P10" s="114"/>
      <c r="Q10" s="116">
        <f t="shared" si="5"/>
        <v>97915025.902647838</v>
      </c>
      <c r="R10" s="116"/>
      <c r="S10" s="116"/>
      <c r="T10" s="114"/>
      <c r="U10" s="114"/>
      <c r="V10" s="114"/>
      <c r="W10" s="114"/>
      <c r="X10" s="116"/>
      <c r="Y10" s="116"/>
      <c r="Z10" s="116"/>
      <c r="AA10" s="116"/>
      <c r="AB10" s="116"/>
      <c r="AC10" s="116"/>
      <c r="AD10" s="116"/>
    </row>
    <row r="11" spans="1:64" x14ac:dyDescent="0.2">
      <c r="B11" s="114"/>
      <c r="C11" s="113">
        <v>2016</v>
      </c>
      <c r="D11" s="113">
        <v>3</v>
      </c>
      <c r="E11" s="113">
        <v>995</v>
      </c>
      <c r="F11" s="115">
        <v>19118239</v>
      </c>
      <c r="G11" s="115">
        <v>18342944</v>
      </c>
      <c r="H11" s="116">
        <f t="shared" si="0"/>
        <v>19118239</v>
      </c>
      <c r="I11" s="116">
        <f t="shared" si="1"/>
        <v>18342944</v>
      </c>
      <c r="J11" s="117"/>
      <c r="K11" s="117"/>
      <c r="L11" s="116">
        <f t="shared" si="2"/>
        <v>775295</v>
      </c>
      <c r="M11" s="116">
        <f t="shared" si="3"/>
        <v>0</v>
      </c>
      <c r="N11" s="117"/>
      <c r="O11" s="114"/>
      <c r="P11" s="114"/>
      <c r="Q11" s="116">
        <f t="shared" si="5"/>
        <v>100917465.84456156</v>
      </c>
      <c r="R11" s="116"/>
      <c r="S11" s="116"/>
      <c r="T11" s="114"/>
      <c r="U11" s="114"/>
      <c r="V11" s="114"/>
      <c r="W11" s="114"/>
      <c r="X11" s="116"/>
      <c r="Y11" s="116"/>
      <c r="Z11" s="116"/>
      <c r="AA11" s="116"/>
      <c r="AB11" s="116"/>
      <c r="AC11" s="116"/>
      <c r="AD11" s="116"/>
    </row>
    <row r="12" spans="1:64" x14ac:dyDescent="0.2">
      <c r="B12" s="114"/>
      <c r="C12" s="113">
        <v>2016</v>
      </c>
      <c r="D12" s="113">
        <v>4</v>
      </c>
      <c r="E12" s="113">
        <v>994</v>
      </c>
      <c r="F12" s="115">
        <v>20592277</v>
      </c>
      <c r="G12" s="115">
        <v>19759371</v>
      </c>
      <c r="H12" s="116">
        <f t="shared" si="0"/>
        <v>20592277</v>
      </c>
      <c r="I12" s="116">
        <f t="shared" si="1"/>
        <v>19759371</v>
      </c>
      <c r="J12" s="117"/>
      <c r="K12" s="117"/>
      <c r="L12" s="116">
        <f t="shared" si="2"/>
        <v>832906</v>
      </c>
      <c r="M12" s="116">
        <f t="shared" si="3"/>
        <v>0</v>
      </c>
      <c r="N12" s="117"/>
      <c r="O12" s="114"/>
      <c r="P12" s="114" t="s">
        <v>145</v>
      </c>
      <c r="Q12" s="116">
        <f t="shared" si="5"/>
        <v>108710229.285033</v>
      </c>
      <c r="R12" s="116"/>
      <c r="S12" s="116"/>
      <c r="T12" s="114"/>
      <c r="U12" s="113">
        <f>AVERAGE(U4:U9)</f>
        <v>5.1890047537613802</v>
      </c>
      <c r="V12" s="114"/>
      <c r="W12" s="114"/>
      <c r="X12" s="116"/>
      <c r="Y12" s="116"/>
      <c r="Z12" s="116"/>
      <c r="AA12" s="116"/>
      <c r="AB12" s="116"/>
      <c r="AC12" s="116"/>
      <c r="AD12" s="116"/>
    </row>
    <row r="13" spans="1:64" x14ac:dyDescent="0.2">
      <c r="B13" s="114"/>
      <c r="C13" s="113">
        <v>2017</v>
      </c>
      <c r="D13" s="113">
        <v>1</v>
      </c>
      <c r="E13" s="113">
        <v>993</v>
      </c>
      <c r="F13" s="115">
        <v>20242858</v>
      </c>
      <c r="G13" s="115">
        <v>19409870</v>
      </c>
      <c r="H13" s="116">
        <f t="shared" si="0"/>
        <v>20242858</v>
      </c>
      <c r="I13" s="116">
        <f t="shared" si="1"/>
        <v>19409870</v>
      </c>
      <c r="J13" s="117"/>
      <c r="K13" s="117"/>
      <c r="L13" s="116">
        <f t="shared" si="2"/>
        <v>832988</v>
      </c>
      <c r="M13" s="116">
        <f t="shared" si="3"/>
        <v>0</v>
      </c>
      <c r="N13" s="117"/>
      <c r="O13" s="114"/>
      <c r="P13" s="113">
        <f>AVERAGE(P4:P9)</f>
        <v>5.501704952293454</v>
      </c>
      <c r="Q13" s="116">
        <f t="shared" si="5"/>
        <v>106787377.9024992</v>
      </c>
      <c r="R13" s="116"/>
      <c r="S13" s="116"/>
      <c r="T13" s="114"/>
      <c r="U13" s="114"/>
      <c r="V13" s="114"/>
      <c r="W13" s="114"/>
      <c r="X13" s="116"/>
      <c r="Y13" s="116"/>
      <c r="Z13" s="116"/>
      <c r="AA13" s="116"/>
      <c r="AB13" s="116"/>
      <c r="AC13" s="116"/>
      <c r="AD13" s="116"/>
    </row>
    <row r="14" spans="1:64" x14ac:dyDescent="0.2">
      <c r="A14" s="119" t="s">
        <v>146</v>
      </c>
      <c r="B14" s="5"/>
      <c r="C14" s="119">
        <v>2015</v>
      </c>
      <c r="D14" s="119">
        <v>1</v>
      </c>
      <c r="E14" s="119">
        <v>161</v>
      </c>
      <c r="F14" s="120">
        <f>central_v2_m!B2+temporary_pension_bonus_central!B2</f>
        <v>17715091.297121499</v>
      </c>
      <c r="G14" s="120">
        <f>central_v2_m!C2+temporary_pension_bonus_central!B2</f>
        <v>17023151.853301901</v>
      </c>
      <c r="H14" s="8">
        <f t="shared" si="0"/>
        <v>17715091.297121499</v>
      </c>
      <c r="I14" s="8">
        <f t="shared" si="1"/>
        <v>17023151.853301901</v>
      </c>
      <c r="J14" s="121">
        <f>central_v2_m!J2</f>
        <v>0</v>
      </c>
      <c r="K14" s="121">
        <f>central_v2_m!K2</f>
        <v>0</v>
      </c>
      <c r="L14" s="8">
        <f t="shared" si="2"/>
        <v>691939.44381959736</v>
      </c>
      <c r="M14" s="8">
        <f t="shared" si="3"/>
        <v>0</v>
      </c>
      <c r="N14" s="121">
        <f>SUM(central_v5_m!C2:J2)</f>
        <v>2735454.9936135854</v>
      </c>
      <c r="O14" s="5"/>
      <c r="P14" s="5"/>
      <c r="Q14" s="8">
        <f t="shared" si="5"/>
        <v>93656358.855065987</v>
      </c>
      <c r="R14" s="8"/>
      <c r="S14" s="8"/>
      <c r="T14" s="5"/>
      <c r="U14" s="5"/>
      <c r="V14" s="8">
        <f>K14*P13</f>
        <v>0</v>
      </c>
      <c r="W14" s="8">
        <f t="shared" ref="W14:W45" si="9">M14*5.5017049523</f>
        <v>0</v>
      </c>
      <c r="X14" s="8">
        <f t="shared" ref="X14:X45" si="10">N14*5.1890047538+L14*5.5017049523</f>
        <v>18001135.63042083</v>
      </c>
      <c r="Y14" s="8">
        <f t="shared" ref="Y14:Y45" si="11">N14*5.1890047538</f>
        <v>14194288.965666844</v>
      </c>
      <c r="Z14" s="8">
        <f t="shared" ref="Z14:Z45" si="12">L14*5.5017049523</f>
        <v>3806846.6647539865</v>
      </c>
      <c r="AA14" s="8"/>
      <c r="AB14" s="8"/>
      <c r="AC14" s="8"/>
      <c r="AD14" s="8"/>
      <c r="AE14" s="119"/>
      <c r="AF14" s="119"/>
      <c r="AG14" s="119"/>
      <c r="AH14" s="119"/>
      <c r="AI14" s="119"/>
      <c r="AJ14" s="119"/>
      <c r="AK14" s="119"/>
      <c r="AL14" s="119"/>
      <c r="AM14" s="119"/>
      <c r="AN14" s="119"/>
      <c r="AO14" s="119"/>
      <c r="AP14" s="119"/>
      <c r="AQ14" s="119"/>
      <c r="AR14" s="119"/>
      <c r="AS14" s="119"/>
      <c r="AT14" s="119"/>
      <c r="AU14" s="119"/>
      <c r="AV14" s="119"/>
      <c r="AW14" s="119"/>
      <c r="AX14" s="119"/>
      <c r="AY14" s="119"/>
      <c r="AZ14" s="119"/>
      <c r="BA14" s="119"/>
      <c r="BB14" s="119"/>
      <c r="BC14" s="119"/>
      <c r="BD14" s="119"/>
      <c r="BE14" s="119"/>
      <c r="BF14" s="119"/>
      <c r="BG14" s="119"/>
      <c r="BH14" s="119"/>
      <c r="BI14" s="119"/>
      <c r="BJ14" s="119"/>
      <c r="BK14" s="119"/>
      <c r="BL14" s="119"/>
    </row>
    <row r="15" spans="1:64" x14ac:dyDescent="0.2">
      <c r="A15" s="7"/>
      <c r="B15" s="7"/>
      <c r="C15" s="7">
        <v>2015</v>
      </c>
      <c r="D15" s="7">
        <v>2</v>
      </c>
      <c r="E15" s="7">
        <v>162</v>
      </c>
      <c r="F15" s="122">
        <f>central_v2_m!B3+temporary_pension_bonus_central!B3</f>
        <v>20422747.135097399</v>
      </c>
      <c r="G15" s="122">
        <f>central_v2_m!C3+temporary_pension_bonus_central!B3</f>
        <v>19622770.703860801</v>
      </c>
      <c r="H15" s="41">
        <f t="shared" si="0"/>
        <v>20422747.135097399</v>
      </c>
      <c r="I15" s="41">
        <f t="shared" si="1"/>
        <v>19622770.703860801</v>
      </c>
      <c r="J15" s="123">
        <f>central_v2_m!J3</f>
        <v>0</v>
      </c>
      <c r="K15" s="123">
        <f>central_v2_m!K3</f>
        <v>0</v>
      </c>
      <c r="L15" s="41">
        <f t="shared" si="2"/>
        <v>799976.43123659864</v>
      </c>
      <c r="M15" s="41">
        <f t="shared" si="3"/>
        <v>0</v>
      </c>
      <c r="N15" s="123">
        <f>SUM(central_v5_m!C3:J3)</f>
        <v>2478245.9090260332</v>
      </c>
      <c r="O15" s="7"/>
      <c r="P15" s="7"/>
      <c r="Q15" s="41">
        <f t="shared" si="5"/>
        <v>107958694.75927833</v>
      </c>
      <c r="R15" s="41"/>
      <c r="S15" s="41"/>
      <c r="T15" s="7"/>
      <c r="U15" s="7"/>
      <c r="V15" s="41">
        <f t="shared" ref="V15:V46" si="13">K15*5.5017049523</f>
        <v>0</v>
      </c>
      <c r="W15" s="41">
        <f t="shared" si="9"/>
        <v>0</v>
      </c>
      <c r="X15" s="41">
        <f t="shared" si="10"/>
        <v>17260864.096479163</v>
      </c>
      <c r="Y15" s="41">
        <f t="shared" si="11"/>
        <v>12859629.803021489</v>
      </c>
      <c r="Z15" s="41">
        <f t="shared" si="12"/>
        <v>4401234.2934576748</v>
      </c>
      <c r="AA15" s="41"/>
      <c r="AB15" s="41"/>
      <c r="AC15" s="41"/>
      <c r="AD15" s="41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</row>
    <row r="16" spans="1:64" x14ac:dyDescent="0.2">
      <c r="A16" s="7"/>
      <c r="B16" s="7"/>
      <c r="C16" s="7">
        <v>2015</v>
      </c>
      <c r="D16" s="7">
        <v>3</v>
      </c>
      <c r="E16" s="7">
        <v>163</v>
      </c>
      <c r="F16" s="122">
        <f>central_v2_m!B4+temporary_pension_bonus_central!B4</f>
        <v>19803746.836479299</v>
      </c>
      <c r="G16" s="122">
        <f>central_v2_m!C4+temporary_pension_bonus_central!B4</f>
        <v>19026261.304787099</v>
      </c>
      <c r="H16" s="41">
        <f t="shared" si="0"/>
        <v>19803746.836479299</v>
      </c>
      <c r="I16" s="41">
        <f t="shared" si="1"/>
        <v>19026261.304787099</v>
      </c>
      <c r="J16" s="123">
        <f>central_v2_m!J4</f>
        <v>0</v>
      </c>
      <c r="K16" s="123">
        <f>central_v2_m!K4</f>
        <v>0</v>
      </c>
      <c r="L16" s="41">
        <f t="shared" si="2"/>
        <v>777485.53169219941</v>
      </c>
      <c r="M16" s="41">
        <f t="shared" si="3"/>
        <v>0</v>
      </c>
      <c r="N16" s="123">
        <f>SUM(central_v5_m!C4:J4)</f>
        <v>2919136.7623483003</v>
      </c>
      <c r="O16" s="124">
        <v>94527377.114245504</v>
      </c>
      <c r="Q16" s="41">
        <f t="shared" si="5"/>
        <v>104676876.04430105</v>
      </c>
      <c r="R16" s="41">
        <v>16695329.1346057</v>
      </c>
      <c r="S16" s="41">
        <v>3421891.0515356902</v>
      </c>
      <c r="T16" s="124">
        <v>22190060.635179099</v>
      </c>
      <c r="U16" s="7">
        <f>R22/N16</f>
        <v>7.1178312848403502</v>
      </c>
      <c r="V16" s="41">
        <f t="shared" si="13"/>
        <v>0</v>
      </c>
      <c r="W16" s="41">
        <f t="shared" si="9"/>
        <v>0</v>
      </c>
      <c r="X16" s="41">
        <f t="shared" si="10"/>
        <v>19424910.536870245</v>
      </c>
      <c r="Y16" s="41">
        <f t="shared" si="11"/>
        <v>15147414.536817672</v>
      </c>
      <c r="Z16" s="41">
        <f t="shared" si="12"/>
        <v>4277496.0000525722</v>
      </c>
      <c r="AA16" s="41"/>
      <c r="AB16" s="41"/>
      <c r="AC16" s="41"/>
      <c r="AD16" s="41"/>
    </row>
    <row r="17" spans="1:64" x14ac:dyDescent="0.2">
      <c r="A17" s="7"/>
      <c r="B17" s="7"/>
      <c r="C17" s="7">
        <v>2015</v>
      </c>
      <c r="D17" s="7">
        <v>4</v>
      </c>
      <c r="E17" s="7">
        <v>164</v>
      </c>
      <c r="F17" s="122">
        <f>central_v2_m!B5+temporary_pension_bonus_central!B5</f>
        <v>21428421.3166265</v>
      </c>
      <c r="G17" s="122">
        <f>central_v2_m!C5+temporary_pension_bonus_central!B5</f>
        <v>20585938.194182999</v>
      </c>
      <c r="H17" s="41">
        <f t="shared" si="0"/>
        <v>21428421.3166265</v>
      </c>
      <c r="I17" s="41">
        <f t="shared" si="1"/>
        <v>20585938.194182999</v>
      </c>
      <c r="J17" s="123">
        <f>central_v2_m!J5</f>
        <v>0</v>
      </c>
      <c r="K17" s="123">
        <f>central_v2_m!K5</f>
        <v>0</v>
      </c>
      <c r="L17" s="41">
        <f t="shared" si="2"/>
        <v>842483.12244350091</v>
      </c>
      <c r="M17" s="41">
        <f t="shared" si="3"/>
        <v>0</v>
      </c>
      <c r="N17" s="123">
        <f>SUM(central_v5_m!C5:J5)</f>
        <v>2757062.569891395</v>
      </c>
      <c r="O17" s="124">
        <v>111875162.87552799</v>
      </c>
      <c r="Q17" s="41">
        <f t="shared" si="5"/>
        <v>113257758.11067833</v>
      </c>
      <c r="R17" s="41">
        <v>16337001.045735599</v>
      </c>
      <c r="S17" s="41">
        <v>4049880.8960941099</v>
      </c>
      <c r="T17" s="124">
        <v>22729747.8617584</v>
      </c>
      <c r="U17" s="7">
        <f>R23/N17</f>
        <v>6.7228626450621087</v>
      </c>
      <c r="V17" s="41">
        <f t="shared" si="13"/>
        <v>0</v>
      </c>
      <c r="W17" s="41">
        <f t="shared" si="9"/>
        <v>0</v>
      </c>
      <c r="X17" s="41">
        <f t="shared" si="10"/>
        <v>18941504.34866707</v>
      </c>
      <c r="Y17" s="41">
        <f t="shared" si="11"/>
        <v>14306410.781690493</v>
      </c>
      <c r="Z17" s="41">
        <f t="shared" si="12"/>
        <v>4635093.5669765761</v>
      </c>
      <c r="AA17" s="41"/>
      <c r="AB17" s="41"/>
      <c r="AC17" s="41"/>
      <c r="AD17" s="41"/>
    </row>
    <row r="18" spans="1:64" x14ac:dyDescent="0.2">
      <c r="A18" s="119"/>
      <c r="B18" s="5"/>
      <c r="C18" s="119">
        <f t="shared" ref="C18:C49" si="14">C14+1</f>
        <v>2016</v>
      </c>
      <c r="D18" s="119">
        <f t="shared" ref="D18:D49" si="15">D14</f>
        <v>1</v>
      </c>
      <c r="E18" s="119">
        <v>165</v>
      </c>
      <c r="F18" s="120">
        <f>central_v2_m!B6+temporary_pension_bonus_central!B6</f>
        <v>18797781.912175499</v>
      </c>
      <c r="G18" s="120">
        <f>central_v2_m!C6+temporary_pension_bonus_central!B6</f>
        <v>18060319.160448901</v>
      </c>
      <c r="H18" s="8">
        <f t="shared" si="0"/>
        <v>18797781.912175499</v>
      </c>
      <c r="I18" s="8">
        <f t="shared" si="1"/>
        <v>18060319.160448901</v>
      </c>
      <c r="J18" s="121">
        <f>central_v2_m!J6</f>
        <v>0</v>
      </c>
      <c r="K18" s="121">
        <f>central_v2_m!K6</f>
        <v>0</v>
      </c>
      <c r="L18" s="8">
        <f t="shared" si="2"/>
        <v>737462.75172659755</v>
      </c>
      <c r="M18" s="8">
        <f t="shared" si="3"/>
        <v>0</v>
      </c>
      <c r="N18" s="121">
        <f>SUM(central_v5_m!C6:J6)</f>
        <v>2795658.977222933</v>
      </c>
      <c r="O18" s="125">
        <v>91414555.230157301</v>
      </c>
      <c r="P18" s="5"/>
      <c r="Q18" s="8">
        <f t="shared" si="5"/>
        <v>99362547.365160301</v>
      </c>
      <c r="R18" s="8">
        <v>17527446.329621602</v>
      </c>
      <c r="S18" s="8">
        <v>3309206.8993316898</v>
      </c>
      <c r="T18" s="125">
        <v>22762488.820735902</v>
      </c>
      <c r="U18" s="5">
        <f>R24/N18</f>
        <v>6.6234030549105229</v>
      </c>
      <c r="V18" s="8">
        <f t="shared" si="13"/>
        <v>0</v>
      </c>
      <c r="W18" s="8">
        <f t="shared" si="9"/>
        <v>0</v>
      </c>
      <c r="X18" s="8">
        <f t="shared" si="10"/>
        <v>18563990.196124449</v>
      </c>
      <c r="Y18" s="8">
        <f t="shared" si="11"/>
        <v>14506687.722813444</v>
      </c>
      <c r="Z18" s="8">
        <f t="shared" si="12"/>
        <v>4057302.473311007</v>
      </c>
      <c r="AA18" s="8"/>
      <c r="AB18" s="8"/>
      <c r="AC18" s="8"/>
      <c r="AD18" s="8"/>
      <c r="AE18" s="119"/>
      <c r="AF18" s="119"/>
      <c r="AG18" s="119"/>
      <c r="AH18" s="119"/>
      <c r="AI18" s="119"/>
      <c r="AJ18" s="119"/>
      <c r="AK18" s="119"/>
      <c r="AL18" s="119"/>
      <c r="AM18" s="119"/>
      <c r="AN18" s="119"/>
      <c r="AO18" s="119"/>
      <c r="AP18" s="119"/>
      <c r="AQ18" s="119"/>
      <c r="AR18" s="119"/>
      <c r="AS18" s="119"/>
      <c r="AT18" s="119"/>
      <c r="AU18" s="119"/>
      <c r="AV18" s="119"/>
      <c r="AW18" s="119"/>
      <c r="AX18" s="119"/>
      <c r="AY18" s="119"/>
      <c r="AZ18" s="119"/>
      <c r="BA18" s="119"/>
      <c r="BB18" s="119"/>
      <c r="BC18" s="119"/>
      <c r="BD18" s="119"/>
      <c r="BE18" s="119"/>
      <c r="BF18" s="119"/>
      <c r="BG18" s="119"/>
      <c r="BH18" s="119"/>
      <c r="BI18" s="119"/>
      <c r="BJ18" s="119"/>
      <c r="BK18" s="119"/>
      <c r="BL18" s="119"/>
    </row>
    <row r="19" spans="1:64" x14ac:dyDescent="0.2">
      <c r="A19" s="7"/>
      <c r="B19" s="7"/>
      <c r="C19" s="7">
        <f t="shared" si="14"/>
        <v>2016</v>
      </c>
      <c r="D19" s="7">
        <f t="shared" si="15"/>
        <v>2</v>
      </c>
      <c r="E19" s="7">
        <v>166</v>
      </c>
      <c r="F19" s="122">
        <f>central_v2_m!B7+temporary_pension_bonus_central!B7</f>
        <v>19382726.663389001</v>
      </c>
      <c r="G19" s="122">
        <f>central_v2_m!C7+temporary_pension_bonus_central!B7</f>
        <v>18620395.550517201</v>
      </c>
      <c r="H19" s="41">
        <f t="shared" si="0"/>
        <v>19382726.663389001</v>
      </c>
      <c r="I19" s="41">
        <f t="shared" si="1"/>
        <v>18620395.550517201</v>
      </c>
      <c r="J19" s="123">
        <f>central_v2_m!J7</f>
        <v>0</v>
      </c>
      <c r="K19" s="123">
        <f>central_v2_m!K7</f>
        <v>0</v>
      </c>
      <c r="L19" s="41">
        <f t="shared" si="2"/>
        <v>762331.11287179962</v>
      </c>
      <c r="M19" s="41">
        <f t="shared" si="3"/>
        <v>0</v>
      </c>
      <c r="N19" s="123">
        <f>SUM(central_v5_m!C7:J7)</f>
        <v>2828183.6863331911</v>
      </c>
      <c r="O19" s="124">
        <v>104116643.41114201</v>
      </c>
      <c r="P19" s="7">
        <v>5.91</v>
      </c>
      <c r="Q19" s="41">
        <f t="shared" si="5"/>
        <v>102443922.41406538</v>
      </c>
      <c r="R19" s="41">
        <v>18813591.301850099</v>
      </c>
      <c r="S19" s="41">
        <v>3769022.49148334</v>
      </c>
      <c r="T19" s="124">
        <v>24440890.5830178</v>
      </c>
      <c r="U19" s="7">
        <f t="shared" ref="U19:U24" si="16">R19/N19</f>
        <v>6.6521815371343074</v>
      </c>
      <c r="V19" s="41">
        <f t="shared" si="13"/>
        <v>0</v>
      </c>
      <c r="W19" s="41">
        <f t="shared" si="9"/>
        <v>0</v>
      </c>
      <c r="X19" s="41">
        <f t="shared" si="10"/>
        <v>18869579.451981686</v>
      </c>
      <c r="Y19" s="41">
        <f t="shared" si="11"/>
        <v>14675458.593002537</v>
      </c>
      <c r="Z19" s="41">
        <f t="shared" si="12"/>
        <v>4194120.8589791502</v>
      </c>
      <c r="AA19" s="41"/>
      <c r="AB19" s="41"/>
      <c r="AC19" s="41"/>
      <c r="AD19" s="41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</row>
    <row r="20" spans="1:64" x14ac:dyDescent="0.2">
      <c r="A20" s="7"/>
      <c r="B20" s="7"/>
      <c r="C20" s="7">
        <f t="shared" si="14"/>
        <v>2016</v>
      </c>
      <c r="D20" s="7">
        <f t="shared" si="15"/>
        <v>3</v>
      </c>
      <c r="E20" s="7">
        <v>167</v>
      </c>
      <c r="F20" s="123">
        <f>central_v2_m!D8+temporary_pension_bonus_central!B8</f>
        <v>18504303.192506298</v>
      </c>
      <c r="G20" s="123">
        <f>central_v2_m!E8+temporary_pension_bonus_central!B8</f>
        <v>17774022.853574999</v>
      </c>
      <c r="H20" s="41">
        <f t="shared" si="0"/>
        <v>18504303.192506298</v>
      </c>
      <c r="I20" s="41">
        <f t="shared" si="1"/>
        <v>17774022.853574999</v>
      </c>
      <c r="J20" s="123">
        <f>central_v2_m!J8</f>
        <v>0</v>
      </c>
      <c r="K20" s="123">
        <f>central_v2_m!K8</f>
        <v>0</v>
      </c>
      <c r="L20" s="41">
        <f t="shared" si="2"/>
        <v>730280.33893129975</v>
      </c>
      <c r="M20" s="41">
        <f t="shared" si="3"/>
        <v>0</v>
      </c>
      <c r="N20" s="123">
        <f>SUM(central_v5_m!C8:J8)</f>
        <v>2477813.0040905806</v>
      </c>
      <c r="O20" s="124">
        <v>90764685.857157201</v>
      </c>
      <c r="P20" s="7">
        <v>5.43</v>
      </c>
      <c r="Q20" s="41">
        <f t="shared" si="5"/>
        <v>97787429.55580695</v>
      </c>
      <c r="R20" s="41">
        <v>16989362.324853901</v>
      </c>
      <c r="S20" s="41">
        <v>3285681.6280290899</v>
      </c>
      <c r="T20" s="124">
        <v>22167728.6392591</v>
      </c>
      <c r="U20" s="7">
        <f t="shared" si="16"/>
        <v>6.8565958354429659</v>
      </c>
      <c r="V20" s="41">
        <f t="shared" si="13"/>
        <v>0</v>
      </c>
      <c r="W20" s="41">
        <f t="shared" si="9"/>
        <v>0</v>
      </c>
      <c r="X20" s="41">
        <f t="shared" si="10"/>
        <v>16875170.414519135</v>
      </c>
      <c r="Y20" s="41">
        <f t="shared" si="11"/>
        <v>12857383.457253482</v>
      </c>
      <c r="Z20" s="41">
        <f t="shared" si="12"/>
        <v>4017786.9572656541</v>
      </c>
      <c r="AA20" s="41"/>
      <c r="AB20" s="41"/>
      <c r="AC20" s="41"/>
      <c r="AD20" s="41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</row>
    <row r="21" spans="1:64" x14ac:dyDescent="0.2">
      <c r="A21" s="7"/>
      <c r="B21" s="7"/>
      <c r="C21" s="7">
        <f t="shared" si="14"/>
        <v>2016</v>
      </c>
      <c r="D21" s="7">
        <f t="shared" si="15"/>
        <v>4</v>
      </c>
      <c r="E21" s="7">
        <v>168</v>
      </c>
      <c r="F21" s="123">
        <f>central_v2_m!D9+temporary_pension_bonus_central!B9</f>
        <v>20255770.524499699</v>
      </c>
      <c r="G21" s="123">
        <f>central_v2_m!E9+temporary_pension_bonus_central!B9</f>
        <v>19454044.674243499</v>
      </c>
      <c r="H21" s="41">
        <f t="shared" si="0"/>
        <v>20218322.231703293</v>
      </c>
      <c r="I21" s="41">
        <f t="shared" si="1"/>
        <v>19417719.830230985</v>
      </c>
      <c r="J21" s="123">
        <f>central_v2_m!J9</f>
        <v>37448.292796407703</v>
      </c>
      <c r="K21" s="123">
        <f>central_v2_m!K9</f>
        <v>36324.844012515401</v>
      </c>
      <c r="L21" s="41">
        <f t="shared" si="2"/>
        <v>800602.40147230774</v>
      </c>
      <c r="M21" s="41">
        <f t="shared" si="3"/>
        <v>1123.4487838923014</v>
      </c>
      <c r="N21" s="123">
        <f>SUM(central_v5_m!C9:J9)</f>
        <v>3910348.4398605041</v>
      </c>
      <c r="O21" s="124">
        <v>112083822.294624</v>
      </c>
      <c r="P21" s="7">
        <v>6.14</v>
      </c>
      <c r="Q21" s="41">
        <f t="shared" si="5"/>
        <v>106830565.35235572</v>
      </c>
      <c r="R21" s="41">
        <v>21412355.855613802</v>
      </c>
      <c r="S21" s="41">
        <v>4057434.3670653901</v>
      </c>
      <c r="T21" s="124">
        <v>27652287.472387102</v>
      </c>
      <c r="U21" s="7">
        <f t="shared" si="16"/>
        <v>5.4758178676214477</v>
      </c>
      <c r="V21" s="41">
        <f t="shared" si="13"/>
        <v>199848.57419518099</v>
      </c>
      <c r="W21" s="41">
        <f t="shared" si="9"/>
        <v>6180.8837379956867</v>
      </c>
      <c r="X21" s="41">
        <f t="shared" si="10"/>
        <v>24695494.840454038</v>
      </c>
      <c r="Y21" s="41">
        <f t="shared" si="11"/>
        <v>20290816.643450569</v>
      </c>
      <c r="Z21" s="41">
        <f t="shared" si="12"/>
        <v>4404678.1970034679</v>
      </c>
      <c r="AA21" s="41"/>
      <c r="AB21" s="41"/>
      <c r="AC21" s="41"/>
      <c r="AD21" s="41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</row>
    <row r="22" spans="1:64" x14ac:dyDescent="0.2">
      <c r="A22" s="119"/>
      <c r="B22" s="5"/>
      <c r="C22" s="119">
        <f t="shared" si="14"/>
        <v>2017</v>
      </c>
      <c r="D22" s="119">
        <f t="shared" si="15"/>
        <v>1</v>
      </c>
      <c r="E22" s="119">
        <v>169</v>
      </c>
      <c r="F22" s="121">
        <f>central_v2_m!D10+temporary_pension_bonus_central!B10</f>
        <v>19378703.256028499</v>
      </c>
      <c r="G22" s="121">
        <f>central_v2_m!E10+temporary_pension_bonus_central!B10</f>
        <v>18611555.047744598</v>
      </c>
      <c r="H22" s="8">
        <f t="shared" si="0"/>
        <v>19309958.771896999</v>
      </c>
      <c r="I22" s="8">
        <f t="shared" si="1"/>
        <v>18544872.89813704</v>
      </c>
      <c r="J22" s="121">
        <f>central_v2_m!J10</f>
        <v>68744.484131501405</v>
      </c>
      <c r="K22" s="121">
        <f>central_v2_m!K10</f>
        <v>66682.149607556305</v>
      </c>
      <c r="L22" s="8">
        <f t="shared" si="2"/>
        <v>765085.87375995889</v>
      </c>
      <c r="M22" s="8">
        <f t="shared" si="3"/>
        <v>2062.334523945101</v>
      </c>
      <c r="N22" s="121">
        <f>SUM(central_v5_m!C10:J10)</f>
        <v>4299591.3674410377</v>
      </c>
      <c r="O22" s="125">
        <v>99073334.555400699</v>
      </c>
      <c r="P22" s="5">
        <v>5.69</v>
      </c>
      <c r="Q22" s="8">
        <f t="shared" si="5"/>
        <v>102028419.06345461</v>
      </c>
      <c r="R22" s="8">
        <v>20777922.971770301</v>
      </c>
      <c r="S22" s="8">
        <v>3586454.71090551</v>
      </c>
      <c r="T22" s="125">
        <v>25889654.834212899</v>
      </c>
      <c r="U22" s="5">
        <f t="shared" si="16"/>
        <v>4.8325343494529749</v>
      </c>
      <c r="V22" s="8">
        <f t="shared" si="13"/>
        <v>366865.51272590202</v>
      </c>
      <c r="W22" s="8">
        <f t="shared" si="9"/>
        <v>11346.356063688025</v>
      </c>
      <c r="X22" s="8">
        <f t="shared" si="10"/>
        <v>26519876.785648923</v>
      </c>
      <c r="Y22" s="8">
        <f t="shared" si="11"/>
        <v>22310600.045048986</v>
      </c>
      <c r="Z22" s="8">
        <f t="shared" si="12"/>
        <v>4209276.7405999387</v>
      </c>
      <c r="AA22" s="8"/>
      <c r="AB22" s="8"/>
      <c r="AC22" s="8"/>
      <c r="AD22" s="8"/>
      <c r="AE22" s="119"/>
      <c r="AF22" s="119"/>
      <c r="AG22" s="119"/>
      <c r="AH22" s="119"/>
      <c r="AI22" s="119"/>
      <c r="AJ22" s="119"/>
      <c r="AK22" s="119"/>
      <c r="AL22" s="119"/>
      <c r="AM22" s="119"/>
      <c r="AN22" s="119"/>
      <c r="AO22" s="119"/>
      <c r="AP22" s="119"/>
      <c r="AQ22" s="119"/>
      <c r="AR22" s="119"/>
      <c r="AS22" s="119"/>
      <c r="AT22" s="119"/>
      <c r="AU22" s="119"/>
      <c r="AV22" s="119"/>
      <c r="AW22" s="119"/>
      <c r="AX22" s="119"/>
      <c r="AY22" s="119"/>
      <c r="AZ22" s="119"/>
      <c r="BA22" s="119"/>
      <c r="BB22" s="119"/>
      <c r="BC22" s="119"/>
      <c r="BD22" s="119"/>
      <c r="BE22" s="119"/>
      <c r="BF22" s="119"/>
      <c r="BG22" s="119"/>
      <c r="BH22" s="119"/>
      <c r="BI22" s="119"/>
      <c r="BJ22" s="119"/>
      <c r="BK22" s="119"/>
      <c r="BL22" s="119"/>
    </row>
    <row r="23" spans="1:64" x14ac:dyDescent="0.2">
      <c r="A23" s="7"/>
      <c r="B23" s="7"/>
      <c r="C23" s="7">
        <f t="shared" si="14"/>
        <v>2017</v>
      </c>
      <c r="D23" s="7">
        <f t="shared" si="15"/>
        <v>2</v>
      </c>
      <c r="E23" s="7">
        <v>170</v>
      </c>
      <c r="F23" s="123">
        <f>central_v2_m!D11+temporary_pension_bonus_central!B11</f>
        <v>20711369.232136201</v>
      </c>
      <c r="G23" s="123">
        <f>central_v2_m!E11+temporary_pension_bonus_central!B11</f>
        <v>19889627.528947201</v>
      </c>
      <c r="H23" s="41">
        <f t="shared" si="0"/>
        <v>20605962.821759578</v>
      </c>
      <c r="I23" s="41">
        <f t="shared" si="1"/>
        <v>19787383.310881879</v>
      </c>
      <c r="J23" s="123">
        <f>central_v2_m!J11</f>
        <v>105406.41037662201</v>
      </c>
      <c r="K23" s="123">
        <f>central_v2_m!K11</f>
        <v>102244.218065323</v>
      </c>
      <c r="L23" s="41">
        <f t="shared" si="2"/>
        <v>818579.51087769866</v>
      </c>
      <c r="M23" s="41">
        <f t="shared" si="3"/>
        <v>3162.1923112990044</v>
      </c>
      <c r="N23" s="123">
        <f>SUM(central_v5_m!C11:J11)</f>
        <v>3939404.9843641627</v>
      </c>
      <c r="O23" s="124">
        <v>118311548.494431</v>
      </c>
      <c r="P23" s="7"/>
      <c r="Q23" s="41">
        <f t="shared" si="5"/>
        <v>108864344.75453721</v>
      </c>
      <c r="R23" s="41">
        <v>18535352.961221799</v>
      </c>
      <c r="S23" s="41">
        <v>4282878.0554983998</v>
      </c>
      <c r="T23" s="124">
        <v>24020927.786342502</v>
      </c>
      <c r="U23" s="7">
        <f t="shared" si="16"/>
        <v>4.7051148675473096</v>
      </c>
      <c r="V23" s="41">
        <f t="shared" si="13"/>
        <v>562517.52087402868</v>
      </c>
      <c r="W23" s="41">
        <f t="shared" si="9"/>
        <v>17397.449099198715</v>
      </c>
      <c r="X23" s="41">
        <f t="shared" si="10"/>
        <v>24945174.139856204</v>
      </c>
      <c r="Y23" s="41">
        <f t="shared" si="11"/>
        <v>20441591.191009056</v>
      </c>
      <c r="Z23" s="41">
        <f t="shared" si="12"/>
        <v>4503582.9488471467</v>
      </c>
      <c r="AA23" s="41"/>
      <c r="AB23" s="41"/>
      <c r="AC23" s="41"/>
      <c r="AD23" s="41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</row>
    <row r="24" spans="1:64" x14ac:dyDescent="0.2">
      <c r="A24" s="7"/>
      <c r="B24" s="7"/>
      <c r="C24" s="7">
        <f t="shared" si="14"/>
        <v>2017</v>
      </c>
      <c r="D24" s="7">
        <f t="shared" si="15"/>
        <v>3</v>
      </c>
      <c r="E24" s="7">
        <v>171</v>
      </c>
      <c r="F24" s="123">
        <f>central_v2_m!D12+temporary_pension_bonus_central!B12</f>
        <v>19898364.494931102</v>
      </c>
      <c r="G24" s="123">
        <f>central_v2_m!E12+temporary_pension_bonus_central!B12</f>
        <v>19108228.3816652</v>
      </c>
      <c r="H24" s="41">
        <f t="shared" si="0"/>
        <v>19745296.223790534</v>
      </c>
      <c r="I24" s="41">
        <f t="shared" si="1"/>
        <v>18959752.158658851</v>
      </c>
      <c r="J24" s="123">
        <f>central_v2_m!J12</f>
        <v>153068.271140567</v>
      </c>
      <c r="K24" s="123">
        <f>central_v2_m!K12</f>
        <v>148476.22300634999</v>
      </c>
      <c r="L24" s="41">
        <f t="shared" si="2"/>
        <v>785544.0651316829</v>
      </c>
      <c r="M24" s="41">
        <f t="shared" si="3"/>
        <v>4592.0481342170096</v>
      </c>
      <c r="N24" s="123">
        <f>SUM(central_v5_m!C12:J12)</f>
        <v>3599614.5523328749</v>
      </c>
      <c r="O24" s="124">
        <v>103254577.73677801</v>
      </c>
      <c r="P24" s="7"/>
      <c r="Q24" s="41">
        <f t="shared" si="5"/>
        <v>104310962.34567401</v>
      </c>
      <c r="R24" s="41">
        <v>18516776.210226402</v>
      </c>
      <c r="S24" s="41">
        <v>3737815.71407136</v>
      </c>
      <c r="T24" s="124">
        <v>24278813.710319798</v>
      </c>
      <c r="U24" s="7">
        <f t="shared" si="16"/>
        <v>5.1440997198507992</v>
      </c>
      <c r="V24" s="41">
        <f t="shared" si="13"/>
        <v>816872.37141283497</v>
      </c>
      <c r="W24" s="41">
        <f t="shared" si="9"/>
        <v>25264.093961221697</v>
      </c>
      <c r="X24" s="41">
        <f t="shared" si="10"/>
        <v>23000248.697287798</v>
      </c>
      <c r="Y24" s="41">
        <f t="shared" si="11"/>
        <v>18678417.023902945</v>
      </c>
      <c r="Z24" s="41">
        <f t="shared" si="12"/>
        <v>4321831.6733848536</v>
      </c>
      <c r="AA24" s="41"/>
      <c r="AB24" s="41"/>
      <c r="AC24" s="41"/>
      <c r="AD24" s="41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</row>
    <row r="25" spans="1:64" x14ac:dyDescent="0.2">
      <c r="A25" s="7"/>
      <c r="B25" s="7"/>
      <c r="C25" s="7">
        <f t="shared" si="14"/>
        <v>2017</v>
      </c>
      <c r="D25" s="7">
        <f t="shared" si="15"/>
        <v>4</v>
      </c>
      <c r="E25" s="7">
        <v>172</v>
      </c>
      <c r="F25" s="123">
        <f>central_v2_m!D13+temporary_pension_bonus_central!B13</f>
        <v>21659293.098367002</v>
      </c>
      <c r="G25" s="123">
        <f>central_v2_m!E13+temporary_pension_bonus_central!B13</f>
        <v>20796911.288528401</v>
      </c>
      <c r="H25" s="41">
        <f t="shared" si="0"/>
        <v>21463576.11407578</v>
      </c>
      <c r="I25" s="41">
        <f t="shared" si="1"/>
        <v>20607065.813765917</v>
      </c>
      <c r="J25" s="123">
        <f>central_v2_m!J13</f>
        <v>195716.984291222</v>
      </c>
      <c r="K25" s="123">
        <f>central_v2_m!K13</f>
        <v>189845.474762486</v>
      </c>
      <c r="L25" s="41">
        <f t="shared" si="2"/>
        <v>856510.30030986294</v>
      </c>
      <c r="M25" s="41">
        <f t="shared" si="3"/>
        <v>5871.5095287360018</v>
      </c>
      <c r="N25" s="123">
        <f>SUM(central_v5_m!C13:J13)</f>
        <v>4012507.368122709</v>
      </c>
      <c r="O25" s="126">
        <v>124728426.72428501</v>
      </c>
      <c r="Q25" s="41">
        <f t="shared" si="5"/>
        <v>113373996.03996797</v>
      </c>
      <c r="R25" s="41">
        <v>18747481.398794301</v>
      </c>
      <c r="S25" s="41">
        <v>4515169.0474191196</v>
      </c>
      <c r="T25" s="126">
        <v>24785174.047673602</v>
      </c>
      <c r="V25" s="41">
        <f t="shared" si="13"/>
        <v>1044473.7886725139</v>
      </c>
      <c r="W25" s="41">
        <f t="shared" si="9"/>
        <v>32303.3130517235</v>
      </c>
      <c r="X25" s="41">
        <f t="shared" si="10"/>
        <v>25533186.768756997</v>
      </c>
      <c r="Y25" s="41">
        <f t="shared" si="11"/>
        <v>20820919.807846263</v>
      </c>
      <c r="Z25" s="41">
        <f t="shared" si="12"/>
        <v>4712266.9609107329</v>
      </c>
      <c r="AA25" s="41"/>
      <c r="AB25" s="41"/>
      <c r="AC25" s="41"/>
      <c r="AD25" s="41"/>
    </row>
    <row r="26" spans="1:64" x14ac:dyDescent="0.2">
      <c r="A26" s="119"/>
      <c r="B26" s="5"/>
      <c r="C26" s="119">
        <f t="shared" si="14"/>
        <v>2018</v>
      </c>
      <c r="D26" s="119">
        <f t="shared" si="15"/>
        <v>1</v>
      </c>
      <c r="E26" s="119">
        <v>173</v>
      </c>
      <c r="F26" s="121">
        <f>central_v2_m!D14+temporary_pension_bonus_central!B14</f>
        <v>20174391.262789998</v>
      </c>
      <c r="G26" s="121">
        <f>central_v2_m!E14+temporary_pension_bonus_central!B14</f>
        <v>19371112.768721402</v>
      </c>
      <c r="H26" s="8">
        <f t="shared" si="0"/>
        <v>19974770.161721937</v>
      </c>
      <c r="I26" s="8">
        <f t="shared" si="1"/>
        <v>19177480.300685383</v>
      </c>
      <c r="J26" s="121">
        <f>central_v2_m!J14</f>
        <v>199621.10106806</v>
      </c>
      <c r="K26" s="121">
        <f>central_v2_m!K14</f>
        <v>193632.46803601799</v>
      </c>
      <c r="L26" s="8">
        <f t="shared" si="2"/>
        <v>797289.86103655398</v>
      </c>
      <c r="M26" s="8">
        <f t="shared" si="3"/>
        <v>5988.6330320420093</v>
      </c>
      <c r="N26" s="121">
        <f>SUM(central_v5_m!C14:J14)</f>
        <v>4266228.999600837</v>
      </c>
      <c r="O26" s="5"/>
      <c r="P26" s="5"/>
      <c r="Q26" s="8">
        <f t="shared" si="5"/>
        <v>105508838.34291646</v>
      </c>
      <c r="R26" s="8"/>
      <c r="S26" s="8"/>
      <c r="T26" s="5"/>
      <c r="U26" s="5"/>
      <c r="V26" s="8">
        <f t="shared" si="13"/>
        <v>1065308.7083198316</v>
      </c>
      <c r="W26" s="8">
        <f t="shared" si="9"/>
        <v>32947.692009892889</v>
      </c>
      <c r="X26" s="8">
        <f t="shared" si="10"/>
        <v>26523936.136611547</v>
      </c>
      <c r="Y26" s="8">
        <f t="shared" si="11"/>
        <v>22137482.559728161</v>
      </c>
      <c r="Z26" s="8">
        <f t="shared" si="12"/>
        <v>4386453.5768833878</v>
      </c>
      <c r="AA26" s="8"/>
      <c r="AB26" s="8"/>
      <c r="AC26" s="8"/>
      <c r="AD26" s="8"/>
      <c r="AE26" s="119"/>
      <c r="AF26" s="119"/>
      <c r="AG26" s="119"/>
      <c r="AH26" s="119"/>
      <c r="AI26" s="119"/>
      <c r="AJ26" s="119"/>
      <c r="AK26" s="119"/>
      <c r="AL26" s="119"/>
      <c r="AM26" s="119"/>
      <c r="AN26" s="119"/>
      <c r="AO26" s="119"/>
      <c r="AP26" s="119"/>
      <c r="AQ26" s="119"/>
      <c r="AR26" s="119"/>
      <c r="AS26" s="119"/>
      <c r="AT26" s="119"/>
      <c r="AU26" s="119"/>
      <c r="AV26" s="119"/>
      <c r="AW26" s="119"/>
      <c r="AX26" s="119"/>
      <c r="AY26" s="119"/>
      <c r="AZ26" s="119"/>
      <c r="BA26" s="119"/>
      <c r="BB26" s="119"/>
      <c r="BC26" s="119"/>
      <c r="BD26" s="119"/>
      <c r="BE26" s="119"/>
      <c r="BF26" s="119"/>
      <c r="BG26" s="119"/>
      <c r="BH26" s="119"/>
      <c r="BI26" s="119"/>
      <c r="BJ26" s="119"/>
      <c r="BK26" s="119"/>
      <c r="BL26" s="119"/>
    </row>
    <row r="27" spans="1:64" x14ac:dyDescent="0.2">
      <c r="A27" s="7"/>
      <c r="B27" s="7"/>
      <c r="C27" s="7">
        <f t="shared" si="14"/>
        <v>2018</v>
      </c>
      <c r="D27" s="7">
        <f t="shared" si="15"/>
        <v>2</v>
      </c>
      <c r="E27" s="7">
        <v>174</v>
      </c>
      <c r="F27" s="123">
        <f>central_v2_m!D15+temporary_pension_bonus_central!B15</f>
        <v>20313980.777413268</v>
      </c>
      <c r="G27" s="123">
        <f>central_v2_m!E15+temporary_pension_bonus_central!B15</f>
        <v>19516461.00290997</v>
      </c>
      <c r="H27" s="41">
        <f t="shared" si="0"/>
        <v>20096218.878832377</v>
      </c>
      <c r="I27" s="41">
        <f t="shared" si="1"/>
        <v>19305231.961286504</v>
      </c>
      <c r="J27" s="123">
        <f>central_v2_m!J15</f>
        <v>217761.89858089099</v>
      </c>
      <c r="K27" s="123">
        <f>central_v2_m!K15</f>
        <v>211229.041623464</v>
      </c>
      <c r="L27" s="41">
        <f t="shared" si="2"/>
        <v>790986.91754587367</v>
      </c>
      <c r="M27" s="41">
        <f t="shared" si="3"/>
        <v>6532.8569574269932</v>
      </c>
      <c r="N27" s="123">
        <f>SUM(central_v5_m!C15:J15)</f>
        <v>3381171.9076419496</v>
      </c>
      <c r="O27" s="7"/>
      <c r="P27" s="7"/>
      <c r="Q27" s="41">
        <f t="shared" si="5"/>
        <v>106211690.2867102</v>
      </c>
      <c r="R27" s="41"/>
      <c r="S27" s="41"/>
      <c r="T27" s="7"/>
      <c r="U27" s="7"/>
      <c r="V27" s="41">
        <f t="shared" si="13"/>
        <v>1162119.8643693947</v>
      </c>
      <c r="W27" s="41">
        <f t="shared" si="9"/>
        <v>35941.851475343596</v>
      </c>
      <c r="X27" s="41">
        <f t="shared" si="10"/>
        <v>21896693.743635733</v>
      </c>
      <c r="Y27" s="41">
        <f t="shared" si="11"/>
        <v>17544917.102169089</v>
      </c>
      <c r="Z27" s="41">
        <f t="shared" si="12"/>
        <v>4351776.6414666446</v>
      </c>
      <c r="AA27" s="41"/>
      <c r="AB27" s="41"/>
      <c r="AC27" s="41"/>
      <c r="AD27" s="41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</row>
    <row r="28" spans="1:64" x14ac:dyDescent="0.2">
      <c r="A28" s="7"/>
      <c r="B28" s="7"/>
      <c r="C28" s="7">
        <f t="shared" si="14"/>
        <v>2018</v>
      </c>
      <c r="D28" s="7">
        <f t="shared" si="15"/>
        <v>3</v>
      </c>
      <c r="E28" s="7">
        <v>175</v>
      </c>
      <c r="F28" s="123">
        <f>central_v2_m!D16+temporary_pension_bonus_central!B16</f>
        <v>19050994.916072201</v>
      </c>
      <c r="G28" s="123">
        <f>central_v2_m!E16+temporary_pension_bonus_central!B16</f>
        <v>18292973.2702277</v>
      </c>
      <c r="H28" s="41">
        <f t="shared" si="0"/>
        <v>18815947.792848028</v>
      </c>
      <c r="I28" s="41">
        <f t="shared" si="1"/>
        <v>18064977.560700253</v>
      </c>
      <c r="J28" s="123">
        <f>central_v2_m!J16</f>
        <v>235047.12322417201</v>
      </c>
      <c r="K28" s="123">
        <f>central_v2_m!K16</f>
        <v>227995.70952744599</v>
      </c>
      <c r="L28" s="41">
        <f t="shared" si="2"/>
        <v>750970.23214777559</v>
      </c>
      <c r="M28" s="41">
        <f t="shared" si="3"/>
        <v>7051.4136967260274</v>
      </c>
      <c r="N28" s="123">
        <f>SUM(central_v5_m!C16:J16)</f>
        <v>3202211.134178625</v>
      </c>
      <c r="O28" s="7"/>
      <c r="P28" s="7"/>
      <c r="Q28" s="41">
        <f t="shared" si="5"/>
        <v>99388176.508892953</v>
      </c>
      <c r="R28" s="41"/>
      <c r="S28" s="41"/>
      <c r="T28" s="7"/>
      <c r="U28" s="7"/>
      <c r="V28" s="41">
        <f t="shared" si="13"/>
        <v>1254365.1242103018</v>
      </c>
      <c r="W28" s="41">
        <f t="shared" si="9"/>
        <v>38794.797655993636</v>
      </c>
      <c r="X28" s="41">
        <f t="shared" si="10"/>
        <v>20747905.443161473</v>
      </c>
      <c r="Y28" s="41">
        <f t="shared" si="11"/>
        <v>16616288.797924174</v>
      </c>
      <c r="Z28" s="41">
        <f t="shared" si="12"/>
        <v>4131616.6452372978</v>
      </c>
      <c r="AA28" s="41"/>
      <c r="AB28" s="41"/>
      <c r="AC28" s="41"/>
      <c r="AD28" s="41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</row>
    <row r="29" spans="1:64" x14ac:dyDescent="0.2">
      <c r="A29" s="7"/>
      <c r="B29" s="7"/>
      <c r="C29" s="7">
        <f t="shared" si="14"/>
        <v>2018</v>
      </c>
      <c r="D29" s="7">
        <f t="shared" si="15"/>
        <v>4</v>
      </c>
      <c r="E29" s="7">
        <v>176</v>
      </c>
      <c r="F29" s="123">
        <f>central_v2_m!D17+temporary_pension_bonus_central!B17</f>
        <v>17490439.390068699</v>
      </c>
      <c r="G29" s="123">
        <f>central_v2_m!E17+temporary_pension_bonus_central!B17</f>
        <v>16796377.297509801</v>
      </c>
      <c r="H29" s="41">
        <f t="shared" si="0"/>
        <v>17250048.068031631</v>
      </c>
      <c r="I29" s="41">
        <f t="shared" si="1"/>
        <v>16563197.715133844</v>
      </c>
      <c r="J29" s="123">
        <f>central_v2_m!J17</f>
        <v>240391.32203706901</v>
      </c>
      <c r="K29" s="123">
        <f>central_v2_m!K17</f>
        <v>233179.582375956</v>
      </c>
      <c r="L29" s="41">
        <f t="shared" si="2"/>
        <v>686850.35289778747</v>
      </c>
      <c r="M29" s="41">
        <f t="shared" si="3"/>
        <v>7211.7396611130098</v>
      </c>
      <c r="N29" s="123">
        <f>SUM(central_v5_m!C17:J17)</f>
        <v>3094461.0022649867</v>
      </c>
      <c r="O29" s="7"/>
      <c r="P29" s="7"/>
      <c r="Q29" s="41">
        <f t="shared" si="5"/>
        <v>91125826.895275906</v>
      </c>
      <c r="R29" s="41"/>
      <c r="S29" s="41"/>
      <c r="T29" s="7"/>
      <c r="U29" s="7"/>
      <c r="V29" s="41">
        <f t="shared" si="13"/>
        <v>1282885.263133043</v>
      </c>
      <c r="W29" s="41">
        <f t="shared" si="9"/>
        <v>39676.863808243768</v>
      </c>
      <c r="X29" s="41">
        <f t="shared" si="10"/>
        <v>19836020.839228489</v>
      </c>
      <c r="Y29" s="41">
        <f t="shared" si="11"/>
        <v>16057172.851201728</v>
      </c>
      <c r="Z29" s="41">
        <f t="shared" si="12"/>
        <v>3778847.9880267601</v>
      </c>
      <c r="AA29" s="41"/>
      <c r="AB29" s="41"/>
      <c r="AC29" s="41"/>
      <c r="AD29" s="41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</row>
    <row r="30" spans="1:64" x14ac:dyDescent="0.2">
      <c r="A30" s="119"/>
      <c r="B30" s="5"/>
      <c r="C30" s="119">
        <f t="shared" si="14"/>
        <v>2019</v>
      </c>
      <c r="D30" s="119">
        <f t="shared" si="15"/>
        <v>1</v>
      </c>
      <c r="E30" s="119">
        <v>177</v>
      </c>
      <c r="F30" s="121">
        <f>central_v2_m!D18+temporary_pension_bonus_central!B18</f>
        <v>17349305.224057399</v>
      </c>
      <c r="G30" s="121">
        <f>central_v2_m!E18+temporary_pension_bonus_central!B18</f>
        <v>16659961.054203499</v>
      </c>
      <c r="H30" s="8">
        <f t="shared" si="0"/>
        <v>17153552.693287212</v>
      </c>
      <c r="I30" s="8">
        <f t="shared" si="1"/>
        <v>16470081.099356418</v>
      </c>
      <c r="J30" s="121">
        <f>central_v2_m!J18</f>
        <v>195752.530770185</v>
      </c>
      <c r="K30" s="121">
        <f>central_v2_m!K18</f>
        <v>189879.95484707999</v>
      </c>
      <c r="L30" s="8">
        <f t="shared" si="2"/>
        <v>683471.59393079393</v>
      </c>
      <c r="M30" s="8">
        <f t="shared" si="3"/>
        <v>5872.5759231050033</v>
      </c>
      <c r="N30" s="121">
        <f>SUM(central_v5_m!C18:J18)</f>
        <v>3259887.1306636832</v>
      </c>
      <c r="O30" s="5"/>
      <c r="P30" s="5"/>
      <c r="Q30" s="8">
        <f t="shared" si="5"/>
        <v>90613526.749111831</v>
      </c>
      <c r="R30" s="8"/>
      <c r="S30" s="8"/>
      <c r="T30" s="5"/>
      <c r="U30" s="5"/>
      <c r="V30" s="8">
        <f t="shared" si="13"/>
        <v>1044663.4879246803</v>
      </c>
      <c r="W30" s="8">
        <f t="shared" si="9"/>
        <v>32309.180038904538</v>
      </c>
      <c r="X30" s="8">
        <f t="shared" si="10"/>
        <v>20675828.870950717</v>
      </c>
      <c r="Y30" s="8">
        <f t="shared" si="11"/>
        <v>16915569.817865293</v>
      </c>
      <c r="Z30" s="8">
        <f t="shared" si="12"/>
        <v>3760259.0530854235</v>
      </c>
      <c r="AA30" s="8"/>
      <c r="AB30" s="8"/>
      <c r="AC30" s="8"/>
      <c r="AD30" s="8"/>
      <c r="AE30" s="119"/>
      <c r="AF30" s="119"/>
      <c r="AG30" s="119"/>
      <c r="AH30" s="119"/>
      <c r="AI30" s="119"/>
      <c r="AJ30" s="119"/>
      <c r="AK30" s="119"/>
      <c r="AL30" s="119"/>
      <c r="AM30" s="119"/>
      <c r="AN30" s="119"/>
      <c r="AO30" s="119"/>
      <c r="AP30" s="119"/>
      <c r="AQ30" s="119"/>
      <c r="AR30" s="119"/>
      <c r="AS30" s="119"/>
      <c r="AT30" s="119"/>
      <c r="AU30" s="119"/>
      <c r="AV30" s="119"/>
      <c r="AW30" s="119"/>
      <c r="AX30" s="119"/>
      <c r="AY30" s="119"/>
      <c r="AZ30" s="119"/>
      <c r="BA30" s="119"/>
      <c r="BB30" s="119"/>
      <c r="BC30" s="119"/>
      <c r="BD30" s="119"/>
      <c r="BE30" s="119"/>
      <c r="BF30" s="119"/>
      <c r="BG30" s="119"/>
      <c r="BH30" s="119"/>
      <c r="BI30" s="119"/>
      <c r="BJ30" s="119"/>
      <c r="BK30" s="119"/>
      <c r="BL30" s="119"/>
    </row>
    <row r="31" spans="1:64" x14ac:dyDescent="0.2">
      <c r="A31" s="7"/>
      <c r="B31" s="7"/>
      <c r="C31" s="7">
        <f t="shared" si="14"/>
        <v>2019</v>
      </c>
      <c r="D31" s="7">
        <f t="shared" si="15"/>
        <v>2</v>
      </c>
      <c r="E31" s="7">
        <v>178</v>
      </c>
      <c r="F31" s="123">
        <f>central_v2_m!D19+temporary_pension_bonus_central!B19</f>
        <v>17521550.764070701</v>
      </c>
      <c r="G31" s="123">
        <f>central_v2_m!E19+temporary_pension_bonus_central!B19</f>
        <v>16824379.883012999</v>
      </c>
      <c r="H31" s="41">
        <f t="shared" si="0"/>
        <v>17322941.921958808</v>
      </c>
      <c r="I31" s="41">
        <f t="shared" si="1"/>
        <v>16631729.306164462</v>
      </c>
      <c r="J31" s="123">
        <f>central_v2_m!J19</f>
        <v>198608.842111893</v>
      </c>
      <c r="K31" s="123">
        <f>central_v2_m!K19</f>
        <v>192650.576848536</v>
      </c>
      <c r="L31" s="41">
        <f t="shared" si="2"/>
        <v>691212.61579434574</v>
      </c>
      <c r="M31" s="41">
        <f t="shared" si="3"/>
        <v>5958.265263356996</v>
      </c>
      <c r="N31" s="123">
        <f>SUM(central_v5_m!C19:J19)</f>
        <v>2983997.2260328452</v>
      </c>
      <c r="O31" s="7"/>
      <c r="P31" s="7"/>
      <c r="Q31" s="41">
        <f t="shared" si="5"/>
        <v>91502867.489038065</v>
      </c>
      <c r="R31" s="41"/>
      <c r="S31" s="41"/>
      <c r="T31" s="7"/>
      <c r="U31" s="7"/>
      <c r="V31" s="41">
        <f t="shared" si="13"/>
        <v>1059906.6327110422</v>
      </c>
      <c r="W31" s="41">
        <f t="shared" si="9"/>
        <v>32780.617506528251</v>
      </c>
      <c r="X31" s="41">
        <f t="shared" si="10"/>
        <v>19286823.662618436</v>
      </c>
      <c r="Y31" s="41">
        <f t="shared" si="11"/>
        <v>15483975.791210447</v>
      </c>
      <c r="Z31" s="41">
        <f t="shared" si="12"/>
        <v>3802847.8714079889</v>
      </c>
      <c r="AA31" s="41"/>
      <c r="AB31" s="41"/>
      <c r="AC31" s="41"/>
      <c r="AD31" s="41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</row>
    <row r="32" spans="1:64" x14ac:dyDescent="0.2">
      <c r="A32" s="7"/>
      <c r="B32" s="7"/>
      <c r="C32" s="7">
        <f t="shared" si="14"/>
        <v>2019</v>
      </c>
      <c r="D32" s="7">
        <f t="shared" si="15"/>
        <v>3</v>
      </c>
      <c r="E32" s="7">
        <v>179</v>
      </c>
      <c r="F32" s="123">
        <f>central_v2_m!D20+temporary_pension_bonus_central!B20</f>
        <v>17915628.817319099</v>
      </c>
      <c r="G32" s="123">
        <f>central_v2_m!E20+temporary_pension_bonus_central!B20</f>
        <v>17201282.591356099</v>
      </c>
      <c r="H32" s="41">
        <f t="shared" si="0"/>
        <v>17726054.232851021</v>
      </c>
      <c r="I32" s="41">
        <f t="shared" si="1"/>
        <v>17017395.244422063</v>
      </c>
      <c r="J32" s="123">
        <f>central_v2_m!J20</f>
        <v>189574.584468079</v>
      </c>
      <c r="K32" s="123">
        <f>central_v2_m!K20</f>
        <v>183887.34693403699</v>
      </c>
      <c r="L32" s="41">
        <f t="shared" si="2"/>
        <v>708658.98842895776</v>
      </c>
      <c r="M32" s="41">
        <f t="shared" si="3"/>
        <v>5687.2375340420112</v>
      </c>
      <c r="N32" s="123">
        <f>SUM(central_v5_m!C20:J20)</f>
        <v>2899259.2346299156</v>
      </c>
      <c r="O32" s="7"/>
      <c r="P32" s="7"/>
      <c r="Q32" s="41">
        <f t="shared" si="5"/>
        <v>93624687.691483334</v>
      </c>
      <c r="R32" s="41"/>
      <c r="S32" s="41"/>
      <c r="T32" s="7"/>
      <c r="U32" s="7"/>
      <c r="V32" s="41">
        <f t="shared" si="13"/>
        <v>1011693.9272922996</v>
      </c>
      <c r="W32" s="41">
        <f t="shared" si="9"/>
        <v>31289.502905945374</v>
      </c>
      <c r="X32" s="41">
        <f t="shared" si="10"/>
        <v>18943102.617124688</v>
      </c>
      <c r="Y32" s="41">
        <f t="shared" si="11"/>
        <v>15044269.950993182</v>
      </c>
      <c r="Z32" s="41">
        <f t="shared" si="12"/>
        <v>3898832.6661315053</v>
      </c>
      <c r="AA32" s="41"/>
      <c r="AB32" s="41"/>
      <c r="AC32" s="41"/>
      <c r="AD32" s="41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</row>
    <row r="33" spans="1:64" x14ac:dyDescent="0.2">
      <c r="A33" s="7"/>
      <c r="B33" s="7"/>
      <c r="C33" s="7">
        <f t="shared" si="14"/>
        <v>2019</v>
      </c>
      <c r="D33" s="7">
        <f t="shared" si="15"/>
        <v>4</v>
      </c>
      <c r="E33" s="7">
        <v>180</v>
      </c>
      <c r="F33" s="123">
        <f>central_v2_m!D21+temporary_pension_bonus_central!B21</f>
        <v>17713060.107261699</v>
      </c>
      <c r="G33" s="123">
        <f>central_v2_m!E21+temporary_pension_bonus_central!B21</f>
        <v>17005478.945173599</v>
      </c>
      <c r="H33" s="41">
        <f t="shared" si="0"/>
        <v>17516824.855362982</v>
      </c>
      <c r="I33" s="41">
        <f t="shared" si="1"/>
        <v>16815130.750831842</v>
      </c>
      <c r="J33" s="123">
        <f>central_v2_m!J21</f>
        <v>196235.25189871801</v>
      </c>
      <c r="K33" s="123">
        <f>central_v2_m!K21</f>
        <v>190348.194341756</v>
      </c>
      <c r="L33" s="41">
        <f t="shared" si="2"/>
        <v>701694.10453113914</v>
      </c>
      <c r="M33" s="41">
        <f t="shared" si="3"/>
        <v>5887.0575569620123</v>
      </c>
      <c r="N33" s="123">
        <f>SUM(central_v5_m!C21:J21)</f>
        <v>3099283.3893298707</v>
      </c>
      <c r="O33" s="7"/>
      <c r="P33" s="7"/>
      <c r="Q33" s="41">
        <f t="shared" si="5"/>
        <v>92511888.125423566</v>
      </c>
      <c r="R33" s="41"/>
      <c r="S33" s="41"/>
      <c r="T33" s="7"/>
      <c r="U33" s="7"/>
      <c r="V33" s="41">
        <f t="shared" si="13"/>
        <v>1047239.6034714017</v>
      </c>
      <c r="W33" s="41">
        <f t="shared" si="9"/>
        <v>32388.853715613041</v>
      </c>
      <c r="X33" s="41">
        <f t="shared" si="10"/>
        <v>19942710.170504756</v>
      </c>
      <c r="Y33" s="41">
        <f t="shared" si="11"/>
        <v>16082196.240606075</v>
      </c>
      <c r="Z33" s="41">
        <f t="shared" si="12"/>
        <v>3860513.9298986821</v>
      </c>
      <c r="AA33" s="41"/>
      <c r="AB33" s="41"/>
      <c r="AC33" s="41"/>
      <c r="AD33" s="41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</row>
    <row r="34" spans="1:64" x14ac:dyDescent="0.2">
      <c r="A34" s="119"/>
      <c r="B34" s="5"/>
      <c r="C34" s="119">
        <f t="shared" si="14"/>
        <v>2020</v>
      </c>
      <c r="D34" s="119">
        <f t="shared" si="15"/>
        <v>1</v>
      </c>
      <c r="E34" s="119">
        <v>181</v>
      </c>
      <c r="F34" s="121">
        <f>central_v2_m!D22+temporary_pension_bonus_central!B22</f>
        <v>19574448.211037628</v>
      </c>
      <c r="G34" s="121">
        <f>central_v2_m!E22+temporary_pension_bonus_central!B22</f>
        <v>18873716.792742133</v>
      </c>
      <c r="H34" s="8">
        <f t="shared" si="0"/>
        <v>19357090.123944368</v>
      </c>
      <c r="I34" s="8">
        <f t="shared" si="1"/>
        <v>18662879.448261671</v>
      </c>
      <c r="J34" s="121">
        <f>central_v2_m!J22</f>
        <v>217358.08709325999</v>
      </c>
      <c r="K34" s="121">
        <f>central_v2_m!K22</f>
        <v>210837.34448046199</v>
      </c>
      <c r="L34" s="8">
        <f t="shared" si="2"/>
        <v>694210.67568269745</v>
      </c>
      <c r="M34" s="8">
        <f t="shared" si="3"/>
        <v>6520.7426127979998</v>
      </c>
      <c r="N34" s="121">
        <f>SUM(central_v5_m!C22:J22)</f>
        <v>3406176.4611303397</v>
      </c>
      <c r="O34" s="5"/>
      <c r="P34" s="5"/>
      <c r="Q34" s="8">
        <f t="shared" si="5"/>
        <v>102677656.28467913</v>
      </c>
      <c r="R34" s="8"/>
      <c r="S34" s="8"/>
      <c r="T34" s="5"/>
      <c r="U34" s="5"/>
      <c r="V34" s="8">
        <f t="shared" si="13"/>
        <v>1159964.8622579388</v>
      </c>
      <c r="W34" s="8">
        <f t="shared" si="9"/>
        <v>35875.201925504392</v>
      </c>
      <c r="X34" s="8">
        <f t="shared" si="10"/>
        <v>21494008.161430016</v>
      </c>
      <c r="Y34" s="8">
        <f t="shared" si="11"/>
        <v>17674665.849086992</v>
      </c>
      <c r="Z34" s="8">
        <f t="shared" si="12"/>
        <v>3819342.3123430256</v>
      </c>
      <c r="AA34" s="8"/>
      <c r="AB34" s="8"/>
      <c r="AC34" s="8"/>
      <c r="AD34" s="8"/>
      <c r="AE34" s="119"/>
      <c r="AF34" s="119"/>
      <c r="AG34" s="119"/>
      <c r="AH34" s="119"/>
      <c r="AI34" s="119"/>
      <c r="AJ34" s="119"/>
      <c r="AK34" s="119"/>
      <c r="AL34" s="119"/>
      <c r="AM34" s="119"/>
      <c r="AN34" s="119"/>
      <c r="AO34" s="119"/>
      <c r="AP34" s="119"/>
      <c r="AQ34" s="119"/>
      <c r="AR34" s="119"/>
      <c r="AS34" s="119"/>
      <c r="AT34" s="119"/>
      <c r="AU34" s="119"/>
      <c r="AV34" s="119"/>
      <c r="AW34" s="119"/>
      <c r="AX34" s="119"/>
      <c r="AY34" s="119"/>
      <c r="AZ34" s="119"/>
      <c r="BA34" s="119"/>
      <c r="BB34" s="119"/>
      <c r="BC34" s="119"/>
      <c r="BD34" s="119"/>
      <c r="BE34" s="119"/>
      <c r="BF34" s="119"/>
      <c r="BG34" s="119"/>
      <c r="BH34" s="119"/>
      <c r="BI34" s="119"/>
      <c r="BJ34" s="119"/>
      <c r="BK34" s="119"/>
      <c r="BL34" s="119"/>
    </row>
    <row r="35" spans="1:64" x14ac:dyDescent="0.2">
      <c r="A35" s="7"/>
      <c r="B35" s="7"/>
      <c r="C35" s="7">
        <f t="shared" si="14"/>
        <v>2020</v>
      </c>
      <c r="D35" s="7">
        <f t="shared" si="15"/>
        <v>2</v>
      </c>
      <c r="E35" s="7">
        <v>182</v>
      </c>
      <c r="F35" s="123">
        <f>central_v2_m!D23+temporary_pension_bonus_central!B23</f>
        <v>17643511.880874299</v>
      </c>
      <c r="G35" s="123">
        <f>central_v2_m!E23+temporary_pension_bonus_central!B23</f>
        <v>16936585.010239299</v>
      </c>
      <c r="H35" s="41">
        <f t="shared" si="0"/>
        <v>17400162.224195078</v>
      </c>
      <c r="I35" s="41">
        <f t="shared" si="1"/>
        <v>16700535.843260456</v>
      </c>
      <c r="J35" s="123">
        <f>central_v2_m!J23</f>
        <v>243349.65667922</v>
      </c>
      <c r="K35" s="123">
        <f>central_v2_m!K23</f>
        <v>236049.166978844</v>
      </c>
      <c r="L35" s="41">
        <f t="shared" si="2"/>
        <v>699626.38093462214</v>
      </c>
      <c r="M35" s="41">
        <f t="shared" si="3"/>
        <v>7300.4897003759979</v>
      </c>
      <c r="N35" s="123">
        <f>SUM(central_v5_m!C23:J23)</f>
        <v>2526033.4012735975</v>
      </c>
      <c r="O35" s="7"/>
      <c r="P35" s="7"/>
      <c r="Q35" s="41">
        <f t="shared" si="5"/>
        <v>91881420.754929706</v>
      </c>
      <c r="R35" s="41"/>
      <c r="S35" s="41"/>
      <c r="T35" s="7"/>
      <c r="U35" s="7"/>
      <c r="V35" s="41">
        <f t="shared" si="13"/>
        <v>1298672.8709537957</v>
      </c>
      <c r="W35" s="41">
        <f t="shared" si="9"/>
        <v>40165.140338773774</v>
      </c>
      <c r="X35" s="41">
        <f t="shared" si="10"/>
        <v>16956737.252214015</v>
      </c>
      <c r="Y35" s="41">
        <f t="shared" si="11"/>
        <v>13107599.327466279</v>
      </c>
      <c r="Z35" s="41">
        <f t="shared" si="12"/>
        <v>3849137.9247477367</v>
      </c>
      <c r="AA35" s="41"/>
      <c r="AB35" s="41"/>
      <c r="AC35" s="41"/>
      <c r="AD35" s="41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</row>
    <row r="36" spans="1:64" x14ac:dyDescent="0.2">
      <c r="A36" s="7"/>
      <c r="B36" s="7"/>
      <c r="C36" s="7">
        <f t="shared" si="14"/>
        <v>2020</v>
      </c>
      <c r="D36" s="7">
        <f t="shared" si="15"/>
        <v>3</v>
      </c>
      <c r="E36" s="7">
        <v>183</v>
      </c>
      <c r="F36" s="123">
        <f>central_v2_m!D24+temporary_pension_bonus_central!B24</f>
        <v>17469215.1563996</v>
      </c>
      <c r="G36" s="123">
        <f>central_v2_m!E24+temporary_pension_bonus_central!B24</f>
        <v>16767896.079843201</v>
      </c>
      <c r="H36" s="41">
        <f t="shared" ref="H36:H67" si="17">F36-J36</f>
        <v>17203406.996078379</v>
      </c>
      <c r="I36" s="41">
        <f t="shared" ref="I36:I67" si="18">G36-K36</f>
        <v>16510062.164331617</v>
      </c>
      <c r="J36" s="123">
        <f>central_v2_m!J24</f>
        <v>265808.16032122</v>
      </c>
      <c r="K36" s="123">
        <f>central_v2_m!K24</f>
        <v>257833.91551158301</v>
      </c>
      <c r="L36" s="41">
        <f t="shared" ref="L36:L67" si="19">H36-I36</f>
        <v>693344.83174676262</v>
      </c>
      <c r="M36" s="41">
        <f t="shared" ref="M36:M67" si="20">J36-K36</f>
        <v>7974.2448096369917</v>
      </c>
      <c r="N36" s="123">
        <f>SUM(central_v5_m!C24:J24)</f>
        <v>2488205.02393106</v>
      </c>
      <c r="O36" s="7"/>
      <c r="P36" s="7"/>
      <c r="Q36" s="41">
        <f t="shared" ref="Q36:Q67" si="21">I36*5.5017049523</f>
        <v>90833490.772284105</v>
      </c>
      <c r="R36" s="41"/>
      <c r="S36" s="41"/>
      <c r="T36" s="7"/>
      <c r="U36" s="7"/>
      <c r="V36" s="41">
        <f t="shared" si="13"/>
        <v>1418526.1298409761</v>
      </c>
      <c r="W36" s="41">
        <f t="shared" si="9"/>
        <v>43871.942160032406</v>
      </c>
      <c r="X36" s="41">
        <f t="shared" si="10"/>
        <v>16725886.392080087</v>
      </c>
      <c r="Y36" s="41">
        <f t="shared" si="11"/>
        <v>12911307.697607312</v>
      </c>
      <c r="Z36" s="41">
        <f t="shared" si="12"/>
        <v>3814578.6944727739</v>
      </c>
      <c r="AA36" s="41"/>
      <c r="AB36" s="41"/>
      <c r="AC36" s="41"/>
      <c r="AD36" s="41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</row>
    <row r="37" spans="1:64" x14ac:dyDescent="0.2">
      <c r="A37" s="7"/>
      <c r="B37" s="7"/>
      <c r="C37" s="7">
        <f t="shared" si="14"/>
        <v>2020</v>
      </c>
      <c r="D37" s="7">
        <f t="shared" si="15"/>
        <v>4</v>
      </c>
      <c r="E37" s="7">
        <v>184</v>
      </c>
      <c r="F37" s="123">
        <f>central_v2_m!D25+temporary_pension_bonus_central!B25</f>
        <v>17801821.225794699</v>
      </c>
      <c r="G37" s="123">
        <f>central_v2_m!E25+temporary_pension_bonus_central!B25</f>
        <v>17085811.9406377</v>
      </c>
      <c r="H37" s="41">
        <f t="shared" si="17"/>
        <v>17508706.653262347</v>
      </c>
      <c r="I37" s="41">
        <f t="shared" si="18"/>
        <v>16801490.805281319</v>
      </c>
      <c r="J37" s="123">
        <f>central_v2_m!J25</f>
        <v>293114.57253235299</v>
      </c>
      <c r="K37" s="123">
        <f>central_v2_m!K25</f>
        <v>284321.13535638299</v>
      </c>
      <c r="L37" s="41">
        <f t="shared" si="19"/>
        <v>707215.84798102826</v>
      </c>
      <c r="M37" s="41">
        <f t="shared" si="20"/>
        <v>8793.4371759700007</v>
      </c>
      <c r="N37" s="123">
        <f>SUM(central_v5_m!C25:J25)</f>
        <v>2440185.8973180903</v>
      </c>
      <c r="O37" s="7"/>
      <c r="P37" s="7"/>
      <c r="Q37" s="41">
        <f t="shared" si="21"/>
        <v>92436845.169439152</v>
      </c>
      <c r="R37" s="41"/>
      <c r="S37" s="41"/>
      <c r="T37" s="7"/>
      <c r="U37" s="7"/>
      <c r="V37" s="41">
        <f t="shared" si="13"/>
        <v>1564250.9984337708</v>
      </c>
      <c r="W37" s="41">
        <f t="shared" si="9"/>
        <v>48378.896858773078</v>
      </c>
      <c r="X37" s="41">
        <f t="shared" si="10"/>
        <v>16553029.154521557</v>
      </c>
      <c r="Y37" s="41">
        <f t="shared" si="11"/>
        <v>12662136.221339289</v>
      </c>
      <c r="Z37" s="41">
        <f t="shared" si="12"/>
        <v>3890892.933182267</v>
      </c>
      <c r="AA37" s="41"/>
      <c r="AB37" s="41"/>
      <c r="AC37" s="41"/>
      <c r="AD37" s="41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</row>
    <row r="38" spans="1:64" x14ac:dyDescent="0.2">
      <c r="A38" s="119"/>
      <c r="B38" s="5"/>
      <c r="C38" s="119">
        <f t="shared" si="14"/>
        <v>2021</v>
      </c>
      <c r="D38" s="119">
        <f t="shared" si="15"/>
        <v>1</v>
      </c>
      <c r="E38" s="119">
        <v>185</v>
      </c>
      <c r="F38" s="121">
        <f>central_v2_m!D26+temporary_pension_bonus_central!B26</f>
        <v>18954622.9758587</v>
      </c>
      <c r="G38" s="121">
        <f>central_v2_m!E26+temporary_pension_bonus_central!B26</f>
        <v>18189670.8850879</v>
      </c>
      <c r="H38" s="8">
        <f t="shared" si="17"/>
        <v>18618985.33050853</v>
      </c>
      <c r="I38" s="8">
        <f t="shared" si="18"/>
        <v>17864102.369098235</v>
      </c>
      <c r="J38" s="121">
        <f>central_v2_m!J26</f>
        <v>335637.64535016997</v>
      </c>
      <c r="K38" s="121">
        <f>central_v2_m!K26</f>
        <v>325568.515989665</v>
      </c>
      <c r="L38" s="8">
        <f t="shared" si="19"/>
        <v>754882.96141029522</v>
      </c>
      <c r="M38" s="8">
        <f t="shared" si="20"/>
        <v>10069.129360504972</v>
      </c>
      <c r="N38" s="121">
        <f>SUM(central_v5_m!C26:J26)</f>
        <v>2993775.9862075262</v>
      </c>
      <c r="O38" s="5"/>
      <c r="P38" s="5"/>
      <c r="Q38" s="8">
        <f t="shared" si="21"/>
        <v>98283020.472461924</v>
      </c>
      <c r="R38" s="8"/>
      <c r="S38" s="8"/>
      <c r="T38" s="5"/>
      <c r="U38" s="5"/>
      <c r="V38" s="8">
        <f t="shared" si="13"/>
        <v>1791181.9167333017</v>
      </c>
      <c r="W38" s="8">
        <f t="shared" si="9"/>
        <v>55397.378868039537</v>
      </c>
      <c r="X38" s="8">
        <f t="shared" si="10"/>
        <v>19687861.151441045</v>
      </c>
      <c r="Y38" s="8">
        <f t="shared" si="11"/>
        <v>15534717.824243136</v>
      </c>
      <c r="Z38" s="8">
        <f t="shared" si="12"/>
        <v>4153143.3271979108</v>
      </c>
      <c r="AA38" s="8"/>
      <c r="AB38" s="8"/>
      <c r="AC38" s="8"/>
      <c r="AD38" s="8"/>
      <c r="AE38" s="119"/>
      <c r="AF38" s="119"/>
      <c r="AG38" s="119"/>
      <c r="AH38" s="119"/>
      <c r="AI38" s="119"/>
      <c r="AJ38" s="119"/>
      <c r="AK38" s="119"/>
      <c r="AL38" s="119"/>
      <c r="AM38" s="119"/>
      <c r="AN38" s="119"/>
      <c r="AO38" s="119"/>
      <c r="AP38" s="119"/>
      <c r="AQ38" s="119"/>
      <c r="AR38" s="119"/>
      <c r="AS38" s="119"/>
      <c r="AT38" s="119"/>
      <c r="AU38" s="119"/>
      <c r="AV38" s="119"/>
      <c r="AW38" s="119"/>
      <c r="AX38" s="119"/>
      <c r="AY38" s="119"/>
      <c r="AZ38" s="119"/>
      <c r="BA38" s="119"/>
      <c r="BB38" s="119"/>
      <c r="BC38" s="119"/>
      <c r="BD38" s="119"/>
      <c r="BE38" s="119"/>
      <c r="BF38" s="119"/>
      <c r="BG38" s="119"/>
      <c r="BH38" s="119"/>
      <c r="BI38" s="119"/>
      <c r="BJ38" s="119"/>
      <c r="BK38" s="119"/>
      <c r="BL38" s="119"/>
    </row>
    <row r="39" spans="1:64" x14ac:dyDescent="0.2">
      <c r="A39" s="7"/>
      <c r="B39" s="7"/>
      <c r="C39" s="7">
        <f t="shared" si="14"/>
        <v>2021</v>
      </c>
      <c r="D39" s="7">
        <f t="shared" si="15"/>
        <v>2</v>
      </c>
      <c r="E39" s="7">
        <v>186</v>
      </c>
      <c r="F39" s="123">
        <f>central_v2_m!D27+temporary_pension_bonus_central!B27</f>
        <v>18879293.934585601</v>
      </c>
      <c r="G39" s="123">
        <f>central_v2_m!E27+temporary_pension_bonus_central!B27</f>
        <v>18115271.642959598</v>
      </c>
      <c r="H39" s="41">
        <f t="shared" si="17"/>
        <v>18533192.49528493</v>
      </c>
      <c r="I39" s="41">
        <f t="shared" si="18"/>
        <v>17779553.246837944</v>
      </c>
      <c r="J39" s="123">
        <f>central_v2_m!J27</f>
        <v>346101.43930067302</v>
      </c>
      <c r="K39" s="123">
        <f>central_v2_m!K27</f>
        <v>335718.39612165297</v>
      </c>
      <c r="L39" s="41">
        <f t="shared" si="19"/>
        <v>753639.24844698608</v>
      </c>
      <c r="M39" s="41">
        <f t="shared" si="20"/>
        <v>10383.043179020053</v>
      </c>
      <c r="N39" s="123">
        <f>SUM(central_v5_m!C27:J27)</f>
        <v>2714144.089037322</v>
      </c>
      <c r="O39" s="7"/>
      <c r="P39" s="7"/>
      <c r="Q39" s="41">
        <f t="shared" si="21"/>
        <v>97817856.147809863</v>
      </c>
      <c r="R39" s="41"/>
      <c r="S39" s="41"/>
      <c r="T39" s="7"/>
      <c r="U39" s="7"/>
      <c r="V39" s="41">
        <f t="shared" si="13"/>
        <v>1847023.5625207112</v>
      </c>
      <c r="W39" s="41">
        <f t="shared" si="9"/>
        <v>57124.440077959356</v>
      </c>
      <c r="X39" s="41">
        <f t="shared" si="10"/>
        <v>18230007.365941267</v>
      </c>
      <c r="Y39" s="41">
        <f t="shared" si="11"/>
        <v>14083706.580512835</v>
      </c>
      <c r="Z39" s="41">
        <f t="shared" si="12"/>
        <v>4146300.7854284332</v>
      </c>
      <c r="AA39" s="41"/>
      <c r="AB39" s="41"/>
      <c r="AC39" s="41"/>
      <c r="AD39" s="41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</row>
    <row r="40" spans="1:64" x14ac:dyDescent="0.2">
      <c r="A40" s="7"/>
      <c r="B40" s="7"/>
      <c r="C40" s="7">
        <f t="shared" si="14"/>
        <v>2021</v>
      </c>
      <c r="D40" s="7">
        <f t="shared" si="15"/>
        <v>3</v>
      </c>
      <c r="E40" s="7">
        <v>187</v>
      </c>
      <c r="F40" s="123">
        <f>central_v2_m!D28+temporary_pension_bonus_central!B28</f>
        <v>19049495.042004</v>
      </c>
      <c r="G40" s="123">
        <f>central_v2_m!E28+temporary_pension_bonus_central!B28</f>
        <v>18276814.528814301</v>
      </c>
      <c r="H40" s="41">
        <f t="shared" si="17"/>
        <v>18675442.547763336</v>
      </c>
      <c r="I40" s="41">
        <f t="shared" si="18"/>
        <v>17913983.609400857</v>
      </c>
      <c r="J40" s="123">
        <f>central_v2_m!J28</f>
        <v>374052.49424066301</v>
      </c>
      <c r="K40" s="123">
        <f>central_v2_m!K28</f>
        <v>362830.91941344301</v>
      </c>
      <c r="L40" s="41">
        <f t="shared" si="19"/>
        <v>761458.93836247921</v>
      </c>
      <c r="M40" s="41">
        <f t="shared" si="20"/>
        <v>11221.57482722</v>
      </c>
      <c r="N40" s="123">
        <f>SUM(central_v5_m!C28:J28)</f>
        <v>2586463.0344596123</v>
      </c>
      <c r="O40" s="7"/>
      <c r="P40" s="7"/>
      <c r="Q40" s="41">
        <f t="shared" si="21"/>
        <v>98557452.339261726</v>
      </c>
      <c r="R40" s="41"/>
      <c r="S40" s="41"/>
      <c r="T40" s="7"/>
      <c r="U40" s="7"/>
      <c r="V40" s="41">
        <f t="shared" si="13"/>
        <v>1996188.6661845017</v>
      </c>
      <c r="W40" s="41">
        <f t="shared" si="9"/>
        <v>61737.793799521292</v>
      </c>
      <c r="X40" s="41">
        <f t="shared" si="10"/>
        <v>17610491.393500853</v>
      </c>
      <c r="Y40" s="41">
        <f t="shared" si="11"/>
        <v>13421168.981338901</v>
      </c>
      <c r="Z40" s="41">
        <f t="shared" si="12"/>
        <v>4189322.4121619524</v>
      </c>
      <c r="AA40" s="41"/>
      <c r="AB40" s="41"/>
      <c r="AC40" s="41"/>
      <c r="AD40" s="41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</row>
    <row r="41" spans="1:64" x14ac:dyDescent="0.2">
      <c r="A41" s="7"/>
      <c r="B41" s="7"/>
      <c r="C41" s="7">
        <f t="shared" si="14"/>
        <v>2021</v>
      </c>
      <c r="D41" s="7">
        <f t="shared" si="15"/>
        <v>4</v>
      </c>
      <c r="E41" s="7">
        <v>188</v>
      </c>
      <c r="F41" s="123">
        <f>central_v2_m!D29+temporary_pension_bonus_central!B29</f>
        <v>19303989.0855297</v>
      </c>
      <c r="G41" s="123">
        <f>central_v2_m!E29+temporary_pension_bonus_central!B29</f>
        <v>18519662.976733498</v>
      </c>
      <c r="H41" s="41">
        <f t="shared" si="17"/>
        <v>18899685.348881509</v>
      </c>
      <c r="I41" s="41">
        <f t="shared" si="18"/>
        <v>18127488.352184754</v>
      </c>
      <c r="J41" s="123">
        <f>central_v2_m!J29</f>
        <v>404303.736648191</v>
      </c>
      <c r="K41" s="123">
        <f>central_v2_m!K29</f>
        <v>392174.62454874499</v>
      </c>
      <c r="L41" s="41">
        <f t="shared" si="19"/>
        <v>772196.99669675529</v>
      </c>
      <c r="M41" s="41">
        <f t="shared" si="20"/>
        <v>12129.112099446007</v>
      </c>
      <c r="N41" s="123">
        <f>SUM(central_v5_m!C29:J29)</f>
        <v>2600374.5394509011</v>
      </c>
      <c r="O41" s="7"/>
      <c r="P41" s="7"/>
      <c r="Q41" s="41">
        <f t="shared" si="21"/>
        <v>99732092.439975426</v>
      </c>
      <c r="R41" s="41"/>
      <c r="S41" s="41"/>
      <c r="T41" s="7"/>
      <c r="U41" s="7"/>
      <c r="V41" s="41">
        <f t="shared" si="13"/>
        <v>2157629.0740462234</v>
      </c>
      <c r="W41" s="41">
        <f t="shared" si="9"/>
        <v>66730.79610452395</v>
      </c>
      <c r="X41" s="41">
        <f t="shared" si="10"/>
        <v>17741755.887748938</v>
      </c>
      <c r="Y41" s="41">
        <f t="shared" si="11"/>
        <v>13493355.846871212</v>
      </c>
      <c r="Z41" s="41">
        <f t="shared" si="12"/>
        <v>4248400.040877725</v>
      </c>
      <c r="AA41" s="41"/>
      <c r="AB41" s="41"/>
      <c r="AC41" s="41"/>
      <c r="AD41" s="41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</row>
    <row r="42" spans="1:64" x14ac:dyDescent="0.2">
      <c r="A42" s="119"/>
      <c r="B42" s="5"/>
      <c r="C42" s="119">
        <f t="shared" si="14"/>
        <v>2022</v>
      </c>
      <c r="D42" s="119">
        <f t="shared" si="15"/>
        <v>1</v>
      </c>
      <c r="E42" s="119">
        <v>189</v>
      </c>
      <c r="F42" s="121">
        <f>central_v2_m!D30+temporary_pension_bonus_central!B30</f>
        <v>19526182.365150198</v>
      </c>
      <c r="G42" s="121">
        <f>central_v2_m!E30+temporary_pension_bonus_central!B30</f>
        <v>18731301.771657899</v>
      </c>
      <c r="H42" s="8">
        <f t="shared" si="17"/>
        <v>19104679.658062525</v>
      </c>
      <c r="I42" s="8">
        <f t="shared" si="18"/>
        <v>18322444.145782854</v>
      </c>
      <c r="J42" s="121">
        <f>central_v2_m!J30</f>
        <v>421502.707087674</v>
      </c>
      <c r="K42" s="121">
        <f>central_v2_m!K30</f>
        <v>408857.62587504397</v>
      </c>
      <c r="L42" s="8">
        <f t="shared" si="19"/>
        <v>782235.51227967069</v>
      </c>
      <c r="M42" s="8">
        <f t="shared" si="20"/>
        <v>12645.08121263003</v>
      </c>
      <c r="N42" s="121">
        <f>SUM(central_v5_m!C30:J30)</f>
        <v>3189497.7481075027</v>
      </c>
      <c r="O42" s="5"/>
      <c r="P42" s="5"/>
      <c r="Q42" s="8">
        <f t="shared" si="21"/>
        <v>100804681.69509368</v>
      </c>
      <c r="R42" s="8"/>
      <c r="S42" s="8"/>
      <c r="T42" s="5"/>
      <c r="U42" s="5"/>
      <c r="V42" s="8">
        <f t="shared" si="13"/>
        <v>2249414.0250623501</v>
      </c>
      <c r="W42" s="8">
        <f t="shared" si="9"/>
        <v>69569.505929762323</v>
      </c>
      <c r="X42" s="8">
        <f t="shared" si="10"/>
        <v>20853947.968938217</v>
      </c>
      <c r="Y42" s="8">
        <f t="shared" si="11"/>
        <v>16550318.977164226</v>
      </c>
      <c r="Z42" s="8">
        <f t="shared" si="12"/>
        <v>4303628.9917739918</v>
      </c>
      <c r="AA42" s="8"/>
      <c r="AB42" s="8"/>
      <c r="AC42" s="8"/>
      <c r="AD42" s="8"/>
      <c r="AE42" s="119"/>
      <c r="AF42" s="119"/>
      <c r="AG42" s="119"/>
      <c r="AH42" s="119"/>
      <c r="AI42" s="119"/>
      <c r="AJ42" s="119"/>
      <c r="AK42" s="119"/>
      <c r="AL42" s="119"/>
      <c r="AM42" s="119"/>
      <c r="AN42" s="119"/>
      <c r="AO42" s="119"/>
      <c r="AP42" s="119"/>
      <c r="AQ42" s="119"/>
      <c r="AR42" s="119"/>
      <c r="AS42" s="119"/>
      <c r="AT42" s="119"/>
      <c r="AU42" s="119"/>
      <c r="AV42" s="119"/>
      <c r="AW42" s="119"/>
      <c r="AX42" s="119"/>
      <c r="AY42" s="119"/>
      <c r="AZ42" s="119"/>
      <c r="BA42" s="119"/>
      <c r="BB42" s="119"/>
      <c r="BC42" s="119"/>
      <c r="BD42" s="119"/>
      <c r="BE42" s="119"/>
      <c r="BF42" s="119"/>
      <c r="BG42" s="119"/>
      <c r="BH42" s="119"/>
      <c r="BI42" s="119"/>
      <c r="BJ42" s="119"/>
      <c r="BK42" s="119"/>
      <c r="BL42" s="119"/>
    </row>
    <row r="43" spans="1:64" x14ac:dyDescent="0.2">
      <c r="A43" s="7"/>
      <c r="B43" s="7"/>
      <c r="C43" s="7">
        <f t="shared" si="14"/>
        <v>2022</v>
      </c>
      <c r="D43" s="7">
        <f t="shared" si="15"/>
        <v>2</v>
      </c>
      <c r="E43" s="7">
        <v>190</v>
      </c>
      <c r="F43" s="123">
        <f>central_v2_m!D31+temporary_pension_bonus_central!B31</f>
        <v>19831881.464575201</v>
      </c>
      <c r="G43" s="123">
        <f>central_v2_m!E31+temporary_pension_bonus_central!B31</f>
        <v>19023097.705488801</v>
      </c>
      <c r="H43" s="41">
        <f t="shared" si="17"/>
        <v>19383053.931554221</v>
      </c>
      <c r="I43" s="41">
        <f t="shared" si="18"/>
        <v>18587734.998458449</v>
      </c>
      <c r="J43" s="123">
        <f>central_v2_m!J31</f>
        <v>448827.53302098199</v>
      </c>
      <c r="K43" s="123">
        <f>central_v2_m!K31</f>
        <v>435362.70703035197</v>
      </c>
      <c r="L43" s="41">
        <f t="shared" si="19"/>
        <v>795318.93309577182</v>
      </c>
      <c r="M43" s="41">
        <f t="shared" si="20"/>
        <v>13464.825990630023</v>
      </c>
      <c r="N43" s="123">
        <f>SUM(central_v5_m!C31:J31)</f>
        <v>2663575.1312489612</v>
      </c>
      <c r="O43" s="7"/>
      <c r="P43" s="7"/>
      <c r="Q43" s="41">
        <f t="shared" si="21"/>
        <v>102264233.69305888</v>
      </c>
      <c r="R43" s="41"/>
      <c r="S43" s="41"/>
      <c r="T43" s="7"/>
      <c r="U43" s="7"/>
      <c r="V43" s="41">
        <f t="shared" si="13"/>
        <v>2395237.1613156213</v>
      </c>
      <c r="W43" s="41">
        <f t="shared" si="9"/>
        <v>74079.499834506947</v>
      </c>
      <c r="X43" s="41">
        <f t="shared" si="10"/>
        <v>18196914.131025277</v>
      </c>
      <c r="Y43" s="41">
        <f t="shared" si="11"/>
        <v>13821304.018154318</v>
      </c>
      <c r="Z43" s="41">
        <f t="shared" si="12"/>
        <v>4375610.1128709605</v>
      </c>
      <c r="AA43" s="41"/>
      <c r="AB43" s="41"/>
      <c r="AC43" s="41"/>
      <c r="AD43" s="41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</row>
    <row r="44" spans="1:64" x14ac:dyDescent="0.2">
      <c r="A44" s="7"/>
      <c r="B44" s="7"/>
      <c r="C44" s="7">
        <f t="shared" si="14"/>
        <v>2022</v>
      </c>
      <c r="D44" s="7">
        <f t="shared" si="15"/>
        <v>3</v>
      </c>
      <c r="E44" s="7">
        <v>191</v>
      </c>
      <c r="F44" s="123">
        <f>central_v2_m!D32+temporary_pension_bonus_central!B32</f>
        <v>20041364.931217</v>
      </c>
      <c r="G44" s="123">
        <f>central_v2_m!E32+temporary_pension_bonus_central!B32</f>
        <v>19223259.2888018</v>
      </c>
      <c r="H44" s="41">
        <f t="shared" si="17"/>
        <v>19555876.632697258</v>
      </c>
      <c r="I44" s="41">
        <f t="shared" si="18"/>
        <v>18752335.63923765</v>
      </c>
      <c r="J44" s="123">
        <f>central_v2_m!J32</f>
        <v>485488.29851974099</v>
      </c>
      <c r="K44" s="123">
        <f>central_v2_m!K32</f>
        <v>470923.64956414897</v>
      </c>
      <c r="L44" s="41">
        <f t="shared" si="19"/>
        <v>803540.99345960841</v>
      </c>
      <c r="M44" s="41">
        <f t="shared" si="20"/>
        <v>14564.648955592012</v>
      </c>
      <c r="N44" s="123">
        <f>SUM(central_v5_m!C32:J32)</f>
        <v>2721973.8518822338</v>
      </c>
      <c r="O44" s="7"/>
      <c r="P44" s="7"/>
      <c r="Q44" s="41">
        <f t="shared" si="21"/>
        <v>103169817.85358556</v>
      </c>
      <c r="R44" s="41"/>
      <c r="S44" s="41"/>
      <c r="T44" s="7"/>
      <c r="U44" s="7"/>
      <c r="V44" s="41">
        <f t="shared" si="13"/>
        <v>2590882.974962268</v>
      </c>
      <c r="W44" s="41">
        <f t="shared" si="9"/>
        <v>80130.401287491593</v>
      </c>
      <c r="X44" s="41">
        <f t="shared" si="10"/>
        <v>18545180.720228996</v>
      </c>
      <c r="Y44" s="41">
        <f t="shared" si="11"/>
        <v>14124335.257136207</v>
      </c>
      <c r="Z44" s="41">
        <f t="shared" si="12"/>
        <v>4420845.4630927891</v>
      </c>
      <c r="AA44" s="41"/>
      <c r="AB44" s="41"/>
      <c r="AC44" s="41"/>
      <c r="AD44" s="41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</row>
    <row r="45" spans="1:64" x14ac:dyDescent="0.2">
      <c r="A45" s="7"/>
      <c r="B45" s="7"/>
      <c r="C45" s="7">
        <f t="shared" si="14"/>
        <v>2022</v>
      </c>
      <c r="D45" s="7">
        <f t="shared" si="15"/>
        <v>4</v>
      </c>
      <c r="E45" s="7">
        <v>192</v>
      </c>
      <c r="F45" s="123">
        <f>central_v2_m!D33+temporary_pension_bonus_central!B33</f>
        <v>20363025.037453</v>
      </c>
      <c r="G45" s="123">
        <f>central_v2_m!E33+temporary_pension_bonus_central!B33</f>
        <v>19530361.0757933</v>
      </c>
      <c r="H45" s="41">
        <f t="shared" si="17"/>
        <v>19845673.189469367</v>
      </c>
      <c r="I45" s="41">
        <f t="shared" si="18"/>
        <v>19028529.783249173</v>
      </c>
      <c r="J45" s="123">
        <f>central_v2_m!J33</f>
        <v>517351.84798363398</v>
      </c>
      <c r="K45" s="123">
        <f>central_v2_m!K33</f>
        <v>501831.292544125</v>
      </c>
      <c r="L45" s="41">
        <f t="shared" si="19"/>
        <v>817143.40622019395</v>
      </c>
      <c r="M45" s="41">
        <f t="shared" si="20"/>
        <v>15520.555439508986</v>
      </c>
      <c r="N45" s="123">
        <f>SUM(central_v5_m!C33:J33)</f>
        <v>2745424.7746815924</v>
      </c>
      <c r="O45" s="7"/>
      <c r="P45" s="7"/>
      <c r="Q45" s="41">
        <f t="shared" si="21"/>
        <v>104689356.54349002</v>
      </c>
      <c r="R45" s="41"/>
      <c r="S45" s="41"/>
      <c r="T45" s="7"/>
      <c r="U45" s="7"/>
      <c r="V45" s="41">
        <f t="shared" si="13"/>
        <v>2760927.7074091225</v>
      </c>
      <c r="W45" s="41">
        <f t="shared" si="9"/>
        <v>85389.516723993293</v>
      </c>
      <c r="X45" s="41">
        <f t="shared" si="10"/>
        <v>18741704.13176401</v>
      </c>
      <c r="Y45" s="41">
        <f t="shared" si="11"/>
        <v>14246022.207023077</v>
      </c>
      <c r="Z45" s="41">
        <f t="shared" si="12"/>
        <v>4495681.924740932</v>
      </c>
      <c r="AA45" s="41"/>
      <c r="AB45" s="41"/>
      <c r="AC45" s="41"/>
      <c r="AD45" s="41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</row>
    <row r="46" spans="1:64" x14ac:dyDescent="0.2">
      <c r="A46" s="119"/>
      <c r="B46" s="5"/>
      <c r="C46" s="119">
        <f t="shared" si="14"/>
        <v>2023</v>
      </c>
      <c r="D46" s="119">
        <f t="shared" si="15"/>
        <v>1</v>
      </c>
      <c r="E46" s="119">
        <v>193</v>
      </c>
      <c r="F46" s="121">
        <f>central_v2_m!D34+temporary_pension_bonus_central!B34</f>
        <v>20568471.668317001</v>
      </c>
      <c r="G46" s="121">
        <f>central_v2_m!E34+temporary_pension_bonus_central!B34</f>
        <v>19726129.173063301</v>
      </c>
      <c r="H46" s="8">
        <f t="shared" si="17"/>
        <v>20029875.256692674</v>
      </c>
      <c r="I46" s="8">
        <f t="shared" si="18"/>
        <v>19203690.653787702</v>
      </c>
      <c r="J46" s="121">
        <f>central_v2_m!J34</f>
        <v>538596.41162432695</v>
      </c>
      <c r="K46" s="121">
        <f>central_v2_m!K34</f>
        <v>522438.519275598</v>
      </c>
      <c r="L46" s="8">
        <f t="shared" si="19"/>
        <v>826184.60290497169</v>
      </c>
      <c r="M46" s="8">
        <f t="shared" si="20"/>
        <v>16157.892348728958</v>
      </c>
      <c r="N46" s="121">
        <f>SUM(central_v5_m!C34:J34)</f>
        <v>3286214.4507013932</v>
      </c>
      <c r="O46" s="5"/>
      <c r="P46" s="5"/>
      <c r="Q46" s="8">
        <f t="shared" si="21"/>
        <v>105653039.97238103</v>
      </c>
      <c r="R46" s="8"/>
      <c r="S46" s="8"/>
      <c r="T46" s="5"/>
      <c r="U46" s="5"/>
      <c r="V46" s="8">
        <f t="shared" si="13"/>
        <v>2874302.5887708366</v>
      </c>
      <c r="W46" s="8">
        <f t="shared" ref="W46:W77" si="22">M46*5.5017049523</f>
        <v>88895.956353732385</v>
      </c>
      <c r="X46" s="8">
        <f t="shared" ref="X46:X77" si="23">N46*5.1890047538+L46*5.5017049523</f>
        <v>21597606.328012075</v>
      </c>
      <c r="Y46" s="8">
        <f t="shared" ref="Y46:Y77" si="24">N46*5.1890047538</f>
        <v>17052182.406695783</v>
      </c>
      <c r="Z46" s="8">
        <f t="shared" ref="Z46:Z77" si="25">L46*5.5017049523</f>
        <v>4545423.9213162912</v>
      </c>
      <c r="AA46" s="8"/>
      <c r="AB46" s="8"/>
      <c r="AC46" s="8"/>
      <c r="AD46" s="8"/>
      <c r="AE46" s="119"/>
      <c r="AF46" s="119"/>
      <c r="AG46" s="119"/>
      <c r="AH46" s="119"/>
      <c r="AI46" s="119"/>
      <c r="AJ46" s="119"/>
      <c r="AK46" s="119"/>
      <c r="AL46" s="119"/>
      <c r="AM46" s="119"/>
      <c r="AN46" s="119"/>
      <c r="AO46" s="119"/>
      <c r="AP46" s="119"/>
      <c r="AQ46" s="119"/>
      <c r="AR46" s="119"/>
      <c r="AS46" s="119"/>
      <c r="AT46" s="119"/>
      <c r="AU46" s="119"/>
      <c r="AV46" s="119"/>
      <c r="AW46" s="119"/>
      <c r="AX46" s="119"/>
      <c r="AY46" s="119"/>
      <c r="AZ46" s="119"/>
      <c r="BA46" s="119"/>
      <c r="BB46" s="119"/>
      <c r="BC46" s="119"/>
      <c r="BD46" s="119"/>
      <c r="BE46" s="119"/>
      <c r="BF46" s="119"/>
      <c r="BG46" s="119"/>
      <c r="BH46" s="119"/>
      <c r="BI46" s="119"/>
      <c r="BJ46" s="119"/>
      <c r="BK46" s="119"/>
      <c r="BL46" s="119"/>
    </row>
    <row r="47" spans="1:64" x14ac:dyDescent="0.2">
      <c r="A47" s="7"/>
      <c r="B47" s="7"/>
      <c r="C47" s="7">
        <f t="shared" si="14"/>
        <v>2023</v>
      </c>
      <c r="D47" s="7">
        <f t="shared" si="15"/>
        <v>2</v>
      </c>
      <c r="E47" s="7">
        <v>194</v>
      </c>
      <c r="F47" s="123">
        <f>central_v2_m!D35+temporary_pension_bonus_central!B35</f>
        <v>20661910.665504701</v>
      </c>
      <c r="G47" s="123">
        <f>central_v2_m!E35+temporary_pension_bonus_central!B35</f>
        <v>19814762.467074201</v>
      </c>
      <c r="H47" s="41">
        <f t="shared" si="17"/>
        <v>20112185.127184298</v>
      </c>
      <c r="I47" s="41">
        <f t="shared" si="18"/>
        <v>19281528.694903411</v>
      </c>
      <c r="J47" s="123">
        <f>central_v2_m!J35</f>
        <v>549725.53832040296</v>
      </c>
      <c r="K47" s="123">
        <f>central_v2_m!K35</f>
        <v>533233.77217079105</v>
      </c>
      <c r="L47" s="41">
        <f t="shared" si="19"/>
        <v>830656.43228088692</v>
      </c>
      <c r="M47" s="41">
        <f t="shared" si="20"/>
        <v>16491.766149611911</v>
      </c>
      <c r="N47" s="123">
        <f>SUM(central_v5_m!C35:J35)</f>
        <v>2775427.523324138</v>
      </c>
      <c r="O47" s="7"/>
      <c r="P47" s="7"/>
      <c r="Q47" s="41">
        <f t="shared" si="21"/>
        <v>106081281.90866464</v>
      </c>
      <c r="R47" s="41"/>
      <c r="S47" s="41"/>
      <c r="T47" s="7"/>
      <c r="U47" s="7"/>
      <c r="V47" s="41">
        <f t="shared" ref="V47:V78" si="26">K47*5.5017049523</f>
        <v>2933694.8850856512</v>
      </c>
      <c r="W47" s="41">
        <f t="shared" si="22"/>
        <v>90732.831497493346</v>
      </c>
      <c r="X47" s="41">
        <f t="shared" si="23"/>
        <v>18971733.219495919</v>
      </c>
      <c r="Y47" s="41">
        <f t="shared" si="24"/>
        <v>14401706.612356313</v>
      </c>
      <c r="Z47" s="41">
        <f t="shared" si="25"/>
        <v>4570026.6071396051</v>
      </c>
      <c r="AA47" s="41"/>
      <c r="AB47" s="41"/>
      <c r="AC47" s="41"/>
      <c r="AD47" s="41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</row>
    <row r="48" spans="1:64" x14ac:dyDescent="0.2">
      <c r="A48" s="7"/>
      <c r="B48" s="7"/>
      <c r="C48" s="7">
        <f t="shared" si="14"/>
        <v>2023</v>
      </c>
      <c r="D48" s="7">
        <f t="shared" si="15"/>
        <v>3</v>
      </c>
      <c r="E48" s="7">
        <v>195</v>
      </c>
      <c r="F48" s="123">
        <f>central_v2_m!D36+temporary_pension_bonus_central!B36</f>
        <v>20917305.8084841</v>
      </c>
      <c r="G48" s="123">
        <f>central_v2_m!E36+temporary_pension_bonus_central!B36</f>
        <v>20057749.477934599</v>
      </c>
      <c r="H48" s="41">
        <f t="shared" si="17"/>
        <v>20332685.37163078</v>
      </c>
      <c r="I48" s="41">
        <f t="shared" si="18"/>
        <v>19490667.654186878</v>
      </c>
      <c r="J48" s="123">
        <f>central_v2_m!J36</f>
        <v>584620.43685332104</v>
      </c>
      <c r="K48" s="123">
        <f>central_v2_m!K36</f>
        <v>567081.82374772104</v>
      </c>
      <c r="L48" s="41">
        <f t="shared" si="19"/>
        <v>842017.71744390205</v>
      </c>
      <c r="M48" s="41">
        <f t="shared" si="20"/>
        <v>17538.613105600001</v>
      </c>
      <c r="N48" s="123">
        <f>SUM(central_v5_m!C36:J36)</f>
        <v>2772509.3952435409</v>
      </c>
      <c r="O48" s="7"/>
      <c r="P48" s="7"/>
      <c r="Q48" s="41">
        <f t="shared" si="21"/>
        <v>107231902.75667337</v>
      </c>
      <c r="R48" s="41"/>
      <c r="S48" s="41"/>
      <c r="T48" s="7"/>
      <c r="U48" s="7"/>
      <c r="V48" s="41">
        <f t="shared" si="26"/>
        <v>3119916.8780721524</v>
      </c>
      <c r="W48" s="41">
        <f t="shared" si="22"/>
        <v>96492.27457955321</v>
      </c>
      <c r="X48" s="41">
        <f t="shared" si="23"/>
        <v>19019097.477859356</v>
      </c>
      <c r="Y48" s="41">
        <f t="shared" si="24"/>
        <v>14386564.431873897</v>
      </c>
      <c r="Z48" s="41">
        <f t="shared" si="25"/>
        <v>4632533.0459854575</v>
      </c>
      <c r="AA48" s="41"/>
      <c r="AB48" s="41"/>
      <c r="AC48" s="41"/>
      <c r="AD48" s="41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</row>
    <row r="49" spans="1:64" x14ac:dyDescent="0.2">
      <c r="A49" s="7"/>
      <c r="B49" s="7"/>
      <c r="C49" s="7">
        <f t="shared" si="14"/>
        <v>2023</v>
      </c>
      <c r="D49" s="7">
        <f t="shared" si="15"/>
        <v>4</v>
      </c>
      <c r="E49" s="7">
        <v>196</v>
      </c>
      <c r="F49" s="123">
        <f>central_v2_m!D37+temporary_pension_bonus_central!B37</f>
        <v>21123600.308573801</v>
      </c>
      <c r="G49" s="123">
        <f>central_v2_m!E37+temporary_pension_bonus_central!B37</f>
        <v>20253781.706025399</v>
      </c>
      <c r="H49" s="41">
        <f t="shared" si="17"/>
        <v>20527234.704647694</v>
      </c>
      <c r="I49" s="41">
        <f t="shared" si="18"/>
        <v>19675307.070217073</v>
      </c>
      <c r="J49" s="123">
        <f>central_v2_m!J37</f>
        <v>596365.60392610903</v>
      </c>
      <c r="K49" s="123">
        <f>central_v2_m!K37</f>
        <v>578474.63580832595</v>
      </c>
      <c r="L49" s="41">
        <f t="shared" si="19"/>
        <v>851927.63443062082</v>
      </c>
      <c r="M49" s="41">
        <f t="shared" si="20"/>
        <v>17890.968117783079</v>
      </c>
      <c r="N49" s="123">
        <f>SUM(central_v5_m!C37:J37)</f>
        <v>2770968.0150359566</v>
      </c>
      <c r="O49" s="7"/>
      <c r="P49" s="7"/>
      <c r="Q49" s="41">
        <f t="shared" si="21"/>
        <v>108247734.34623647</v>
      </c>
      <c r="R49" s="41"/>
      <c r="S49" s="41"/>
      <c r="T49" s="7"/>
      <c r="U49" s="7"/>
      <c r="V49" s="41">
        <f t="shared" si="26"/>
        <v>3182596.7686066059</v>
      </c>
      <c r="W49" s="41">
        <f t="shared" si="22"/>
        <v>98430.827895048569</v>
      </c>
      <c r="X49" s="41">
        <f t="shared" si="23"/>
        <v>19065620.687997498</v>
      </c>
      <c r="Y49" s="41">
        <f t="shared" si="24"/>
        <v>14378566.202649329</v>
      </c>
      <c r="Z49" s="41">
        <f t="shared" si="25"/>
        <v>4687054.4853481706</v>
      </c>
      <c r="AA49" s="41"/>
      <c r="AB49" s="41"/>
      <c r="AC49" s="41"/>
      <c r="AD49" s="41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</row>
    <row r="50" spans="1:64" x14ac:dyDescent="0.2">
      <c r="A50" s="119"/>
      <c r="B50" s="5"/>
      <c r="C50" s="119">
        <f t="shared" ref="C50:C81" si="27">C46+1</f>
        <v>2024</v>
      </c>
      <c r="D50" s="119">
        <f t="shared" ref="D50:D81" si="28">D46</f>
        <v>1</v>
      </c>
      <c r="E50" s="119">
        <v>197</v>
      </c>
      <c r="F50" s="121">
        <f>central_v2_m!D38+temporary_pension_bonus_central!B38</f>
        <v>21398311.550391302</v>
      </c>
      <c r="G50" s="121">
        <f>central_v2_m!E38+temporary_pension_bonus_central!B38</f>
        <v>20515444.842713501</v>
      </c>
      <c r="H50" s="8">
        <f t="shared" si="17"/>
        <v>20791324.817217596</v>
      </c>
      <c r="I50" s="8">
        <f t="shared" si="18"/>
        <v>19926667.711535007</v>
      </c>
      <c r="J50" s="121">
        <f>central_v2_m!J38</f>
        <v>606986.73317370506</v>
      </c>
      <c r="K50" s="121">
        <f>central_v2_m!K38</f>
        <v>588777.13117849396</v>
      </c>
      <c r="L50" s="8">
        <f t="shared" si="19"/>
        <v>864657.10568258911</v>
      </c>
      <c r="M50" s="8">
        <f t="shared" si="20"/>
        <v>18209.601995211095</v>
      </c>
      <c r="N50" s="121">
        <f>SUM(central_v5_m!C38:J38)</f>
        <v>3344734.1832769704</v>
      </c>
      <c r="O50" s="5"/>
      <c r="P50" s="5"/>
      <c r="Q50" s="8">
        <f t="shared" si="21"/>
        <v>109630646.43138865</v>
      </c>
      <c r="R50" s="8"/>
      <c r="S50" s="8"/>
      <c r="T50" s="5"/>
      <c r="U50" s="5"/>
      <c r="V50" s="8">
        <f t="shared" si="26"/>
        <v>3239278.0584057071</v>
      </c>
      <c r="W50" s="8">
        <f t="shared" si="22"/>
        <v>100183.85747646484</v>
      </c>
      <c r="X50" s="8">
        <f t="shared" si="23"/>
        <v>22112929.857596844</v>
      </c>
      <c r="Y50" s="8">
        <f t="shared" si="24"/>
        <v>17355841.577221561</v>
      </c>
      <c r="Z50" s="8">
        <f t="shared" si="25"/>
        <v>4757088.2803752851</v>
      </c>
      <c r="AA50" s="8"/>
      <c r="AB50" s="8"/>
      <c r="AC50" s="8"/>
      <c r="AD50" s="8"/>
      <c r="AE50" s="119"/>
      <c r="AF50" s="119"/>
      <c r="AG50" s="119"/>
      <c r="AH50" s="119"/>
      <c r="AI50" s="119"/>
      <c r="AJ50" s="119"/>
      <c r="AK50" s="119"/>
      <c r="AL50" s="119"/>
      <c r="AM50" s="119"/>
      <c r="AN50" s="119"/>
      <c r="AO50" s="119"/>
      <c r="AP50" s="119"/>
      <c r="AQ50" s="119"/>
      <c r="AR50" s="119"/>
      <c r="AS50" s="119"/>
      <c r="AT50" s="119"/>
      <c r="AU50" s="119"/>
      <c r="AV50" s="119"/>
      <c r="AW50" s="119"/>
      <c r="AX50" s="119"/>
      <c r="AY50" s="119"/>
      <c r="AZ50" s="119"/>
      <c r="BA50" s="119"/>
      <c r="BB50" s="119"/>
      <c r="BC50" s="119"/>
      <c r="BD50" s="119"/>
      <c r="BE50" s="119"/>
      <c r="BF50" s="119"/>
      <c r="BG50" s="119"/>
      <c r="BH50" s="119"/>
      <c r="BI50" s="119"/>
      <c r="BJ50" s="119"/>
      <c r="BK50" s="119"/>
      <c r="BL50" s="119"/>
    </row>
    <row r="51" spans="1:64" x14ac:dyDescent="0.2">
      <c r="A51" s="7"/>
      <c r="B51" s="7"/>
      <c r="C51" s="7">
        <f t="shared" si="27"/>
        <v>2024</v>
      </c>
      <c r="D51" s="7">
        <f t="shared" si="28"/>
        <v>2</v>
      </c>
      <c r="E51" s="7">
        <v>198</v>
      </c>
      <c r="F51" s="123">
        <f>central_v2_m!D39+temporary_pension_bonus_central!B39</f>
        <v>21656601.482275698</v>
      </c>
      <c r="G51" s="123">
        <f>central_v2_m!E39+temporary_pension_bonus_central!B39</f>
        <v>20761059.4775309</v>
      </c>
      <c r="H51" s="41">
        <f t="shared" si="17"/>
        <v>21026813.430277903</v>
      </c>
      <c r="I51" s="41">
        <f t="shared" si="18"/>
        <v>20150165.067093041</v>
      </c>
      <c r="J51" s="123">
        <f>central_v2_m!J39</f>
        <v>629788.05199779395</v>
      </c>
      <c r="K51" s="123">
        <f>central_v2_m!K39</f>
        <v>610894.41043785994</v>
      </c>
      <c r="L51" s="41">
        <f t="shared" si="19"/>
        <v>876648.36318486184</v>
      </c>
      <c r="M51" s="41">
        <f t="shared" si="20"/>
        <v>18893.641559934011</v>
      </c>
      <c r="N51" s="123">
        <f>SUM(central_v5_m!C39:J39)</f>
        <v>2808243.3082886152</v>
      </c>
      <c r="O51" s="7"/>
      <c r="P51" s="7"/>
      <c r="Q51" s="41">
        <f t="shared" si="21"/>
        <v>110860262.93928824</v>
      </c>
      <c r="R51" s="41"/>
      <c r="S51" s="41"/>
      <c r="T51" s="7"/>
      <c r="U51" s="7"/>
      <c r="V51" s="41">
        <f t="shared" si="26"/>
        <v>3360960.803238363</v>
      </c>
      <c r="W51" s="41">
        <f t="shared" si="22"/>
        <v>103947.24133727004</v>
      </c>
      <c r="X51" s="41">
        <f t="shared" si="23"/>
        <v>19395048.517696507</v>
      </c>
      <c r="Y51" s="41">
        <f t="shared" si="24"/>
        <v>14571987.876536664</v>
      </c>
      <c r="Z51" s="41">
        <f t="shared" si="25"/>
        <v>4823060.6411598437</v>
      </c>
      <c r="AA51" s="41"/>
      <c r="AB51" s="41"/>
      <c r="AC51" s="41"/>
      <c r="AD51" s="41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</row>
    <row r="52" spans="1:64" x14ac:dyDescent="0.2">
      <c r="A52" s="7"/>
      <c r="B52" s="7"/>
      <c r="C52" s="7">
        <f t="shared" si="27"/>
        <v>2024</v>
      </c>
      <c r="D52" s="7">
        <f t="shared" si="28"/>
        <v>3</v>
      </c>
      <c r="E52" s="7">
        <v>199</v>
      </c>
      <c r="F52" s="123">
        <f>central_v2_m!D40+temporary_pension_bonus_central!B40</f>
        <v>21911227.799729899</v>
      </c>
      <c r="G52" s="123">
        <f>central_v2_m!E40+temporary_pension_bonus_central!B40</f>
        <v>21003843.252186399</v>
      </c>
      <c r="H52" s="41">
        <f t="shared" si="17"/>
        <v>21255903.095708229</v>
      </c>
      <c r="I52" s="41">
        <f t="shared" si="18"/>
        <v>20368178.289285377</v>
      </c>
      <c r="J52" s="123">
        <f>central_v2_m!J40</f>
        <v>655324.70402167097</v>
      </c>
      <c r="K52" s="123">
        <f>central_v2_m!K40</f>
        <v>635664.962901021</v>
      </c>
      <c r="L52" s="41">
        <f t="shared" si="19"/>
        <v>887724.80642285198</v>
      </c>
      <c r="M52" s="41">
        <f t="shared" si="20"/>
        <v>19659.741120649967</v>
      </c>
      <c r="N52" s="123">
        <f>SUM(central_v5_m!C40:J40)</f>
        <v>2754317.3965952373</v>
      </c>
      <c r="O52" s="7"/>
      <c r="P52" s="7"/>
      <c r="Q52" s="41">
        <f t="shared" si="21"/>
        <v>112059707.3634907</v>
      </c>
      <c r="R52" s="41"/>
      <c r="S52" s="41"/>
      <c r="T52" s="7"/>
      <c r="U52" s="7"/>
      <c r="V52" s="41">
        <f t="shared" si="26"/>
        <v>3497241.0743961432</v>
      </c>
      <c r="W52" s="41">
        <f t="shared" si="22"/>
        <v>108162.09508441588</v>
      </c>
      <c r="X52" s="41">
        <f t="shared" si="23"/>
        <v>19176166.02818289</v>
      </c>
      <c r="Y52" s="41">
        <f t="shared" si="24"/>
        <v>14292166.064406727</v>
      </c>
      <c r="Z52" s="41">
        <f t="shared" si="25"/>
        <v>4883999.9637761638</v>
      </c>
      <c r="AA52" s="41"/>
      <c r="AB52" s="41"/>
      <c r="AC52" s="41"/>
      <c r="AD52" s="41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</row>
    <row r="53" spans="1:64" x14ac:dyDescent="0.2">
      <c r="A53" s="7"/>
      <c r="B53" s="7"/>
      <c r="C53" s="7">
        <f t="shared" si="27"/>
        <v>2024</v>
      </c>
      <c r="D53" s="7">
        <f t="shared" si="28"/>
        <v>4</v>
      </c>
      <c r="E53" s="7">
        <v>200</v>
      </c>
      <c r="F53" s="123">
        <f>central_v2_m!D41+temporary_pension_bonus_central!B41</f>
        <v>22159999.028724</v>
      </c>
      <c r="G53" s="123">
        <f>central_v2_m!E41+temporary_pension_bonus_central!B41</f>
        <v>21240891.7500691</v>
      </c>
      <c r="H53" s="41">
        <f t="shared" si="17"/>
        <v>21425467.381625321</v>
      </c>
      <c r="I53" s="41">
        <f t="shared" si="18"/>
        <v>20528396.052383382</v>
      </c>
      <c r="J53" s="123">
        <f>central_v2_m!J41</f>
        <v>734531.64709867898</v>
      </c>
      <c r="K53" s="123">
        <f>central_v2_m!K41</f>
        <v>712495.69768571795</v>
      </c>
      <c r="L53" s="41">
        <f t="shared" si="19"/>
        <v>897071.32924193889</v>
      </c>
      <c r="M53" s="41">
        <f t="shared" si="20"/>
        <v>22035.949412961025</v>
      </c>
      <c r="N53" s="123">
        <f>SUM(central_v5_m!C41:J41)</f>
        <v>2778580.360650043</v>
      </c>
      <c r="O53" s="7"/>
      <c r="P53" s="7"/>
      <c r="Q53" s="41">
        <f t="shared" si="21"/>
        <v>112941178.22417343</v>
      </c>
      <c r="R53" s="41"/>
      <c r="S53" s="41"/>
      <c r="T53" s="7"/>
      <c r="U53" s="7"/>
      <c r="V53" s="41">
        <f t="shared" si="26"/>
        <v>3919941.1084499583</v>
      </c>
      <c r="W53" s="41">
        <f t="shared" si="22"/>
        <v>121235.29201391994</v>
      </c>
      <c r="X53" s="41">
        <f t="shared" si="23"/>
        <v>19353488.47488511</v>
      </c>
      <c r="Y53" s="41">
        <f t="shared" si="24"/>
        <v>14418066.700228391</v>
      </c>
      <c r="Z53" s="41">
        <f t="shared" si="25"/>
        <v>4935421.7746567186</v>
      </c>
      <c r="AA53" s="41"/>
      <c r="AB53" s="41"/>
      <c r="AC53" s="41"/>
      <c r="AD53" s="41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</row>
    <row r="54" spans="1:64" x14ac:dyDescent="0.2">
      <c r="A54" s="119"/>
      <c r="B54" s="5"/>
      <c r="C54" s="119">
        <f t="shared" si="27"/>
        <v>2025</v>
      </c>
      <c r="D54" s="119">
        <f t="shared" si="28"/>
        <v>1</v>
      </c>
      <c r="E54" s="119">
        <v>201</v>
      </c>
      <c r="F54" s="121">
        <f>central_v2_m!D42+temporary_pension_bonus_central!B42</f>
        <v>22423723.614500601</v>
      </c>
      <c r="G54" s="121">
        <f>central_v2_m!E42+temporary_pension_bonus_central!B42</f>
        <v>21492243.786038999</v>
      </c>
      <c r="H54" s="8">
        <f t="shared" si="17"/>
        <v>21615447.554718342</v>
      </c>
      <c r="I54" s="8">
        <f t="shared" si="18"/>
        <v>20708216.008050207</v>
      </c>
      <c r="J54" s="121">
        <f>central_v2_m!J42</f>
        <v>808276.059782258</v>
      </c>
      <c r="K54" s="121">
        <f>central_v2_m!K42</f>
        <v>784027.77798878995</v>
      </c>
      <c r="L54" s="8">
        <f t="shared" si="19"/>
        <v>907231.54666813463</v>
      </c>
      <c r="M54" s="8">
        <f t="shared" si="20"/>
        <v>24248.28179346805</v>
      </c>
      <c r="N54" s="121">
        <f>SUM(central_v5_m!C42:J42)</f>
        <v>3323167.4460588046</v>
      </c>
      <c r="O54" s="5"/>
      <c r="P54" s="5"/>
      <c r="Q54" s="8">
        <f t="shared" si="21"/>
        <v>113930494.56478795</v>
      </c>
      <c r="R54" s="8"/>
      <c r="S54" s="8"/>
      <c r="T54" s="5"/>
      <c r="U54" s="5"/>
      <c r="V54" s="8">
        <f t="shared" si="26"/>
        <v>4313489.5089016901</v>
      </c>
      <c r="W54" s="8">
        <f t="shared" si="22"/>
        <v>133406.89202788909</v>
      </c>
      <c r="X54" s="8">
        <f t="shared" si="23"/>
        <v>22235251.968459409</v>
      </c>
      <c r="Y54" s="8">
        <f t="shared" si="24"/>
        <v>17243931.675272543</v>
      </c>
      <c r="Z54" s="8">
        <f t="shared" si="25"/>
        <v>4991320.2931868648</v>
      </c>
      <c r="AA54" s="8"/>
      <c r="AB54" s="8"/>
      <c r="AC54" s="8"/>
      <c r="AD54" s="8"/>
      <c r="AE54" s="119"/>
      <c r="AF54" s="119"/>
      <c r="AG54" s="119"/>
      <c r="AH54" s="119"/>
      <c r="AI54" s="119"/>
      <c r="AJ54" s="119"/>
      <c r="AK54" s="119"/>
      <c r="AL54" s="119"/>
      <c r="AM54" s="119"/>
      <c r="AN54" s="119"/>
      <c r="AO54" s="119"/>
      <c r="AP54" s="119"/>
      <c r="AQ54" s="119"/>
      <c r="AR54" s="119"/>
      <c r="AS54" s="119"/>
      <c r="AT54" s="119"/>
      <c r="AU54" s="119"/>
      <c r="AV54" s="119"/>
      <c r="AW54" s="119"/>
      <c r="AX54" s="119"/>
      <c r="AY54" s="119"/>
      <c r="AZ54" s="119"/>
      <c r="BA54" s="119"/>
      <c r="BB54" s="119"/>
      <c r="BC54" s="119"/>
      <c r="BD54" s="119"/>
      <c r="BE54" s="119"/>
      <c r="BF54" s="119"/>
      <c r="BG54" s="119"/>
      <c r="BH54" s="119"/>
      <c r="BI54" s="119"/>
      <c r="BJ54" s="119"/>
      <c r="BK54" s="119"/>
      <c r="BL54" s="119"/>
    </row>
    <row r="55" spans="1:64" x14ac:dyDescent="0.2">
      <c r="A55" s="7"/>
      <c r="B55" s="7"/>
      <c r="C55" s="7">
        <f t="shared" si="27"/>
        <v>2025</v>
      </c>
      <c r="D55" s="7">
        <f t="shared" si="28"/>
        <v>2</v>
      </c>
      <c r="E55" s="7">
        <v>202</v>
      </c>
      <c r="F55" s="123">
        <f>central_v2_m!D43+temporary_pension_bonus_central!B43</f>
        <v>22626038.6578083</v>
      </c>
      <c r="G55" s="123">
        <f>central_v2_m!E43+temporary_pension_bonus_central!B43</f>
        <v>21685744.658073999</v>
      </c>
      <c r="H55" s="41">
        <f t="shared" si="17"/>
        <v>21733044.368085872</v>
      </c>
      <c r="I55" s="41">
        <f t="shared" si="18"/>
        <v>20819540.19704324</v>
      </c>
      <c r="J55" s="123">
        <f>central_v2_m!J43</f>
        <v>892994.28972242901</v>
      </c>
      <c r="K55" s="123">
        <f>central_v2_m!K43</f>
        <v>866204.46103075705</v>
      </c>
      <c r="L55" s="41">
        <f t="shared" si="19"/>
        <v>913504.17104263231</v>
      </c>
      <c r="M55" s="41">
        <f t="shared" si="20"/>
        <v>26789.828691671952</v>
      </c>
      <c r="N55" s="123">
        <f>SUM(central_v5_m!C43:J43)</f>
        <v>2836826.8900395818</v>
      </c>
      <c r="O55" s="7"/>
      <c r="P55" s="7"/>
      <c r="Q55" s="41">
        <f t="shared" si="21"/>
        <v>114542967.40668172</v>
      </c>
      <c r="R55" s="41"/>
      <c r="S55" s="41"/>
      <c r="T55" s="7"/>
      <c r="U55" s="7"/>
      <c r="V55" s="41">
        <f t="shared" si="26"/>
        <v>4765601.3729572687</v>
      </c>
      <c r="W55" s="41">
        <f t="shared" si="22"/>
        <v>147389.73318424021</v>
      </c>
      <c r="X55" s="41">
        <f t="shared" si="23"/>
        <v>19746138.639895014</v>
      </c>
      <c r="Y55" s="41">
        <f t="shared" si="24"/>
        <v>14720308.21812306</v>
      </c>
      <c r="Z55" s="41">
        <f t="shared" si="25"/>
        <v>5025830.4217719566</v>
      </c>
      <c r="AA55" s="41"/>
      <c r="AB55" s="41"/>
      <c r="AC55" s="41"/>
      <c r="AD55" s="41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</row>
    <row r="56" spans="1:64" x14ac:dyDescent="0.2">
      <c r="A56" s="7"/>
      <c r="B56" s="7"/>
      <c r="C56" s="7">
        <f t="shared" si="27"/>
        <v>2025</v>
      </c>
      <c r="D56" s="7">
        <f t="shared" si="28"/>
        <v>3</v>
      </c>
      <c r="E56" s="7">
        <v>203</v>
      </c>
      <c r="F56" s="123">
        <f>central_v2_m!D44+temporary_pension_bonus_central!B44</f>
        <v>22882679.804778598</v>
      </c>
      <c r="G56" s="123">
        <f>central_v2_m!E44+temporary_pension_bonus_central!B44</f>
        <v>21930321.429315299</v>
      </c>
      <c r="H56" s="41">
        <f t="shared" si="17"/>
        <v>21910388.633335166</v>
      </c>
      <c r="I56" s="41">
        <f t="shared" si="18"/>
        <v>20987198.99301517</v>
      </c>
      <c r="J56" s="123">
        <f>central_v2_m!J44</f>
        <v>972291.17144343199</v>
      </c>
      <c r="K56" s="123">
        <f>central_v2_m!K44</f>
        <v>943122.43630012998</v>
      </c>
      <c r="L56" s="41">
        <f t="shared" si="19"/>
        <v>923189.64031999558</v>
      </c>
      <c r="M56" s="41">
        <f t="shared" si="20"/>
        <v>29168.735143302009</v>
      </c>
      <c r="N56" s="123">
        <f>SUM(central_v5_m!C44:J44)</f>
        <v>2814876.5476746596</v>
      </c>
      <c r="O56" s="7"/>
      <c r="P56" s="7"/>
      <c r="Q56" s="41">
        <f t="shared" si="21"/>
        <v>115465376.63477713</v>
      </c>
      <c r="R56" s="41"/>
      <c r="S56" s="41"/>
      <c r="T56" s="7"/>
      <c r="U56" s="7"/>
      <c r="V56" s="41">
        <f t="shared" si="26"/>
        <v>5188781.3784176661</v>
      </c>
      <c r="W56" s="41">
        <f t="shared" si="22"/>
        <v>160477.77459023171</v>
      </c>
      <c r="X56" s="41">
        <f t="shared" si="23"/>
        <v>19685524.803304516</v>
      </c>
      <c r="Y56" s="41">
        <f t="shared" si="24"/>
        <v>14606407.787243942</v>
      </c>
      <c r="Z56" s="41">
        <f t="shared" si="25"/>
        <v>5079117.0160605749</v>
      </c>
      <c r="AA56" s="41"/>
      <c r="AB56" s="41"/>
      <c r="AC56" s="41"/>
      <c r="AD56" s="41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</row>
    <row r="57" spans="1:64" x14ac:dyDescent="0.2">
      <c r="A57" s="7"/>
      <c r="B57" s="7"/>
      <c r="C57" s="7">
        <f t="shared" si="27"/>
        <v>2025</v>
      </c>
      <c r="D57" s="7">
        <f t="shared" si="28"/>
        <v>4</v>
      </c>
      <c r="E57" s="7">
        <v>204</v>
      </c>
      <c r="F57" s="123">
        <f>central_v2_m!D45+temporary_pension_bonus_central!B45</f>
        <v>23095622.6511386</v>
      </c>
      <c r="G57" s="123">
        <f>central_v2_m!E45+temporary_pension_bonus_central!B45</f>
        <v>22133085.2332028</v>
      </c>
      <c r="H57" s="41">
        <f t="shared" si="17"/>
        <v>22039748.364225771</v>
      </c>
      <c r="I57" s="41">
        <f t="shared" si="18"/>
        <v>21108887.174897362</v>
      </c>
      <c r="J57" s="123">
        <f>central_v2_m!J45</f>
        <v>1055874.2869128301</v>
      </c>
      <c r="K57" s="123">
        <f>central_v2_m!K45</f>
        <v>1024198.05830544</v>
      </c>
      <c r="L57" s="41">
        <f t="shared" si="19"/>
        <v>930861.18932840973</v>
      </c>
      <c r="M57" s="41">
        <f t="shared" si="20"/>
        <v>31676.228607390076</v>
      </c>
      <c r="N57" s="123">
        <f>SUM(central_v5_m!C45:J45)</f>
        <v>2800235.7371366331</v>
      </c>
      <c r="O57" s="7"/>
      <c r="P57" s="7"/>
      <c r="Q57" s="41">
        <f t="shared" si="21"/>
        <v>116134869.10767476</v>
      </c>
      <c r="R57" s="41"/>
      <c r="S57" s="41"/>
      <c r="T57" s="7"/>
      <c r="U57" s="7"/>
      <c r="V57" s="41">
        <f t="shared" si="26"/>
        <v>5634835.5295150829</v>
      </c>
      <c r="W57" s="41">
        <f t="shared" si="22"/>
        <v>174273.26379946491</v>
      </c>
      <c r="X57" s="41">
        <f t="shared" si="23"/>
        <v>19651760.166994616</v>
      </c>
      <c r="Y57" s="41">
        <f t="shared" si="24"/>
        <v>14530436.551762637</v>
      </c>
      <c r="Z57" s="41">
        <f t="shared" si="25"/>
        <v>5121323.6152319796</v>
      </c>
      <c r="AA57" s="41"/>
      <c r="AB57" s="41"/>
      <c r="AC57" s="41"/>
      <c r="AD57" s="41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</row>
    <row r="58" spans="1:64" x14ac:dyDescent="0.2">
      <c r="A58" s="119"/>
      <c r="B58" s="5"/>
      <c r="C58" s="119">
        <f t="shared" si="27"/>
        <v>2026</v>
      </c>
      <c r="D58" s="119">
        <f t="shared" si="28"/>
        <v>1</v>
      </c>
      <c r="E58" s="119">
        <v>205</v>
      </c>
      <c r="F58" s="121">
        <f>central_v2_m!D46+temporary_pension_bonus_central!B46</f>
        <v>23280503.869455598</v>
      </c>
      <c r="G58" s="121">
        <f>central_v2_m!E46+temporary_pension_bonus_central!B46</f>
        <v>22309433.455461401</v>
      </c>
      <c r="H58" s="8">
        <f t="shared" si="17"/>
        <v>22110636.656475089</v>
      </c>
      <c r="I58" s="8">
        <f t="shared" si="18"/>
        <v>21174662.2588703</v>
      </c>
      <c r="J58" s="121">
        <f>central_v2_m!J46</f>
        <v>1169867.21298051</v>
      </c>
      <c r="K58" s="121">
        <f>central_v2_m!K46</f>
        <v>1134771.1965911</v>
      </c>
      <c r="L58" s="8">
        <f t="shared" si="19"/>
        <v>935974.39760478958</v>
      </c>
      <c r="M58" s="8">
        <f t="shared" si="20"/>
        <v>35096.016389410011</v>
      </c>
      <c r="N58" s="121">
        <f>SUM(central_v5_m!C46:J46)</f>
        <v>3366008.0385269485</v>
      </c>
      <c r="O58" s="5"/>
      <c r="P58" s="5"/>
      <c r="Q58" s="8">
        <f t="shared" si="21"/>
        <v>116496744.21290663</v>
      </c>
      <c r="R58" s="8"/>
      <c r="S58" s="8"/>
      <c r="T58" s="5"/>
      <c r="U58" s="5"/>
      <c r="V58" s="8">
        <f t="shared" si="26"/>
        <v>6243176.312012651</v>
      </c>
      <c r="W58" s="8">
        <f t="shared" si="22"/>
        <v>193087.92717561903</v>
      </c>
      <c r="X58" s="8">
        <f t="shared" si="23"/>
        <v>22615686.691773631</v>
      </c>
      <c r="Y58" s="8">
        <f t="shared" si="24"/>
        <v>17466231.713245351</v>
      </c>
      <c r="Z58" s="8">
        <f t="shared" si="25"/>
        <v>5149454.9785282798</v>
      </c>
      <c r="AA58" s="8"/>
      <c r="AB58" s="8"/>
      <c r="AC58" s="8"/>
      <c r="AD58" s="8"/>
      <c r="AE58" s="119"/>
      <c r="AF58" s="119"/>
      <c r="AG58" s="119"/>
      <c r="AH58" s="119"/>
      <c r="AI58" s="119"/>
      <c r="AJ58" s="119"/>
      <c r="AK58" s="119"/>
      <c r="AL58" s="119"/>
      <c r="AM58" s="119"/>
      <c r="AN58" s="119"/>
      <c r="AO58" s="119"/>
      <c r="AP58" s="119"/>
      <c r="AQ58" s="119"/>
      <c r="AR58" s="119"/>
      <c r="AS58" s="119"/>
      <c r="AT58" s="119"/>
      <c r="AU58" s="119"/>
      <c r="AV58" s="119"/>
      <c r="AW58" s="119"/>
      <c r="AX58" s="119"/>
      <c r="AY58" s="119"/>
      <c r="AZ58" s="119"/>
      <c r="BA58" s="119"/>
      <c r="BB58" s="119"/>
      <c r="BC58" s="119"/>
      <c r="BD58" s="119"/>
      <c r="BE58" s="119"/>
      <c r="BF58" s="119"/>
      <c r="BG58" s="119"/>
      <c r="BH58" s="119"/>
      <c r="BI58" s="119"/>
      <c r="BJ58" s="119"/>
      <c r="BK58" s="119"/>
      <c r="BL58" s="119"/>
    </row>
    <row r="59" spans="1:64" x14ac:dyDescent="0.2">
      <c r="A59" s="7"/>
      <c r="B59" s="7"/>
      <c r="C59" s="7">
        <f t="shared" si="27"/>
        <v>2026</v>
      </c>
      <c r="D59" s="7">
        <f t="shared" si="28"/>
        <v>2</v>
      </c>
      <c r="E59" s="7">
        <v>206</v>
      </c>
      <c r="F59" s="123">
        <f>central_v2_m!D47+temporary_pension_bonus_central!B47</f>
        <v>23432959.9812687</v>
      </c>
      <c r="G59" s="123">
        <f>central_v2_m!E47+temporary_pension_bonus_central!B47</f>
        <v>22453723.356433701</v>
      </c>
      <c r="H59" s="41">
        <f t="shared" si="17"/>
        <v>22172861.183433961</v>
      </c>
      <c r="I59" s="41">
        <f t="shared" si="18"/>
        <v>21231427.522534002</v>
      </c>
      <c r="J59" s="123">
        <f>central_v2_m!J47</f>
        <v>1260098.79783474</v>
      </c>
      <c r="K59" s="123">
        <f>central_v2_m!K47</f>
        <v>1222295.8338997001</v>
      </c>
      <c r="L59" s="41">
        <f t="shared" si="19"/>
        <v>941433.6608999595</v>
      </c>
      <c r="M59" s="41">
        <f t="shared" si="20"/>
        <v>37802.963935039937</v>
      </c>
      <c r="N59" s="123">
        <f>SUM(central_v5_m!C47:J47)</f>
        <v>2826106.7132216902</v>
      </c>
      <c r="O59" s="7"/>
      <c r="P59" s="7"/>
      <c r="Q59" s="41">
        <f t="shared" si="21"/>
        <v>116809049.94512384</v>
      </c>
      <c r="R59" s="41"/>
      <c r="S59" s="41"/>
      <c r="T59" s="7"/>
      <c r="U59" s="7"/>
      <c r="V59" s="41">
        <f t="shared" si="26"/>
        <v>6724711.042541638</v>
      </c>
      <c r="W59" s="41">
        <f t="shared" si="22"/>
        <v>207980.75389302752</v>
      </c>
      <c r="X59" s="41">
        <f t="shared" si="23"/>
        <v>19844171.404088669</v>
      </c>
      <c r="Y59" s="41">
        <f t="shared" si="24"/>
        <v>14664681.169653444</v>
      </c>
      <c r="Z59" s="41">
        <f t="shared" si="25"/>
        <v>5179490.2344352258</v>
      </c>
      <c r="AA59" s="41"/>
      <c r="AB59" s="41"/>
      <c r="AC59" s="41"/>
      <c r="AD59" s="41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</row>
    <row r="60" spans="1:64" x14ac:dyDescent="0.2">
      <c r="A60" s="7"/>
      <c r="B60" s="7"/>
      <c r="C60" s="7">
        <f t="shared" si="27"/>
        <v>2026</v>
      </c>
      <c r="D60" s="7">
        <f t="shared" si="28"/>
        <v>3</v>
      </c>
      <c r="E60" s="7">
        <v>207</v>
      </c>
      <c r="F60" s="123">
        <f>central_v2_m!D48+temporary_pension_bonus_central!B48</f>
        <v>23554449.065518301</v>
      </c>
      <c r="G60" s="123">
        <f>central_v2_m!E48+temporary_pension_bonus_central!B48</f>
        <v>22569217.726807401</v>
      </c>
      <c r="H60" s="41">
        <f t="shared" si="17"/>
        <v>22243829.031065062</v>
      </c>
      <c r="I60" s="41">
        <f t="shared" si="18"/>
        <v>21297916.293387759</v>
      </c>
      <c r="J60" s="123">
        <f>central_v2_m!J48</f>
        <v>1310620.03445324</v>
      </c>
      <c r="K60" s="123">
        <f>central_v2_m!K48</f>
        <v>1271301.4334196399</v>
      </c>
      <c r="L60" s="41">
        <f t="shared" si="19"/>
        <v>945912.73767730221</v>
      </c>
      <c r="M60" s="41">
        <f t="shared" si="20"/>
        <v>39318.601033600047</v>
      </c>
      <c r="N60" s="123">
        <f>SUM(central_v5_m!C48:J48)</f>
        <v>2772893.3427493791</v>
      </c>
      <c r="O60" s="7"/>
      <c r="P60" s="7"/>
      <c r="Q60" s="41">
        <f t="shared" si="21"/>
        <v>117174851.5450023</v>
      </c>
      <c r="R60" s="41"/>
      <c r="S60" s="41"/>
      <c r="T60" s="7"/>
      <c r="U60" s="7"/>
      <c r="V60" s="41">
        <f t="shared" si="26"/>
        <v>6994325.3921109214</v>
      </c>
      <c r="W60" s="41">
        <f t="shared" si="22"/>
        <v>216319.34202406526</v>
      </c>
      <c r="X60" s="41">
        <f t="shared" si="23"/>
        <v>19592689.530629765</v>
      </c>
      <c r="Y60" s="41">
        <f t="shared" si="24"/>
        <v>14388556.7373069</v>
      </c>
      <c r="Z60" s="41">
        <f t="shared" si="25"/>
        <v>5204132.793322864</v>
      </c>
      <c r="AA60" s="41"/>
      <c r="AB60" s="41"/>
      <c r="AC60" s="41"/>
      <c r="AD60" s="41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</row>
    <row r="61" spans="1:64" x14ac:dyDescent="0.2">
      <c r="A61" s="7"/>
      <c r="B61" s="7"/>
      <c r="C61" s="7">
        <f t="shared" si="27"/>
        <v>2026</v>
      </c>
      <c r="D61" s="7">
        <f t="shared" si="28"/>
        <v>4</v>
      </c>
      <c r="E61" s="7">
        <v>208</v>
      </c>
      <c r="F61" s="123">
        <f>central_v2_m!D49+temporary_pension_bonus_central!B49</f>
        <v>23759343.6677811</v>
      </c>
      <c r="G61" s="123">
        <f>central_v2_m!E49+temporary_pension_bonus_central!B49</f>
        <v>22763350.664732501</v>
      </c>
      <c r="H61" s="41">
        <f t="shared" si="17"/>
        <v>22410722.129774868</v>
      </c>
      <c r="I61" s="41">
        <f t="shared" si="18"/>
        <v>21455187.772866461</v>
      </c>
      <c r="J61" s="123">
        <f>central_v2_m!J49</f>
        <v>1348621.53800623</v>
      </c>
      <c r="K61" s="123">
        <f>central_v2_m!K49</f>
        <v>1308162.89186604</v>
      </c>
      <c r="L61" s="41">
        <f t="shared" si="19"/>
        <v>955534.35690840706</v>
      </c>
      <c r="M61" s="41">
        <f t="shared" si="20"/>
        <v>40458.646140190074</v>
      </c>
      <c r="N61" s="123">
        <f>SUM(central_v5_m!C49:J49)</f>
        <v>2717389.5398522709</v>
      </c>
      <c r="O61" s="7"/>
      <c r="P61" s="7"/>
      <c r="Q61" s="41">
        <f t="shared" si="21"/>
        <v>118040112.82250582</v>
      </c>
      <c r="R61" s="41"/>
      <c r="S61" s="41"/>
      <c r="T61" s="7"/>
      <c r="U61" s="7"/>
      <c r="V61" s="41">
        <f t="shared" si="26"/>
        <v>7197126.2605944816</v>
      </c>
      <c r="W61" s="41">
        <f t="shared" si="22"/>
        <v>222591.53383283701</v>
      </c>
      <c r="X61" s="41">
        <f t="shared" si="23"/>
        <v>19357615.343715608</v>
      </c>
      <c r="Y61" s="41">
        <f t="shared" si="24"/>
        <v>14100547.240219828</v>
      </c>
      <c r="Z61" s="41">
        <f t="shared" si="25"/>
        <v>5257068.1034957785</v>
      </c>
      <c r="AA61" s="41"/>
      <c r="AB61" s="41"/>
      <c r="AC61" s="41"/>
      <c r="AD61" s="41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</row>
    <row r="62" spans="1:64" x14ac:dyDescent="0.2">
      <c r="A62" s="119"/>
      <c r="B62" s="5"/>
      <c r="C62" s="119">
        <f t="shared" si="27"/>
        <v>2027</v>
      </c>
      <c r="D62" s="119">
        <f t="shared" si="28"/>
        <v>1</v>
      </c>
      <c r="E62" s="119">
        <v>209</v>
      </c>
      <c r="F62" s="121">
        <f>central_v2_m!D50+temporary_pension_bonus_central!B50</f>
        <v>23883320.5365423</v>
      </c>
      <c r="G62" s="121">
        <f>central_v2_m!E50+temporary_pension_bonus_central!B50</f>
        <v>22882126.448842902</v>
      </c>
      <c r="H62" s="8">
        <f t="shared" si="17"/>
        <v>22450685.599935401</v>
      </c>
      <c r="I62" s="8">
        <f t="shared" si="18"/>
        <v>21492470.560334213</v>
      </c>
      <c r="J62" s="121">
        <f>central_v2_m!J50</f>
        <v>1432634.9366069001</v>
      </c>
      <c r="K62" s="121">
        <f>central_v2_m!K50</f>
        <v>1389655.8885086901</v>
      </c>
      <c r="L62" s="8">
        <f t="shared" si="19"/>
        <v>958215.03960118815</v>
      </c>
      <c r="M62" s="8">
        <f t="shared" si="20"/>
        <v>42979.048098210013</v>
      </c>
      <c r="N62" s="121">
        <f>SUM(central_v5_m!C50:J50)</f>
        <v>3305748.2578666937</v>
      </c>
      <c r="O62" s="5"/>
      <c r="P62" s="5"/>
      <c r="Q62" s="8">
        <f t="shared" si="21"/>
        <v>118245231.7189527</v>
      </c>
      <c r="R62" s="8"/>
      <c r="S62" s="8"/>
      <c r="T62" s="5"/>
      <c r="U62" s="5"/>
      <c r="V62" s="8">
        <f t="shared" si="26"/>
        <v>7645476.6838011164</v>
      </c>
      <c r="W62" s="8">
        <f t="shared" si="22"/>
        <v>236458.04176706192</v>
      </c>
      <c r="X62" s="8">
        <f t="shared" si="23"/>
        <v>22425359.853678539</v>
      </c>
      <c r="Y62" s="8">
        <f t="shared" si="24"/>
        <v>17153543.424936343</v>
      </c>
      <c r="Z62" s="8">
        <f t="shared" si="25"/>
        <v>5271816.4287421973</v>
      </c>
      <c r="AA62" s="8"/>
      <c r="AB62" s="8"/>
      <c r="AC62" s="8"/>
      <c r="AD62" s="8"/>
      <c r="AE62" s="119"/>
      <c r="AF62" s="119"/>
      <c r="AG62" s="119"/>
      <c r="AH62" s="119"/>
      <c r="AI62" s="119"/>
      <c r="AJ62" s="119"/>
      <c r="AK62" s="119"/>
      <c r="AL62" s="119"/>
      <c r="AM62" s="119"/>
      <c r="AN62" s="119"/>
      <c r="AO62" s="119"/>
      <c r="AP62" s="119"/>
      <c r="AQ62" s="119"/>
      <c r="AR62" s="119"/>
      <c r="AS62" s="119"/>
      <c r="AT62" s="119"/>
      <c r="AU62" s="119"/>
      <c r="AV62" s="119"/>
      <c r="AW62" s="119"/>
      <c r="AX62" s="119"/>
      <c r="AY62" s="119"/>
      <c r="AZ62" s="119"/>
      <c r="BA62" s="119"/>
      <c r="BB62" s="119"/>
      <c r="BC62" s="119"/>
      <c r="BD62" s="119"/>
      <c r="BE62" s="119"/>
      <c r="BF62" s="119"/>
      <c r="BG62" s="119"/>
      <c r="BH62" s="119"/>
      <c r="BI62" s="119"/>
      <c r="BJ62" s="119"/>
      <c r="BK62" s="119"/>
      <c r="BL62" s="119"/>
    </row>
    <row r="63" spans="1:64" x14ac:dyDescent="0.2">
      <c r="A63" s="7"/>
      <c r="B63" s="7"/>
      <c r="C63" s="7">
        <f t="shared" si="27"/>
        <v>2027</v>
      </c>
      <c r="D63" s="7">
        <f t="shared" si="28"/>
        <v>2</v>
      </c>
      <c r="E63" s="7">
        <v>210</v>
      </c>
      <c r="F63" s="123">
        <f>central_v2_m!D51+temporary_pension_bonus_central!B51</f>
        <v>23964384.826360501</v>
      </c>
      <c r="G63" s="123">
        <f>central_v2_m!E51+temporary_pension_bonus_central!B51</f>
        <v>22958671.175985102</v>
      </c>
      <c r="H63" s="41">
        <f t="shared" si="17"/>
        <v>22478187.285435133</v>
      </c>
      <c r="I63" s="41">
        <f t="shared" si="18"/>
        <v>21517059.561287493</v>
      </c>
      <c r="J63" s="123">
        <f>central_v2_m!J51</f>
        <v>1486197.5409253701</v>
      </c>
      <c r="K63" s="123">
        <f>central_v2_m!K51</f>
        <v>1441611.61469761</v>
      </c>
      <c r="L63" s="41">
        <f t="shared" si="19"/>
        <v>961127.72414764017</v>
      </c>
      <c r="M63" s="41">
        <f t="shared" si="20"/>
        <v>44585.926227760036</v>
      </c>
      <c r="N63" s="123">
        <f>SUM(central_v5_m!C51:J51)</f>
        <v>2721087.6941194888</v>
      </c>
      <c r="O63" s="7"/>
      <c r="P63" s="7"/>
      <c r="Q63" s="41">
        <f t="shared" si="21"/>
        <v>118380513.14726946</v>
      </c>
      <c r="R63" s="41"/>
      <c r="S63" s="41"/>
      <c r="T63" s="7"/>
      <c r="U63" s="7"/>
      <c r="V63" s="41">
        <f t="shared" si="26"/>
        <v>7931321.7598750405</v>
      </c>
      <c r="W63" s="41">
        <f t="shared" si="22"/>
        <v>245298.61113014983</v>
      </c>
      <c r="X63" s="41">
        <f t="shared" si="23"/>
        <v>19407578.140028607</v>
      </c>
      <c r="Y63" s="41">
        <f t="shared" si="24"/>
        <v>14119736.980292708</v>
      </c>
      <c r="Z63" s="41">
        <f t="shared" si="25"/>
        <v>5287841.1597359003</v>
      </c>
      <c r="AA63" s="41"/>
      <c r="AB63" s="41"/>
      <c r="AC63" s="41"/>
      <c r="AD63" s="41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</row>
    <row r="64" spans="1:64" x14ac:dyDescent="0.2">
      <c r="A64" s="7"/>
      <c r="B64" s="7"/>
      <c r="C64" s="7">
        <f t="shared" si="27"/>
        <v>2027</v>
      </c>
      <c r="D64" s="7">
        <f t="shared" si="28"/>
        <v>3</v>
      </c>
      <c r="E64" s="7">
        <v>211</v>
      </c>
      <c r="F64" s="123">
        <f>central_v2_m!D52+temporary_pension_bonus_central!B52</f>
        <v>24131216.397188298</v>
      </c>
      <c r="G64" s="123">
        <f>central_v2_m!E52+temporary_pension_bonus_central!B52</f>
        <v>23116565.481896002</v>
      </c>
      <c r="H64" s="41">
        <f t="shared" si="17"/>
        <v>22580055.268481258</v>
      </c>
      <c r="I64" s="41">
        <f t="shared" si="18"/>
        <v>21611939.187050171</v>
      </c>
      <c r="J64" s="123">
        <f>central_v2_m!J52</f>
        <v>1551161.1287070401</v>
      </c>
      <c r="K64" s="123">
        <f>central_v2_m!K52</f>
        <v>1504626.29484583</v>
      </c>
      <c r="L64" s="41">
        <f t="shared" si="19"/>
        <v>968116.08143108711</v>
      </c>
      <c r="M64" s="41">
        <f t="shared" si="20"/>
        <v>46534.833861210151</v>
      </c>
      <c r="N64" s="123">
        <f>SUM(central_v5_m!C52:J52)</f>
        <v>2724076.4099077457</v>
      </c>
      <c r="O64" s="7"/>
      <c r="P64" s="7"/>
      <c r="Q64" s="41">
        <f t="shared" si="21"/>
        <v>118902512.85420036</v>
      </c>
      <c r="R64" s="41"/>
      <c r="S64" s="41"/>
      <c r="T64" s="7"/>
      <c r="U64" s="7"/>
      <c r="V64" s="41">
        <f t="shared" si="26"/>
        <v>8278009.9377141027</v>
      </c>
      <c r="W64" s="41">
        <f t="shared" si="22"/>
        <v>256020.9259086776</v>
      </c>
      <c r="X64" s="41">
        <f t="shared" si="23"/>
        <v>19461534.480336413</v>
      </c>
      <c r="Y64" s="41">
        <f t="shared" si="24"/>
        <v>14135245.440725729</v>
      </c>
      <c r="Z64" s="41">
        <f t="shared" si="25"/>
        <v>5326289.0396106821</v>
      </c>
      <c r="AA64" s="41"/>
      <c r="AB64" s="41"/>
      <c r="AC64" s="41"/>
      <c r="AD64" s="41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</row>
    <row r="65" spans="1:64" x14ac:dyDescent="0.2">
      <c r="A65" s="7"/>
      <c r="B65" s="7"/>
      <c r="C65" s="7">
        <f t="shared" si="27"/>
        <v>2027</v>
      </c>
      <c r="D65" s="7">
        <f t="shared" si="28"/>
        <v>4</v>
      </c>
      <c r="E65" s="7">
        <v>212</v>
      </c>
      <c r="F65" s="123">
        <f>central_v2_m!D53+temporary_pension_bonus_central!B53</f>
        <v>24349429.415578902</v>
      </c>
      <c r="G65" s="123">
        <f>central_v2_m!E53+temporary_pension_bonus_central!B53</f>
        <v>23324535.874608599</v>
      </c>
      <c r="H65" s="41">
        <f t="shared" si="17"/>
        <v>22701678.867432352</v>
      </c>
      <c r="I65" s="41">
        <f t="shared" si="18"/>
        <v>21726217.842906449</v>
      </c>
      <c r="J65" s="123">
        <f>central_v2_m!J53</f>
        <v>1647750.5481465501</v>
      </c>
      <c r="K65" s="123">
        <f>central_v2_m!K53</f>
        <v>1598318.0317021499</v>
      </c>
      <c r="L65" s="41">
        <f t="shared" si="19"/>
        <v>975461.02452590317</v>
      </c>
      <c r="M65" s="41">
        <f t="shared" si="20"/>
        <v>49432.516444400186</v>
      </c>
      <c r="N65" s="123">
        <f>SUM(central_v5_m!C53:J53)</f>
        <v>2655130.7995186937</v>
      </c>
      <c r="O65" s="7"/>
      <c r="P65" s="7"/>
      <c r="Q65" s="41">
        <f t="shared" si="21"/>
        <v>119531240.30106702</v>
      </c>
      <c r="R65" s="41"/>
      <c r="S65" s="41"/>
      <c r="T65" s="7"/>
      <c r="U65" s="7"/>
      <c r="V65" s="41">
        <f t="shared" si="26"/>
        <v>8793474.2303661071</v>
      </c>
      <c r="W65" s="41">
        <f t="shared" si="22"/>
        <v>271963.12052680767</v>
      </c>
      <c r="X65" s="41">
        <f t="shared" si="23"/>
        <v>19144185.09007309</v>
      </c>
      <c r="Y65" s="41">
        <f t="shared" si="24"/>
        <v>13777486.340663297</v>
      </c>
      <c r="Z65" s="41">
        <f t="shared" si="25"/>
        <v>5366698.7494097929</v>
      </c>
      <c r="AA65" s="41"/>
      <c r="AB65" s="41"/>
      <c r="AC65" s="41"/>
      <c r="AD65" s="41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</row>
    <row r="66" spans="1:64" x14ac:dyDescent="0.2">
      <c r="A66" s="119"/>
      <c r="B66" s="5"/>
      <c r="C66" s="119">
        <f t="shared" si="27"/>
        <v>2028</v>
      </c>
      <c r="D66" s="119">
        <f t="shared" si="28"/>
        <v>1</v>
      </c>
      <c r="E66" s="119">
        <v>213</v>
      </c>
      <c r="F66" s="121">
        <f>central_v2_m!D54+temporary_pension_bonus_central!B54</f>
        <v>24482636.156457301</v>
      </c>
      <c r="G66" s="121">
        <f>central_v2_m!E54+temporary_pension_bonus_central!B54</f>
        <v>23450969.483687401</v>
      </c>
      <c r="H66" s="8">
        <f t="shared" si="17"/>
        <v>22774556.346770793</v>
      </c>
      <c r="I66" s="8">
        <f t="shared" si="18"/>
        <v>21794132.068291493</v>
      </c>
      <c r="J66" s="121">
        <f>central_v2_m!J54</f>
        <v>1708079.8096865099</v>
      </c>
      <c r="K66" s="121">
        <f>central_v2_m!K54</f>
        <v>1656837.4153959099</v>
      </c>
      <c r="L66" s="8">
        <f t="shared" si="19"/>
        <v>980424.27847930044</v>
      </c>
      <c r="M66" s="8">
        <f t="shared" si="20"/>
        <v>51242.394290599972</v>
      </c>
      <c r="N66" s="121">
        <f>SUM(central_v5_m!C54:J54)</f>
        <v>3268346.0306905843</v>
      </c>
      <c r="O66" s="5"/>
      <c r="P66" s="5"/>
      <c r="Q66" s="8">
        <f t="shared" si="21"/>
        <v>119904884.33119954</v>
      </c>
      <c r="R66" s="8"/>
      <c r="S66" s="8"/>
      <c r="T66" s="5"/>
      <c r="U66" s="5"/>
      <c r="V66" s="8">
        <f t="shared" si="26"/>
        <v>9115430.6134396102</v>
      </c>
      <c r="W66" s="8">
        <f t="shared" si="22"/>
        <v>281920.53443630313</v>
      </c>
      <c r="X66" s="8">
        <f t="shared" si="23"/>
        <v>22353468.198581524</v>
      </c>
      <c r="Y66" s="8">
        <f t="shared" si="24"/>
        <v>16959463.090316802</v>
      </c>
      <c r="Z66" s="8">
        <f t="shared" si="25"/>
        <v>5394005.108264721</v>
      </c>
      <c r="AA66" s="8"/>
      <c r="AB66" s="8"/>
      <c r="AC66" s="8"/>
      <c r="AD66" s="8"/>
      <c r="AE66" s="119"/>
      <c r="AF66" s="119"/>
      <c r="AG66" s="119"/>
      <c r="AH66" s="119"/>
      <c r="AI66" s="119"/>
      <c r="AJ66" s="119"/>
      <c r="AK66" s="119"/>
      <c r="AL66" s="119"/>
      <c r="AM66" s="119"/>
      <c r="AN66" s="119"/>
      <c r="AO66" s="119"/>
      <c r="AP66" s="119"/>
      <c r="AQ66" s="119"/>
      <c r="AR66" s="119"/>
      <c r="AS66" s="119"/>
      <c r="AT66" s="119"/>
      <c r="AU66" s="119"/>
      <c r="AV66" s="119"/>
      <c r="AW66" s="119"/>
      <c r="AX66" s="119"/>
      <c r="AY66" s="119"/>
      <c r="AZ66" s="119"/>
      <c r="BA66" s="119"/>
      <c r="BB66" s="119"/>
      <c r="BC66" s="119"/>
      <c r="BD66" s="119"/>
      <c r="BE66" s="119"/>
      <c r="BF66" s="119"/>
      <c r="BG66" s="119"/>
      <c r="BH66" s="119"/>
      <c r="BI66" s="119"/>
      <c r="BJ66" s="119"/>
      <c r="BK66" s="119"/>
      <c r="BL66" s="119"/>
    </row>
    <row r="67" spans="1:64" x14ac:dyDescent="0.2">
      <c r="A67" s="7"/>
      <c r="B67" s="7"/>
      <c r="C67" s="7">
        <f t="shared" si="27"/>
        <v>2028</v>
      </c>
      <c r="D67" s="7">
        <f t="shared" si="28"/>
        <v>2</v>
      </c>
      <c r="E67" s="7">
        <v>214</v>
      </c>
      <c r="F67" s="123">
        <f>central_v2_m!D55+temporary_pension_bonus_central!B55</f>
        <v>24672645.728188999</v>
      </c>
      <c r="G67" s="123">
        <f>central_v2_m!E55+temporary_pension_bonus_central!B55</f>
        <v>23631555.2001906</v>
      </c>
      <c r="H67" s="41">
        <f t="shared" si="17"/>
        <v>22873187.40758501</v>
      </c>
      <c r="I67" s="41">
        <f t="shared" si="18"/>
        <v>21886080.629204731</v>
      </c>
      <c r="J67" s="123">
        <f>central_v2_m!J55</f>
        <v>1799458.32060399</v>
      </c>
      <c r="K67" s="123">
        <f>central_v2_m!K55</f>
        <v>1745474.57098587</v>
      </c>
      <c r="L67" s="41">
        <f t="shared" si="19"/>
        <v>987106.7783802785</v>
      </c>
      <c r="M67" s="41">
        <f t="shared" si="20"/>
        <v>53983.749618120026</v>
      </c>
      <c r="N67" s="123">
        <f>SUM(central_v5_m!C55:J55)</f>
        <v>2628999.199890641</v>
      </c>
      <c r="O67" s="7"/>
      <c r="P67" s="7"/>
      <c r="Q67" s="41">
        <f t="shared" si="21"/>
        <v>120410758.18413277</v>
      </c>
      <c r="R67" s="41"/>
      <c r="S67" s="41"/>
      <c r="T67" s="7"/>
      <c r="U67" s="7"/>
      <c r="V67" s="41">
        <f t="shared" si="26"/>
        <v>9603086.091306679</v>
      </c>
      <c r="W67" s="41">
        <f t="shared" si="22"/>
        <v>297002.66261773417</v>
      </c>
      <c r="X67" s="41">
        <f t="shared" si="23"/>
        <v>19072659.597032607</v>
      </c>
      <c r="Y67" s="41">
        <f t="shared" si="24"/>
        <v>13641889.345968932</v>
      </c>
      <c r="Z67" s="41">
        <f t="shared" si="25"/>
        <v>5430770.2510636766</v>
      </c>
      <c r="AA67" s="41"/>
      <c r="AB67" s="41"/>
      <c r="AC67" s="41"/>
      <c r="AD67" s="41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</row>
    <row r="68" spans="1:64" x14ac:dyDescent="0.2">
      <c r="A68" s="7"/>
      <c r="B68" s="7"/>
      <c r="C68" s="7">
        <f t="shared" si="27"/>
        <v>2028</v>
      </c>
      <c r="D68" s="7">
        <f t="shared" si="28"/>
        <v>3</v>
      </c>
      <c r="E68" s="7">
        <v>215</v>
      </c>
      <c r="F68" s="123">
        <f>central_v2_m!D56+temporary_pension_bonus_central!B56</f>
        <v>24789429.620689798</v>
      </c>
      <c r="G68" s="123">
        <f>central_v2_m!E56+temporary_pension_bonus_central!B56</f>
        <v>23742287.8350816</v>
      </c>
      <c r="H68" s="41">
        <f t="shared" ref="H68:H99" si="29">F68-J68</f>
        <v>22921306.308320429</v>
      </c>
      <c r="I68" s="41">
        <f t="shared" ref="I68:I99" si="30">G68-K68</f>
        <v>21930208.222083308</v>
      </c>
      <c r="J68" s="123">
        <f>central_v2_m!J56</f>
        <v>1868123.3123693699</v>
      </c>
      <c r="K68" s="123">
        <f>central_v2_m!K56</f>
        <v>1812079.61299829</v>
      </c>
      <c r="L68" s="41">
        <f t="shared" ref="L68:L99" si="31">H68-I68</f>
        <v>991098.08623712137</v>
      </c>
      <c r="M68" s="41">
        <f t="shared" ref="M68:M99" si="32">J68-K68</f>
        <v>56043.699371079914</v>
      </c>
      <c r="N68" s="123">
        <f>SUM(central_v5_m!C56:J56)</f>
        <v>2611392.7491717646</v>
      </c>
      <c r="O68" s="7"/>
      <c r="P68" s="7"/>
      <c r="Q68" s="41">
        <f t="shared" ref="Q68:Q99" si="33">I68*5.5017049523</f>
        <v>120653535.18040591</v>
      </c>
      <c r="R68" s="41"/>
      <c r="S68" s="41"/>
      <c r="T68" s="7"/>
      <c r="U68" s="7"/>
      <c r="V68" s="41">
        <f t="shared" si="26"/>
        <v>9969527.3807945587</v>
      </c>
      <c r="W68" s="41">
        <f t="shared" si="22"/>
        <v>308335.89837508276</v>
      </c>
      <c r="X68" s="41">
        <f t="shared" si="23"/>
        <v>19003258.638756961</v>
      </c>
      <c r="Y68" s="41">
        <f t="shared" si="24"/>
        <v>13550529.389491137</v>
      </c>
      <c r="Z68" s="41">
        <f t="shared" si="25"/>
        <v>5452729.2492658226</v>
      </c>
      <c r="AA68" s="41"/>
      <c r="AB68" s="41"/>
      <c r="AC68" s="41"/>
      <c r="AD68" s="41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</row>
    <row r="69" spans="1:64" x14ac:dyDescent="0.2">
      <c r="A69" s="7"/>
      <c r="B69" s="7"/>
      <c r="C69" s="7">
        <f t="shared" si="27"/>
        <v>2028</v>
      </c>
      <c r="D69" s="7">
        <f t="shared" si="28"/>
        <v>4</v>
      </c>
      <c r="E69" s="7">
        <v>216</v>
      </c>
      <c r="F69" s="123">
        <f>central_v2_m!D57+temporary_pension_bonus_central!B57</f>
        <v>24926280.633152898</v>
      </c>
      <c r="G69" s="123">
        <f>central_v2_m!E57+temporary_pension_bonus_central!B57</f>
        <v>23871739.7100803</v>
      </c>
      <c r="H69" s="41">
        <f t="shared" si="29"/>
        <v>22968252.652843248</v>
      </c>
      <c r="I69" s="41">
        <f t="shared" si="30"/>
        <v>21972452.569179941</v>
      </c>
      <c r="J69" s="123">
        <f>central_v2_m!J57</f>
        <v>1958027.9803096501</v>
      </c>
      <c r="K69" s="123">
        <f>central_v2_m!K57</f>
        <v>1899287.14090036</v>
      </c>
      <c r="L69" s="41">
        <f t="shared" si="31"/>
        <v>995800.08366330713</v>
      </c>
      <c r="M69" s="41">
        <f t="shared" si="32"/>
        <v>58740.839409290114</v>
      </c>
      <c r="N69" s="123">
        <f>SUM(central_v5_m!C57:J57)</f>
        <v>2639649.5446710344</v>
      </c>
      <c r="O69" s="7"/>
      <c r="P69" s="7"/>
      <c r="Q69" s="41">
        <f t="shared" si="33"/>
        <v>120885951.11403413</v>
      </c>
      <c r="R69" s="41"/>
      <c r="S69" s="41"/>
      <c r="T69" s="7"/>
      <c r="U69" s="7"/>
      <c r="V69" s="41">
        <f t="shared" si="26"/>
        <v>10449317.468931219</v>
      </c>
      <c r="W69" s="41">
        <f t="shared" si="22"/>
        <v>323174.76708035043</v>
      </c>
      <c r="X69" s="41">
        <f t="shared" si="23"/>
        <v>19175752.287455175</v>
      </c>
      <c r="Y69" s="41">
        <f t="shared" si="24"/>
        <v>13697154.035664003</v>
      </c>
      <c r="Z69" s="41">
        <f t="shared" si="25"/>
        <v>5478598.2517911708</v>
      </c>
      <c r="AA69" s="41"/>
      <c r="AB69" s="41"/>
      <c r="AC69" s="41"/>
      <c r="AD69" s="41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</row>
    <row r="70" spans="1:64" x14ac:dyDescent="0.2">
      <c r="A70" s="119"/>
      <c r="B70" s="5"/>
      <c r="C70" s="119">
        <f t="shared" si="27"/>
        <v>2029</v>
      </c>
      <c r="D70" s="119">
        <f t="shared" si="28"/>
        <v>1</v>
      </c>
      <c r="E70" s="119">
        <v>217</v>
      </c>
      <c r="F70" s="121">
        <f>central_v2_m!D58+temporary_pension_bonus_central!B58</f>
        <v>25025589.423394099</v>
      </c>
      <c r="G70" s="121">
        <f>central_v2_m!E58+temporary_pension_bonus_central!B58</f>
        <v>23966425.728481598</v>
      </c>
      <c r="H70" s="8">
        <f t="shared" si="29"/>
        <v>22977959.224472187</v>
      </c>
      <c r="I70" s="8">
        <f t="shared" si="30"/>
        <v>21980224.435527347</v>
      </c>
      <c r="J70" s="121">
        <f>central_v2_m!J58</f>
        <v>2047630.19892191</v>
      </c>
      <c r="K70" s="121">
        <f>central_v2_m!K58</f>
        <v>1986201.29295425</v>
      </c>
      <c r="L70" s="8">
        <f t="shared" si="31"/>
        <v>997734.78894484043</v>
      </c>
      <c r="M70" s="8">
        <f t="shared" si="32"/>
        <v>61428.905967660015</v>
      </c>
      <c r="N70" s="121">
        <f>SUM(central_v5_m!C58:J58)</f>
        <v>3224466.4972047312</v>
      </c>
      <c r="O70" s="5"/>
      <c r="P70" s="5"/>
      <c r="Q70" s="8">
        <f t="shared" si="33"/>
        <v>120928709.62960628</v>
      </c>
      <c r="R70" s="8"/>
      <c r="S70" s="8"/>
      <c r="T70" s="5"/>
      <c r="U70" s="5"/>
      <c r="V70" s="8">
        <f t="shared" si="26"/>
        <v>10927493.489711059</v>
      </c>
      <c r="W70" s="8">
        <f t="shared" si="22"/>
        <v>337963.71617664612</v>
      </c>
      <c r="X70" s="8">
        <f t="shared" si="23"/>
        <v>22221014.41188401</v>
      </c>
      <c r="Y70" s="8">
        <f t="shared" si="24"/>
        <v>16731771.982464185</v>
      </c>
      <c r="Z70" s="8">
        <f t="shared" si="25"/>
        <v>5489242.4294198239</v>
      </c>
      <c r="AA70" s="8"/>
      <c r="AB70" s="8"/>
      <c r="AC70" s="8"/>
      <c r="AD70" s="8"/>
      <c r="AE70" s="119"/>
      <c r="AF70" s="119"/>
      <c r="AG70" s="119"/>
      <c r="AH70" s="119"/>
      <c r="AI70" s="119"/>
      <c r="AJ70" s="119"/>
      <c r="AK70" s="119"/>
      <c r="AL70" s="119"/>
      <c r="AM70" s="119"/>
      <c r="AN70" s="119"/>
      <c r="AO70" s="119"/>
      <c r="AP70" s="119"/>
      <c r="AQ70" s="119"/>
      <c r="AR70" s="119"/>
      <c r="AS70" s="119"/>
      <c r="AT70" s="119"/>
      <c r="AU70" s="119"/>
      <c r="AV70" s="119"/>
      <c r="AW70" s="119"/>
      <c r="AX70" s="119"/>
      <c r="AY70" s="119"/>
      <c r="AZ70" s="119"/>
      <c r="BA70" s="119"/>
      <c r="BB70" s="119"/>
      <c r="BC70" s="119"/>
      <c r="BD70" s="119"/>
      <c r="BE70" s="119"/>
      <c r="BF70" s="119"/>
      <c r="BG70" s="119"/>
      <c r="BH70" s="119"/>
      <c r="BI70" s="119"/>
      <c r="BJ70" s="119"/>
      <c r="BK70" s="119"/>
      <c r="BL70" s="119"/>
    </row>
    <row r="71" spans="1:64" x14ac:dyDescent="0.2">
      <c r="A71" s="7"/>
      <c r="B71" s="7"/>
      <c r="C71" s="7">
        <f t="shared" si="27"/>
        <v>2029</v>
      </c>
      <c r="D71" s="7">
        <f t="shared" si="28"/>
        <v>2</v>
      </c>
      <c r="E71" s="7">
        <v>218</v>
      </c>
      <c r="F71" s="123">
        <f>central_v2_m!D59+temporary_pension_bonus_central!B59</f>
        <v>25170413.766552102</v>
      </c>
      <c r="G71" s="123">
        <f>central_v2_m!E59+temporary_pension_bonus_central!B59</f>
        <v>24104529.6923532</v>
      </c>
      <c r="H71" s="41">
        <f t="shared" si="29"/>
        <v>23048826.971627913</v>
      </c>
      <c r="I71" s="41">
        <f t="shared" si="30"/>
        <v>22046590.501276731</v>
      </c>
      <c r="J71" s="123">
        <f>central_v2_m!J59</f>
        <v>2121586.7949241898</v>
      </c>
      <c r="K71" s="123">
        <f>central_v2_m!K59</f>
        <v>2057939.1910764701</v>
      </c>
      <c r="L71" s="41">
        <f t="shared" si="31"/>
        <v>1002236.4703511819</v>
      </c>
      <c r="M71" s="41">
        <f t="shared" si="32"/>
        <v>63647.603847719729</v>
      </c>
      <c r="N71" s="123">
        <f>SUM(central_v5_m!C59:J59)</f>
        <v>2602790.2932172795</v>
      </c>
      <c r="O71" s="7"/>
      <c r="P71" s="7"/>
      <c r="Q71" s="41">
        <f t="shared" si="33"/>
        <v>121293836.14220433</v>
      </c>
      <c r="R71" s="41"/>
      <c r="S71" s="41"/>
      <c r="T71" s="7"/>
      <c r="U71" s="7"/>
      <c r="V71" s="41">
        <f t="shared" si="26"/>
        <v>11322174.23907767</v>
      </c>
      <c r="W71" s="41">
        <f t="shared" si="22"/>
        <v>350170.33729102818</v>
      </c>
      <c r="X71" s="41">
        <f t="shared" si="23"/>
        <v>19019900.556955729</v>
      </c>
      <c r="Y71" s="41">
        <f t="shared" si="24"/>
        <v>13505891.204648959</v>
      </c>
      <c r="Z71" s="41">
        <f t="shared" si="25"/>
        <v>5514009.3523067692</v>
      </c>
      <c r="AA71" s="41"/>
      <c r="AB71" s="41"/>
      <c r="AC71" s="41"/>
      <c r="AD71" s="41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</row>
    <row r="72" spans="1:64" x14ac:dyDescent="0.2">
      <c r="A72" s="7"/>
      <c r="B72" s="7"/>
      <c r="C72" s="7">
        <f t="shared" si="27"/>
        <v>2029</v>
      </c>
      <c r="D72" s="7">
        <f t="shared" si="28"/>
        <v>3</v>
      </c>
      <c r="E72" s="7">
        <v>219</v>
      </c>
      <c r="F72" s="123">
        <f>central_v2_m!D60+temporary_pension_bonus_central!B60</f>
        <v>25314451.147903599</v>
      </c>
      <c r="G72" s="123">
        <f>central_v2_m!E60+temporary_pension_bonus_central!B60</f>
        <v>24241262.436462998</v>
      </c>
      <c r="H72" s="41">
        <f t="shared" si="29"/>
        <v>23119278.250648737</v>
      </c>
      <c r="I72" s="41">
        <f t="shared" si="30"/>
        <v>22111944.726125788</v>
      </c>
      <c r="J72" s="123">
        <f>central_v2_m!J60</f>
        <v>2195172.89725486</v>
      </c>
      <c r="K72" s="123">
        <f>central_v2_m!K60</f>
        <v>2129317.71033721</v>
      </c>
      <c r="L72" s="41">
        <f t="shared" si="31"/>
        <v>1007333.524522949</v>
      </c>
      <c r="M72" s="41">
        <f t="shared" si="32"/>
        <v>65855.186917650048</v>
      </c>
      <c r="N72" s="123">
        <f>SUM(central_v5_m!C60:J60)</f>
        <v>2523202.4355787737</v>
      </c>
      <c r="O72" s="7"/>
      <c r="P72" s="7"/>
      <c r="Q72" s="41">
        <f t="shared" si="33"/>
        <v>121653395.80471011</v>
      </c>
      <c r="R72" s="41"/>
      <c r="S72" s="41"/>
      <c r="T72" s="7"/>
      <c r="U72" s="7"/>
      <c r="V72" s="41">
        <f t="shared" si="26"/>
        <v>11714877.791982325</v>
      </c>
      <c r="W72" s="41">
        <f t="shared" si="22"/>
        <v>362315.80799947743</v>
      </c>
      <c r="X72" s="41">
        <f t="shared" si="23"/>
        <v>18634961.273503717</v>
      </c>
      <c r="Y72" s="41">
        <f t="shared" si="24"/>
        <v>13092909.433017995</v>
      </c>
      <c r="Z72" s="41">
        <f t="shared" si="25"/>
        <v>5542051.8404857218</v>
      </c>
      <c r="AA72" s="41"/>
      <c r="AB72" s="41"/>
      <c r="AC72" s="41"/>
      <c r="AD72" s="41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</row>
    <row r="73" spans="1:64" x14ac:dyDescent="0.2">
      <c r="A73" s="7"/>
      <c r="B73" s="7"/>
      <c r="C73" s="7">
        <f t="shared" si="27"/>
        <v>2029</v>
      </c>
      <c r="D73" s="7">
        <f t="shared" si="28"/>
        <v>4</v>
      </c>
      <c r="E73" s="7">
        <v>220</v>
      </c>
      <c r="F73" s="123">
        <f>central_v2_m!D61+temporary_pension_bonus_central!B61</f>
        <v>25409792.218893901</v>
      </c>
      <c r="G73" s="123">
        <f>central_v2_m!E61+temporary_pension_bonus_central!B61</f>
        <v>24331879.946877599</v>
      </c>
      <c r="H73" s="41">
        <f t="shared" si="29"/>
        <v>23133194.974007919</v>
      </c>
      <c r="I73" s="41">
        <f t="shared" si="30"/>
        <v>22123580.619338199</v>
      </c>
      <c r="J73" s="123">
        <f>central_v2_m!J61</f>
        <v>2276597.2448859802</v>
      </c>
      <c r="K73" s="123">
        <f>central_v2_m!K61</f>
        <v>2208299.3275394002</v>
      </c>
      <c r="L73" s="41">
        <f t="shared" si="31"/>
        <v>1009614.3546697199</v>
      </c>
      <c r="M73" s="41">
        <f t="shared" si="32"/>
        <v>68297.917346579954</v>
      </c>
      <c r="N73" s="123">
        <f>SUM(central_v5_m!C61:J61)</f>
        <v>2547695.6450084639</v>
      </c>
      <c r="O73" s="7"/>
      <c r="P73" s="7"/>
      <c r="Q73" s="41">
        <f t="shared" si="33"/>
        <v>121717413.05602127</v>
      </c>
      <c r="R73" s="41"/>
      <c r="S73" s="41"/>
      <c r="T73" s="7"/>
      <c r="U73" s="7"/>
      <c r="V73" s="41">
        <f t="shared" si="26"/>
        <v>12149411.346484277</v>
      </c>
      <c r="W73" s="41">
        <f t="shared" si="22"/>
        <v>375754.99009745498</v>
      </c>
      <c r="X73" s="41">
        <f t="shared" si="23"/>
        <v>18774605.108184043</v>
      </c>
      <c r="Y73" s="41">
        <f t="shared" si="24"/>
        <v>13220004.813184476</v>
      </c>
      <c r="Z73" s="41">
        <f t="shared" si="25"/>
        <v>5554600.2949995669</v>
      </c>
      <c r="AA73" s="41"/>
      <c r="AB73" s="41"/>
      <c r="AC73" s="41"/>
      <c r="AD73" s="41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</row>
    <row r="74" spans="1:64" x14ac:dyDescent="0.2">
      <c r="A74" s="119"/>
      <c r="B74" s="5"/>
      <c r="C74" s="119">
        <f t="shared" si="27"/>
        <v>2030</v>
      </c>
      <c r="D74" s="119">
        <f t="shared" si="28"/>
        <v>1</v>
      </c>
      <c r="E74" s="119">
        <v>221</v>
      </c>
      <c r="F74" s="121">
        <f>central_v2_m!D62+temporary_pension_bonus_central!B62</f>
        <v>25534525.319667298</v>
      </c>
      <c r="G74" s="121">
        <f>central_v2_m!E62+temporary_pension_bonus_central!B62</f>
        <v>24450457.084004998</v>
      </c>
      <c r="H74" s="8">
        <f t="shared" si="29"/>
        <v>23163269.025206398</v>
      </c>
      <c r="I74" s="8">
        <f t="shared" si="30"/>
        <v>22150338.47837792</v>
      </c>
      <c r="J74" s="121">
        <f>central_v2_m!J62</f>
        <v>2371256.2944609001</v>
      </c>
      <c r="K74" s="121">
        <f>central_v2_m!K62</f>
        <v>2300118.60562708</v>
      </c>
      <c r="L74" s="8">
        <f t="shared" si="31"/>
        <v>1012930.5468284786</v>
      </c>
      <c r="M74" s="8">
        <f t="shared" si="32"/>
        <v>71137.688833820168</v>
      </c>
      <c r="N74" s="121">
        <f>SUM(central_v5_m!C62:J62)</f>
        <v>3134833.3911952334</v>
      </c>
      <c r="O74" s="5"/>
      <c r="P74" s="5"/>
      <c r="Q74" s="8">
        <f t="shared" si="33"/>
        <v>121864626.90161304</v>
      </c>
      <c r="R74" s="8"/>
      <c r="S74" s="8"/>
      <c r="T74" s="5"/>
      <c r="U74" s="5"/>
      <c r="V74" s="8">
        <f t="shared" si="26"/>
        <v>12654573.923455875</v>
      </c>
      <c r="W74" s="8">
        <f t="shared" si="22"/>
        <v>391378.57495220483</v>
      </c>
      <c r="X74" s="8">
        <f t="shared" si="23"/>
        <v>21839510.375105228</v>
      </c>
      <c r="Y74" s="8">
        <f t="shared" si="24"/>
        <v>16266665.369283041</v>
      </c>
      <c r="Z74" s="8">
        <f t="shared" si="25"/>
        <v>5572845.0058221873</v>
      </c>
      <c r="AA74" s="8"/>
      <c r="AB74" s="8"/>
      <c r="AC74" s="8"/>
      <c r="AD74" s="8"/>
      <c r="AE74" s="119"/>
      <c r="AF74" s="119"/>
      <c r="AG74" s="119"/>
      <c r="AH74" s="119"/>
      <c r="AI74" s="119"/>
      <c r="AJ74" s="119"/>
      <c r="AK74" s="119"/>
      <c r="AL74" s="119"/>
      <c r="AM74" s="119"/>
      <c r="AN74" s="119"/>
      <c r="AO74" s="119"/>
      <c r="AP74" s="119"/>
      <c r="AQ74" s="119"/>
      <c r="AR74" s="119"/>
      <c r="AS74" s="119"/>
      <c r="AT74" s="119"/>
      <c r="AU74" s="119"/>
      <c r="AV74" s="119"/>
      <c r="AW74" s="119"/>
      <c r="AX74" s="119"/>
      <c r="AY74" s="119"/>
      <c r="AZ74" s="119"/>
      <c r="BA74" s="119"/>
      <c r="BB74" s="119"/>
      <c r="BC74" s="119"/>
      <c r="BD74" s="119"/>
      <c r="BE74" s="119"/>
      <c r="BF74" s="119"/>
      <c r="BG74" s="119"/>
      <c r="BH74" s="119"/>
      <c r="BI74" s="119"/>
      <c r="BJ74" s="119"/>
      <c r="BK74" s="119"/>
      <c r="BL74" s="119"/>
    </row>
    <row r="75" spans="1:64" x14ac:dyDescent="0.2">
      <c r="A75" s="7"/>
      <c r="B75" s="7"/>
      <c r="C75" s="7">
        <f t="shared" si="27"/>
        <v>2030</v>
      </c>
      <c r="D75" s="7">
        <f t="shared" si="28"/>
        <v>2</v>
      </c>
      <c r="E75" s="7">
        <v>222</v>
      </c>
      <c r="F75" s="123">
        <f>central_v2_m!D63+temporary_pension_bonus_central!B63</f>
        <v>25813554.214969799</v>
      </c>
      <c r="G75" s="123">
        <f>central_v2_m!E63+temporary_pension_bonus_central!B63</f>
        <v>24716011.034930699</v>
      </c>
      <c r="H75" s="41">
        <f t="shared" si="29"/>
        <v>23360186.218018148</v>
      </c>
      <c r="I75" s="41">
        <f t="shared" si="30"/>
        <v>22336244.077887598</v>
      </c>
      <c r="J75" s="123">
        <f>central_v2_m!J63</f>
        <v>2453367.9969516499</v>
      </c>
      <c r="K75" s="123">
        <f>central_v2_m!K63</f>
        <v>2379766.9570431001</v>
      </c>
      <c r="L75" s="41">
        <f t="shared" si="31"/>
        <v>1023942.1401305497</v>
      </c>
      <c r="M75" s="41">
        <f t="shared" si="32"/>
        <v>73601.039908549748</v>
      </c>
      <c r="N75" s="123">
        <f>SUM(central_v5_m!C63:J63)</f>
        <v>2506439.0377503685</v>
      </c>
      <c r="O75" s="7"/>
      <c r="P75" s="7"/>
      <c r="Q75" s="41">
        <f t="shared" si="33"/>
        <v>122887424.65909575</v>
      </c>
      <c r="R75" s="41"/>
      <c r="S75" s="41"/>
      <c r="T75" s="7"/>
      <c r="U75" s="7"/>
      <c r="V75" s="41">
        <f t="shared" si="26"/>
        <v>13092775.652883925</v>
      </c>
      <c r="W75" s="41">
        <f t="shared" si="22"/>
        <v>404931.20575929806</v>
      </c>
      <c r="X75" s="41">
        <f t="shared" si="23"/>
        <v>18639351.625221465</v>
      </c>
      <c r="Y75" s="41">
        <f t="shared" si="24"/>
        <v>13005924.08199656</v>
      </c>
      <c r="Z75" s="41">
        <f t="shared" si="25"/>
        <v>5633427.5432249056</v>
      </c>
      <c r="AA75" s="41"/>
      <c r="AB75" s="41"/>
      <c r="AC75" s="41"/>
      <c r="AD75" s="41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</row>
    <row r="76" spans="1:64" x14ac:dyDescent="0.2">
      <c r="A76" s="7"/>
      <c r="B76" s="7"/>
      <c r="C76" s="7">
        <f t="shared" si="27"/>
        <v>2030</v>
      </c>
      <c r="D76" s="7">
        <f t="shared" si="28"/>
        <v>3</v>
      </c>
      <c r="E76" s="7">
        <v>223</v>
      </c>
      <c r="F76" s="123">
        <f>central_v2_m!D64+temporary_pension_bonus_central!B64</f>
        <v>25938821.3400722</v>
      </c>
      <c r="G76" s="123">
        <f>central_v2_m!E64+temporary_pension_bonus_central!B64</f>
        <v>24834630.656576101</v>
      </c>
      <c r="H76" s="41">
        <f t="shared" si="29"/>
        <v>23436494.38753226</v>
      </c>
      <c r="I76" s="41">
        <f t="shared" si="30"/>
        <v>22407373.512612361</v>
      </c>
      <c r="J76" s="123">
        <f>central_v2_m!J64</f>
        <v>2502326.9525399399</v>
      </c>
      <c r="K76" s="123">
        <f>central_v2_m!K64</f>
        <v>2427257.1439637402</v>
      </c>
      <c r="L76" s="41">
        <f t="shared" si="31"/>
        <v>1029120.8749198988</v>
      </c>
      <c r="M76" s="41">
        <f t="shared" si="32"/>
        <v>75069.808576199692</v>
      </c>
      <c r="N76" s="123">
        <f>SUM(central_v5_m!C64:J64)</f>
        <v>2505794.2277068417</v>
      </c>
      <c r="O76" s="7"/>
      <c r="P76" s="7"/>
      <c r="Q76" s="41">
        <f t="shared" si="33"/>
        <v>123278757.82237527</v>
      </c>
      <c r="R76" s="41"/>
      <c r="S76" s="41"/>
      <c r="T76" s="7"/>
      <c r="U76" s="7"/>
      <c r="V76" s="41">
        <f t="shared" si="26"/>
        <v>13354052.649450863</v>
      </c>
      <c r="W76" s="41">
        <f t="shared" si="22"/>
        <v>413011.93761189084</v>
      </c>
      <c r="X76" s="41">
        <f t="shared" si="23"/>
        <v>18664497.573677517</v>
      </c>
      <c r="Y76" s="41">
        <f t="shared" si="24"/>
        <v>13002578.159615401</v>
      </c>
      <c r="Z76" s="41">
        <f t="shared" si="25"/>
        <v>5661919.4140621163</v>
      </c>
      <c r="AA76" s="41"/>
      <c r="AB76" s="41"/>
      <c r="AC76" s="41"/>
      <c r="AD76" s="41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</row>
    <row r="77" spans="1:64" x14ac:dyDescent="0.2">
      <c r="A77" s="7"/>
      <c r="B77" s="7"/>
      <c r="C77" s="7">
        <f t="shared" si="27"/>
        <v>2030</v>
      </c>
      <c r="D77" s="7">
        <f t="shared" si="28"/>
        <v>4</v>
      </c>
      <c r="E77" s="7">
        <v>224</v>
      </c>
      <c r="F77" s="123">
        <f>central_v2_m!D65+temporary_pension_bonus_central!B65</f>
        <v>26034868.6207949</v>
      </c>
      <c r="G77" s="123">
        <f>central_v2_m!E65+temporary_pension_bonus_central!B65</f>
        <v>24925625.377405901</v>
      </c>
      <c r="H77" s="41">
        <f t="shared" si="29"/>
        <v>23473938.49392242</v>
      </c>
      <c r="I77" s="41">
        <f t="shared" si="30"/>
        <v>22441523.154339589</v>
      </c>
      <c r="J77" s="123">
        <f>central_v2_m!J65</f>
        <v>2560930.1268724799</v>
      </c>
      <c r="K77" s="123">
        <f>central_v2_m!K65</f>
        <v>2484102.2230663099</v>
      </c>
      <c r="L77" s="41">
        <f t="shared" si="31"/>
        <v>1032415.3395828307</v>
      </c>
      <c r="M77" s="41">
        <f t="shared" si="32"/>
        <v>76827.903806169983</v>
      </c>
      <c r="N77" s="123">
        <f>SUM(central_v5_m!C65:J65)</f>
        <v>2528159.4366911263</v>
      </c>
      <c r="O77" s="7"/>
      <c r="P77" s="7"/>
      <c r="Q77" s="41">
        <f t="shared" si="33"/>
        <v>123466639.07538523</v>
      </c>
      <c r="R77" s="41"/>
      <c r="S77" s="41"/>
      <c r="T77" s="7"/>
      <c r="U77" s="7"/>
      <c r="V77" s="41">
        <f t="shared" si="26"/>
        <v>13666797.502663357</v>
      </c>
      <c r="W77" s="41">
        <f t="shared" si="22"/>
        <v>422684.45884523343</v>
      </c>
      <c r="X77" s="41">
        <f t="shared" si="23"/>
        <v>18798675.921967931</v>
      </c>
      <c r="Y77" s="41">
        <f t="shared" si="24"/>
        <v>13118631.335354585</v>
      </c>
      <c r="Z77" s="41">
        <f t="shared" si="25"/>
        <v>5680044.5866133459</v>
      </c>
      <c r="AA77" s="41"/>
      <c r="AB77" s="41"/>
      <c r="AC77" s="41"/>
      <c r="AD77" s="41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</row>
    <row r="78" spans="1:64" x14ac:dyDescent="0.2">
      <c r="A78" s="119"/>
      <c r="B78" s="5"/>
      <c r="C78" s="119">
        <f t="shared" si="27"/>
        <v>2031</v>
      </c>
      <c r="D78" s="119">
        <f t="shared" si="28"/>
        <v>1</v>
      </c>
      <c r="E78" s="119">
        <v>225</v>
      </c>
      <c r="F78" s="121">
        <f>central_v2_m!D66+temporary_pension_bonus_central!B66</f>
        <v>26167363.660992</v>
      </c>
      <c r="G78" s="121">
        <f>central_v2_m!E66+temporary_pension_bonus_central!B66</f>
        <v>25051288.101398502</v>
      </c>
      <c r="H78" s="8">
        <f t="shared" si="29"/>
        <v>23504824.407175761</v>
      </c>
      <c r="I78" s="8">
        <f t="shared" si="30"/>
        <v>22468625.025196753</v>
      </c>
      <c r="J78" s="121">
        <f>central_v2_m!J66</f>
        <v>2662539.25381624</v>
      </c>
      <c r="K78" s="121">
        <f>central_v2_m!K66</f>
        <v>2582663.07620175</v>
      </c>
      <c r="L78" s="8">
        <f t="shared" si="31"/>
        <v>1036199.3819790073</v>
      </c>
      <c r="M78" s="8">
        <f t="shared" si="32"/>
        <v>79876.177614490036</v>
      </c>
      <c r="N78" s="121">
        <f>SUM(central_v5_m!C66:J66)</f>
        <v>3028898.5654740026</v>
      </c>
      <c r="O78" s="5"/>
      <c r="P78" s="5"/>
      <c r="Q78" s="8">
        <f t="shared" si="33"/>
        <v>123615745.57249668</v>
      </c>
      <c r="R78" s="8"/>
      <c r="S78" s="8"/>
      <c r="T78" s="5"/>
      <c r="U78" s="5"/>
      <c r="V78" s="8">
        <f t="shared" si="26"/>
        <v>14209050.23646152</v>
      </c>
      <c r="W78" s="8">
        <f t="shared" ref="W78:W109" si="34">M78*5.5017049523</f>
        <v>439455.16195243422</v>
      </c>
      <c r="X78" s="8">
        <f t="shared" ref="X78:X109" si="35">N78*5.1890047538+L78*5.5017049523</f>
        <v>21417832.326426703</v>
      </c>
      <c r="Y78" s="8">
        <f t="shared" ref="Y78:Y109" si="36">N78*5.1890047538</f>
        <v>15716969.055022599</v>
      </c>
      <c r="Z78" s="8">
        <f t="shared" ref="Z78:Z109" si="37">L78*5.5017049523</f>
        <v>5700863.2714041034</v>
      </c>
      <c r="AA78" s="8"/>
      <c r="AB78" s="8"/>
      <c r="AC78" s="8"/>
      <c r="AD78" s="8"/>
      <c r="AE78" s="119"/>
      <c r="AF78" s="119"/>
      <c r="AG78" s="119"/>
      <c r="AH78" s="119"/>
      <c r="AI78" s="119"/>
      <c r="AJ78" s="119"/>
      <c r="AK78" s="119"/>
      <c r="AL78" s="119"/>
      <c r="AM78" s="119"/>
      <c r="AN78" s="119"/>
      <c r="AO78" s="119"/>
      <c r="AP78" s="119"/>
      <c r="AQ78" s="119"/>
      <c r="AR78" s="119"/>
      <c r="AS78" s="119"/>
      <c r="AT78" s="119"/>
      <c r="AU78" s="119"/>
      <c r="AV78" s="119"/>
      <c r="AW78" s="119"/>
      <c r="AX78" s="119"/>
      <c r="AY78" s="119"/>
      <c r="AZ78" s="119"/>
      <c r="BA78" s="119"/>
      <c r="BB78" s="119"/>
      <c r="BC78" s="119"/>
      <c r="BD78" s="119"/>
      <c r="BE78" s="119"/>
      <c r="BF78" s="119"/>
      <c r="BG78" s="119"/>
      <c r="BH78" s="119"/>
      <c r="BI78" s="119"/>
      <c r="BJ78" s="119"/>
      <c r="BK78" s="119"/>
      <c r="BL78" s="119"/>
    </row>
    <row r="79" spans="1:64" x14ac:dyDescent="0.2">
      <c r="A79" s="7"/>
      <c r="B79" s="7"/>
      <c r="C79" s="7">
        <f t="shared" si="27"/>
        <v>2031</v>
      </c>
      <c r="D79" s="7">
        <f t="shared" si="28"/>
        <v>2</v>
      </c>
      <c r="E79" s="7">
        <v>226</v>
      </c>
      <c r="F79" s="123">
        <f>central_v2_m!D67+temporary_pension_bonus_central!B67</f>
        <v>26205394.096416</v>
      </c>
      <c r="G79" s="123">
        <f>central_v2_m!E67+temporary_pension_bonus_central!B67</f>
        <v>25087343.941112701</v>
      </c>
      <c r="H79" s="41">
        <f t="shared" si="29"/>
        <v>23482000.902698491</v>
      </c>
      <c r="I79" s="41">
        <f t="shared" si="30"/>
        <v>22445652.543206722</v>
      </c>
      <c r="J79" s="123">
        <f>central_v2_m!J67</f>
        <v>2723393.19371751</v>
      </c>
      <c r="K79" s="123">
        <f>central_v2_m!K67</f>
        <v>2641691.3979059798</v>
      </c>
      <c r="L79" s="41">
        <f t="shared" si="31"/>
        <v>1036348.3594917692</v>
      </c>
      <c r="M79" s="41">
        <f t="shared" si="32"/>
        <v>81701.795811530203</v>
      </c>
      <c r="N79" s="123">
        <f>SUM(central_v5_m!C67:J67)</f>
        <v>2455370.2539869305</v>
      </c>
      <c r="O79" s="7"/>
      <c r="P79" s="7"/>
      <c r="Q79" s="41">
        <f t="shared" si="33"/>
        <v>123489357.75456551</v>
      </c>
      <c r="R79" s="41"/>
      <c r="S79" s="41"/>
      <c r="T79" s="7"/>
      <c r="U79" s="7"/>
      <c r="V79" s="41">
        <f t="shared" ref="V79:V110" si="38">K79*5.5017049523</f>
        <v>14533806.646307638</v>
      </c>
      <c r="W79" s="41">
        <f t="shared" si="34"/>
        <v>449499.17462809908</v>
      </c>
      <c r="X79" s="41">
        <f t="shared" si="35"/>
        <v>18442610.822001144</v>
      </c>
      <c r="Y79" s="41">
        <f t="shared" si="36"/>
        <v>12740927.920277296</v>
      </c>
      <c r="Z79" s="41">
        <f t="shared" si="37"/>
        <v>5701682.9017238477</v>
      </c>
      <c r="AA79" s="41"/>
      <c r="AB79" s="41"/>
      <c r="AC79" s="41"/>
      <c r="AD79" s="41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</row>
    <row r="80" spans="1:64" x14ac:dyDescent="0.2">
      <c r="A80" s="7"/>
      <c r="B80" s="7"/>
      <c r="C80" s="7">
        <f t="shared" si="27"/>
        <v>2031</v>
      </c>
      <c r="D80" s="7">
        <f t="shared" si="28"/>
        <v>3</v>
      </c>
      <c r="E80" s="7">
        <v>227</v>
      </c>
      <c r="F80" s="123">
        <f>central_v2_m!D68+temporary_pension_bonus_central!B68</f>
        <v>26349731.2081386</v>
      </c>
      <c r="G80" s="123">
        <f>central_v2_m!E68+temporary_pension_bonus_central!B68</f>
        <v>25224742.107818101</v>
      </c>
      <c r="H80" s="41">
        <f t="shared" si="29"/>
        <v>23563331.95077695</v>
      </c>
      <c r="I80" s="41">
        <f t="shared" si="30"/>
        <v>22521934.828177299</v>
      </c>
      <c r="J80" s="123">
        <f>central_v2_m!J68</f>
        <v>2786399.25736165</v>
      </c>
      <c r="K80" s="123">
        <f>central_v2_m!K68</f>
        <v>2702807.2796407999</v>
      </c>
      <c r="L80" s="41">
        <f t="shared" si="31"/>
        <v>1041397.1225996502</v>
      </c>
      <c r="M80" s="41">
        <f t="shared" si="32"/>
        <v>83591.977720850147</v>
      </c>
      <c r="N80" s="123">
        <f>SUM(central_v5_m!C68:J68)</f>
        <v>2414481.3873830787</v>
      </c>
      <c r="O80" s="7"/>
      <c r="P80" s="7"/>
      <c r="Q80" s="41">
        <f t="shared" si="33"/>
        <v>123909040.37956089</v>
      </c>
      <c r="R80" s="41"/>
      <c r="S80" s="41"/>
      <c r="T80" s="7"/>
      <c r="U80" s="7"/>
      <c r="V80" s="41">
        <f t="shared" si="38"/>
        <v>14870048.19551228</v>
      </c>
      <c r="W80" s="41">
        <f t="shared" si="34"/>
        <v>459898.39779935253</v>
      </c>
      <c r="X80" s="41">
        <f t="shared" si="35"/>
        <v>18258215.103809878</v>
      </c>
      <c r="Y80" s="41">
        <f t="shared" si="36"/>
        <v>12528755.397092415</v>
      </c>
      <c r="Z80" s="41">
        <f t="shared" si="37"/>
        <v>5729459.7067174651</v>
      </c>
      <c r="AA80" s="41"/>
      <c r="AB80" s="41"/>
      <c r="AC80" s="41"/>
      <c r="AD80" s="41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</row>
    <row r="81" spans="1:64" x14ac:dyDescent="0.2">
      <c r="A81" s="7"/>
      <c r="B81" s="7"/>
      <c r="C81" s="7">
        <f t="shared" si="27"/>
        <v>2031</v>
      </c>
      <c r="D81" s="7">
        <f t="shared" si="28"/>
        <v>4</v>
      </c>
      <c r="E81" s="7">
        <v>228</v>
      </c>
      <c r="F81" s="123">
        <f>central_v2_m!D69+temporary_pension_bonus_central!B69</f>
        <v>26446148.2769759</v>
      </c>
      <c r="G81" s="123">
        <f>central_v2_m!E69+temporary_pension_bonus_central!B69</f>
        <v>25317080.259638902</v>
      </c>
      <c r="H81" s="41">
        <f t="shared" si="29"/>
        <v>23615938.307163559</v>
      </c>
      <c r="I81" s="41">
        <f t="shared" si="30"/>
        <v>22571776.588920932</v>
      </c>
      <c r="J81" s="123">
        <f>central_v2_m!J69</f>
        <v>2830209.9698123401</v>
      </c>
      <c r="K81" s="123">
        <f>central_v2_m!K69</f>
        <v>2745303.67071797</v>
      </c>
      <c r="L81" s="41">
        <f t="shared" si="31"/>
        <v>1044161.7182426266</v>
      </c>
      <c r="M81" s="41">
        <f t="shared" si="32"/>
        <v>84906.299094370101</v>
      </c>
      <c r="N81" s="123">
        <f>SUM(central_v5_m!C69:J69)</f>
        <v>2413486.8816423668</v>
      </c>
      <c r="O81" s="7"/>
      <c r="P81" s="7"/>
      <c r="Q81" s="41">
        <f t="shared" si="33"/>
        <v>124183255.04147549</v>
      </c>
      <c r="R81" s="41"/>
      <c r="S81" s="41"/>
      <c r="T81" s="7"/>
      <c r="U81" s="7"/>
      <c r="V81" s="41">
        <f t="shared" si="38"/>
        <v>15103850.800756425</v>
      </c>
      <c r="W81" s="41">
        <f t="shared" si="34"/>
        <v>467129.40620896098</v>
      </c>
      <c r="X81" s="41">
        <f t="shared" si="35"/>
        <v>18268264.598333716</v>
      </c>
      <c r="Y81" s="41">
        <f t="shared" si="36"/>
        <v>12523594.902076179</v>
      </c>
      <c r="Z81" s="41">
        <f t="shared" si="37"/>
        <v>5744669.6962575363</v>
      </c>
      <c r="AA81" s="41"/>
      <c r="AB81" s="41"/>
      <c r="AC81" s="41"/>
      <c r="AD81" s="41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</row>
    <row r="82" spans="1:64" x14ac:dyDescent="0.2">
      <c r="A82" s="119"/>
      <c r="B82" s="5"/>
      <c r="C82" s="119">
        <f t="shared" ref="C82:C113" si="39">C78+1</f>
        <v>2032</v>
      </c>
      <c r="D82" s="119">
        <f t="shared" ref="D82:D113" si="40">D78</f>
        <v>1</v>
      </c>
      <c r="E82" s="119">
        <v>229</v>
      </c>
      <c r="F82" s="121">
        <f>central_v2_m!D70+temporary_pension_bonus_central!B70</f>
        <v>26644713.7349131</v>
      </c>
      <c r="G82" s="121">
        <f>central_v2_m!E70+temporary_pension_bonus_central!B70</f>
        <v>25506719.3704344</v>
      </c>
      <c r="H82" s="8">
        <f t="shared" si="29"/>
        <v>23791996.122262809</v>
      </c>
      <c r="I82" s="8">
        <f t="shared" si="30"/>
        <v>22739583.286163621</v>
      </c>
      <c r="J82" s="121">
        <f>central_v2_m!J70</f>
        <v>2852717.6126502901</v>
      </c>
      <c r="K82" s="121">
        <f>central_v2_m!K70</f>
        <v>2767136.08427078</v>
      </c>
      <c r="L82" s="8">
        <f t="shared" si="31"/>
        <v>1052412.8360991888</v>
      </c>
      <c r="M82" s="8">
        <f t="shared" si="32"/>
        <v>85581.528379510157</v>
      </c>
      <c r="N82" s="121">
        <f>SUM(central_v5_m!C70:J70)</f>
        <v>3018613.9985196604</v>
      </c>
      <c r="O82" s="5"/>
      <c r="P82" s="5"/>
      <c r="Q82" s="8">
        <f t="shared" si="33"/>
        <v>125106477.9787247</v>
      </c>
      <c r="R82" s="8"/>
      <c r="S82" s="8"/>
      <c r="T82" s="5"/>
      <c r="U82" s="5"/>
      <c r="V82" s="8">
        <f t="shared" si="38"/>
        <v>15223966.29852058</v>
      </c>
      <c r="W82" s="8">
        <f t="shared" si="34"/>
        <v>470844.31851095404</v>
      </c>
      <c r="X82" s="8">
        <f t="shared" si="35"/>
        <v>21453667.300436739</v>
      </c>
      <c r="Y82" s="8">
        <f t="shared" si="36"/>
        <v>15663602.388205744</v>
      </c>
      <c r="Z82" s="8">
        <f t="shared" si="37"/>
        <v>5790064.9122309946</v>
      </c>
      <c r="AA82" s="8"/>
      <c r="AB82" s="8"/>
      <c r="AC82" s="8"/>
      <c r="AD82" s="8"/>
      <c r="AE82" s="119"/>
      <c r="AF82" s="119"/>
      <c r="AG82" s="119"/>
      <c r="AH82" s="119"/>
      <c r="AI82" s="119"/>
      <c r="AJ82" s="119"/>
      <c r="AK82" s="119"/>
      <c r="AL82" s="119"/>
      <c r="AM82" s="119"/>
      <c r="AN82" s="119"/>
      <c r="AO82" s="119"/>
      <c r="AP82" s="119"/>
      <c r="AQ82" s="119"/>
      <c r="AR82" s="119"/>
      <c r="AS82" s="119"/>
      <c r="AT82" s="119"/>
      <c r="AU82" s="119"/>
      <c r="AV82" s="119"/>
      <c r="AW82" s="119"/>
      <c r="AX82" s="119"/>
      <c r="AY82" s="119"/>
      <c r="AZ82" s="119"/>
      <c r="BA82" s="119"/>
      <c r="BB82" s="119"/>
      <c r="BC82" s="119"/>
      <c r="BD82" s="119"/>
      <c r="BE82" s="119"/>
      <c r="BF82" s="119"/>
      <c r="BG82" s="119"/>
      <c r="BH82" s="119"/>
      <c r="BI82" s="119"/>
      <c r="BJ82" s="119"/>
      <c r="BK82" s="119"/>
      <c r="BL82" s="119"/>
    </row>
    <row r="83" spans="1:64" x14ac:dyDescent="0.2">
      <c r="A83" s="7"/>
      <c r="B83" s="7"/>
      <c r="C83" s="7">
        <f t="shared" si="39"/>
        <v>2032</v>
      </c>
      <c r="D83" s="7">
        <f t="shared" si="40"/>
        <v>2</v>
      </c>
      <c r="E83" s="7">
        <v>230</v>
      </c>
      <c r="F83" s="123">
        <f>central_v2_m!D71+temporary_pension_bonus_central!B71</f>
        <v>26779253.192681901</v>
      </c>
      <c r="G83" s="123">
        <f>central_v2_m!E71+temporary_pension_bonus_central!B71</f>
        <v>25633656.077452902</v>
      </c>
      <c r="H83" s="41">
        <f t="shared" si="29"/>
        <v>23941930.207604989</v>
      </c>
      <c r="I83" s="41">
        <f t="shared" si="30"/>
        <v>22881452.781928293</v>
      </c>
      <c r="J83" s="123">
        <f>central_v2_m!J71</f>
        <v>2837322.9850769099</v>
      </c>
      <c r="K83" s="123">
        <f>central_v2_m!K71</f>
        <v>2752203.2955246102</v>
      </c>
      <c r="L83" s="41">
        <f t="shared" si="31"/>
        <v>1060477.425676696</v>
      </c>
      <c r="M83" s="41">
        <f t="shared" si="32"/>
        <v>85119.689552299678</v>
      </c>
      <c r="N83" s="123">
        <f>SUM(central_v5_m!C71:J71)</f>
        <v>2391119.1652573659</v>
      </c>
      <c r="O83" s="7"/>
      <c r="P83" s="7"/>
      <c r="Q83" s="41">
        <f t="shared" si="33"/>
        <v>125887002.08615351</v>
      </c>
      <c r="R83" s="41"/>
      <c r="S83" s="41"/>
      <c r="T83" s="7"/>
      <c r="U83" s="7"/>
      <c r="V83" s="41">
        <f t="shared" si="38"/>
        <v>15141810.500724128</v>
      </c>
      <c r="W83" s="41">
        <f t="shared" si="34"/>
        <v>468303.41754812573</v>
      </c>
      <c r="X83" s="41">
        <f t="shared" si="35"/>
        <v>18241962.620070592</v>
      </c>
      <c r="Y83" s="41">
        <f t="shared" si="36"/>
        <v>12407528.715422759</v>
      </c>
      <c r="Z83" s="41">
        <f t="shared" si="37"/>
        <v>5834433.9046478337</v>
      </c>
      <c r="AA83" s="41"/>
      <c r="AB83" s="41"/>
      <c r="AC83" s="41"/>
      <c r="AD83" s="41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</row>
    <row r="84" spans="1:64" x14ac:dyDescent="0.2">
      <c r="A84" s="7"/>
      <c r="B84" s="7"/>
      <c r="C84" s="7">
        <f t="shared" si="39"/>
        <v>2032</v>
      </c>
      <c r="D84" s="7">
        <f t="shared" si="40"/>
        <v>3</v>
      </c>
      <c r="E84" s="7">
        <v>231</v>
      </c>
      <c r="F84" s="123">
        <f>central_v2_m!D72+temporary_pension_bonus_central!B72</f>
        <v>27031945.262887798</v>
      </c>
      <c r="G84" s="123">
        <f>central_v2_m!E72+temporary_pension_bonus_central!B72</f>
        <v>25874479.494445201</v>
      </c>
      <c r="H84" s="41">
        <f t="shared" si="29"/>
        <v>24113308.441633388</v>
      </c>
      <c r="I84" s="41">
        <f t="shared" si="30"/>
        <v>23043401.777828433</v>
      </c>
      <c r="J84" s="123">
        <f>central_v2_m!J72</f>
        <v>2918636.8212544098</v>
      </c>
      <c r="K84" s="123">
        <f>central_v2_m!K72</f>
        <v>2831077.7166167698</v>
      </c>
      <c r="L84" s="41">
        <f t="shared" si="31"/>
        <v>1069906.6638049558</v>
      </c>
      <c r="M84" s="41">
        <f t="shared" si="32"/>
        <v>87559.104637640063</v>
      </c>
      <c r="N84" s="123">
        <f>SUM(central_v5_m!C72:J72)</f>
        <v>2400962.3237665677</v>
      </c>
      <c r="O84" s="7"/>
      <c r="P84" s="7"/>
      <c r="Q84" s="41">
        <f t="shared" si="33"/>
        <v>126777997.6789173</v>
      </c>
      <c r="R84" s="41"/>
      <c r="S84" s="41"/>
      <c r="T84" s="7"/>
      <c r="U84" s="7"/>
      <c r="V84" s="41">
        <f t="shared" si="38"/>
        <v>15575754.293856658</v>
      </c>
      <c r="W84" s="41">
        <f t="shared" si="34"/>
        <v>481724.3596038582</v>
      </c>
      <c r="X84" s="41">
        <f t="shared" si="35"/>
        <v>18344915.702473912</v>
      </c>
      <c r="Y84" s="41">
        <f t="shared" si="36"/>
        <v>12458604.911719415</v>
      </c>
      <c r="Z84" s="41">
        <f t="shared" si="37"/>
        <v>5886310.7907544961</v>
      </c>
      <c r="AA84" s="41"/>
      <c r="AB84" s="41"/>
      <c r="AC84" s="41"/>
      <c r="AD84" s="41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</row>
    <row r="85" spans="1:64" x14ac:dyDescent="0.2">
      <c r="A85" s="7"/>
      <c r="B85" s="7"/>
      <c r="C85" s="7">
        <f t="shared" si="39"/>
        <v>2032</v>
      </c>
      <c r="D85" s="7">
        <f t="shared" si="40"/>
        <v>4</v>
      </c>
      <c r="E85" s="7">
        <v>232</v>
      </c>
      <c r="F85" s="123">
        <f>central_v2_m!D73+temporary_pension_bonus_central!B73</f>
        <v>27211048.462668099</v>
      </c>
      <c r="G85" s="123">
        <f>central_v2_m!E73+temporary_pension_bonus_central!B73</f>
        <v>26045097.996765502</v>
      </c>
      <c r="H85" s="41">
        <f t="shared" si="29"/>
        <v>24231274.53923684</v>
      </c>
      <c r="I85" s="41">
        <f t="shared" si="30"/>
        <v>23154717.291037172</v>
      </c>
      <c r="J85" s="123">
        <f>central_v2_m!J73</f>
        <v>2979773.92343126</v>
      </c>
      <c r="K85" s="123">
        <f>central_v2_m!K73</f>
        <v>2890380.7057283302</v>
      </c>
      <c r="L85" s="41">
        <f t="shared" si="31"/>
        <v>1076557.2481996678</v>
      </c>
      <c r="M85" s="41">
        <f t="shared" si="32"/>
        <v>89393.217702929862</v>
      </c>
      <c r="N85" s="123">
        <f>SUM(central_v5_m!C73:J73)</f>
        <v>2383049.7043406735</v>
      </c>
      <c r="O85" s="7"/>
      <c r="P85" s="7"/>
      <c r="Q85" s="41">
        <f t="shared" si="33"/>
        <v>127390422.78920564</v>
      </c>
      <c r="R85" s="41"/>
      <c r="S85" s="41"/>
      <c r="T85" s="7"/>
      <c r="U85" s="7"/>
      <c r="V85" s="41">
        <f t="shared" si="38"/>
        <v>15902021.842737922</v>
      </c>
      <c r="W85" s="41">
        <f t="shared" si="34"/>
        <v>491815.10853824124</v>
      </c>
      <c r="X85" s="41">
        <f t="shared" si="35"/>
        <v>18288556.588220011</v>
      </c>
      <c r="Y85" s="41">
        <f t="shared" si="36"/>
        <v>12365656.244365439</v>
      </c>
      <c r="Z85" s="41">
        <f t="shared" si="37"/>
        <v>5922900.3438545726</v>
      </c>
      <c r="AA85" s="41"/>
      <c r="AB85" s="41"/>
      <c r="AC85" s="41"/>
      <c r="AD85" s="41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</row>
    <row r="86" spans="1:64" x14ac:dyDescent="0.2">
      <c r="A86" s="119"/>
      <c r="B86" s="5"/>
      <c r="C86" s="119">
        <f t="shared" si="39"/>
        <v>2033</v>
      </c>
      <c r="D86" s="119">
        <f t="shared" si="40"/>
        <v>1</v>
      </c>
      <c r="E86" s="119">
        <v>233</v>
      </c>
      <c r="F86" s="121">
        <f>central_v2_m!D74+temporary_pension_bonus_central!B74</f>
        <v>27288080.081207301</v>
      </c>
      <c r="G86" s="121">
        <f>central_v2_m!E74+temporary_pension_bonus_central!B74</f>
        <v>26118959.438175499</v>
      </c>
      <c r="H86" s="8">
        <f t="shared" si="29"/>
        <v>24251732.797282301</v>
      </c>
      <c r="I86" s="8">
        <f t="shared" si="30"/>
        <v>23173702.572768249</v>
      </c>
      <c r="J86" s="121">
        <f>central_v2_m!J74</f>
        <v>3036347.2839250001</v>
      </c>
      <c r="K86" s="121">
        <f>central_v2_m!K74</f>
        <v>2945256.8654072499</v>
      </c>
      <c r="L86" s="8">
        <f t="shared" si="31"/>
        <v>1078030.2245140523</v>
      </c>
      <c r="M86" s="8">
        <f t="shared" si="32"/>
        <v>91090.418517750222</v>
      </c>
      <c r="N86" s="121">
        <f>SUM(central_v5_m!C74:J74)</f>
        <v>2952604.5526759238</v>
      </c>
      <c r="O86" s="5"/>
      <c r="P86" s="5"/>
      <c r="Q86" s="8">
        <f t="shared" si="33"/>
        <v>127494874.20772633</v>
      </c>
      <c r="R86" s="8"/>
      <c r="S86" s="8"/>
      <c r="T86" s="5"/>
      <c r="U86" s="5"/>
      <c r="V86" s="8">
        <f t="shared" si="38"/>
        <v>16203934.282206642</v>
      </c>
      <c r="W86" s="8">
        <f t="shared" si="34"/>
        <v>501152.60666618601</v>
      </c>
      <c r="X86" s="8">
        <f t="shared" si="35"/>
        <v>21252083.284864932</v>
      </c>
      <c r="Y86" s="8">
        <f t="shared" si="36"/>
        <v>15321079.059926892</v>
      </c>
      <c r="Z86" s="8">
        <f t="shared" si="37"/>
        <v>5931004.2249380425</v>
      </c>
      <c r="AA86" s="8"/>
      <c r="AB86" s="8"/>
      <c r="AC86" s="8"/>
      <c r="AD86" s="8"/>
      <c r="AE86" s="119"/>
      <c r="AF86" s="119"/>
      <c r="AG86" s="119"/>
      <c r="AH86" s="119"/>
      <c r="AI86" s="119"/>
      <c r="AJ86" s="119"/>
      <c r="AK86" s="119"/>
      <c r="AL86" s="119"/>
      <c r="AM86" s="119"/>
      <c r="AN86" s="119"/>
      <c r="AO86" s="119"/>
      <c r="AP86" s="119"/>
      <c r="AQ86" s="119"/>
      <c r="AR86" s="119"/>
      <c r="AS86" s="119"/>
      <c r="AT86" s="119"/>
      <c r="AU86" s="119"/>
      <c r="AV86" s="119"/>
      <c r="AW86" s="119"/>
      <c r="AX86" s="119"/>
      <c r="AY86" s="119"/>
      <c r="AZ86" s="119"/>
      <c r="BA86" s="119"/>
      <c r="BB86" s="119"/>
      <c r="BC86" s="119"/>
      <c r="BD86" s="119"/>
      <c r="BE86" s="119"/>
      <c r="BF86" s="119"/>
      <c r="BG86" s="119"/>
      <c r="BH86" s="119"/>
      <c r="BI86" s="119"/>
      <c r="BJ86" s="119"/>
      <c r="BK86" s="119"/>
      <c r="BL86" s="119"/>
    </row>
    <row r="87" spans="1:64" x14ac:dyDescent="0.2">
      <c r="A87" s="7"/>
      <c r="B87" s="7"/>
      <c r="C87" s="7">
        <f t="shared" si="39"/>
        <v>2033</v>
      </c>
      <c r="D87" s="7">
        <f t="shared" si="40"/>
        <v>2</v>
      </c>
      <c r="E87" s="7">
        <v>234</v>
      </c>
      <c r="F87" s="123">
        <f>central_v2_m!D75+temporary_pension_bonus_central!B75</f>
        <v>27473516.8726005</v>
      </c>
      <c r="G87" s="123">
        <f>central_v2_m!E75+temporary_pension_bonus_central!B75</f>
        <v>26295851.787101701</v>
      </c>
      <c r="H87" s="41">
        <f t="shared" si="29"/>
        <v>24350150.937005918</v>
      </c>
      <c r="I87" s="41">
        <f t="shared" si="30"/>
        <v>23266186.82957495</v>
      </c>
      <c r="J87" s="123">
        <f>central_v2_m!J75</f>
        <v>3123365.9355945801</v>
      </c>
      <c r="K87" s="123">
        <f>central_v2_m!K75</f>
        <v>3029664.9575267499</v>
      </c>
      <c r="L87" s="41">
        <f t="shared" si="31"/>
        <v>1083964.1074309684</v>
      </c>
      <c r="M87" s="41">
        <f t="shared" si="32"/>
        <v>93700.978067830205</v>
      </c>
      <c r="N87" s="123">
        <f>SUM(central_v5_m!C75:J75)</f>
        <v>2339345.1337183593</v>
      </c>
      <c r="O87" s="7"/>
      <c r="P87" s="7"/>
      <c r="Q87" s="41">
        <f t="shared" si="33"/>
        <v>128003695.30140954</v>
      </c>
      <c r="R87" s="41"/>
      <c r="S87" s="41"/>
      <c r="T87" s="7"/>
      <c r="U87" s="7"/>
      <c r="V87" s="41">
        <f t="shared" si="38"/>
        <v>16668322.700634688</v>
      </c>
      <c r="W87" s="41">
        <f t="shared" si="34"/>
        <v>515515.13507113513</v>
      </c>
      <c r="X87" s="41">
        <f t="shared" si="35"/>
        <v>18102523.717611872</v>
      </c>
      <c r="Y87" s="41">
        <f t="shared" si="36"/>
        <v>12138873.019643463</v>
      </c>
      <c r="Z87" s="41">
        <f t="shared" si="37"/>
        <v>5963650.6979684085</v>
      </c>
      <c r="AA87" s="41"/>
      <c r="AB87" s="41"/>
      <c r="AC87" s="41"/>
      <c r="AD87" s="41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</row>
    <row r="88" spans="1:64" x14ac:dyDescent="0.2">
      <c r="A88" s="7"/>
      <c r="B88" s="7"/>
      <c r="C88" s="7">
        <f t="shared" si="39"/>
        <v>2033</v>
      </c>
      <c r="D88" s="7">
        <f t="shared" si="40"/>
        <v>3</v>
      </c>
      <c r="E88" s="7">
        <v>235</v>
      </c>
      <c r="F88" s="123">
        <f>central_v2_m!D76+temporary_pension_bonus_central!B76</f>
        <v>27588222.002312001</v>
      </c>
      <c r="G88" s="123">
        <f>central_v2_m!E76+temporary_pension_bonus_central!B76</f>
        <v>26404303.894919299</v>
      </c>
      <c r="H88" s="41">
        <f t="shared" si="29"/>
        <v>24382998.885465853</v>
      </c>
      <c r="I88" s="41">
        <f t="shared" si="30"/>
        <v>23295237.471578538</v>
      </c>
      <c r="J88" s="123">
        <f>central_v2_m!J76</f>
        <v>3205223.1168461498</v>
      </c>
      <c r="K88" s="123">
        <f>central_v2_m!K76</f>
        <v>3109066.4233407602</v>
      </c>
      <c r="L88" s="41">
        <f t="shared" si="31"/>
        <v>1087761.4138873145</v>
      </c>
      <c r="M88" s="41">
        <f t="shared" si="32"/>
        <v>96156.693505389616</v>
      </c>
      <c r="N88" s="123">
        <f>SUM(central_v5_m!C76:J76)</f>
        <v>2301713.7458709455</v>
      </c>
      <c r="O88" s="7"/>
      <c r="P88" s="7"/>
      <c r="Q88" s="41">
        <f t="shared" si="33"/>
        <v>128163523.36238818</v>
      </c>
      <c r="R88" s="41"/>
      <c r="S88" s="41"/>
      <c r="T88" s="7"/>
      <c r="U88" s="7"/>
      <c r="V88" s="41">
        <f t="shared" si="38"/>
        <v>17105166.138323508</v>
      </c>
      <c r="W88" s="41">
        <f t="shared" si="34"/>
        <v>529025.75685539527</v>
      </c>
      <c r="X88" s="41">
        <f t="shared" si="35"/>
        <v>17928145.926915828</v>
      </c>
      <c r="Y88" s="41">
        <f t="shared" si="36"/>
        <v>11943603.56921114</v>
      </c>
      <c r="Z88" s="41">
        <f t="shared" si="37"/>
        <v>5984542.3577046879</v>
      </c>
      <c r="AA88" s="41"/>
      <c r="AB88" s="41"/>
      <c r="AC88" s="41"/>
      <c r="AD88" s="41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</row>
    <row r="89" spans="1:64" x14ac:dyDescent="0.2">
      <c r="A89" s="7"/>
      <c r="B89" s="7"/>
      <c r="C89" s="7">
        <f t="shared" si="39"/>
        <v>2033</v>
      </c>
      <c r="D89" s="7">
        <f t="shared" si="40"/>
        <v>4</v>
      </c>
      <c r="E89" s="7">
        <v>236</v>
      </c>
      <c r="F89" s="123">
        <f>central_v2_m!D77+temporary_pension_bonus_central!B77</f>
        <v>27693051.401229199</v>
      </c>
      <c r="G89" s="123">
        <f>central_v2_m!E77+temporary_pension_bonus_central!B77</f>
        <v>26503244.8297305</v>
      </c>
      <c r="H89" s="41">
        <f t="shared" si="29"/>
        <v>24446468.684245311</v>
      </c>
      <c r="I89" s="41">
        <f t="shared" si="30"/>
        <v>23354059.594256118</v>
      </c>
      <c r="J89" s="123">
        <f>central_v2_m!J77</f>
        <v>3246582.7169838902</v>
      </c>
      <c r="K89" s="123">
        <f>central_v2_m!K77</f>
        <v>3149185.2354743802</v>
      </c>
      <c r="L89" s="41">
        <f t="shared" si="31"/>
        <v>1092409.0899891928</v>
      </c>
      <c r="M89" s="41">
        <f t="shared" si="32"/>
        <v>97397.481509509962</v>
      </c>
      <c r="N89" s="123">
        <f>SUM(central_v5_m!C77:J77)</f>
        <v>2299721.0114806858</v>
      </c>
      <c r="O89" s="7"/>
      <c r="P89" s="7"/>
      <c r="Q89" s="41">
        <f t="shared" si="33"/>
        <v>128487145.32602821</v>
      </c>
      <c r="R89" s="41"/>
      <c r="S89" s="41"/>
      <c r="T89" s="7"/>
      <c r="U89" s="7"/>
      <c r="V89" s="41">
        <f t="shared" si="38"/>
        <v>17325888.005719438</v>
      </c>
      <c r="W89" s="41">
        <f t="shared" si="34"/>
        <v>535852.2063624186</v>
      </c>
      <c r="X89" s="41">
        <f t="shared" si="35"/>
        <v>17943375.761318102</v>
      </c>
      <c r="Y89" s="41">
        <f t="shared" si="36"/>
        <v>11933263.260987023</v>
      </c>
      <c r="Z89" s="41">
        <f t="shared" si="37"/>
        <v>6010112.5003310777</v>
      </c>
      <c r="AA89" s="41"/>
      <c r="AB89" s="41"/>
      <c r="AC89" s="41"/>
      <c r="AD89" s="41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</row>
    <row r="90" spans="1:64" x14ac:dyDescent="0.2">
      <c r="A90" s="119"/>
      <c r="B90" s="5"/>
      <c r="C90" s="119">
        <f t="shared" si="39"/>
        <v>2034</v>
      </c>
      <c r="D90" s="119">
        <f t="shared" si="40"/>
        <v>1</v>
      </c>
      <c r="E90" s="119">
        <v>237</v>
      </c>
      <c r="F90" s="121">
        <f>central_v2_m!D78+temporary_pension_bonus_central!B78</f>
        <v>27915569.7862176</v>
      </c>
      <c r="G90" s="121">
        <f>central_v2_m!E78+temporary_pension_bonus_central!B78</f>
        <v>26714975.559764501</v>
      </c>
      <c r="H90" s="8">
        <f t="shared" si="29"/>
        <v>24599425.4363086</v>
      </c>
      <c r="I90" s="8">
        <f t="shared" si="30"/>
        <v>23498315.540352769</v>
      </c>
      <c r="J90" s="121">
        <f>central_v2_m!J78</f>
        <v>3316144.3499090001</v>
      </c>
      <c r="K90" s="121">
        <f>central_v2_m!K78</f>
        <v>3216660.0194117301</v>
      </c>
      <c r="L90" s="8">
        <f t="shared" si="31"/>
        <v>1101109.8959558308</v>
      </c>
      <c r="M90" s="8">
        <f t="shared" si="32"/>
        <v>99484.330497269984</v>
      </c>
      <c r="N90" s="121">
        <f>SUM(central_v5_m!C78:J78)</f>
        <v>2901653.9175749896</v>
      </c>
      <c r="O90" s="5"/>
      <c r="P90" s="5"/>
      <c r="Q90" s="8">
        <f t="shared" si="33"/>
        <v>129280798.97906688</v>
      </c>
      <c r="R90" s="8"/>
      <c r="S90" s="8"/>
      <c r="T90" s="5"/>
      <c r="U90" s="5"/>
      <c r="V90" s="8">
        <f t="shared" si="38"/>
        <v>17697114.358662929</v>
      </c>
      <c r="W90" s="8">
        <f t="shared" si="34"/>
        <v>547333.43377308024</v>
      </c>
      <c r="X90" s="8">
        <f t="shared" si="35"/>
        <v>21114677.739785746</v>
      </c>
      <c r="Y90" s="8">
        <f t="shared" si="36"/>
        <v>15056695.972179014</v>
      </c>
      <c r="Z90" s="8">
        <f t="shared" si="37"/>
        <v>6057981.7676067324</v>
      </c>
      <c r="AA90" s="8"/>
      <c r="AB90" s="8"/>
      <c r="AC90" s="8"/>
      <c r="AD90" s="8"/>
      <c r="AE90" s="119"/>
      <c r="AF90" s="119"/>
      <c r="AG90" s="119"/>
      <c r="AH90" s="119"/>
      <c r="AI90" s="119"/>
      <c r="AJ90" s="119"/>
      <c r="AK90" s="119"/>
      <c r="AL90" s="119"/>
      <c r="AM90" s="119"/>
      <c r="AN90" s="119"/>
      <c r="AO90" s="119"/>
      <c r="AP90" s="119"/>
      <c r="AQ90" s="119"/>
      <c r="AR90" s="119"/>
      <c r="AS90" s="119"/>
      <c r="AT90" s="119"/>
      <c r="AU90" s="119"/>
      <c r="AV90" s="119"/>
      <c r="AW90" s="119"/>
      <c r="AX90" s="119"/>
      <c r="AY90" s="119"/>
      <c r="AZ90" s="119"/>
      <c r="BA90" s="119"/>
      <c r="BB90" s="119"/>
      <c r="BC90" s="119"/>
      <c r="BD90" s="119"/>
      <c r="BE90" s="119"/>
      <c r="BF90" s="119"/>
      <c r="BG90" s="119"/>
      <c r="BH90" s="119"/>
      <c r="BI90" s="119"/>
      <c r="BJ90" s="119"/>
      <c r="BK90" s="119"/>
      <c r="BL90" s="119"/>
    </row>
    <row r="91" spans="1:64" x14ac:dyDescent="0.2">
      <c r="A91" s="7"/>
      <c r="B91" s="7"/>
      <c r="C91" s="7">
        <f t="shared" si="39"/>
        <v>2034</v>
      </c>
      <c r="D91" s="7">
        <f t="shared" si="40"/>
        <v>2</v>
      </c>
      <c r="E91" s="7">
        <v>238</v>
      </c>
      <c r="F91" s="123">
        <f>central_v2_m!D79+temporary_pension_bonus_central!B79</f>
        <v>28177881.094434101</v>
      </c>
      <c r="G91" s="123">
        <f>central_v2_m!E79+temporary_pension_bonus_central!B79</f>
        <v>26964887.7472708</v>
      </c>
      <c r="H91" s="41">
        <f t="shared" si="29"/>
        <v>24775042.591139</v>
      </c>
      <c r="I91" s="41">
        <f t="shared" si="30"/>
        <v>23664134.399074551</v>
      </c>
      <c r="J91" s="123">
        <f>central_v2_m!J79</f>
        <v>3402838.5032950998</v>
      </c>
      <c r="K91" s="123">
        <f>central_v2_m!K79</f>
        <v>3300753.3481962499</v>
      </c>
      <c r="L91" s="41">
        <f t="shared" si="31"/>
        <v>1110908.1920644492</v>
      </c>
      <c r="M91" s="41">
        <f t="shared" si="32"/>
        <v>102085.15509884991</v>
      </c>
      <c r="N91" s="123">
        <f>SUM(central_v5_m!C79:J79)</f>
        <v>2282176.0145041714</v>
      </c>
      <c r="O91" s="7"/>
      <c r="P91" s="7"/>
      <c r="Q91" s="41">
        <f t="shared" si="33"/>
        <v>130193085.41528124</v>
      </c>
      <c r="R91" s="41"/>
      <c r="S91" s="41"/>
      <c r="T91" s="7"/>
      <c r="U91" s="7"/>
      <c r="V91" s="41">
        <f t="shared" si="38"/>
        <v>18159771.042092115</v>
      </c>
      <c r="W91" s="41">
        <f t="shared" si="34"/>
        <v>561642.40336365614</v>
      </c>
      <c r="X91" s="41">
        <f t="shared" si="35"/>
        <v>17954111.290102102</v>
      </c>
      <c r="Y91" s="41">
        <f t="shared" si="36"/>
        <v>11842222.188270483</v>
      </c>
      <c r="Z91" s="41">
        <f t="shared" si="37"/>
        <v>6111889.1018316196</v>
      </c>
      <c r="AA91" s="41"/>
      <c r="AB91" s="41"/>
      <c r="AC91" s="41"/>
      <c r="AD91" s="41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</row>
    <row r="92" spans="1:64" x14ac:dyDescent="0.2">
      <c r="A92" s="7"/>
      <c r="B92" s="7"/>
      <c r="C92" s="7">
        <f t="shared" si="39"/>
        <v>2034</v>
      </c>
      <c r="D92" s="7">
        <f t="shared" si="40"/>
        <v>3</v>
      </c>
      <c r="E92" s="7">
        <v>239</v>
      </c>
      <c r="F92" s="123">
        <f>central_v2_m!D80+temporary_pension_bonus_central!B80</f>
        <v>28320598.563654002</v>
      </c>
      <c r="G92" s="123">
        <f>central_v2_m!E80+temporary_pension_bonus_central!B80</f>
        <v>27100160.3620908</v>
      </c>
      <c r="H92" s="41">
        <f t="shared" si="29"/>
        <v>24887944.945900992</v>
      </c>
      <c r="I92" s="41">
        <f t="shared" si="30"/>
        <v>23770486.352870379</v>
      </c>
      <c r="J92" s="123">
        <f>central_v2_m!J80</f>
        <v>3432653.6177530098</v>
      </c>
      <c r="K92" s="123">
        <f>central_v2_m!K80</f>
        <v>3329674.0092204199</v>
      </c>
      <c r="L92" s="41">
        <f t="shared" si="31"/>
        <v>1117458.5930306129</v>
      </c>
      <c r="M92" s="41">
        <f t="shared" si="32"/>
        <v>102979.60853258986</v>
      </c>
      <c r="N92" s="123">
        <f>SUM(central_v5_m!C80:J80)</f>
        <v>2290711.6285787201</v>
      </c>
      <c r="O92" s="7"/>
      <c r="P92" s="7"/>
      <c r="Q92" s="41">
        <f t="shared" si="33"/>
        <v>130778202.48616652</v>
      </c>
      <c r="R92" s="41"/>
      <c r="S92" s="41"/>
      <c r="T92" s="7"/>
      <c r="U92" s="7"/>
      <c r="V92" s="41">
        <f t="shared" si="38"/>
        <v>18318883.986072581</v>
      </c>
      <c r="W92" s="41">
        <f t="shared" si="34"/>
        <v>566563.4222496649</v>
      </c>
      <c r="X92" s="41">
        <f t="shared" si="35"/>
        <v>18034441.005546633</v>
      </c>
      <c r="Y92" s="41">
        <f t="shared" si="36"/>
        <v>11886513.53027992</v>
      </c>
      <c r="Z92" s="41">
        <f t="shared" si="37"/>
        <v>6147927.4752667136</v>
      </c>
      <c r="AA92" s="41"/>
      <c r="AB92" s="41"/>
      <c r="AC92" s="41"/>
      <c r="AD92" s="41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</row>
    <row r="93" spans="1:64" x14ac:dyDescent="0.2">
      <c r="A93" s="7"/>
      <c r="B93" s="7"/>
      <c r="C93" s="7">
        <f t="shared" si="39"/>
        <v>2034</v>
      </c>
      <c r="D93" s="7">
        <f t="shared" si="40"/>
        <v>4</v>
      </c>
      <c r="E93" s="7">
        <v>240</v>
      </c>
      <c r="F93" s="123">
        <f>central_v2_m!D81+temporary_pension_bonus_central!B81</f>
        <v>28384644.268038802</v>
      </c>
      <c r="G93" s="123">
        <f>central_v2_m!E81+temporary_pension_bonus_central!B81</f>
        <v>27161210.073360901</v>
      </c>
      <c r="H93" s="41">
        <f t="shared" si="29"/>
        <v>24881637.405400783</v>
      </c>
      <c r="I93" s="41">
        <f t="shared" si="30"/>
        <v>23763293.416602023</v>
      </c>
      <c r="J93" s="123">
        <f>central_v2_m!J81</f>
        <v>3503006.86263802</v>
      </c>
      <c r="K93" s="123">
        <f>central_v2_m!K81</f>
        <v>3397916.6567588798</v>
      </c>
      <c r="L93" s="41">
        <f t="shared" si="31"/>
        <v>1118343.9887987599</v>
      </c>
      <c r="M93" s="41">
        <f t="shared" si="32"/>
        <v>105090.20587914018</v>
      </c>
      <c r="N93" s="123">
        <f>SUM(central_v5_m!C81:J81)</f>
        <v>2286539.1090246076</v>
      </c>
      <c r="O93" s="7"/>
      <c r="P93" s="7"/>
      <c r="Q93" s="41">
        <f t="shared" si="33"/>
        <v>130738629.07307734</v>
      </c>
      <c r="R93" s="41"/>
      <c r="S93" s="41"/>
      <c r="T93" s="7"/>
      <c r="U93" s="7"/>
      <c r="V93" s="41">
        <f t="shared" si="38"/>
        <v>18694334.897992987</v>
      </c>
      <c r="W93" s="41">
        <f t="shared" si="34"/>
        <v>578175.30612349208</v>
      </c>
      <c r="X93" s="41">
        <f t="shared" si="35"/>
        <v>18017660.968027376</v>
      </c>
      <c r="Y93" s="41">
        <f t="shared" si="36"/>
        <v>11864862.306478305</v>
      </c>
      <c r="Z93" s="41">
        <f t="shared" si="37"/>
        <v>6152798.6615490727</v>
      </c>
      <c r="AA93" s="41"/>
      <c r="AB93" s="41"/>
      <c r="AC93" s="41"/>
      <c r="AD93" s="41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</row>
    <row r="94" spans="1:64" x14ac:dyDescent="0.2">
      <c r="A94" s="119"/>
      <c r="B94" s="5"/>
      <c r="C94" s="119">
        <f t="shared" si="39"/>
        <v>2035</v>
      </c>
      <c r="D94" s="119">
        <f t="shared" si="40"/>
        <v>1</v>
      </c>
      <c r="E94" s="119">
        <v>241</v>
      </c>
      <c r="F94" s="121">
        <f>central_v2_m!D82+temporary_pension_bonus_central!B82</f>
        <v>28635530.643206801</v>
      </c>
      <c r="G94" s="121">
        <f>central_v2_m!E82+temporary_pension_bonus_central!B82</f>
        <v>27400269.0266333</v>
      </c>
      <c r="H94" s="8">
        <f t="shared" si="29"/>
        <v>25052225.94359244</v>
      </c>
      <c r="I94" s="8">
        <f t="shared" si="30"/>
        <v>23924463.468007371</v>
      </c>
      <c r="J94" s="121">
        <f>central_v2_m!J82</f>
        <v>3583304.69961436</v>
      </c>
      <c r="K94" s="121">
        <f>central_v2_m!K82</f>
        <v>3475805.55862593</v>
      </c>
      <c r="L94" s="8">
        <f t="shared" si="31"/>
        <v>1127762.4755850695</v>
      </c>
      <c r="M94" s="8">
        <f t="shared" si="32"/>
        <v>107499.14098843001</v>
      </c>
      <c r="N94" s="121">
        <f>SUM(central_v5_m!C82:J82)</f>
        <v>2742507.4111008532</v>
      </c>
      <c r="O94" s="5"/>
      <c r="P94" s="5"/>
      <c r="Q94" s="8">
        <f t="shared" si="33"/>
        <v>131625339.14305659</v>
      </c>
      <c r="R94" s="8"/>
      <c r="S94" s="8"/>
      <c r="T94" s="5"/>
      <c r="U94" s="5"/>
      <c r="V94" s="8">
        <f t="shared" si="38"/>
        <v>19122856.655124146</v>
      </c>
      <c r="W94" s="8">
        <f t="shared" si="34"/>
        <v>591428.55634404125</v>
      </c>
      <c r="X94" s="8">
        <f t="shared" si="35"/>
        <v>20435500.390478544</v>
      </c>
      <c r="Y94" s="8">
        <f t="shared" si="36"/>
        <v>14230883.993534058</v>
      </c>
      <c r="Z94" s="8">
        <f t="shared" si="37"/>
        <v>6204616.3969444847</v>
      </c>
      <c r="AA94" s="8"/>
      <c r="AB94" s="8"/>
      <c r="AC94" s="8"/>
      <c r="AD94" s="8"/>
      <c r="AE94" s="119"/>
      <c r="AF94" s="119"/>
      <c r="AG94" s="119"/>
      <c r="AH94" s="119"/>
      <c r="AI94" s="119"/>
      <c r="AJ94" s="119"/>
      <c r="AK94" s="119"/>
      <c r="AL94" s="119"/>
      <c r="AM94" s="119"/>
      <c r="AN94" s="119"/>
      <c r="AO94" s="119"/>
      <c r="AP94" s="119"/>
      <c r="AQ94" s="119"/>
      <c r="AR94" s="119"/>
      <c r="AS94" s="119"/>
      <c r="AT94" s="119"/>
      <c r="AU94" s="119"/>
      <c r="AV94" s="119"/>
      <c r="AW94" s="119"/>
      <c r="AX94" s="119"/>
      <c r="AY94" s="119"/>
      <c r="AZ94" s="119"/>
      <c r="BA94" s="119"/>
      <c r="BB94" s="119"/>
      <c r="BC94" s="119"/>
      <c r="BD94" s="119"/>
      <c r="BE94" s="119"/>
      <c r="BF94" s="119"/>
      <c r="BG94" s="119"/>
      <c r="BH94" s="119"/>
      <c r="BI94" s="119"/>
      <c r="BJ94" s="119"/>
      <c r="BK94" s="119"/>
      <c r="BL94" s="119"/>
    </row>
    <row r="95" spans="1:64" x14ac:dyDescent="0.2">
      <c r="A95" s="7"/>
      <c r="B95" s="7"/>
      <c r="C95" s="7">
        <f t="shared" si="39"/>
        <v>2035</v>
      </c>
      <c r="D95" s="7">
        <f t="shared" si="40"/>
        <v>2</v>
      </c>
      <c r="E95" s="7">
        <v>242</v>
      </c>
      <c r="F95" s="123">
        <f>central_v2_m!D83+temporary_pension_bonus_central!B83</f>
        <v>28759509.811543401</v>
      </c>
      <c r="G95" s="123">
        <f>central_v2_m!E83+temporary_pension_bonus_central!B83</f>
        <v>27518300.370343801</v>
      </c>
      <c r="H95" s="41">
        <f t="shared" si="29"/>
        <v>25136718.920357183</v>
      </c>
      <c r="I95" s="41">
        <f t="shared" si="30"/>
        <v>24004193.20589317</v>
      </c>
      <c r="J95" s="123">
        <f>central_v2_m!J83</f>
        <v>3622790.8911862201</v>
      </c>
      <c r="K95" s="123">
        <f>central_v2_m!K83</f>
        <v>3514107.1644506301</v>
      </c>
      <c r="L95" s="41">
        <f t="shared" si="31"/>
        <v>1132525.7144640125</v>
      </c>
      <c r="M95" s="41">
        <f t="shared" si="32"/>
        <v>108683.72673559003</v>
      </c>
      <c r="N95" s="123">
        <f>SUM(central_v5_m!C83:J83)</f>
        <v>2253408.0511754369</v>
      </c>
      <c r="O95" s="7"/>
      <c r="P95" s="7"/>
      <c r="Q95" s="41">
        <f t="shared" si="33"/>
        <v>132063988.63682847</v>
      </c>
      <c r="R95" s="41"/>
      <c r="S95" s="41"/>
      <c r="T95" s="7"/>
      <c r="U95" s="7"/>
      <c r="V95" s="41">
        <f t="shared" si="38"/>
        <v>19333580.789570943</v>
      </c>
      <c r="W95" s="41">
        <f t="shared" si="34"/>
        <v>597945.79761561553</v>
      </c>
      <c r="X95" s="41">
        <f t="shared" si="35"/>
        <v>17923767.421674289</v>
      </c>
      <c r="Y95" s="41">
        <f t="shared" si="36"/>
        <v>11692945.089800537</v>
      </c>
      <c r="Z95" s="41">
        <f t="shared" si="37"/>
        <v>6230822.3318737531</v>
      </c>
      <c r="AA95" s="41"/>
      <c r="AB95" s="41"/>
      <c r="AC95" s="41"/>
      <c r="AD95" s="41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</row>
    <row r="96" spans="1:64" x14ac:dyDescent="0.2">
      <c r="A96" s="7"/>
      <c r="B96" s="7"/>
      <c r="C96" s="7">
        <f t="shared" si="39"/>
        <v>2035</v>
      </c>
      <c r="D96" s="7">
        <f t="shared" si="40"/>
        <v>3</v>
      </c>
      <c r="E96" s="7">
        <v>243</v>
      </c>
      <c r="F96" s="123">
        <f>central_v2_m!D84+temporary_pension_bonus_central!B84</f>
        <v>28824553.722566601</v>
      </c>
      <c r="G96" s="123">
        <f>central_v2_m!E84+temporary_pension_bonus_central!B84</f>
        <v>27581034.648687702</v>
      </c>
      <c r="H96" s="41">
        <f t="shared" si="29"/>
        <v>25141364.483869903</v>
      </c>
      <c r="I96" s="41">
        <f t="shared" si="30"/>
        <v>24008341.0871519</v>
      </c>
      <c r="J96" s="123">
        <f>central_v2_m!J84</f>
        <v>3683189.2386967</v>
      </c>
      <c r="K96" s="123">
        <f>central_v2_m!K84</f>
        <v>3572693.5615357999</v>
      </c>
      <c r="L96" s="41">
        <f t="shared" si="31"/>
        <v>1133023.3967180029</v>
      </c>
      <c r="M96" s="41">
        <f t="shared" si="32"/>
        <v>110495.67716090009</v>
      </c>
      <c r="N96" s="123">
        <f>SUM(central_v5_m!C84:J84)</f>
        <v>2177652.2727334783</v>
      </c>
      <c r="O96" s="7"/>
      <c r="P96" s="7"/>
      <c r="Q96" s="41">
        <f t="shared" si="33"/>
        <v>132086809.05569117</v>
      </c>
      <c r="R96" s="41"/>
      <c r="S96" s="41"/>
      <c r="T96" s="7"/>
      <c r="U96" s="7"/>
      <c r="V96" s="41">
        <f t="shared" si="38"/>
        <v>19655905.860551834</v>
      </c>
      <c r="W96" s="41">
        <f t="shared" si="34"/>
        <v>607914.61424386594</v>
      </c>
      <c r="X96" s="41">
        <f t="shared" si="35"/>
        <v>17533408.428132597</v>
      </c>
      <c r="Y96" s="41">
        <f t="shared" si="36"/>
        <v>11299847.995337393</v>
      </c>
      <c r="Z96" s="41">
        <f t="shared" si="37"/>
        <v>6233560.4327952042</v>
      </c>
      <c r="AA96" s="41"/>
      <c r="AB96" s="41"/>
      <c r="AC96" s="41"/>
      <c r="AD96" s="41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</row>
    <row r="97" spans="1:64" x14ac:dyDescent="0.2">
      <c r="A97" s="7"/>
      <c r="B97" s="7"/>
      <c r="C97" s="7">
        <f t="shared" si="39"/>
        <v>2035</v>
      </c>
      <c r="D97" s="7">
        <f t="shared" si="40"/>
        <v>4</v>
      </c>
      <c r="E97" s="7">
        <v>244</v>
      </c>
      <c r="F97" s="123">
        <f>central_v2_m!D85+temporary_pension_bonus_central!B85</f>
        <v>28922206.046498898</v>
      </c>
      <c r="G97" s="123">
        <f>central_v2_m!E85+temporary_pension_bonus_central!B85</f>
        <v>27674474.594934098</v>
      </c>
      <c r="H97" s="41">
        <f t="shared" si="29"/>
        <v>25172641.280563999</v>
      </c>
      <c r="I97" s="41">
        <f t="shared" si="30"/>
        <v>24037396.77197725</v>
      </c>
      <c r="J97" s="123">
        <f>central_v2_m!J85</f>
        <v>3749564.7659348999</v>
      </c>
      <c r="K97" s="123">
        <f>central_v2_m!K85</f>
        <v>3637077.8229568498</v>
      </c>
      <c r="L97" s="41">
        <f t="shared" si="31"/>
        <v>1135244.5085867494</v>
      </c>
      <c r="M97" s="41">
        <f t="shared" si="32"/>
        <v>112486.94297805009</v>
      </c>
      <c r="N97" s="123">
        <f>SUM(central_v5_m!C85:J85)</f>
        <v>2152759.3043015115</v>
      </c>
      <c r="O97" s="7"/>
      <c r="P97" s="7"/>
      <c r="Q97" s="41">
        <f t="shared" si="33"/>
        <v>132246664.86078727</v>
      </c>
      <c r="R97" s="41"/>
      <c r="S97" s="41"/>
      <c r="T97" s="7"/>
      <c r="U97" s="7"/>
      <c r="V97" s="41">
        <f t="shared" si="38"/>
        <v>20010129.070462205</v>
      </c>
      <c r="W97" s="41">
        <f t="shared" si="34"/>
        <v>618869.97125142592</v>
      </c>
      <c r="X97" s="41">
        <f t="shared" si="35"/>
        <v>17416458.598770823</v>
      </c>
      <c r="Y97" s="41">
        <f t="shared" si="36"/>
        <v>11170678.263807723</v>
      </c>
      <c r="Z97" s="41">
        <f t="shared" si="37"/>
        <v>6245780.3349630991</v>
      </c>
      <c r="AA97" s="41"/>
      <c r="AB97" s="41"/>
      <c r="AC97" s="41"/>
      <c r="AD97" s="41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</row>
    <row r="98" spans="1:64" x14ac:dyDescent="0.2">
      <c r="A98" s="119"/>
      <c r="B98" s="5"/>
      <c r="C98" s="119">
        <f t="shared" si="39"/>
        <v>2036</v>
      </c>
      <c r="D98" s="119">
        <f t="shared" si="40"/>
        <v>1</v>
      </c>
      <c r="E98" s="119">
        <v>245</v>
      </c>
      <c r="F98" s="121">
        <f>central_v2_m!D86+temporary_pension_bonus_central!B86</f>
        <v>29143804.033756401</v>
      </c>
      <c r="G98" s="121">
        <f>central_v2_m!E86+temporary_pension_bonus_central!B86</f>
        <v>27886507.268099502</v>
      </c>
      <c r="H98" s="8">
        <f t="shared" si="29"/>
        <v>25359696.470809933</v>
      </c>
      <c r="I98" s="8">
        <f t="shared" si="30"/>
        <v>24215922.932041422</v>
      </c>
      <c r="J98" s="121">
        <f>central_v2_m!J86</f>
        <v>3784107.56294647</v>
      </c>
      <c r="K98" s="121">
        <f>central_v2_m!K86</f>
        <v>3670584.3360580802</v>
      </c>
      <c r="L98" s="8">
        <f t="shared" si="31"/>
        <v>1143773.5387685113</v>
      </c>
      <c r="M98" s="8">
        <f t="shared" si="32"/>
        <v>113523.22688838979</v>
      </c>
      <c r="N98" s="121">
        <f>SUM(central_v5_m!C86:J86)</f>
        <v>2591460.2378834053</v>
      </c>
      <c r="O98" s="5"/>
      <c r="P98" s="5"/>
      <c r="Q98" s="8">
        <f t="shared" si="33"/>
        <v>133228863.11972742</v>
      </c>
      <c r="R98" s="8"/>
      <c r="S98" s="8"/>
      <c r="T98" s="5"/>
      <c r="U98" s="5"/>
      <c r="V98" s="8">
        <f t="shared" si="38"/>
        <v>20194472.019525547</v>
      </c>
      <c r="W98" s="8">
        <f t="shared" si="34"/>
        <v>624571.29957293067</v>
      </c>
      <c r="X98" s="8">
        <f t="shared" si="35"/>
        <v>19739804.036213081</v>
      </c>
      <c r="Y98" s="8">
        <f t="shared" si="36"/>
        <v>13447099.493660668</v>
      </c>
      <c r="Z98" s="8">
        <f t="shared" si="37"/>
        <v>6292704.5425524144</v>
      </c>
      <c r="AA98" s="8"/>
      <c r="AB98" s="8"/>
      <c r="AC98" s="8"/>
      <c r="AD98" s="8"/>
      <c r="AE98" s="119"/>
      <c r="AF98" s="119"/>
      <c r="AG98" s="119"/>
      <c r="AH98" s="119"/>
      <c r="AI98" s="119"/>
      <c r="AJ98" s="119"/>
      <c r="AK98" s="119"/>
      <c r="AL98" s="119"/>
      <c r="AM98" s="119"/>
      <c r="AN98" s="119"/>
      <c r="AO98" s="119"/>
      <c r="AP98" s="119"/>
      <c r="AQ98" s="119"/>
      <c r="AR98" s="119"/>
      <c r="AS98" s="119"/>
      <c r="AT98" s="119"/>
      <c r="AU98" s="119"/>
      <c r="AV98" s="119"/>
      <c r="AW98" s="119"/>
      <c r="AX98" s="119"/>
      <c r="AY98" s="119"/>
      <c r="AZ98" s="119"/>
      <c r="BA98" s="119"/>
      <c r="BB98" s="119"/>
      <c r="BC98" s="119"/>
      <c r="BD98" s="119"/>
      <c r="BE98" s="119"/>
      <c r="BF98" s="119"/>
      <c r="BG98" s="119"/>
      <c r="BH98" s="119"/>
      <c r="BI98" s="119"/>
      <c r="BJ98" s="119"/>
      <c r="BK98" s="119"/>
      <c r="BL98" s="119"/>
    </row>
    <row r="99" spans="1:64" x14ac:dyDescent="0.2">
      <c r="A99" s="7"/>
      <c r="B99" s="7"/>
      <c r="C99" s="7">
        <f t="shared" si="39"/>
        <v>2036</v>
      </c>
      <c r="D99" s="7">
        <f t="shared" si="40"/>
        <v>2</v>
      </c>
      <c r="E99" s="7">
        <v>246</v>
      </c>
      <c r="F99" s="123">
        <f>central_v2_m!D87+temporary_pension_bonus_central!B87</f>
        <v>29272781.734079398</v>
      </c>
      <c r="G99" s="123">
        <f>central_v2_m!E87+temporary_pension_bonus_central!B87</f>
        <v>28010098.553013802</v>
      </c>
      <c r="H99" s="41">
        <f t="shared" si="29"/>
        <v>25416881.533501599</v>
      </c>
      <c r="I99" s="41">
        <f t="shared" si="30"/>
        <v>24269875.358453341</v>
      </c>
      <c r="J99" s="123">
        <f>central_v2_m!J87</f>
        <v>3855900.2005778002</v>
      </c>
      <c r="K99" s="123">
        <f>central_v2_m!K87</f>
        <v>3740223.1945604598</v>
      </c>
      <c r="L99" s="41">
        <f t="shared" si="31"/>
        <v>1147006.1750482582</v>
      </c>
      <c r="M99" s="41">
        <f t="shared" si="32"/>
        <v>115677.00601734035</v>
      </c>
      <c r="N99" s="123">
        <f>SUM(central_v5_m!C87:J87)</f>
        <v>2132516.8928406453</v>
      </c>
      <c r="O99" s="7"/>
      <c r="P99" s="7"/>
      <c r="Q99" s="41">
        <f t="shared" si="33"/>
        <v>133525693.45130648</v>
      </c>
      <c r="R99" s="41"/>
      <c r="S99" s="41"/>
      <c r="T99" s="7"/>
      <c r="U99" s="7"/>
      <c r="V99" s="41">
        <f t="shared" si="38"/>
        <v>20577604.472220607</v>
      </c>
      <c r="W99" s="41">
        <f t="shared" si="34"/>
        <v>636420.75687283825</v>
      </c>
      <c r="X99" s="41">
        <f t="shared" si="35"/>
        <v>17376129.848090596</v>
      </c>
      <c r="Y99" s="41">
        <f t="shared" si="36"/>
        <v>11065640.294508914</v>
      </c>
      <c r="Z99" s="41">
        <f t="shared" si="37"/>
        <v>6310489.553581682</v>
      </c>
      <c r="AA99" s="41"/>
      <c r="AB99" s="41"/>
      <c r="AC99" s="41"/>
      <c r="AD99" s="41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</row>
    <row r="100" spans="1:64" x14ac:dyDescent="0.2">
      <c r="A100" s="7"/>
      <c r="B100" s="7"/>
      <c r="C100" s="7">
        <f t="shared" si="39"/>
        <v>2036</v>
      </c>
      <c r="D100" s="7">
        <f t="shared" si="40"/>
        <v>3</v>
      </c>
      <c r="E100" s="7">
        <v>247</v>
      </c>
      <c r="F100" s="123">
        <f>central_v2_m!D88+temporary_pension_bonus_central!B88</f>
        <v>29437672.272097401</v>
      </c>
      <c r="G100" s="123">
        <f>central_v2_m!E88+temporary_pension_bonus_central!B88</f>
        <v>28166741.944497801</v>
      </c>
      <c r="H100" s="41">
        <f t="shared" ref="H100:H117" si="41">F100-J100</f>
        <v>25501895.898071721</v>
      </c>
      <c r="I100" s="41">
        <f t="shared" ref="I100:I117" si="42">G100-K100</f>
        <v>24349038.861692891</v>
      </c>
      <c r="J100" s="123">
        <f>central_v2_m!J88</f>
        <v>3935776.3740256801</v>
      </c>
      <c r="K100" s="123">
        <f>central_v2_m!K88</f>
        <v>3817703.0828049099</v>
      </c>
      <c r="L100" s="41">
        <f t="shared" ref="L100:L117" si="43">H100-I100</f>
        <v>1152857.0363788307</v>
      </c>
      <c r="M100" s="41">
        <f t="shared" ref="M100:M117" si="44">J100-K100</f>
        <v>118073.29122077022</v>
      </c>
      <c r="N100" s="123">
        <f>SUM(central_v5_m!C88:J88)</f>
        <v>2119449.7917906516</v>
      </c>
      <c r="O100" s="7"/>
      <c r="P100" s="7"/>
      <c r="Q100" s="41">
        <f t="shared" ref="Q100:Q117" si="45">I100*5.5017049523</f>
        <v>133961227.68912093</v>
      </c>
      <c r="R100" s="41"/>
      <c r="S100" s="41"/>
      <c r="T100" s="7"/>
      <c r="U100" s="7"/>
      <c r="V100" s="41">
        <f t="shared" si="38"/>
        <v>21003875.957078751</v>
      </c>
      <c r="W100" s="41">
        <f t="shared" si="34"/>
        <v>649604.41104367166</v>
      </c>
      <c r="X100" s="41">
        <f t="shared" si="35"/>
        <v>17340514.311381426</v>
      </c>
      <c r="Y100" s="41">
        <f t="shared" si="36"/>
        <v>10997835.045042111</v>
      </c>
      <c r="Z100" s="41">
        <f t="shared" si="37"/>
        <v>6342679.2663393142</v>
      </c>
      <c r="AA100" s="41"/>
      <c r="AB100" s="41"/>
      <c r="AC100" s="41"/>
      <c r="AD100" s="41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</row>
    <row r="101" spans="1:64" x14ac:dyDescent="0.2">
      <c r="A101" s="7"/>
      <c r="B101" s="7"/>
      <c r="C101" s="7">
        <f t="shared" si="39"/>
        <v>2036</v>
      </c>
      <c r="D101" s="7">
        <f t="shared" si="40"/>
        <v>4</v>
      </c>
      <c r="E101" s="7">
        <v>248</v>
      </c>
      <c r="F101" s="123">
        <f>central_v2_m!D89+temporary_pension_bonus_central!B89</f>
        <v>29662637.212835599</v>
      </c>
      <c r="G101" s="123">
        <f>central_v2_m!E89+temporary_pension_bonus_central!B89</f>
        <v>28380798.264533602</v>
      </c>
      <c r="H101" s="41">
        <f t="shared" si="41"/>
        <v>25636050.309221908</v>
      </c>
      <c r="I101" s="41">
        <f t="shared" si="42"/>
        <v>24475008.968028322</v>
      </c>
      <c r="J101" s="123">
        <f>central_v2_m!J89</f>
        <v>4026586.9036136898</v>
      </c>
      <c r="K101" s="123">
        <f>central_v2_m!K89</f>
        <v>3905789.2965052798</v>
      </c>
      <c r="L101" s="41">
        <f t="shared" si="43"/>
        <v>1161041.3411935866</v>
      </c>
      <c r="M101" s="41">
        <f t="shared" si="44"/>
        <v>120797.60710840998</v>
      </c>
      <c r="N101" s="123">
        <f>SUM(central_v5_m!C89:J89)</f>
        <v>2103896.5442914912</v>
      </c>
      <c r="O101" s="7"/>
      <c r="P101" s="7"/>
      <c r="Q101" s="41">
        <f t="shared" si="45"/>
        <v>134654278.04698834</v>
      </c>
      <c r="R101" s="41"/>
      <c r="S101" s="41"/>
      <c r="T101" s="7"/>
      <c r="U101" s="7"/>
      <c r="V101" s="41">
        <f t="shared" si="38"/>
        <v>21488500.315223429</v>
      </c>
      <c r="W101" s="41">
        <f t="shared" si="34"/>
        <v>664592.79325432889</v>
      </c>
      <c r="X101" s="41">
        <f t="shared" si="35"/>
        <v>17304836.066501729</v>
      </c>
      <c r="Y101" s="41">
        <f t="shared" si="36"/>
        <v>10917129.169831939</v>
      </c>
      <c r="Z101" s="41">
        <f t="shared" si="37"/>
        <v>6387706.8966697892</v>
      </c>
      <c r="AA101" s="41"/>
      <c r="AB101" s="41"/>
      <c r="AC101" s="41"/>
      <c r="AD101" s="41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</row>
    <row r="102" spans="1:64" x14ac:dyDescent="0.2">
      <c r="A102" s="119"/>
      <c r="B102" s="5"/>
      <c r="C102" s="119">
        <f t="shared" si="39"/>
        <v>2037</v>
      </c>
      <c r="D102" s="119">
        <f t="shared" si="40"/>
        <v>1</v>
      </c>
      <c r="E102" s="119">
        <v>249</v>
      </c>
      <c r="F102" s="121">
        <f>central_v2_m!D90+temporary_pension_bonus_central!B90</f>
        <v>29832062.009741198</v>
      </c>
      <c r="G102" s="121">
        <f>central_v2_m!E90+temporary_pension_bonus_central!B90</f>
        <v>28542470.307783201</v>
      </c>
      <c r="H102" s="8">
        <f t="shared" si="41"/>
        <v>25755290.380508497</v>
      </c>
      <c r="I102" s="8">
        <f t="shared" si="42"/>
        <v>24588001.82742748</v>
      </c>
      <c r="J102" s="121">
        <f>central_v2_m!J90</f>
        <v>4076771.6292327</v>
      </c>
      <c r="K102" s="121">
        <f>central_v2_m!K90</f>
        <v>3954468.48035572</v>
      </c>
      <c r="L102" s="8">
        <f t="shared" si="43"/>
        <v>1167288.553081017</v>
      </c>
      <c r="M102" s="8">
        <f t="shared" si="44"/>
        <v>122303.14887697995</v>
      </c>
      <c r="N102" s="121">
        <f>SUM(central_v5_m!C90:J90)</f>
        <v>2645188.7455980061</v>
      </c>
      <c r="O102" s="5"/>
      <c r="P102" s="5"/>
      <c r="Q102" s="8">
        <f t="shared" si="45"/>
        <v>135275931.42111921</v>
      </c>
      <c r="R102" s="8"/>
      <c r="S102" s="8"/>
      <c r="T102" s="5"/>
      <c r="U102" s="5"/>
      <c r="V102" s="8">
        <f t="shared" si="38"/>
        <v>21756318.822087321</v>
      </c>
      <c r="W102" s="8">
        <f t="shared" si="34"/>
        <v>672875.83985836478</v>
      </c>
      <c r="X102" s="8">
        <f t="shared" si="35"/>
        <v>20147974.188855246</v>
      </c>
      <c r="Y102" s="8">
        <f t="shared" si="36"/>
        <v>13725896.975606313</v>
      </c>
      <c r="Z102" s="8">
        <f t="shared" si="37"/>
        <v>6422077.2132489327</v>
      </c>
      <c r="AA102" s="8"/>
      <c r="AB102" s="8"/>
      <c r="AC102" s="8"/>
      <c r="AD102" s="8"/>
      <c r="AE102" s="119"/>
      <c r="AF102" s="119"/>
      <c r="AG102" s="119"/>
      <c r="AH102" s="119"/>
      <c r="AI102" s="119"/>
      <c r="AJ102" s="119"/>
      <c r="AK102" s="119"/>
      <c r="AL102" s="119"/>
      <c r="AM102" s="119"/>
      <c r="AN102" s="119"/>
      <c r="AO102" s="119"/>
      <c r="AP102" s="119"/>
      <c r="AQ102" s="119"/>
      <c r="AR102" s="119"/>
      <c r="AS102" s="119"/>
      <c r="AT102" s="119"/>
      <c r="AU102" s="119"/>
      <c r="AV102" s="119"/>
      <c r="AW102" s="119"/>
      <c r="AX102" s="119"/>
      <c r="AY102" s="119"/>
      <c r="AZ102" s="119"/>
      <c r="BA102" s="119"/>
      <c r="BB102" s="119"/>
      <c r="BC102" s="119"/>
      <c r="BD102" s="119"/>
      <c r="BE102" s="119"/>
      <c r="BF102" s="119"/>
      <c r="BG102" s="119"/>
      <c r="BH102" s="119"/>
      <c r="BI102" s="119"/>
      <c r="BJ102" s="119"/>
      <c r="BK102" s="119"/>
      <c r="BL102" s="119"/>
    </row>
    <row r="103" spans="1:64" x14ac:dyDescent="0.2">
      <c r="A103" s="7"/>
      <c r="B103" s="7"/>
      <c r="C103" s="7">
        <f t="shared" si="39"/>
        <v>2037</v>
      </c>
      <c r="D103" s="7">
        <f t="shared" si="40"/>
        <v>2</v>
      </c>
      <c r="E103" s="7">
        <v>250</v>
      </c>
      <c r="F103" s="123">
        <f>central_v2_m!D91+temporary_pension_bonus_central!B91</f>
        <v>30052478.607294898</v>
      </c>
      <c r="G103" s="123">
        <f>central_v2_m!E91+temporary_pension_bonus_central!B91</f>
        <v>28753403.3717173</v>
      </c>
      <c r="H103" s="41">
        <f t="shared" si="41"/>
        <v>25902278.049632877</v>
      </c>
      <c r="I103" s="41">
        <f t="shared" si="42"/>
        <v>24727708.83078514</v>
      </c>
      <c r="J103" s="123">
        <f>central_v2_m!J91</f>
        <v>4150200.55766202</v>
      </c>
      <c r="K103" s="123">
        <f>central_v2_m!K91</f>
        <v>4025694.5409321599</v>
      </c>
      <c r="L103" s="41">
        <f t="shared" si="43"/>
        <v>1174569.2188477367</v>
      </c>
      <c r="M103" s="41">
        <f t="shared" si="44"/>
        <v>124506.0167298601</v>
      </c>
      <c r="N103" s="123">
        <f>SUM(central_v5_m!C91:J91)</f>
        <v>2145912.4751531114</v>
      </c>
      <c r="O103" s="7"/>
      <c r="P103" s="7"/>
      <c r="Q103" s="41">
        <f t="shared" si="45"/>
        <v>136044558.13336304</v>
      </c>
      <c r="R103" s="41"/>
      <c r="S103" s="41"/>
      <c r="T103" s="7"/>
      <c r="U103" s="7"/>
      <c r="V103" s="41">
        <f t="shared" si="38"/>
        <v>22148183.592293538</v>
      </c>
      <c r="W103" s="41">
        <f t="shared" si="34"/>
        <v>684995.36883381801</v>
      </c>
      <c r="X103" s="41">
        <f t="shared" si="35"/>
        <v>17597283.322961956</v>
      </c>
      <c r="Y103" s="41">
        <f t="shared" si="36"/>
        <v>11135150.034808218</v>
      </c>
      <c r="Z103" s="41">
        <f t="shared" si="37"/>
        <v>6462133.2881537359</v>
      </c>
      <c r="AA103" s="41"/>
      <c r="AB103" s="41"/>
      <c r="AC103" s="41"/>
      <c r="AD103" s="41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</row>
    <row r="104" spans="1:64" x14ac:dyDescent="0.2">
      <c r="A104" s="7"/>
      <c r="B104" s="7"/>
      <c r="C104" s="7">
        <f t="shared" si="39"/>
        <v>2037</v>
      </c>
      <c r="D104" s="7">
        <f t="shared" si="40"/>
        <v>3</v>
      </c>
      <c r="E104" s="7">
        <v>251</v>
      </c>
      <c r="F104" s="123">
        <f>central_v2_m!D92+temporary_pension_bonus_central!B92</f>
        <v>30163811.083697699</v>
      </c>
      <c r="G104" s="123">
        <f>central_v2_m!E92+temporary_pension_bonus_central!B92</f>
        <v>28860046.963769801</v>
      </c>
      <c r="H104" s="41">
        <f t="shared" si="41"/>
        <v>25922989.747337118</v>
      </c>
      <c r="I104" s="41">
        <f t="shared" si="42"/>
        <v>24746450.267500043</v>
      </c>
      <c r="J104" s="123">
        <f>central_v2_m!J92</f>
        <v>4240821.3363605803</v>
      </c>
      <c r="K104" s="123">
        <f>central_v2_m!K92</f>
        <v>4113596.6962697599</v>
      </c>
      <c r="L104" s="41">
        <f t="shared" si="43"/>
        <v>1176539.4798370749</v>
      </c>
      <c r="M104" s="41">
        <f t="shared" si="44"/>
        <v>127224.64009082038</v>
      </c>
      <c r="N104" s="123">
        <f>SUM(central_v5_m!C92:J92)</f>
        <v>2102334.5865913481</v>
      </c>
      <c r="O104" s="7"/>
      <c r="P104" s="7"/>
      <c r="Q104" s="41">
        <f t="shared" si="45"/>
        <v>136147667.98855063</v>
      </c>
      <c r="R104" s="41"/>
      <c r="S104" s="41"/>
      <c r="T104" s="7"/>
      <c r="U104" s="7"/>
      <c r="V104" s="41">
        <f t="shared" si="38"/>
        <v>22631795.315632258</v>
      </c>
      <c r="W104" s="41">
        <f t="shared" si="34"/>
        <v>699952.43244225159</v>
      </c>
      <c r="X104" s="41">
        <f t="shared" si="35"/>
        <v>17381997.246696763</v>
      </c>
      <c r="Y104" s="41">
        <f t="shared" si="36"/>
        <v>10909024.163900662</v>
      </c>
      <c r="Z104" s="41">
        <f t="shared" si="37"/>
        <v>6472973.0827961005</v>
      </c>
      <c r="AA104" s="41"/>
      <c r="AB104" s="41"/>
      <c r="AC104" s="41"/>
      <c r="AD104" s="41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</row>
    <row r="105" spans="1:64" x14ac:dyDescent="0.2">
      <c r="A105" s="7"/>
      <c r="B105" s="7"/>
      <c r="C105" s="7">
        <f t="shared" si="39"/>
        <v>2037</v>
      </c>
      <c r="D105" s="7">
        <f t="shared" si="40"/>
        <v>4</v>
      </c>
      <c r="E105" s="7">
        <v>252</v>
      </c>
      <c r="F105" s="123">
        <f>central_v2_m!D93+temporary_pension_bonus_central!B93</f>
        <v>30314819.533944901</v>
      </c>
      <c r="G105" s="123">
        <f>central_v2_m!E93+temporary_pension_bonus_central!B93</f>
        <v>29004435.278566599</v>
      </c>
      <c r="H105" s="41">
        <f t="shared" si="41"/>
        <v>26007248.532949671</v>
      </c>
      <c r="I105" s="41">
        <f t="shared" si="42"/>
        <v>24826091.407601219</v>
      </c>
      <c r="J105" s="123">
        <f>central_v2_m!J93</f>
        <v>4307571.0009952299</v>
      </c>
      <c r="K105" s="123">
        <f>central_v2_m!K93</f>
        <v>4178343.8709653802</v>
      </c>
      <c r="L105" s="41">
        <f t="shared" si="43"/>
        <v>1181157.1253484525</v>
      </c>
      <c r="M105" s="41">
        <f t="shared" si="44"/>
        <v>129227.13002984971</v>
      </c>
      <c r="N105" s="123">
        <f>SUM(central_v5_m!C93:J93)</f>
        <v>2126158.2002697517</v>
      </c>
      <c r="O105" s="7"/>
      <c r="P105" s="7"/>
      <c r="Q105" s="41">
        <f t="shared" si="45"/>
        <v>136585830.04345211</v>
      </c>
      <c r="R105" s="41"/>
      <c r="S105" s="41"/>
      <c r="T105" s="7"/>
      <c r="U105" s="7"/>
      <c r="V105" s="41">
        <f t="shared" si="38"/>
        <v>22988015.167302582</v>
      </c>
      <c r="W105" s="41">
        <f t="shared" si="34"/>
        <v>710969.54125674022</v>
      </c>
      <c r="X105" s="41">
        <f t="shared" si="35"/>
        <v>17531023.014504608</v>
      </c>
      <c r="Y105" s="41">
        <f t="shared" si="36"/>
        <v>11032645.008530594</v>
      </c>
      <c r="Z105" s="41">
        <f t="shared" si="37"/>
        <v>6498378.0059740124</v>
      </c>
      <c r="AA105" s="41"/>
      <c r="AB105" s="41"/>
      <c r="AC105" s="41"/>
      <c r="AD105" s="41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</row>
    <row r="106" spans="1:64" x14ac:dyDescent="0.2">
      <c r="A106" s="119"/>
      <c r="B106" s="5"/>
      <c r="C106" s="119">
        <f t="shared" si="39"/>
        <v>2038</v>
      </c>
      <c r="D106" s="119">
        <f t="shared" si="40"/>
        <v>1</v>
      </c>
      <c r="E106" s="119">
        <v>253</v>
      </c>
      <c r="F106" s="121">
        <f>central_v2_m!D94+temporary_pension_bonus_central!B94</f>
        <v>30492600.7764275</v>
      </c>
      <c r="G106" s="121">
        <f>central_v2_m!E94+temporary_pension_bonus_central!B94</f>
        <v>29174081.016972698</v>
      </c>
      <c r="H106" s="8">
        <f t="shared" si="41"/>
        <v>26147580.37136237</v>
      </c>
      <c r="I106" s="8">
        <f t="shared" si="42"/>
        <v>24959411.224059518</v>
      </c>
      <c r="J106" s="121">
        <f>central_v2_m!J94</f>
        <v>4345020.4050651304</v>
      </c>
      <c r="K106" s="121">
        <f>central_v2_m!K94</f>
        <v>4214669.7929131798</v>
      </c>
      <c r="L106" s="8">
        <f t="shared" si="43"/>
        <v>1188169.1473028511</v>
      </c>
      <c r="M106" s="8">
        <f t="shared" si="44"/>
        <v>130350.6121519506</v>
      </c>
      <c r="N106" s="121">
        <f>SUM(central_v5_m!C94:J94)</f>
        <v>2629486.4711094028</v>
      </c>
      <c r="O106" s="5"/>
      <c r="P106" s="5"/>
      <c r="Q106" s="8">
        <f t="shared" si="45"/>
        <v>137319316.33790046</v>
      </c>
      <c r="R106" s="8"/>
      <c r="S106" s="8"/>
      <c r="T106" s="5"/>
      <c r="U106" s="5"/>
      <c r="V106" s="8">
        <f t="shared" si="38"/>
        <v>23187869.671979658</v>
      </c>
      <c r="W106" s="8">
        <f t="shared" si="34"/>
        <v>717150.60841172317</v>
      </c>
      <c r="X106" s="8">
        <f t="shared" si="35"/>
        <v>20181373.880525641</v>
      </c>
      <c r="Y106" s="8">
        <f t="shared" si="36"/>
        <v>13644417.798639478</v>
      </c>
      <c r="Z106" s="8">
        <f t="shared" si="37"/>
        <v>6536956.0818861639</v>
      </c>
      <c r="AA106" s="8"/>
      <c r="AB106" s="8"/>
      <c r="AC106" s="8"/>
      <c r="AD106" s="8"/>
      <c r="AE106" s="119"/>
      <c r="AF106" s="119"/>
      <c r="AG106" s="119"/>
      <c r="AH106" s="119"/>
      <c r="AI106" s="119"/>
      <c r="AJ106" s="119"/>
      <c r="AK106" s="119"/>
      <c r="AL106" s="119"/>
      <c r="AM106" s="119"/>
      <c r="AN106" s="119"/>
      <c r="AO106" s="119"/>
      <c r="AP106" s="119"/>
      <c r="AQ106" s="119"/>
      <c r="AR106" s="119"/>
      <c r="AS106" s="119"/>
      <c r="AT106" s="119"/>
      <c r="AU106" s="119"/>
      <c r="AV106" s="119"/>
      <c r="AW106" s="119"/>
      <c r="AX106" s="119"/>
      <c r="AY106" s="119"/>
      <c r="AZ106" s="119"/>
      <c r="BA106" s="119"/>
      <c r="BB106" s="119"/>
      <c r="BC106" s="119"/>
      <c r="BD106" s="119"/>
      <c r="BE106" s="119"/>
      <c r="BF106" s="119"/>
      <c r="BG106" s="119"/>
      <c r="BH106" s="119"/>
      <c r="BI106" s="119"/>
      <c r="BJ106" s="119"/>
      <c r="BK106" s="119"/>
      <c r="BL106" s="119"/>
    </row>
    <row r="107" spans="1:64" x14ac:dyDescent="0.2">
      <c r="A107" s="7"/>
      <c r="B107" s="7"/>
      <c r="C107" s="7">
        <f t="shared" si="39"/>
        <v>2038</v>
      </c>
      <c r="D107" s="7">
        <f t="shared" si="40"/>
        <v>2</v>
      </c>
      <c r="E107" s="7">
        <v>254</v>
      </c>
      <c r="F107" s="123">
        <f>central_v2_m!D95+temporary_pension_bonus_central!B95</f>
        <v>30696415.194376599</v>
      </c>
      <c r="G107" s="123">
        <f>central_v2_m!E95+temporary_pension_bonus_central!B95</f>
        <v>29368391.165356599</v>
      </c>
      <c r="H107" s="41">
        <f t="shared" si="41"/>
        <v>26329521.261522807</v>
      </c>
      <c r="I107" s="41">
        <f t="shared" si="42"/>
        <v>25132504.05048842</v>
      </c>
      <c r="J107" s="123">
        <f>central_v2_m!J95</f>
        <v>4366893.93285379</v>
      </c>
      <c r="K107" s="123">
        <f>central_v2_m!K95</f>
        <v>4235887.1148681799</v>
      </c>
      <c r="L107" s="41">
        <f t="shared" si="43"/>
        <v>1197017.2110343874</v>
      </c>
      <c r="M107" s="41">
        <f t="shared" si="44"/>
        <v>131006.81798561011</v>
      </c>
      <c r="N107" s="123">
        <f>SUM(central_v5_m!C95:J95)</f>
        <v>2144398.8116208394</v>
      </c>
      <c r="O107" s="7"/>
      <c r="P107" s="7"/>
      <c r="Q107" s="41">
        <f t="shared" si="45"/>
        <v>138271621.99827194</v>
      </c>
      <c r="R107" s="41"/>
      <c r="S107" s="41"/>
      <c r="T107" s="7"/>
      <c r="U107" s="7"/>
      <c r="V107" s="41">
        <f t="shared" si="38"/>
        <v>23304601.117254023</v>
      </c>
      <c r="W107" s="41">
        <f t="shared" si="34"/>
        <v>720760.85929649579</v>
      </c>
      <c r="X107" s="41">
        <f t="shared" si="35"/>
        <v>17712931.145479828</v>
      </c>
      <c r="Y107" s="41">
        <f t="shared" si="36"/>
        <v>11127295.627543606</v>
      </c>
      <c r="Z107" s="41">
        <f t="shared" si="37"/>
        <v>6585635.5179362232</v>
      </c>
      <c r="AA107" s="41"/>
      <c r="AB107" s="41"/>
      <c r="AC107" s="41"/>
      <c r="AD107" s="41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</row>
    <row r="108" spans="1:64" x14ac:dyDescent="0.2">
      <c r="A108" s="7"/>
      <c r="B108" s="7"/>
      <c r="C108" s="7">
        <f t="shared" si="39"/>
        <v>2038</v>
      </c>
      <c r="D108" s="7">
        <f t="shared" si="40"/>
        <v>3</v>
      </c>
      <c r="E108" s="7">
        <v>255</v>
      </c>
      <c r="F108" s="123">
        <f>central_v2_m!D96+temporary_pension_bonus_central!B96</f>
        <v>30786981.532716099</v>
      </c>
      <c r="G108" s="123">
        <f>central_v2_m!E96+temporary_pension_bonus_central!B96</f>
        <v>29456518.408672102</v>
      </c>
      <c r="H108" s="41">
        <f t="shared" si="41"/>
        <v>26320298.117026329</v>
      </c>
      <c r="I108" s="41">
        <f t="shared" si="42"/>
        <v>25123835.495453022</v>
      </c>
      <c r="J108" s="123">
        <f>central_v2_m!J96</f>
        <v>4466683.4156897701</v>
      </c>
      <c r="K108" s="123">
        <f>central_v2_m!K96</f>
        <v>4332682.9132190803</v>
      </c>
      <c r="L108" s="41">
        <f t="shared" si="43"/>
        <v>1196462.6215733066</v>
      </c>
      <c r="M108" s="41">
        <f t="shared" si="44"/>
        <v>134000.50247068983</v>
      </c>
      <c r="N108" s="123">
        <f>SUM(central_v5_m!C96:J96)</f>
        <v>2078831.7749045079</v>
      </c>
      <c r="O108" s="7"/>
      <c r="P108" s="7"/>
      <c r="Q108" s="41">
        <f t="shared" si="45"/>
        <v>138223930.16610441</v>
      </c>
      <c r="R108" s="41"/>
      <c r="S108" s="41"/>
      <c r="T108" s="7"/>
      <c r="U108" s="7"/>
      <c r="V108" s="41">
        <f t="shared" si="38"/>
        <v>23837143.040403005</v>
      </c>
      <c r="W108" s="41">
        <f t="shared" si="34"/>
        <v>737231.2280536826</v>
      </c>
      <c r="X108" s="41">
        <f t="shared" si="35"/>
        <v>17369652.292681687</v>
      </c>
      <c r="Y108" s="41">
        <f t="shared" si="36"/>
        <v>10787067.962329984</v>
      </c>
      <c r="Z108" s="41">
        <f t="shared" si="37"/>
        <v>6582584.3303517019</v>
      </c>
      <c r="AA108" s="41"/>
      <c r="AB108" s="41"/>
      <c r="AC108" s="41"/>
      <c r="AD108" s="41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</row>
    <row r="109" spans="1:64" x14ac:dyDescent="0.2">
      <c r="A109" s="7"/>
      <c r="B109" s="7"/>
      <c r="C109" s="7">
        <f t="shared" si="39"/>
        <v>2038</v>
      </c>
      <c r="D109" s="7">
        <f t="shared" si="40"/>
        <v>4</v>
      </c>
      <c r="E109" s="7">
        <v>256</v>
      </c>
      <c r="F109" s="123">
        <f>central_v2_m!D97+temporary_pension_bonus_central!B97</f>
        <v>30812760.55373</v>
      </c>
      <c r="G109" s="123">
        <f>central_v2_m!E97+temporary_pension_bonus_central!B97</f>
        <v>29481185.324568499</v>
      </c>
      <c r="H109" s="41">
        <f t="shared" si="41"/>
        <v>26297495.1287953</v>
      </c>
      <c r="I109" s="41">
        <f t="shared" si="42"/>
        <v>25101377.862381838</v>
      </c>
      <c r="J109" s="123">
        <f>central_v2_m!J97</f>
        <v>4515265.4249347001</v>
      </c>
      <c r="K109" s="123">
        <f>central_v2_m!K97</f>
        <v>4379807.4621866597</v>
      </c>
      <c r="L109" s="41">
        <f t="shared" si="43"/>
        <v>1196117.2664134614</v>
      </c>
      <c r="M109" s="41">
        <f t="shared" si="44"/>
        <v>135457.96274804045</v>
      </c>
      <c r="N109" s="123">
        <f>SUM(central_v5_m!C97:J97)</f>
        <v>2061115.1123947327</v>
      </c>
      <c r="O109" s="7"/>
      <c r="P109" s="7"/>
      <c r="Q109" s="41">
        <f t="shared" si="45"/>
        <v>138100374.89501974</v>
      </c>
      <c r="R109" s="41"/>
      <c r="S109" s="41"/>
      <c r="T109" s="7"/>
      <c r="U109" s="7"/>
      <c r="V109" s="41">
        <f t="shared" si="38"/>
        <v>24096408.40483284</v>
      </c>
      <c r="W109" s="41">
        <f t="shared" si="34"/>
        <v>745249.74447936297</v>
      </c>
      <c r="X109" s="41">
        <f t="shared" si="35"/>
        <v>17275820.404503766</v>
      </c>
      <c r="Y109" s="41">
        <f t="shared" si="36"/>
        <v>10695136.116345288</v>
      </c>
      <c r="Z109" s="41">
        <f t="shared" si="37"/>
        <v>6580684.2881584791</v>
      </c>
      <c r="AA109" s="41"/>
      <c r="AB109" s="41"/>
      <c r="AC109" s="41"/>
      <c r="AD109" s="41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</row>
    <row r="110" spans="1:64" x14ac:dyDescent="0.2">
      <c r="A110" s="119"/>
      <c r="B110" s="5"/>
      <c r="C110" s="119">
        <f t="shared" si="39"/>
        <v>2039</v>
      </c>
      <c r="D110" s="119">
        <f t="shared" si="40"/>
        <v>1</v>
      </c>
      <c r="E110" s="119">
        <v>257</v>
      </c>
      <c r="F110" s="121">
        <f>central_v2_m!D98+temporary_pension_bonus_central!B98</f>
        <v>31052630.749210499</v>
      </c>
      <c r="G110" s="121">
        <f>central_v2_m!E98+temporary_pension_bonus_central!B98</f>
        <v>29710927.192802399</v>
      </c>
      <c r="H110" s="8">
        <f t="shared" si="41"/>
        <v>26411409.590027198</v>
      </c>
      <c r="I110" s="8">
        <f t="shared" si="42"/>
        <v>25208942.668394588</v>
      </c>
      <c r="J110" s="121">
        <f>central_v2_m!J98</f>
        <v>4641221.1591833001</v>
      </c>
      <c r="K110" s="121">
        <f>central_v2_m!K98</f>
        <v>4501984.5244078096</v>
      </c>
      <c r="L110" s="8">
        <f t="shared" si="43"/>
        <v>1202466.9216326103</v>
      </c>
      <c r="M110" s="8">
        <f t="shared" si="44"/>
        <v>139236.6347754905</v>
      </c>
      <c r="N110" s="121">
        <f>SUM(central_v5_m!C98:J98)</f>
        <v>2575644.6749042524</v>
      </c>
      <c r="O110" s="5"/>
      <c r="P110" s="5"/>
      <c r="Q110" s="8">
        <f t="shared" si="45"/>
        <v>138692164.72095329</v>
      </c>
      <c r="R110" s="8"/>
      <c r="S110" s="8"/>
      <c r="T110" s="5"/>
      <c r="U110" s="5"/>
      <c r="V110" s="8">
        <f t="shared" si="38"/>
        <v>24768590.553112406</v>
      </c>
      <c r="W110" s="8">
        <f t="shared" ref="W110:W117" si="46">M110*5.5017049523</f>
        <v>766038.88308590243</v>
      </c>
      <c r="X110" s="8">
        <f t="shared" ref="X110:X117" si="47">N110*5.1890047538+L110*5.5017049523</f>
        <v>19980650.679900888</v>
      </c>
      <c r="Y110" s="8">
        <f t="shared" ref="Y110:Y117" si="48">N110*5.1890047538</f>
        <v>13365032.462177821</v>
      </c>
      <c r="Z110" s="8">
        <f t="shared" ref="Z110:Z117" si="49">L110*5.5017049523</f>
        <v>6615618.2177230678</v>
      </c>
      <c r="AA110" s="8"/>
      <c r="AB110" s="8"/>
      <c r="AC110" s="8"/>
      <c r="AD110" s="8"/>
      <c r="AE110" s="119"/>
      <c r="AF110" s="119"/>
      <c r="AG110" s="119"/>
      <c r="AH110" s="119"/>
      <c r="AI110" s="119"/>
      <c r="AJ110" s="119"/>
      <c r="AK110" s="119"/>
      <c r="AL110" s="119"/>
      <c r="AM110" s="119"/>
      <c r="AN110" s="119"/>
      <c r="AO110" s="119"/>
      <c r="AP110" s="119"/>
      <c r="AQ110" s="119"/>
      <c r="AR110" s="119"/>
      <c r="AS110" s="119"/>
      <c r="AT110" s="119"/>
      <c r="AU110" s="119"/>
      <c r="AV110" s="119"/>
      <c r="AW110" s="119"/>
      <c r="AX110" s="119"/>
      <c r="AY110" s="119"/>
      <c r="AZ110" s="119"/>
      <c r="BA110" s="119"/>
      <c r="BB110" s="119"/>
      <c r="BC110" s="119"/>
      <c r="BD110" s="119"/>
      <c r="BE110" s="119"/>
      <c r="BF110" s="119"/>
      <c r="BG110" s="119"/>
      <c r="BH110" s="119"/>
      <c r="BI110" s="119"/>
      <c r="BJ110" s="119"/>
      <c r="BK110" s="119"/>
      <c r="BL110" s="119"/>
    </row>
    <row r="111" spans="1:64" x14ac:dyDescent="0.2">
      <c r="A111" s="7"/>
      <c r="B111" s="7"/>
      <c r="C111" s="7">
        <f t="shared" si="39"/>
        <v>2039</v>
      </c>
      <c r="D111" s="7">
        <f t="shared" si="40"/>
        <v>2</v>
      </c>
      <c r="E111" s="7">
        <v>258</v>
      </c>
      <c r="F111" s="123">
        <f>central_v2_m!D99+temporary_pension_bonus_central!B99</f>
        <v>31351660.870658699</v>
      </c>
      <c r="G111" s="123">
        <f>central_v2_m!E99+temporary_pension_bonus_central!B99</f>
        <v>29996962.614133898</v>
      </c>
      <c r="H111" s="41">
        <f t="shared" si="41"/>
        <v>26647961.147430569</v>
      </c>
      <c r="I111" s="41">
        <f t="shared" si="42"/>
        <v>25434373.88260261</v>
      </c>
      <c r="J111" s="123">
        <f>central_v2_m!J99</f>
        <v>4703699.7232281296</v>
      </c>
      <c r="K111" s="123">
        <f>central_v2_m!K99</f>
        <v>4562588.7315312903</v>
      </c>
      <c r="L111" s="41">
        <f t="shared" si="43"/>
        <v>1213587.2648279592</v>
      </c>
      <c r="M111" s="41">
        <f t="shared" si="44"/>
        <v>141110.99169683922</v>
      </c>
      <c r="N111" s="123">
        <f>SUM(central_v5_m!C99:J99)</f>
        <v>1988378.5583825395</v>
      </c>
      <c r="O111" s="7"/>
      <c r="P111" s="7"/>
      <c r="Q111" s="41">
        <f t="shared" si="45"/>
        <v>139932420.74856454</v>
      </c>
      <c r="R111" s="41"/>
      <c r="S111" s="41"/>
      <c r="T111" s="7"/>
      <c r="U111" s="7"/>
      <c r="V111" s="41">
        <f t="shared" ref="V111:V117" si="50">K111*5.5017049523</f>
        <v>25102017.019573875</v>
      </c>
      <c r="W111" s="41">
        <f t="shared" si="46"/>
        <v>776351.04184246447</v>
      </c>
      <c r="X111" s="41">
        <f t="shared" si="47"/>
        <v>16994504.856753185</v>
      </c>
      <c r="Y111" s="41">
        <f t="shared" si="48"/>
        <v>10317705.791800989</v>
      </c>
      <c r="Z111" s="41">
        <f t="shared" si="49"/>
        <v>6676799.0649521947</v>
      </c>
      <c r="AA111" s="41"/>
      <c r="AB111" s="41"/>
      <c r="AC111" s="41"/>
      <c r="AD111" s="41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</row>
    <row r="112" spans="1:64" x14ac:dyDescent="0.2">
      <c r="A112" s="7"/>
      <c r="B112" s="7"/>
      <c r="C112" s="7">
        <f t="shared" si="39"/>
        <v>2039</v>
      </c>
      <c r="D112" s="7">
        <f t="shared" si="40"/>
        <v>3</v>
      </c>
      <c r="E112" s="7">
        <v>259</v>
      </c>
      <c r="F112" s="123">
        <f>central_v2_m!D100+temporary_pension_bonus_central!B100</f>
        <v>31509357.110319398</v>
      </c>
      <c r="G112" s="123">
        <f>central_v2_m!E100+temporary_pension_bonus_central!B100</f>
        <v>30147190.052247901</v>
      </c>
      <c r="H112" s="41">
        <f t="shared" si="41"/>
        <v>26764636.086507168</v>
      </c>
      <c r="I112" s="41">
        <f t="shared" si="42"/>
        <v>25544810.659150042</v>
      </c>
      <c r="J112" s="123">
        <f>central_v2_m!J100</f>
        <v>4744721.0238122297</v>
      </c>
      <c r="K112" s="123">
        <f>central_v2_m!K100</f>
        <v>4602379.3930978598</v>
      </c>
      <c r="L112" s="41">
        <f t="shared" si="43"/>
        <v>1219825.427357126</v>
      </c>
      <c r="M112" s="41">
        <f t="shared" si="44"/>
        <v>142341.63071436994</v>
      </c>
      <c r="N112" s="123">
        <f>SUM(central_v5_m!C100:J100)</f>
        <v>2014098.9081869014</v>
      </c>
      <c r="Q112" s="41">
        <f t="shared" si="45"/>
        <v>140540011.30901161</v>
      </c>
      <c r="R112" s="41"/>
      <c r="S112" s="41"/>
      <c r="V112" s="41">
        <f t="shared" si="50"/>
        <v>25320933.499369964</v>
      </c>
      <c r="W112" s="41">
        <f t="shared" si="46"/>
        <v>783121.65461970691</v>
      </c>
      <c r="X112" s="41">
        <f t="shared" si="47"/>
        <v>17162288.403837383</v>
      </c>
      <c r="Y112" s="41">
        <f t="shared" si="48"/>
        <v>10451168.809205221</v>
      </c>
      <c r="Z112" s="41">
        <f t="shared" si="49"/>
        <v>6711119.5946321636</v>
      </c>
      <c r="AA112" s="41"/>
      <c r="AB112" s="41"/>
      <c r="AC112" s="41"/>
      <c r="AD112" s="41"/>
    </row>
    <row r="113" spans="1:64" x14ac:dyDescent="0.2">
      <c r="A113" s="7"/>
      <c r="B113" s="7"/>
      <c r="C113" s="7">
        <f t="shared" si="39"/>
        <v>2039</v>
      </c>
      <c r="D113" s="7">
        <f t="shared" si="40"/>
        <v>4</v>
      </c>
      <c r="E113" s="7">
        <v>260</v>
      </c>
      <c r="F113" s="123">
        <f>central_v2_m!D101+temporary_pension_bonus_central!B101</f>
        <v>31644235.996151701</v>
      </c>
      <c r="G113" s="123">
        <f>central_v2_m!E101+temporary_pension_bonus_central!B101</f>
        <v>30276173.5877252</v>
      </c>
      <c r="H113" s="41">
        <f t="shared" si="41"/>
        <v>26809554.933893722</v>
      </c>
      <c r="I113" s="41">
        <f t="shared" si="42"/>
        <v>25586532.957334958</v>
      </c>
      <c r="J113" s="123">
        <f>central_v2_m!J101</f>
        <v>4834681.06225798</v>
      </c>
      <c r="K113" s="123">
        <f>central_v2_m!K101</f>
        <v>4689640.6303902399</v>
      </c>
      <c r="L113" s="41">
        <f t="shared" si="43"/>
        <v>1223021.9765587635</v>
      </c>
      <c r="M113" s="41">
        <f t="shared" si="44"/>
        <v>145040.43186774012</v>
      </c>
      <c r="N113" s="123">
        <f>SUM(central_v5_m!C101:J101)</f>
        <v>2045847.5762748739</v>
      </c>
      <c r="Q113" s="41">
        <f t="shared" si="45"/>
        <v>140769555.08355689</v>
      </c>
      <c r="R113" s="41"/>
      <c r="S113" s="41"/>
      <c r="V113" s="41">
        <f t="shared" si="50"/>
        <v>25801019.080725275</v>
      </c>
      <c r="W113" s="41">
        <f t="shared" si="46"/>
        <v>797969.6622904765</v>
      </c>
      <c r="X113" s="41">
        <f t="shared" si="47"/>
        <v>17344618.864045613</v>
      </c>
      <c r="Y113" s="41">
        <f t="shared" si="48"/>
        <v>10615912.798840528</v>
      </c>
      <c r="Z113" s="41">
        <f t="shared" si="49"/>
        <v>6728706.0652050842</v>
      </c>
      <c r="AA113" s="41"/>
      <c r="AB113" s="41"/>
      <c r="AC113" s="41"/>
      <c r="AD113" s="41"/>
    </row>
    <row r="114" spans="1:64" x14ac:dyDescent="0.2">
      <c r="A114" s="119"/>
      <c r="B114" s="5"/>
      <c r="C114" s="119">
        <f t="shared" ref="C114:C117" si="51">C110+1</f>
        <v>2040</v>
      </c>
      <c r="D114" s="119">
        <f t="shared" ref="D114:D117" si="52">D110</f>
        <v>1</v>
      </c>
      <c r="E114" s="119">
        <v>261</v>
      </c>
      <c r="F114" s="121">
        <f>central_v2_m!D102+temporary_pension_bonus_central!B102</f>
        <v>31832593.735545699</v>
      </c>
      <c r="G114" s="121">
        <f>central_v2_m!E102+temporary_pension_bonus_central!B102</f>
        <v>30455918.1666185</v>
      </c>
      <c r="H114" s="8">
        <f t="shared" si="41"/>
        <v>26896197.310407769</v>
      </c>
      <c r="I114" s="8">
        <f t="shared" si="42"/>
        <v>25667613.634234712</v>
      </c>
      <c r="J114" s="121">
        <f>central_v2_m!J102</f>
        <v>4936396.4251379296</v>
      </c>
      <c r="K114" s="121">
        <f>central_v2_m!K102</f>
        <v>4788304.5323837902</v>
      </c>
      <c r="L114" s="8">
        <f t="shared" si="43"/>
        <v>1228583.6761730574</v>
      </c>
      <c r="M114" s="8">
        <f t="shared" si="44"/>
        <v>148091.89275413938</v>
      </c>
      <c r="N114" s="121">
        <f>SUM(central_v5_m!C102:J102)</f>
        <v>2504098.2373036197</v>
      </c>
      <c r="O114" s="5"/>
      <c r="P114" s="5"/>
      <c r="Q114" s="8">
        <f t="shared" si="45"/>
        <v>141215637.04519212</v>
      </c>
      <c r="R114" s="8"/>
      <c r="S114" s="8"/>
      <c r="T114" s="5"/>
      <c r="U114" s="5"/>
      <c r="V114" s="8">
        <f t="shared" si="50"/>
        <v>26343838.758936435</v>
      </c>
      <c r="W114" s="8">
        <f t="shared" si="46"/>
        <v>814757.89976092905</v>
      </c>
      <c r="X114" s="8">
        <f t="shared" si="47"/>
        <v>19753082.552866932</v>
      </c>
      <c r="Y114" s="8">
        <f t="shared" si="48"/>
        <v>12993777.657350684</v>
      </c>
      <c r="Z114" s="8">
        <f t="shared" si="49"/>
        <v>6759304.8955162494</v>
      </c>
      <c r="AA114" s="8"/>
      <c r="AB114" s="8"/>
      <c r="AC114" s="8"/>
      <c r="AD114" s="8"/>
      <c r="AE114" s="119"/>
      <c r="AF114" s="119"/>
      <c r="AG114" s="119"/>
      <c r="AH114" s="119"/>
      <c r="AI114" s="119"/>
      <c r="AJ114" s="119"/>
      <c r="AK114" s="119"/>
      <c r="AL114" s="119"/>
      <c r="AM114" s="119"/>
      <c r="AN114" s="119"/>
      <c r="AO114" s="119"/>
      <c r="AP114" s="119"/>
      <c r="AQ114" s="119"/>
      <c r="AR114" s="119"/>
      <c r="AS114" s="119"/>
      <c r="AT114" s="119"/>
      <c r="AU114" s="119"/>
      <c r="AV114" s="119"/>
      <c r="AW114" s="119"/>
      <c r="AX114" s="119"/>
      <c r="AY114" s="119"/>
      <c r="AZ114" s="119"/>
      <c r="BA114" s="119"/>
      <c r="BB114" s="119"/>
      <c r="BC114" s="119"/>
      <c r="BD114" s="119"/>
      <c r="BE114" s="119"/>
      <c r="BF114" s="119"/>
      <c r="BG114" s="119"/>
      <c r="BH114" s="119"/>
      <c r="BI114" s="119"/>
      <c r="BJ114" s="119"/>
      <c r="BK114" s="119"/>
      <c r="BL114" s="119"/>
    </row>
    <row r="115" spans="1:64" x14ac:dyDescent="0.2">
      <c r="A115" s="7"/>
      <c r="B115" s="7"/>
      <c r="C115" s="7">
        <f t="shared" si="51"/>
        <v>2040</v>
      </c>
      <c r="D115" s="7">
        <f t="shared" si="52"/>
        <v>2</v>
      </c>
      <c r="E115" s="7">
        <v>262</v>
      </c>
      <c r="F115" s="123">
        <f>central_v2_m!D103+temporary_pension_bonus_central!B103</f>
        <v>32033919.995469201</v>
      </c>
      <c r="G115" s="123">
        <f>central_v2_m!E103+temporary_pension_bonus_central!B103</f>
        <v>30648096.787493698</v>
      </c>
      <c r="H115" s="41">
        <f t="shared" si="41"/>
        <v>27062167.35573744</v>
      </c>
      <c r="I115" s="41">
        <f t="shared" si="42"/>
        <v>25825496.726953886</v>
      </c>
      <c r="J115" s="123">
        <f>central_v2_m!J103</f>
        <v>4971752.6397317601</v>
      </c>
      <c r="K115" s="123">
        <f>central_v2_m!K103</f>
        <v>4822600.06053981</v>
      </c>
      <c r="L115" s="41">
        <f t="shared" si="43"/>
        <v>1236670.6287835538</v>
      </c>
      <c r="M115" s="41">
        <f t="shared" si="44"/>
        <v>149152.57919195015</v>
      </c>
      <c r="N115" s="123">
        <f>SUM(central_v5_m!C103:J103)</f>
        <v>2064737.3957462765</v>
      </c>
      <c r="O115" s="7"/>
      <c r="P115" s="7"/>
      <c r="Q115" s="41">
        <f t="shared" si="45"/>
        <v>142084263.23828962</v>
      </c>
      <c r="R115" s="41"/>
      <c r="S115" s="41"/>
      <c r="T115" s="7"/>
      <c r="U115" s="7"/>
      <c r="V115" s="41">
        <f t="shared" si="50"/>
        <v>26532522.636034153</v>
      </c>
      <c r="W115" s="41">
        <f t="shared" si="46"/>
        <v>820593.48358867003</v>
      </c>
      <c r="X115" s="41">
        <f t="shared" si="47"/>
        <v>17517729.084618494</v>
      </c>
      <c r="Y115" s="41">
        <f t="shared" si="48"/>
        <v>10713932.16187606</v>
      </c>
      <c r="Z115" s="41">
        <f t="shared" si="49"/>
        <v>6803796.9227424329</v>
      </c>
      <c r="AA115" s="41"/>
      <c r="AB115" s="41"/>
      <c r="AC115" s="41"/>
      <c r="AD115" s="41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</row>
    <row r="116" spans="1:64" x14ac:dyDescent="0.2">
      <c r="A116" s="7"/>
      <c r="B116" s="7"/>
      <c r="C116" s="7">
        <f t="shared" si="51"/>
        <v>2040</v>
      </c>
      <c r="D116" s="7">
        <f t="shared" si="52"/>
        <v>3</v>
      </c>
      <c r="E116" s="7">
        <v>263</v>
      </c>
      <c r="F116" s="123">
        <f>central_v2_m!D104+temporary_pension_bonus_central!B104</f>
        <v>32244818.228415001</v>
      </c>
      <c r="G116" s="123">
        <f>central_v2_m!E104+temporary_pension_bonus_central!B104</f>
        <v>30849461.510834899</v>
      </c>
      <c r="H116" s="41">
        <f t="shared" si="41"/>
        <v>27189344.327135541</v>
      </c>
      <c r="I116" s="41">
        <f t="shared" si="42"/>
        <v>25945651.826593827</v>
      </c>
      <c r="J116" s="123">
        <f>central_v2_m!J104</f>
        <v>5055473.9012794597</v>
      </c>
      <c r="K116" s="123">
        <f>central_v2_m!K104</f>
        <v>4903809.6842410704</v>
      </c>
      <c r="L116" s="41">
        <f t="shared" si="43"/>
        <v>1243692.5005417131</v>
      </c>
      <c r="M116" s="41">
        <f t="shared" si="44"/>
        <v>151664.2170383893</v>
      </c>
      <c r="N116" s="123">
        <f>SUM(central_v5_m!C104:J104)</f>
        <v>2008081.4345200963</v>
      </c>
      <c r="O116" s="7"/>
      <c r="P116" s="7"/>
      <c r="Q116" s="41">
        <f t="shared" si="45"/>
        <v>142745321.14502281</v>
      </c>
      <c r="R116" s="41"/>
      <c r="S116" s="41"/>
      <c r="T116" s="7"/>
      <c r="U116" s="7"/>
      <c r="V116" s="41">
        <f t="shared" si="50"/>
        <v>26979314.024925794</v>
      </c>
      <c r="W116" s="41">
        <f t="shared" si="46"/>
        <v>834411.77396680845</v>
      </c>
      <c r="X116" s="41">
        <f t="shared" si="47"/>
        <v>17262373.299111016</v>
      </c>
      <c r="Y116" s="41">
        <f t="shared" si="48"/>
        <v>10419944.109742302</v>
      </c>
      <c r="Z116" s="41">
        <f t="shared" si="49"/>
        <v>6842429.1893687136</v>
      </c>
      <c r="AA116" s="41"/>
      <c r="AB116" s="41"/>
      <c r="AC116" s="41"/>
      <c r="AD116" s="41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</row>
    <row r="117" spans="1:64" x14ac:dyDescent="0.2">
      <c r="A117" s="7"/>
      <c r="B117" s="7"/>
      <c r="C117" s="7">
        <f t="shared" si="51"/>
        <v>2040</v>
      </c>
      <c r="D117" s="7">
        <f t="shared" si="52"/>
        <v>4</v>
      </c>
      <c r="E117" s="7">
        <v>264</v>
      </c>
      <c r="F117" s="123">
        <f>central_v2_m!D105+temporary_pension_bonus_central!B105</f>
        <v>32563951.809852801</v>
      </c>
      <c r="G117" s="123">
        <f>central_v2_m!E105+temporary_pension_bonus_central!B105</f>
        <v>31153834.482786398</v>
      </c>
      <c r="H117" s="41">
        <f t="shared" si="41"/>
        <v>27400754.095407642</v>
      </c>
      <c r="I117" s="41">
        <f t="shared" si="42"/>
        <v>26145532.699774589</v>
      </c>
      <c r="J117" s="123">
        <f>central_v2_m!J105</f>
        <v>5163197.7144451598</v>
      </c>
      <c r="K117" s="123">
        <f>central_v2_m!K105</f>
        <v>5008301.7830118099</v>
      </c>
      <c r="L117" s="41">
        <f t="shared" si="43"/>
        <v>1255221.395633053</v>
      </c>
      <c r="M117" s="41">
        <f t="shared" si="44"/>
        <v>154895.93143334985</v>
      </c>
      <c r="N117" s="123">
        <f>SUM(central_v5_m!C105:J105)</f>
        <v>2036558.1045591081</v>
      </c>
      <c r="O117" s="7"/>
      <c r="P117" s="7"/>
      <c r="Q117" s="41">
        <f t="shared" si="45"/>
        <v>143845006.73487145</v>
      </c>
      <c r="R117" s="41"/>
      <c r="S117" s="41"/>
      <c r="T117" s="7"/>
      <c r="U117" s="7"/>
      <c r="V117" s="41">
        <f t="shared" si="50"/>
        <v>27554198.722208995</v>
      </c>
      <c r="W117" s="41">
        <f t="shared" si="46"/>
        <v>852191.71305798204</v>
      </c>
      <c r="X117" s="41">
        <f t="shared" si="47"/>
        <v>17473567.454534415</v>
      </c>
      <c r="Y117" s="41">
        <f t="shared" si="48"/>
        <v>10567709.68594713</v>
      </c>
      <c r="Z117" s="41">
        <f t="shared" si="49"/>
        <v>6905857.7685872857</v>
      </c>
      <c r="AA117" s="41"/>
      <c r="AB117" s="41"/>
      <c r="AC117" s="41"/>
      <c r="AD117" s="41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  <c r="BJ117" s="7"/>
      <c r="BK117" s="7"/>
      <c r="BL117" s="7"/>
    </row>
    <row r="120" spans="1:64" x14ac:dyDescent="0.2">
      <c r="F120" s="32" t="s">
        <v>147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drawing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16"/>
  <sheetViews>
    <sheetView zoomScale="75" zoomScaleNormal="75" workbookViewId="0">
      <selection activeCell="E9" sqref="E9"/>
    </sheetView>
  </sheetViews>
  <sheetFormatPr baseColWidth="10" defaultColWidth="9" defaultRowHeight="12.75" x14ac:dyDescent="0.2"/>
  <cols>
    <col min="5" max="6" width="16.42578125" style="32" customWidth="1"/>
    <col min="7" max="10" width="16.42578125" customWidth="1"/>
  </cols>
  <sheetData>
    <row r="1" spans="1:64" ht="12.75" customHeight="1" x14ac:dyDescent="0.2">
      <c r="A1" s="127"/>
      <c r="B1" s="127"/>
      <c r="C1" s="127"/>
      <c r="D1" s="127"/>
      <c r="E1" s="128" t="s">
        <v>148</v>
      </c>
      <c r="F1" s="128" t="s">
        <v>149</v>
      </c>
      <c r="G1" s="127"/>
      <c r="H1" s="127"/>
      <c r="I1" s="127"/>
      <c r="J1" s="127"/>
      <c r="K1" s="127"/>
      <c r="L1" s="127"/>
      <c r="M1" s="129"/>
      <c r="N1" s="127"/>
      <c r="O1" s="127"/>
      <c r="P1" s="127"/>
      <c r="Q1" s="127"/>
      <c r="R1" s="127"/>
      <c r="S1" s="127"/>
      <c r="T1" s="127"/>
      <c r="U1" s="127"/>
      <c r="V1" s="127"/>
      <c r="W1" s="127"/>
      <c r="X1" s="127"/>
      <c r="Y1" s="130"/>
      <c r="Z1" s="130"/>
      <c r="AA1" s="130"/>
      <c r="AB1" s="130"/>
      <c r="AC1" s="130"/>
      <c r="AD1" s="130"/>
      <c r="AE1" s="130"/>
      <c r="AF1" s="130"/>
      <c r="AG1" s="130"/>
      <c r="AH1" s="130"/>
      <c r="AI1" s="130"/>
      <c r="AJ1" s="130"/>
      <c r="AK1" s="130"/>
      <c r="AL1" s="130"/>
      <c r="AM1" s="130"/>
      <c r="AN1" s="130"/>
      <c r="AO1" s="130"/>
      <c r="AP1" s="130"/>
      <c r="AQ1" s="130"/>
      <c r="AR1" s="130"/>
      <c r="AS1" s="130"/>
      <c r="AT1" s="130"/>
      <c r="AU1" s="130"/>
      <c r="AV1" s="130"/>
      <c r="AW1" s="130"/>
      <c r="AX1" s="130"/>
      <c r="AY1" s="130"/>
      <c r="AZ1" s="130"/>
      <c r="BA1" s="130"/>
      <c r="BB1" s="130"/>
      <c r="BC1" s="130"/>
      <c r="BD1" s="130"/>
      <c r="BE1" s="130"/>
      <c r="BF1" s="130"/>
      <c r="BG1" s="130"/>
      <c r="BH1" s="130"/>
      <c r="BI1" s="130"/>
      <c r="BJ1" s="130"/>
      <c r="BK1" s="130"/>
      <c r="BL1" s="130"/>
    </row>
    <row r="2" spans="1:64" ht="50.25" customHeight="1" x14ac:dyDescent="0.2">
      <c r="A2" s="108" t="s">
        <v>150</v>
      </c>
      <c r="B2" s="108" t="s">
        <v>120</v>
      </c>
      <c r="C2" s="108" t="s">
        <v>121</v>
      </c>
      <c r="D2" s="108" t="s">
        <v>151</v>
      </c>
      <c r="E2" s="110" t="s">
        <v>152</v>
      </c>
      <c r="F2" s="110" t="s">
        <v>153</v>
      </c>
      <c r="G2" s="108" t="s">
        <v>154</v>
      </c>
      <c r="H2" s="108" t="s">
        <v>155</v>
      </c>
      <c r="I2" s="108" t="s">
        <v>156</v>
      </c>
      <c r="J2" s="108" t="s">
        <v>157</v>
      </c>
      <c r="K2" s="108" t="s">
        <v>158</v>
      </c>
      <c r="L2" s="108" t="s">
        <v>159</v>
      </c>
      <c r="M2" s="111" t="s">
        <v>160</v>
      </c>
      <c r="N2" s="108"/>
      <c r="O2" s="108"/>
      <c r="P2" s="108"/>
      <c r="Q2" s="108"/>
      <c r="R2" s="108"/>
      <c r="S2" s="108"/>
      <c r="T2" s="108"/>
      <c r="U2" s="108"/>
      <c r="V2" s="108"/>
      <c r="W2" s="108"/>
      <c r="X2" s="108"/>
      <c r="Y2" s="112"/>
      <c r="Z2" s="112"/>
      <c r="AA2" s="112"/>
      <c r="AB2" s="112"/>
      <c r="AC2" s="112"/>
      <c r="AD2" s="112"/>
      <c r="AE2" s="112"/>
      <c r="AF2" s="112"/>
      <c r="AG2" s="112"/>
      <c r="AH2" s="112"/>
      <c r="AI2" s="112"/>
      <c r="AJ2" s="112"/>
      <c r="AK2" s="112"/>
      <c r="AL2" s="112"/>
      <c r="AM2" s="112"/>
      <c r="AN2" s="112"/>
      <c r="AO2" s="112"/>
      <c r="AP2" s="112"/>
      <c r="AQ2" s="112"/>
      <c r="AR2" s="112"/>
      <c r="AS2" s="112"/>
      <c r="AT2" s="112"/>
      <c r="AU2" s="112"/>
      <c r="AV2" s="112"/>
      <c r="AW2" s="112"/>
      <c r="AX2" s="112"/>
      <c r="AY2" s="112"/>
      <c r="AZ2" s="112"/>
      <c r="BA2" s="112"/>
      <c r="BB2" s="112"/>
      <c r="BC2" s="112"/>
      <c r="BD2" s="112"/>
      <c r="BE2" s="112"/>
      <c r="BF2" s="112"/>
      <c r="BG2" s="112"/>
      <c r="BH2" s="112"/>
      <c r="BI2" s="112"/>
      <c r="BJ2" s="112"/>
      <c r="BK2" s="112"/>
      <c r="BL2" s="112"/>
    </row>
    <row r="3" spans="1:64" x14ac:dyDescent="0.2">
      <c r="A3" s="113" t="s">
        <v>161</v>
      </c>
      <c r="B3" s="113">
        <v>2014</v>
      </c>
      <c r="C3" s="114">
        <v>1</v>
      </c>
      <c r="D3" s="113">
        <v>45</v>
      </c>
      <c r="E3" s="115">
        <v>16336703</v>
      </c>
      <c r="F3" s="115">
        <v>147746</v>
      </c>
      <c r="G3" s="116">
        <v>16188957</v>
      </c>
      <c r="H3" s="131">
        <v>59323985</v>
      </c>
      <c r="I3" s="132">
        <f t="shared" ref="I3:I8" si="0">H3/G3</f>
        <v>3.6644723313552565</v>
      </c>
      <c r="J3" s="116">
        <f>G3*I10</f>
        <v>61899880.214338109</v>
      </c>
      <c r="K3" s="131">
        <v>354218</v>
      </c>
      <c r="L3" s="132">
        <f t="shared" ref="L3:L8" si="1">K3/F3</f>
        <v>2.3974794579887102</v>
      </c>
      <c r="M3" s="116">
        <f t="shared" ref="M3:M34" si="2">F3*2.511711692</f>
        <v>371095.35564623203</v>
      </c>
      <c r="N3" s="131"/>
      <c r="O3" s="113"/>
      <c r="P3" s="113"/>
      <c r="Q3" s="116"/>
      <c r="R3" s="116"/>
      <c r="S3" s="116"/>
      <c r="T3" s="113"/>
      <c r="U3" s="113"/>
      <c r="V3" s="114"/>
      <c r="W3" s="114"/>
      <c r="X3" s="116"/>
      <c r="Y3" s="113"/>
      <c r="Z3" s="113"/>
      <c r="AA3" s="113"/>
      <c r="AB3" s="113"/>
      <c r="AC3" s="113"/>
      <c r="AD3" s="113"/>
      <c r="AE3" s="113"/>
      <c r="AF3" s="113"/>
      <c r="AG3" s="113"/>
      <c r="AH3" s="113"/>
      <c r="AI3" s="113"/>
      <c r="AJ3" s="113"/>
      <c r="AK3" s="113"/>
      <c r="AL3" s="113"/>
      <c r="AM3" s="113"/>
      <c r="AN3" s="113"/>
      <c r="AO3" s="113"/>
      <c r="AP3" s="113"/>
      <c r="AQ3" s="113"/>
      <c r="AR3" s="113"/>
      <c r="AS3" s="113"/>
      <c r="AT3" s="113"/>
      <c r="AU3" s="113"/>
      <c r="AV3" s="113"/>
      <c r="AW3" s="113"/>
      <c r="AX3" s="113"/>
      <c r="AY3" s="113"/>
      <c r="AZ3" s="113"/>
      <c r="BA3" s="113"/>
      <c r="BB3" s="113"/>
      <c r="BC3" s="113"/>
      <c r="BD3" s="113"/>
      <c r="BE3" s="113"/>
      <c r="BF3" s="113"/>
      <c r="BG3" s="113"/>
      <c r="BH3" s="113"/>
      <c r="BI3" s="113"/>
      <c r="BJ3" s="113"/>
      <c r="BK3" s="113"/>
      <c r="BL3" s="113"/>
    </row>
    <row r="4" spans="1:64" x14ac:dyDescent="0.2">
      <c r="B4" s="113">
        <v>2014</v>
      </c>
      <c r="C4" s="114">
        <v>2</v>
      </c>
      <c r="D4" s="113">
        <v>46</v>
      </c>
      <c r="E4" s="115">
        <v>19039169</v>
      </c>
      <c r="F4" s="115">
        <v>150094</v>
      </c>
      <c r="G4" s="116">
        <v>18889075</v>
      </c>
      <c r="H4" s="131">
        <v>70642775</v>
      </c>
      <c r="I4" s="132">
        <f t="shared" si="0"/>
        <v>3.7398747688809535</v>
      </c>
      <c r="J4" s="116">
        <f t="shared" ref="J4:J35" si="3">G4*3.8235866717</f>
        <v>72224015.410741687</v>
      </c>
      <c r="K4" s="131">
        <v>375893</v>
      </c>
      <c r="L4" s="132">
        <f t="shared" si="1"/>
        <v>2.5043839194105026</v>
      </c>
      <c r="M4" s="116">
        <f t="shared" si="2"/>
        <v>376992.85469904798</v>
      </c>
      <c r="N4" s="131"/>
      <c r="Q4" s="116"/>
      <c r="R4" s="116"/>
      <c r="S4" s="116"/>
      <c r="V4" s="114"/>
      <c r="W4" s="114"/>
      <c r="X4" s="116"/>
    </row>
    <row r="5" spans="1:64" x14ac:dyDescent="0.2">
      <c r="B5" s="113">
        <v>2014</v>
      </c>
      <c r="C5" s="114">
        <v>3</v>
      </c>
      <c r="D5" s="113">
        <v>47</v>
      </c>
      <c r="E5" s="115">
        <v>16811748</v>
      </c>
      <c r="F5" s="115">
        <v>145661</v>
      </c>
      <c r="G5" s="116">
        <v>16666087</v>
      </c>
      <c r="H5" s="131">
        <v>66453030</v>
      </c>
      <c r="I5" s="132">
        <f t="shared" si="0"/>
        <v>3.98732047900626</v>
      </c>
      <c r="J5" s="116">
        <f t="shared" si="3"/>
        <v>63724228.122592643</v>
      </c>
      <c r="K5" s="131">
        <v>387130</v>
      </c>
      <c r="L5" s="132">
        <f t="shared" si="1"/>
        <v>2.6577464111876208</v>
      </c>
      <c r="M5" s="116">
        <f t="shared" si="2"/>
        <v>365858.43676841201</v>
      </c>
      <c r="N5" s="131"/>
      <c r="Q5" s="116"/>
      <c r="R5" s="116"/>
      <c r="S5" s="116"/>
      <c r="V5" s="114"/>
      <c r="W5" s="114"/>
      <c r="X5" s="116"/>
    </row>
    <row r="6" spans="1:64" x14ac:dyDescent="0.2">
      <c r="B6" s="113">
        <v>2014</v>
      </c>
      <c r="C6" s="114">
        <v>4</v>
      </c>
      <c r="D6" s="113">
        <v>48</v>
      </c>
      <c r="E6" s="115">
        <v>20743937</v>
      </c>
      <c r="F6" s="115">
        <v>143630</v>
      </c>
      <c r="G6" s="116">
        <v>20600306</v>
      </c>
      <c r="H6" s="131">
        <v>75212989</v>
      </c>
      <c r="I6" s="132">
        <f t="shared" si="0"/>
        <v>3.6510617366557563</v>
      </c>
      <c r="J6" s="116">
        <f t="shared" si="3"/>
        <v>78767055.454541549</v>
      </c>
      <c r="K6" s="131">
        <v>390504</v>
      </c>
      <c r="L6" s="132">
        <f t="shared" si="1"/>
        <v>2.718819188191882</v>
      </c>
      <c r="M6" s="116">
        <f t="shared" si="2"/>
        <v>360757.15032195998</v>
      </c>
      <c r="N6" s="131"/>
      <c r="Q6" s="116"/>
      <c r="R6" s="116"/>
      <c r="S6" s="116"/>
      <c r="V6" s="114"/>
      <c r="W6" s="114"/>
      <c r="X6" s="116"/>
    </row>
    <row r="7" spans="1:64" x14ac:dyDescent="0.2">
      <c r="B7" s="113">
        <v>2015</v>
      </c>
      <c r="C7" s="114">
        <v>1</v>
      </c>
      <c r="D7" s="113">
        <v>49</v>
      </c>
      <c r="E7" s="115">
        <v>18307160</v>
      </c>
      <c r="F7" s="115">
        <v>167252</v>
      </c>
      <c r="G7" s="116">
        <v>18139908</v>
      </c>
      <c r="H7" s="131">
        <v>71061517</v>
      </c>
      <c r="I7" s="132">
        <f t="shared" si="0"/>
        <v>3.9174133077190909</v>
      </c>
      <c r="J7" s="116">
        <f t="shared" si="3"/>
        <v>69359510.454664201</v>
      </c>
      <c r="K7" s="131">
        <v>409117</v>
      </c>
      <c r="L7" s="132">
        <f t="shared" si="1"/>
        <v>2.4461112572644872</v>
      </c>
      <c r="M7" s="116">
        <f t="shared" si="2"/>
        <v>420088.80391038401</v>
      </c>
      <c r="N7" s="131"/>
      <c r="Q7" s="116"/>
      <c r="R7" s="116"/>
      <c r="S7" s="116"/>
      <c r="V7" s="114"/>
      <c r="W7" s="114"/>
      <c r="X7" s="116"/>
    </row>
    <row r="8" spans="1:64" x14ac:dyDescent="0.2">
      <c r="B8" s="113">
        <v>2015</v>
      </c>
      <c r="C8" s="114">
        <v>2</v>
      </c>
      <c r="D8" s="113">
        <v>50</v>
      </c>
      <c r="E8" s="115">
        <v>21740969</v>
      </c>
      <c r="F8" s="115">
        <v>188439</v>
      </c>
      <c r="G8" s="116">
        <v>21552530</v>
      </c>
      <c r="H8" s="131">
        <v>85808756</v>
      </c>
      <c r="I8" s="132">
        <f t="shared" si="0"/>
        <v>3.9813774067360073</v>
      </c>
      <c r="J8" s="116">
        <f t="shared" si="3"/>
        <v>82407966.449414402</v>
      </c>
      <c r="K8" s="131">
        <v>442027</v>
      </c>
      <c r="L8" s="132">
        <f t="shared" si="1"/>
        <v>2.3457299179044679</v>
      </c>
      <c r="M8" s="116">
        <f t="shared" si="2"/>
        <v>473304.43952878797</v>
      </c>
      <c r="N8" s="131"/>
      <c r="Q8" s="116"/>
      <c r="R8" s="116"/>
      <c r="S8" s="116"/>
      <c r="V8" s="114"/>
      <c r="W8" s="114"/>
      <c r="X8" s="116"/>
    </row>
    <row r="9" spans="1:64" x14ac:dyDescent="0.2">
      <c r="A9" s="7"/>
      <c r="B9" s="133">
        <v>2015</v>
      </c>
      <c r="C9" s="7">
        <v>1</v>
      </c>
      <c r="D9" s="133">
        <v>161</v>
      </c>
      <c r="E9" s="123">
        <f>central_SIPA_income!B2</f>
        <v>18004034.227181599</v>
      </c>
      <c r="F9" s="123">
        <f>central_SIPA_income!I2</f>
        <v>135449.214417351</v>
      </c>
      <c r="G9" s="41">
        <f t="shared" ref="G9:G40" si="4">E9-F9*0.7</f>
        <v>17909219.777089454</v>
      </c>
      <c r="H9" s="9"/>
      <c r="I9" s="134"/>
      <c r="J9" s="41">
        <f t="shared" si="3"/>
        <v>68477454.040225282</v>
      </c>
      <c r="K9" s="9"/>
      <c r="L9" s="134"/>
      <c r="M9" s="41">
        <f t="shared" si="2"/>
        <v>340209.37552427547</v>
      </c>
      <c r="N9" s="7"/>
      <c r="O9" s="7"/>
      <c r="P9" s="7"/>
      <c r="Q9" s="41"/>
      <c r="R9" s="41"/>
      <c r="S9" s="41"/>
      <c r="T9" s="7"/>
      <c r="U9" s="7"/>
      <c r="V9" s="7"/>
      <c r="W9" s="7"/>
      <c r="X9" s="41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</row>
    <row r="10" spans="1:64" x14ac:dyDescent="0.2">
      <c r="A10" s="7"/>
      <c r="B10" s="133">
        <v>2015</v>
      </c>
      <c r="C10" s="7">
        <v>2</v>
      </c>
      <c r="D10" s="133">
        <v>162</v>
      </c>
      <c r="E10" s="123">
        <f>central_SIPA_income!B3</f>
        <v>22160667.129278999</v>
      </c>
      <c r="F10" s="123">
        <f>central_SIPA_income!I3</f>
        <v>151084.142402353</v>
      </c>
      <c r="G10" s="41">
        <f t="shared" si="4"/>
        <v>22054908.229597352</v>
      </c>
      <c r="H10" s="9" t="s">
        <v>162</v>
      </c>
      <c r="I10" s="134">
        <f>AVERAGE(I3:I8)</f>
        <v>3.823586671725554</v>
      </c>
      <c r="J10" s="41">
        <f t="shared" si="3"/>
        <v>84328853.152255088</v>
      </c>
      <c r="K10" s="9" t="s">
        <v>162</v>
      </c>
      <c r="L10" s="134">
        <f>AVERAGE(L3:L8)</f>
        <v>2.5117116919912781</v>
      </c>
      <c r="M10" s="41">
        <f t="shared" si="2"/>
        <v>379479.80694778298</v>
      </c>
      <c r="N10" s="7"/>
      <c r="O10" s="7"/>
      <c r="P10" s="7"/>
      <c r="Q10" s="41"/>
      <c r="R10" s="41"/>
      <c r="S10" s="41"/>
      <c r="T10" s="7"/>
      <c r="U10" s="7"/>
      <c r="V10" s="7"/>
      <c r="W10" s="7"/>
      <c r="X10" s="41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</row>
    <row r="11" spans="1:64" x14ac:dyDescent="0.2">
      <c r="A11" s="7"/>
      <c r="B11" s="133">
        <v>2015</v>
      </c>
      <c r="C11" s="7">
        <v>3</v>
      </c>
      <c r="D11" s="133">
        <v>163</v>
      </c>
      <c r="E11" s="123">
        <f>central_SIPA_income!B4</f>
        <v>20241474.660854701</v>
      </c>
      <c r="F11" s="123">
        <f>central_SIPA_income!I4</f>
        <v>149343.027816335</v>
      </c>
      <c r="G11" s="41">
        <f t="shared" si="4"/>
        <v>20136934.541383266</v>
      </c>
      <c r="H11" s="9">
        <v>76520057</v>
      </c>
      <c r="I11" s="41"/>
      <c r="J11" s="41">
        <f t="shared" si="3"/>
        <v>76995314.521328419</v>
      </c>
      <c r="K11" s="9">
        <v>445064</v>
      </c>
      <c r="L11" s="41"/>
      <c r="M11" s="41">
        <f t="shared" si="2"/>
        <v>375106.62908496987</v>
      </c>
      <c r="Q11" s="41"/>
      <c r="R11" s="41"/>
      <c r="S11" s="41"/>
      <c r="X11" s="41"/>
    </row>
    <row r="12" spans="1:64" x14ac:dyDescent="0.2">
      <c r="A12" s="7"/>
      <c r="B12" s="133">
        <v>2015</v>
      </c>
      <c r="C12" s="7">
        <v>4</v>
      </c>
      <c r="D12" s="133">
        <v>164</v>
      </c>
      <c r="E12" s="123">
        <f>central_SIPA_income!B5</f>
        <v>23722644.808656499</v>
      </c>
      <c r="F12" s="123">
        <f>central_SIPA_income!I5</f>
        <v>146563.952510206</v>
      </c>
      <c r="G12" s="41">
        <f t="shared" si="4"/>
        <v>23620050.041899353</v>
      </c>
      <c r="H12" s="9">
        <v>81658874</v>
      </c>
      <c r="I12" s="41"/>
      <c r="J12" s="41">
        <f t="shared" si="3"/>
        <v>90313308.525093392</v>
      </c>
      <c r="K12" s="9">
        <v>414371</v>
      </c>
      <c r="L12" s="41"/>
      <c r="M12" s="41">
        <f t="shared" si="2"/>
        <v>368126.39314561716</v>
      </c>
      <c r="Q12" s="41"/>
      <c r="R12" s="41"/>
      <c r="S12" s="41"/>
      <c r="X12" s="41"/>
    </row>
    <row r="13" spans="1:64" x14ac:dyDescent="0.2">
      <c r="A13" s="119" t="s">
        <v>163</v>
      </c>
      <c r="B13" s="119">
        <v>2016</v>
      </c>
      <c r="C13" s="5">
        <v>1</v>
      </c>
      <c r="D13" s="119">
        <v>165</v>
      </c>
      <c r="E13" s="121">
        <f>central_SIPA_income!B6</f>
        <v>19331318.926965501</v>
      </c>
      <c r="F13" s="121">
        <f>central_SIPA_income!I6</f>
        <v>140377.52522743901</v>
      </c>
      <c r="G13" s="8">
        <f t="shared" si="4"/>
        <v>19233054.659306295</v>
      </c>
      <c r="H13" s="8">
        <v>71384639</v>
      </c>
      <c r="I13" s="8"/>
      <c r="J13" s="8">
        <f t="shared" si="3"/>
        <v>73539251.451401144</v>
      </c>
      <c r="K13" s="6">
        <v>399060</v>
      </c>
      <c r="L13" s="8"/>
      <c r="M13" s="8">
        <f t="shared" si="2"/>
        <v>352587.87140778353</v>
      </c>
      <c r="N13" s="8"/>
      <c r="O13" s="5"/>
      <c r="P13" s="5"/>
      <c r="Q13" s="8"/>
      <c r="R13" s="8"/>
      <c r="S13" s="8"/>
      <c r="T13" s="5"/>
      <c r="U13" s="5"/>
      <c r="V13" s="8"/>
      <c r="W13" s="8"/>
      <c r="X13" s="8"/>
      <c r="Y13" s="119"/>
      <c r="Z13" s="119"/>
      <c r="AA13" s="119"/>
      <c r="AB13" s="119"/>
      <c r="AC13" s="119"/>
      <c r="AD13" s="119"/>
      <c r="AE13" s="119"/>
      <c r="AF13" s="119"/>
      <c r="AG13" s="119"/>
      <c r="AH13" s="119"/>
      <c r="AI13" s="119"/>
      <c r="AJ13" s="119"/>
      <c r="AK13" s="119"/>
      <c r="AL13" s="119"/>
      <c r="AM13" s="119"/>
      <c r="AN13" s="119"/>
      <c r="AO13" s="119"/>
      <c r="AP13" s="119"/>
      <c r="AQ13" s="119"/>
      <c r="AR13" s="119"/>
      <c r="AS13" s="119"/>
      <c r="AT13" s="119"/>
      <c r="AU13" s="119"/>
      <c r="AV13" s="119"/>
      <c r="AW13" s="119"/>
      <c r="AX13" s="119"/>
      <c r="AY13" s="119"/>
      <c r="AZ13" s="119"/>
      <c r="BA13" s="119"/>
      <c r="BB13" s="119"/>
      <c r="BC13" s="119"/>
      <c r="BD13" s="119"/>
      <c r="BE13" s="119"/>
      <c r="BF13" s="119"/>
      <c r="BG13" s="119"/>
      <c r="BH13" s="119"/>
      <c r="BI13" s="119"/>
      <c r="BJ13" s="119"/>
      <c r="BK13" s="119"/>
      <c r="BL13" s="119"/>
    </row>
    <row r="14" spans="1:64" x14ac:dyDescent="0.2">
      <c r="A14" s="7"/>
      <c r="B14" s="7">
        <v>2016</v>
      </c>
      <c r="C14" s="7">
        <v>2</v>
      </c>
      <c r="D14" s="7">
        <v>166</v>
      </c>
      <c r="E14" s="123">
        <f>central_SIPA_income!B7</f>
        <v>22042352.8766765</v>
      </c>
      <c r="F14" s="123">
        <f>central_SIPA_income!I7</f>
        <v>141764.81012723199</v>
      </c>
      <c r="G14" s="41">
        <f t="shared" si="4"/>
        <v>21943117.509587437</v>
      </c>
      <c r="H14" s="41">
        <v>78650764</v>
      </c>
      <c r="I14" s="41"/>
      <c r="J14" s="41">
        <f t="shared" si="3"/>
        <v>83901411.645205423</v>
      </c>
      <c r="K14" s="9">
        <v>377742</v>
      </c>
      <c r="L14" s="41"/>
      <c r="M14" s="41">
        <f t="shared" si="2"/>
        <v>356072.33111072861</v>
      </c>
      <c r="N14" s="41"/>
      <c r="O14" s="7"/>
      <c r="P14" s="7"/>
      <c r="Q14" s="41"/>
      <c r="R14" s="41"/>
      <c r="S14" s="41"/>
      <c r="T14" s="7"/>
      <c r="U14" s="7"/>
      <c r="V14" s="41"/>
      <c r="W14" s="41"/>
      <c r="X14" s="41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</row>
    <row r="15" spans="1:64" x14ac:dyDescent="0.2">
      <c r="A15" s="7"/>
      <c r="B15" s="7">
        <v>2016</v>
      </c>
      <c r="C15" s="7">
        <v>3</v>
      </c>
      <c r="D15" s="7">
        <v>167</v>
      </c>
      <c r="E15" s="123">
        <f>central_SIPA_income!B8</f>
        <v>19234129.639467299</v>
      </c>
      <c r="F15" s="123">
        <f>central_SIPA_income!I8</f>
        <v>144189.0349691</v>
      </c>
      <c r="G15" s="41">
        <f t="shared" si="4"/>
        <v>19133197.31498893</v>
      </c>
      <c r="H15" s="41">
        <v>72210474</v>
      </c>
      <c r="I15" s="41"/>
      <c r="J15" s="41">
        <f t="shared" si="3"/>
        <v>73157438.240597904</v>
      </c>
      <c r="K15" s="9">
        <v>375488</v>
      </c>
      <c r="L15" s="41"/>
      <c r="M15" s="41">
        <f t="shared" si="2"/>
        <v>362161.28499008535</v>
      </c>
      <c r="N15" s="41"/>
      <c r="O15" s="7"/>
      <c r="P15" s="7"/>
      <c r="Q15" s="41"/>
      <c r="R15" s="41"/>
      <c r="S15" s="41"/>
      <c r="T15" s="7"/>
      <c r="U15" s="7"/>
      <c r="V15" s="41"/>
      <c r="W15" s="41"/>
      <c r="X15" s="41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</row>
    <row r="16" spans="1:64" x14ac:dyDescent="0.2">
      <c r="A16" s="7"/>
      <c r="B16" s="7">
        <v>2016</v>
      </c>
      <c r="C16" s="7">
        <v>4</v>
      </c>
      <c r="D16" s="7">
        <v>168</v>
      </c>
      <c r="E16" s="123">
        <f>central_SIPA_income!B9</f>
        <v>22573512.100891899</v>
      </c>
      <c r="F16" s="123">
        <f>central_SIPA_income!I9</f>
        <v>151268.17202622999</v>
      </c>
      <c r="G16" s="41">
        <f t="shared" si="4"/>
        <v>22467624.380473539</v>
      </c>
      <c r="H16" s="41">
        <v>79983678</v>
      </c>
      <c r="I16" s="41"/>
      <c r="J16" s="41">
        <f t="shared" si="3"/>
        <v>85906909.125940606</v>
      </c>
      <c r="K16" s="9">
        <v>355397</v>
      </c>
      <c r="L16" s="41"/>
      <c r="M16" s="41">
        <f t="shared" si="2"/>
        <v>379942.03630574921</v>
      </c>
      <c r="N16" s="41"/>
      <c r="O16" s="7"/>
      <c r="P16" s="7"/>
      <c r="Q16" s="41"/>
      <c r="R16" s="41"/>
      <c r="S16" s="41"/>
      <c r="T16" s="7"/>
      <c r="U16" s="7"/>
      <c r="V16" s="41"/>
      <c r="W16" s="41"/>
      <c r="X16" s="41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</row>
    <row r="17" spans="1:64" x14ac:dyDescent="0.2">
      <c r="A17" s="119"/>
      <c r="B17" s="119">
        <v>2017</v>
      </c>
      <c r="C17" s="5">
        <v>1</v>
      </c>
      <c r="D17" s="119">
        <v>169</v>
      </c>
      <c r="E17" s="121">
        <f>central_SIPA_income!B10</f>
        <v>19517575.3041269</v>
      </c>
      <c r="F17" s="121">
        <f>central_SIPA_income!I10</f>
        <v>123378.28715431099</v>
      </c>
      <c r="G17" s="8">
        <f t="shared" si="4"/>
        <v>19431210.503118884</v>
      </c>
      <c r="H17" s="8">
        <v>74434596</v>
      </c>
      <c r="I17" s="8"/>
      <c r="J17" s="8">
        <f t="shared" si="3"/>
        <v>74296917.494722426</v>
      </c>
      <c r="K17" s="6">
        <v>462191</v>
      </c>
      <c r="L17" s="8"/>
      <c r="M17" s="8">
        <f t="shared" si="2"/>
        <v>309890.68638441636</v>
      </c>
      <c r="N17" s="8"/>
      <c r="O17" s="5"/>
      <c r="P17" s="5"/>
      <c r="Q17" s="8"/>
      <c r="R17" s="8"/>
      <c r="S17" s="8"/>
      <c r="T17" s="5"/>
      <c r="U17" s="5"/>
      <c r="V17" s="8"/>
      <c r="W17" s="8"/>
      <c r="X17" s="8"/>
      <c r="Y17" s="119"/>
      <c r="Z17" s="119"/>
      <c r="AA17" s="119"/>
      <c r="AB17" s="119"/>
      <c r="AC17" s="119"/>
      <c r="AD17" s="119"/>
      <c r="AE17" s="119"/>
      <c r="AF17" s="119"/>
      <c r="AG17" s="119"/>
      <c r="AH17" s="119"/>
      <c r="AI17" s="119"/>
      <c r="AJ17" s="119"/>
      <c r="AK17" s="119"/>
      <c r="AL17" s="119"/>
      <c r="AM17" s="119"/>
      <c r="AN17" s="119"/>
      <c r="AO17" s="119"/>
      <c r="AP17" s="119"/>
      <c r="AQ17" s="119"/>
      <c r="AR17" s="119"/>
      <c r="AS17" s="119"/>
      <c r="AT17" s="119"/>
      <c r="AU17" s="119"/>
      <c r="AV17" s="119"/>
      <c r="AW17" s="119"/>
      <c r="AX17" s="119"/>
      <c r="AY17" s="119"/>
      <c r="AZ17" s="119"/>
      <c r="BA17" s="119"/>
      <c r="BB17" s="119"/>
      <c r="BC17" s="119"/>
      <c r="BD17" s="119"/>
      <c r="BE17" s="119"/>
      <c r="BF17" s="119"/>
      <c r="BG17" s="119"/>
      <c r="BH17" s="119"/>
      <c r="BI17" s="119"/>
      <c r="BJ17" s="119"/>
      <c r="BK17" s="119"/>
      <c r="BL17" s="119"/>
    </row>
    <row r="18" spans="1:64" x14ac:dyDescent="0.2">
      <c r="A18" s="7"/>
      <c r="B18" s="7">
        <v>2017</v>
      </c>
      <c r="C18" s="7">
        <v>2</v>
      </c>
      <c r="D18" s="7">
        <v>170</v>
      </c>
      <c r="E18" s="123">
        <f>central_SIPA_income!B11</f>
        <v>23345722.454706602</v>
      </c>
      <c r="F18" s="123">
        <f>central_SIPA_income!I11</f>
        <v>131002.673091904</v>
      </c>
      <c r="G18" s="41">
        <f t="shared" si="4"/>
        <v>23254020.583542269</v>
      </c>
      <c r="H18" s="41">
        <v>80479757</v>
      </c>
      <c r="I18" s="41"/>
      <c r="J18" s="41">
        <f t="shared" si="3"/>
        <v>88913763.166669682</v>
      </c>
      <c r="K18" s="9">
        <v>458270</v>
      </c>
      <c r="L18" s="41"/>
      <c r="M18" s="41">
        <f t="shared" si="2"/>
        <v>329040.94568818907</v>
      </c>
      <c r="N18" s="41"/>
      <c r="O18" s="7"/>
      <c r="P18" s="7"/>
      <c r="Q18" s="41"/>
      <c r="R18" s="41"/>
      <c r="S18" s="41"/>
      <c r="T18" s="7"/>
      <c r="U18" s="7"/>
      <c r="V18" s="41"/>
      <c r="W18" s="41"/>
      <c r="X18" s="41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</row>
    <row r="19" spans="1:64" x14ac:dyDescent="0.2">
      <c r="A19" s="7"/>
      <c r="B19" s="7">
        <v>2017</v>
      </c>
      <c r="C19" s="7">
        <v>3</v>
      </c>
      <c r="D19" s="7">
        <v>171</v>
      </c>
      <c r="E19" s="123">
        <f>central_SIPA_income!B12</f>
        <v>20685758.757683098</v>
      </c>
      <c r="F19" s="123">
        <f>central_SIPA_income!I12</f>
        <v>137459.02665501201</v>
      </c>
      <c r="G19" s="41">
        <f t="shared" si="4"/>
        <v>20589537.43902459</v>
      </c>
      <c r="H19" s="41">
        <v>73976782</v>
      </c>
      <c r="I19" s="41"/>
      <c r="J19" s="41">
        <f t="shared" si="3"/>
        <v>78725880.928322583</v>
      </c>
      <c r="K19" s="9">
        <v>489074</v>
      </c>
      <c r="L19" s="41"/>
      <c r="M19" s="41">
        <f t="shared" si="2"/>
        <v>345257.44442033331</v>
      </c>
      <c r="N19" s="41"/>
      <c r="O19" s="7"/>
      <c r="P19" s="7"/>
      <c r="Q19" s="41"/>
      <c r="R19" s="41"/>
      <c r="S19" s="41"/>
      <c r="T19" s="7"/>
      <c r="U19" s="7"/>
      <c r="V19" s="41"/>
      <c r="W19" s="41"/>
      <c r="X19" s="41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</row>
    <row r="20" spans="1:64" x14ac:dyDescent="0.2">
      <c r="A20" s="7"/>
      <c r="B20" s="7">
        <v>2017</v>
      </c>
      <c r="C20" s="7">
        <v>4</v>
      </c>
      <c r="D20" s="7">
        <v>172</v>
      </c>
      <c r="E20" s="123">
        <f>central_SIPA_income!B13</f>
        <v>24447912.8962081</v>
      </c>
      <c r="F20" s="123">
        <f>central_SIPA_income!I13</f>
        <v>143698.09455918201</v>
      </c>
      <c r="G20" s="41">
        <f t="shared" si="4"/>
        <v>24347324.230016671</v>
      </c>
      <c r="H20" s="41">
        <v>82408987.563397601</v>
      </c>
      <c r="I20" s="41"/>
      <c r="J20" s="41">
        <f t="shared" si="3"/>
        <v>93094104.417450219</v>
      </c>
      <c r="K20" s="9"/>
      <c r="L20" s="41"/>
      <c r="M20" s="41">
        <f t="shared" si="2"/>
        <v>360928.18422241905</v>
      </c>
      <c r="N20" s="41"/>
      <c r="O20" s="7"/>
      <c r="P20" s="7"/>
      <c r="Q20" s="41"/>
      <c r="R20" s="41"/>
      <c r="S20" s="41"/>
      <c r="T20" s="7"/>
      <c r="U20" s="7"/>
      <c r="V20" s="41"/>
      <c r="W20" s="41"/>
      <c r="X20" s="41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</row>
    <row r="21" spans="1:64" x14ac:dyDescent="0.2">
      <c r="A21" s="119"/>
      <c r="B21" s="119">
        <v>2018</v>
      </c>
      <c r="C21" s="5">
        <v>1</v>
      </c>
      <c r="D21" s="119">
        <v>173</v>
      </c>
      <c r="E21" s="121">
        <f>central_SIPA_income!B14</f>
        <v>19576875.4819577</v>
      </c>
      <c r="F21" s="121">
        <f>central_SIPA_income!I14</f>
        <v>129450.461885458</v>
      </c>
      <c r="G21" s="8">
        <f t="shared" si="4"/>
        <v>19486260.158637881</v>
      </c>
      <c r="H21" s="8"/>
      <c r="I21" s="8"/>
      <c r="J21" s="8">
        <f t="shared" si="3"/>
        <v>74507404.623846531</v>
      </c>
      <c r="K21" s="6"/>
      <c r="L21" s="8"/>
      <c r="M21" s="8">
        <f t="shared" si="2"/>
        <v>325142.23865250521</v>
      </c>
      <c r="N21" s="8"/>
      <c r="O21" s="5"/>
      <c r="P21" s="5"/>
      <c r="Q21" s="8"/>
      <c r="R21" s="8"/>
      <c r="S21" s="8"/>
      <c r="T21" s="5"/>
      <c r="U21" s="5"/>
      <c r="V21" s="8"/>
      <c r="W21" s="8"/>
      <c r="X21" s="8"/>
      <c r="Y21" s="119"/>
      <c r="Z21" s="119"/>
      <c r="AA21" s="119"/>
      <c r="AB21" s="119"/>
      <c r="AC21" s="119"/>
      <c r="AD21" s="119"/>
      <c r="AE21" s="119"/>
      <c r="AF21" s="119"/>
      <c r="AG21" s="119"/>
      <c r="AH21" s="119"/>
      <c r="AI21" s="119"/>
      <c r="AJ21" s="119"/>
      <c r="AK21" s="119"/>
      <c r="AL21" s="119"/>
      <c r="AM21" s="119"/>
      <c r="AN21" s="119"/>
      <c r="AO21" s="119"/>
      <c r="AP21" s="119"/>
      <c r="AQ21" s="119"/>
      <c r="AR21" s="119"/>
      <c r="AS21" s="119"/>
      <c r="AT21" s="119"/>
      <c r="AU21" s="119"/>
      <c r="AV21" s="119"/>
      <c r="AW21" s="119"/>
      <c r="AX21" s="119"/>
      <c r="AY21" s="119"/>
      <c r="AZ21" s="119"/>
      <c r="BA21" s="119"/>
      <c r="BB21" s="119"/>
      <c r="BC21" s="119"/>
      <c r="BD21" s="119"/>
      <c r="BE21" s="119"/>
      <c r="BF21" s="119"/>
      <c r="BG21" s="119"/>
      <c r="BH21" s="119"/>
      <c r="BI21" s="119"/>
      <c r="BJ21" s="119"/>
      <c r="BK21" s="119"/>
      <c r="BL21" s="119"/>
    </row>
    <row r="22" spans="1:64" x14ac:dyDescent="0.2">
      <c r="A22" s="7"/>
      <c r="B22" s="7">
        <v>2018</v>
      </c>
      <c r="C22" s="7">
        <v>2</v>
      </c>
      <c r="D22" s="7">
        <v>174</v>
      </c>
      <c r="E22" s="123">
        <f>central_SIPA_income!B15</f>
        <v>22220331.7878667</v>
      </c>
      <c r="F22" s="123">
        <f>central_SIPA_income!I15</f>
        <v>124241.716375217</v>
      </c>
      <c r="G22" s="41">
        <f t="shared" si="4"/>
        <v>22133362.586404048</v>
      </c>
      <c r="H22" s="41"/>
      <c r="I22" s="41"/>
      <c r="J22" s="41">
        <f t="shared" si="3"/>
        <v>84628830.185277969</v>
      </c>
      <c r="K22" s="9"/>
      <c r="L22" s="41"/>
      <c r="M22" s="41">
        <f t="shared" si="2"/>
        <v>312059.3716537804</v>
      </c>
      <c r="N22" s="41"/>
      <c r="O22" s="7"/>
      <c r="P22" s="7"/>
      <c r="Q22" s="41"/>
      <c r="R22" s="41"/>
      <c r="S22" s="41"/>
      <c r="T22" s="7"/>
      <c r="U22" s="7"/>
      <c r="V22" s="41"/>
      <c r="W22" s="41"/>
      <c r="X22" s="41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</row>
    <row r="23" spans="1:64" x14ac:dyDescent="0.2">
      <c r="A23" s="7"/>
      <c r="B23" s="7">
        <v>2018</v>
      </c>
      <c r="C23" s="7">
        <v>3</v>
      </c>
      <c r="D23" s="7">
        <v>175</v>
      </c>
      <c r="E23" s="123">
        <f>central_SIPA_income!B16</f>
        <v>18301844.988492802</v>
      </c>
      <c r="F23" s="123">
        <f>central_SIPA_income!I16</f>
        <v>112657.52315571001</v>
      </c>
      <c r="G23" s="41">
        <f t="shared" si="4"/>
        <v>18222984.722283803</v>
      </c>
      <c r="H23" s="41"/>
      <c r="I23" s="41"/>
      <c r="J23" s="41">
        <f t="shared" si="3"/>
        <v>69677161.502717078</v>
      </c>
      <c r="K23" s="9"/>
      <c r="L23" s="41"/>
      <c r="M23" s="41">
        <f t="shared" si="2"/>
        <v>282963.21810195758</v>
      </c>
      <c r="N23" s="41"/>
      <c r="O23" s="7"/>
      <c r="P23" s="7"/>
      <c r="Q23" s="41"/>
      <c r="R23" s="41"/>
      <c r="S23" s="41"/>
      <c r="T23" s="7"/>
      <c r="U23" s="7"/>
      <c r="V23" s="41"/>
      <c r="W23" s="41"/>
      <c r="X23" s="41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</row>
    <row r="24" spans="1:64" x14ac:dyDescent="0.2">
      <c r="A24" s="7"/>
      <c r="B24" s="7">
        <v>2018</v>
      </c>
      <c r="C24" s="7">
        <v>4</v>
      </c>
      <c r="D24" s="7">
        <v>176</v>
      </c>
      <c r="E24" s="123">
        <f>central_SIPA_income!B17</f>
        <v>19945772.1285218</v>
      </c>
      <c r="F24" s="123">
        <f>central_SIPA_income!I17</f>
        <v>111977.056282442</v>
      </c>
      <c r="G24" s="41">
        <f t="shared" si="4"/>
        <v>19867388.189124092</v>
      </c>
      <c r="H24" s="41"/>
      <c r="I24" s="41"/>
      <c r="J24" s="41">
        <f t="shared" si="3"/>
        <v>75964680.681424886</v>
      </c>
      <c r="K24" s="9"/>
      <c r="L24" s="41"/>
      <c r="M24" s="41">
        <f t="shared" si="2"/>
        <v>281254.08150035166</v>
      </c>
      <c r="N24" s="41"/>
      <c r="O24" s="7"/>
      <c r="P24" s="7"/>
      <c r="Q24" s="41"/>
      <c r="R24" s="41"/>
      <c r="S24" s="41"/>
      <c r="T24" s="7"/>
      <c r="U24" s="7"/>
      <c r="V24" s="41"/>
      <c r="W24" s="41"/>
      <c r="X24" s="41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</row>
    <row r="25" spans="1:64" x14ac:dyDescent="0.2">
      <c r="A25" s="119"/>
      <c r="B25" s="119">
        <v>2019</v>
      </c>
      <c r="C25" s="5">
        <v>1</v>
      </c>
      <c r="D25" s="119">
        <v>177</v>
      </c>
      <c r="E25" s="121">
        <f>central_SIPA_income!B18</f>
        <v>15748980.9767565</v>
      </c>
      <c r="F25" s="121">
        <f>central_SIPA_income!I18</f>
        <v>112983.375310289</v>
      </c>
      <c r="G25" s="8">
        <f t="shared" si="4"/>
        <v>15669892.614039298</v>
      </c>
      <c r="H25" s="8"/>
      <c r="I25" s="8"/>
      <c r="J25" s="8">
        <f t="shared" si="3"/>
        <v>59915192.546010934</v>
      </c>
      <c r="K25" s="6"/>
      <c r="L25" s="8"/>
      <c r="M25" s="8">
        <f t="shared" si="2"/>
        <v>283781.66476847703</v>
      </c>
      <c r="N25" s="8"/>
      <c r="O25" s="5"/>
      <c r="P25" s="5"/>
      <c r="Q25" s="8"/>
      <c r="R25" s="8"/>
      <c r="S25" s="8"/>
      <c r="T25" s="5"/>
      <c r="U25" s="5"/>
      <c r="V25" s="8"/>
      <c r="W25" s="8"/>
      <c r="X25" s="8"/>
      <c r="Y25" s="119"/>
      <c r="Z25" s="119"/>
      <c r="AA25" s="119"/>
      <c r="AB25" s="119"/>
      <c r="AC25" s="119"/>
      <c r="AD25" s="119"/>
      <c r="AE25" s="119"/>
      <c r="AF25" s="119"/>
      <c r="AG25" s="119"/>
      <c r="AH25" s="119"/>
      <c r="AI25" s="119"/>
      <c r="AJ25" s="119"/>
      <c r="AK25" s="119"/>
      <c r="AL25" s="119"/>
      <c r="AM25" s="119"/>
      <c r="AN25" s="119"/>
      <c r="AO25" s="119"/>
      <c r="AP25" s="119"/>
      <c r="AQ25" s="119"/>
      <c r="AR25" s="119"/>
      <c r="AS25" s="119"/>
      <c r="AT25" s="119"/>
      <c r="AU25" s="119"/>
      <c r="AV25" s="119"/>
      <c r="AW25" s="119"/>
      <c r="AX25" s="119"/>
      <c r="AY25" s="119"/>
      <c r="AZ25" s="119"/>
      <c r="BA25" s="119"/>
      <c r="BB25" s="119"/>
      <c r="BC25" s="119"/>
      <c r="BD25" s="119"/>
      <c r="BE25" s="119"/>
      <c r="BF25" s="119"/>
      <c r="BG25" s="119"/>
      <c r="BH25" s="119"/>
      <c r="BI25" s="119"/>
      <c r="BJ25" s="119"/>
      <c r="BK25" s="119"/>
      <c r="BL25" s="119"/>
    </row>
    <row r="26" spans="1:64" x14ac:dyDescent="0.2">
      <c r="A26" s="7"/>
      <c r="B26" s="7">
        <v>2019</v>
      </c>
      <c r="C26" s="7">
        <v>2</v>
      </c>
      <c r="D26" s="7">
        <v>178</v>
      </c>
      <c r="E26" s="123">
        <f>central_SIPA_income!B19</f>
        <v>18646926.2542344</v>
      </c>
      <c r="F26" s="123">
        <f>central_SIPA_income!I19</f>
        <v>111109.744064318</v>
      </c>
      <c r="G26" s="41">
        <f t="shared" si="4"/>
        <v>18569149.433389377</v>
      </c>
      <c r="H26" s="41">
        <v>1000</v>
      </c>
      <c r="I26" s="41"/>
      <c r="J26" s="41">
        <f t="shared" si="3"/>
        <v>71000752.278313234</v>
      </c>
      <c r="K26" s="9"/>
      <c r="L26" s="41"/>
      <c r="M26" s="41">
        <f t="shared" si="2"/>
        <v>279075.64326147514</v>
      </c>
      <c r="N26" s="41"/>
      <c r="O26" s="7"/>
      <c r="P26" s="7"/>
      <c r="Q26" s="41"/>
      <c r="R26" s="41"/>
      <c r="S26" s="41"/>
      <c r="T26" s="7"/>
      <c r="U26" s="7"/>
      <c r="V26" s="41"/>
      <c r="W26" s="41"/>
      <c r="X26" s="41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</row>
    <row r="27" spans="1:64" x14ac:dyDescent="0.2">
      <c r="A27" s="7"/>
      <c r="B27" s="7">
        <v>2019</v>
      </c>
      <c r="C27" s="7">
        <v>3</v>
      </c>
      <c r="D27" s="7">
        <v>179</v>
      </c>
      <c r="E27" s="123">
        <f>central_SIPA_income!B20</f>
        <v>15997402.205666799</v>
      </c>
      <c r="F27" s="123">
        <f>central_SIPA_income!I20</f>
        <v>109390.258252687</v>
      </c>
      <c r="G27" s="41">
        <f t="shared" si="4"/>
        <v>15920829.024889918</v>
      </c>
      <c r="H27" s="41"/>
      <c r="I27" s="41"/>
      <c r="J27" s="41">
        <f t="shared" si="3"/>
        <v>60874669.661983602</v>
      </c>
      <c r="K27" s="9"/>
      <c r="L27" s="41"/>
      <c r="M27" s="41">
        <f t="shared" si="2"/>
        <v>274756.79064417339</v>
      </c>
      <c r="N27" s="41"/>
      <c r="O27" s="7"/>
      <c r="P27" s="7"/>
      <c r="Q27" s="41"/>
      <c r="R27" s="41"/>
      <c r="S27" s="41"/>
      <c r="T27" s="7"/>
      <c r="U27" s="7"/>
      <c r="V27" s="41"/>
      <c r="W27" s="41"/>
      <c r="X27" s="41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</row>
    <row r="28" spans="1:64" x14ac:dyDescent="0.2">
      <c r="A28" s="7"/>
      <c r="B28" s="7">
        <v>2019</v>
      </c>
      <c r="C28" s="7">
        <v>4</v>
      </c>
      <c r="D28" s="7">
        <v>180</v>
      </c>
      <c r="E28" s="123">
        <f>central_SIPA_income!B21</f>
        <v>18417019.9206197</v>
      </c>
      <c r="F28" s="123">
        <f>central_SIPA_income!I21</f>
        <v>108953.57795993501</v>
      </c>
      <c r="G28" s="41">
        <f t="shared" si="4"/>
        <v>18340752.416047744</v>
      </c>
      <c r="H28" s="41"/>
      <c r="I28" s="41"/>
      <c r="J28" s="41">
        <f t="shared" si="3"/>
        <v>70127456.486949727</v>
      </c>
      <c r="K28" s="9"/>
      <c r="L28" s="41"/>
      <c r="M28" s="41">
        <f t="shared" si="2"/>
        <v>273659.97564720229</v>
      </c>
      <c r="N28" s="41"/>
      <c r="O28" s="7"/>
      <c r="P28" s="7"/>
      <c r="Q28" s="41"/>
      <c r="R28" s="41"/>
      <c r="S28" s="41"/>
      <c r="T28" s="7"/>
      <c r="U28" s="7"/>
      <c r="V28" s="41"/>
      <c r="W28" s="41"/>
      <c r="X28" s="41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</row>
    <row r="29" spans="1:64" x14ac:dyDescent="0.2">
      <c r="A29" s="119"/>
      <c r="B29" s="119">
        <v>2020</v>
      </c>
      <c r="C29" s="5">
        <v>1</v>
      </c>
      <c r="D29" s="119">
        <v>181</v>
      </c>
      <c r="E29" s="121">
        <f>central_SIPA_income!B22</f>
        <v>16266619.195443699</v>
      </c>
      <c r="F29" s="121">
        <f>central_SIPA_income!I22</f>
        <v>111389.774040333</v>
      </c>
      <c r="G29" s="8">
        <f t="shared" si="4"/>
        <v>16188646.353615467</v>
      </c>
      <c r="H29" s="8"/>
      <c r="I29" s="8"/>
      <c r="J29" s="8">
        <f t="shared" si="3"/>
        <v>61898692.430548906</v>
      </c>
      <c r="K29" s="6"/>
      <c r="L29" s="8"/>
      <c r="M29" s="8">
        <f t="shared" si="2"/>
        <v>279778.99782634247</v>
      </c>
      <c r="N29" s="8"/>
      <c r="O29" s="5"/>
      <c r="P29" s="5"/>
      <c r="Q29" s="8"/>
      <c r="R29" s="8"/>
      <c r="S29" s="8"/>
      <c r="T29" s="5"/>
      <c r="U29" s="5"/>
      <c r="V29" s="8"/>
      <c r="W29" s="8"/>
      <c r="X29" s="8"/>
      <c r="Y29" s="119"/>
      <c r="Z29" s="119"/>
      <c r="AA29" s="119"/>
      <c r="AB29" s="119"/>
      <c r="AC29" s="119"/>
      <c r="AD29" s="119"/>
      <c r="AE29" s="119"/>
      <c r="AF29" s="119"/>
      <c r="AG29" s="119"/>
      <c r="AH29" s="119"/>
      <c r="AI29" s="119"/>
      <c r="AJ29" s="119"/>
      <c r="AK29" s="119"/>
      <c r="AL29" s="119"/>
      <c r="AM29" s="119"/>
      <c r="AN29" s="119"/>
      <c r="AO29" s="119"/>
      <c r="AP29" s="119"/>
      <c r="AQ29" s="119"/>
      <c r="AR29" s="119"/>
      <c r="AS29" s="119"/>
      <c r="AT29" s="119"/>
      <c r="AU29" s="119"/>
      <c r="AV29" s="119"/>
      <c r="AW29" s="119"/>
      <c r="AX29" s="119"/>
      <c r="AY29" s="119"/>
      <c r="AZ29" s="119"/>
      <c r="BA29" s="119"/>
      <c r="BB29" s="119"/>
      <c r="BC29" s="119"/>
      <c r="BD29" s="119"/>
      <c r="BE29" s="119"/>
      <c r="BF29" s="119"/>
      <c r="BG29" s="119"/>
      <c r="BH29" s="119"/>
      <c r="BI29" s="119"/>
      <c r="BJ29" s="119"/>
      <c r="BK29" s="119"/>
      <c r="BL29" s="119"/>
    </row>
    <row r="30" spans="1:64" x14ac:dyDescent="0.2">
      <c r="A30" s="7"/>
      <c r="B30" s="7">
        <v>2020</v>
      </c>
      <c r="C30" s="7">
        <v>2</v>
      </c>
      <c r="D30" s="7">
        <v>182</v>
      </c>
      <c r="E30" s="123">
        <f>central_SIPA_income!B23</f>
        <v>19228175.580129299</v>
      </c>
      <c r="F30" s="123">
        <f>central_SIPA_income!I23</f>
        <v>112918.38552621201</v>
      </c>
      <c r="G30" s="41">
        <f t="shared" si="4"/>
        <v>19149132.71026095</v>
      </c>
      <c r="H30" s="41"/>
      <c r="I30" s="41"/>
      <c r="J30" s="41">
        <f t="shared" si="3"/>
        <v>73218368.605568275</v>
      </c>
      <c r="K30" s="9"/>
      <c r="L30" s="41"/>
      <c r="M30" s="41">
        <f t="shared" si="2"/>
        <v>283618.42916795029</v>
      </c>
      <c r="N30" s="41"/>
      <c r="O30" s="7"/>
      <c r="P30" s="7"/>
      <c r="Q30" s="41"/>
      <c r="R30" s="41"/>
      <c r="S30" s="41"/>
      <c r="T30" s="7"/>
      <c r="U30" s="7"/>
      <c r="V30" s="41"/>
      <c r="W30" s="41"/>
      <c r="X30" s="41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</row>
    <row r="31" spans="1:64" x14ac:dyDescent="0.2">
      <c r="A31" s="7"/>
      <c r="B31" s="7">
        <v>2020</v>
      </c>
      <c r="C31" s="7">
        <v>3</v>
      </c>
      <c r="D31" s="7">
        <v>183</v>
      </c>
      <c r="E31" s="123">
        <f>central_SIPA_income!B24</f>
        <v>16907665.919673499</v>
      </c>
      <c r="F31" s="123">
        <f>central_SIPA_income!I24</f>
        <v>113607.38660062299</v>
      </c>
      <c r="G31" s="41">
        <f t="shared" si="4"/>
        <v>16828140.749053061</v>
      </c>
      <c r="H31" s="41"/>
      <c r="I31" s="41"/>
      <c r="J31" s="41">
        <f t="shared" si="3"/>
        <v>64343854.677570939</v>
      </c>
      <c r="K31" s="9"/>
      <c r="L31" s="41"/>
      <c r="M31" s="41">
        <f t="shared" si="2"/>
        <v>285349.00122234889</v>
      </c>
      <c r="N31" s="41"/>
      <c r="O31" s="7"/>
      <c r="P31" s="7"/>
      <c r="Q31" s="41"/>
      <c r="R31" s="41"/>
      <c r="S31" s="41"/>
      <c r="T31" s="7"/>
      <c r="U31" s="7"/>
      <c r="V31" s="41"/>
      <c r="W31" s="41"/>
      <c r="X31" s="41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</row>
    <row r="32" spans="1:64" x14ac:dyDescent="0.2">
      <c r="A32" s="7"/>
      <c r="B32" s="7">
        <v>2020</v>
      </c>
      <c r="C32" s="7">
        <v>4</v>
      </c>
      <c r="D32" s="7">
        <v>184</v>
      </c>
      <c r="E32" s="123">
        <f>central_SIPA_income!B25</f>
        <v>19812297.118726701</v>
      </c>
      <c r="F32" s="123">
        <f>central_SIPA_income!I25</f>
        <v>118314.78195352601</v>
      </c>
      <c r="G32" s="41">
        <f t="shared" si="4"/>
        <v>19729476.771359231</v>
      </c>
      <c r="H32" s="41"/>
      <c r="I32" s="41"/>
      <c r="J32" s="41">
        <f t="shared" si="3"/>
        <v>75437364.422583908</v>
      </c>
      <c r="K32" s="9"/>
      <c r="L32" s="41"/>
      <c r="M32" s="41">
        <f t="shared" si="2"/>
        <v>297172.62116910185</v>
      </c>
      <c r="N32" s="41"/>
      <c r="O32" s="7"/>
      <c r="P32" s="7"/>
      <c r="Q32" s="41"/>
      <c r="R32" s="41"/>
      <c r="S32" s="41"/>
      <c r="T32" s="7"/>
      <c r="U32" s="7"/>
      <c r="V32" s="41"/>
      <c r="W32" s="41"/>
      <c r="X32" s="41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</row>
    <row r="33" spans="1:64" x14ac:dyDescent="0.2">
      <c r="A33" s="119"/>
      <c r="B33" s="119">
        <v>2021</v>
      </c>
      <c r="C33" s="5">
        <v>1</v>
      </c>
      <c r="D33" s="119">
        <v>185</v>
      </c>
      <c r="E33" s="121">
        <f>central_SIPA_income!B26</f>
        <v>17596468.573625501</v>
      </c>
      <c r="F33" s="121">
        <f>central_SIPA_income!I26</f>
        <v>119239.518208525</v>
      </c>
      <c r="G33" s="8">
        <f t="shared" si="4"/>
        <v>17513000.910879534</v>
      </c>
      <c r="H33" s="8"/>
      <c r="I33" s="8"/>
      <c r="J33" s="8">
        <f t="shared" si="3"/>
        <v>66962476.864308946</v>
      </c>
      <c r="K33" s="6"/>
      <c r="L33" s="8"/>
      <c r="M33" s="8">
        <f t="shared" si="2"/>
        <v>299495.29203279916</v>
      </c>
      <c r="N33" s="8"/>
      <c r="O33" s="5"/>
      <c r="P33" s="5"/>
      <c r="Q33" s="8"/>
      <c r="R33" s="8"/>
      <c r="S33" s="8"/>
      <c r="T33" s="5"/>
      <c r="U33" s="5"/>
      <c r="V33" s="8"/>
      <c r="W33" s="8"/>
      <c r="X33" s="8"/>
      <c r="Y33" s="119"/>
      <c r="Z33" s="119"/>
      <c r="AA33" s="119"/>
      <c r="AB33" s="119"/>
      <c r="AC33" s="119"/>
      <c r="AD33" s="119"/>
      <c r="AE33" s="119"/>
      <c r="AF33" s="119"/>
      <c r="AG33" s="119"/>
      <c r="AH33" s="119"/>
      <c r="AI33" s="119"/>
      <c r="AJ33" s="119"/>
      <c r="AK33" s="119"/>
      <c r="AL33" s="119"/>
      <c r="AM33" s="119"/>
      <c r="AN33" s="119"/>
      <c r="AO33" s="119"/>
      <c r="AP33" s="119"/>
      <c r="AQ33" s="119"/>
      <c r="AR33" s="119"/>
      <c r="AS33" s="119"/>
      <c r="AT33" s="119"/>
      <c r="AU33" s="119"/>
      <c r="AV33" s="119"/>
      <c r="AW33" s="119"/>
      <c r="AX33" s="119"/>
      <c r="AY33" s="119"/>
      <c r="AZ33" s="119"/>
      <c r="BA33" s="119"/>
      <c r="BB33" s="119"/>
      <c r="BC33" s="119"/>
      <c r="BD33" s="119"/>
      <c r="BE33" s="119"/>
      <c r="BF33" s="119"/>
      <c r="BG33" s="119"/>
      <c r="BH33" s="119"/>
      <c r="BI33" s="119"/>
      <c r="BJ33" s="119"/>
      <c r="BK33" s="119"/>
      <c r="BL33" s="119"/>
    </row>
    <row r="34" spans="1:64" x14ac:dyDescent="0.2">
      <c r="A34" s="7"/>
      <c r="B34" s="7">
        <v>2021</v>
      </c>
      <c r="C34" s="7">
        <v>2</v>
      </c>
      <c r="D34" s="7">
        <v>186</v>
      </c>
      <c r="E34" s="123">
        <f>central_SIPA_income!B27</f>
        <v>20538740.633145001</v>
      </c>
      <c r="F34" s="123">
        <f>central_SIPA_income!I27</f>
        <v>117016.753711992</v>
      </c>
      <c r="G34" s="41">
        <f t="shared" si="4"/>
        <v>20456828.905546606</v>
      </c>
      <c r="H34" s="41"/>
      <c r="I34" s="41"/>
      <c r="J34" s="41">
        <f t="shared" si="3"/>
        <v>78218458.348495305</v>
      </c>
      <c r="K34" s="9"/>
      <c r="L34" s="41"/>
      <c r="M34" s="41">
        <f t="shared" si="2"/>
        <v>293912.3484582947</v>
      </c>
      <c r="N34" s="41"/>
      <c r="O34" s="7"/>
      <c r="P34" s="7"/>
      <c r="Q34" s="41"/>
      <c r="R34" s="41"/>
      <c r="S34" s="41"/>
      <c r="T34" s="7"/>
      <c r="U34" s="7"/>
      <c r="V34" s="41"/>
      <c r="W34" s="41"/>
      <c r="X34" s="41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</row>
    <row r="35" spans="1:64" x14ac:dyDescent="0.2">
      <c r="A35" s="7"/>
      <c r="B35" s="7">
        <v>2021</v>
      </c>
      <c r="C35" s="7">
        <v>3</v>
      </c>
      <c r="D35" s="7">
        <v>187</v>
      </c>
      <c r="E35" s="123">
        <f>central_SIPA_income!B28</f>
        <v>18269470.524679001</v>
      </c>
      <c r="F35" s="123">
        <f>central_SIPA_income!I28</f>
        <v>113726.38175592</v>
      </c>
      <c r="G35" s="41">
        <f t="shared" si="4"/>
        <v>18189862.057449859</v>
      </c>
      <c r="H35" s="41"/>
      <c r="I35" s="41"/>
      <c r="J35" s="41">
        <f t="shared" si="3"/>
        <v>69550514.122926816</v>
      </c>
      <c r="K35" s="9"/>
      <c r="L35" s="41"/>
      <c r="M35" s="41">
        <f t="shared" ref="M35:M66" si="5">F35*2.511711692</f>
        <v>285647.88274519972</v>
      </c>
      <c r="N35" s="41"/>
      <c r="O35" s="7"/>
      <c r="P35" s="7"/>
      <c r="Q35" s="41"/>
      <c r="R35" s="41"/>
      <c r="S35" s="41"/>
      <c r="T35" s="7"/>
      <c r="U35" s="7"/>
      <c r="V35" s="41"/>
      <c r="W35" s="41"/>
      <c r="X35" s="41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</row>
    <row r="36" spans="1:64" x14ac:dyDescent="0.2">
      <c r="A36" s="7"/>
      <c r="B36" s="7">
        <v>2021</v>
      </c>
      <c r="C36" s="7">
        <v>4</v>
      </c>
      <c r="D36" s="7">
        <v>188</v>
      </c>
      <c r="E36" s="123">
        <f>central_SIPA_income!B29</f>
        <v>21667169.787770201</v>
      </c>
      <c r="F36" s="123">
        <f>central_SIPA_income!I29</f>
        <v>110454.350249526</v>
      </c>
      <c r="G36" s="41">
        <f t="shared" si="4"/>
        <v>21589851.742595531</v>
      </c>
      <c r="H36" s="41"/>
      <c r="I36" s="41"/>
      <c r="J36" s="41">
        <f t="shared" ref="J36:J67" si="6">G36*3.8235866717</f>
        <v>82550669.366967291</v>
      </c>
      <c r="K36" s="9"/>
      <c r="L36" s="41"/>
      <c r="M36" s="41">
        <f t="shared" si="5"/>
        <v>277429.48295399756</v>
      </c>
      <c r="N36" s="41"/>
      <c r="O36" s="7"/>
      <c r="P36" s="7"/>
      <c r="Q36" s="41"/>
      <c r="R36" s="41"/>
      <c r="S36" s="41"/>
      <c r="T36" s="7"/>
      <c r="U36" s="7"/>
      <c r="V36" s="41"/>
      <c r="W36" s="41"/>
      <c r="X36" s="41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</row>
    <row r="37" spans="1:64" x14ac:dyDescent="0.2">
      <c r="A37" s="119"/>
      <c r="B37" s="119">
        <v>2022</v>
      </c>
      <c r="C37" s="5">
        <v>1</v>
      </c>
      <c r="D37" s="119">
        <v>189</v>
      </c>
      <c r="E37" s="121">
        <f>central_SIPA_income!B30</f>
        <v>18914281.0025286</v>
      </c>
      <c r="F37" s="121">
        <f>central_SIPA_income!I30</f>
        <v>114253.34691885499</v>
      </c>
      <c r="G37" s="8">
        <f t="shared" si="4"/>
        <v>18834303.659685403</v>
      </c>
      <c r="H37" s="8"/>
      <c r="I37" s="8"/>
      <c r="J37" s="8">
        <f t="shared" si="6"/>
        <v>72014592.443923637</v>
      </c>
      <c r="K37" s="6"/>
      <c r="L37" s="8"/>
      <c r="M37" s="8">
        <f t="shared" si="5"/>
        <v>286971.46730622026</v>
      </c>
      <c r="N37" s="8"/>
      <c r="O37" s="5"/>
      <c r="P37" s="5"/>
      <c r="Q37" s="8"/>
      <c r="R37" s="8"/>
      <c r="S37" s="8"/>
      <c r="T37" s="5"/>
      <c r="U37" s="5"/>
      <c r="V37" s="8"/>
      <c r="W37" s="8"/>
      <c r="X37" s="8"/>
      <c r="Y37" s="119"/>
      <c r="Z37" s="119"/>
      <c r="AA37" s="119"/>
      <c r="AB37" s="119"/>
      <c r="AC37" s="119"/>
      <c r="AD37" s="119"/>
      <c r="AE37" s="119"/>
      <c r="AF37" s="119"/>
      <c r="AG37" s="119"/>
      <c r="AH37" s="119"/>
      <c r="AI37" s="119"/>
      <c r="AJ37" s="119"/>
      <c r="AK37" s="119"/>
      <c r="AL37" s="119"/>
      <c r="AM37" s="119"/>
      <c r="AN37" s="119"/>
      <c r="AO37" s="119"/>
      <c r="AP37" s="119"/>
      <c r="AQ37" s="119"/>
      <c r="AR37" s="119"/>
      <c r="AS37" s="119"/>
      <c r="AT37" s="119"/>
      <c r="AU37" s="119"/>
      <c r="AV37" s="119"/>
      <c r="AW37" s="119"/>
      <c r="AX37" s="119"/>
      <c r="AY37" s="119"/>
      <c r="AZ37" s="119"/>
      <c r="BA37" s="119"/>
      <c r="BB37" s="119"/>
      <c r="BC37" s="119"/>
      <c r="BD37" s="119"/>
      <c r="BE37" s="119"/>
      <c r="BF37" s="119"/>
      <c r="BG37" s="119"/>
      <c r="BH37" s="119"/>
      <c r="BI37" s="119"/>
      <c r="BJ37" s="119"/>
      <c r="BK37" s="119"/>
      <c r="BL37" s="119"/>
    </row>
    <row r="38" spans="1:64" x14ac:dyDescent="0.2">
      <c r="A38" s="7"/>
      <c r="B38" s="7">
        <v>2022</v>
      </c>
      <c r="C38" s="7">
        <v>2</v>
      </c>
      <c r="D38" s="7">
        <v>190</v>
      </c>
      <c r="E38" s="123">
        <f>central_SIPA_income!B31</f>
        <v>22239179.5093899</v>
      </c>
      <c r="F38" s="123">
        <f>central_SIPA_income!I31</f>
        <v>122503.405754929</v>
      </c>
      <c r="G38" s="41">
        <f t="shared" si="4"/>
        <v>22153427.12536145</v>
      </c>
      <c r="H38" s="41"/>
      <c r="I38" s="41"/>
      <c r="J38" s="41">
        <f t="shared" si="6"/>
        <v>84705548.689009294</v>
      </c>
      <c r="K38" s="9"/>
      <c r="L38" s="41"/>
      <c r="M38" s="41">
        <f t="shared" si="5"/>
        <v>307693.23654447525</v>
      </c>
      <c r="N38" s="41"/>
      <c r="O38" s="7"/>
      <c r="P38" s="7"/>
      <c r="Q38" s="41"/>
      <c r="R38" s="41"/>
      <c r="S38" s="41"/>
      <c r="T38" s="7"/>
      <c r="U38" s="7"/>
      <c r="V38" s="41"/>
      <c r="W38" s="41"/>
      <c r="X38" s="41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</row>
    <row r="39" spans="1:64" x14ac:dyDescent="0.2">
      <c r="A39" s="7"/>
      <c r="B39" s="7">
        <v>2022</v>
      </c>
      <c r="C39" s="7">
        <v>3</v>
      </c>
      <c r="D39" s="7">
        <v>191</v>
      </c>
      <c r="E39" s="123">
        <f>central_SIPA_income!B32</f>
        <v>19611088.5073766</v>
      </c>
      <c r="F39" s="123">
        <f>central_SIPA_income!I32</f>
        <v>125587.57657147299</v>
      </c>
      <c r="G39" s="41">
        <f t="shared" si="4"/>
        <v>19523177.203776568</v>
      </c>
      <c r="H39" s="41"/>
      <c r="I39" s="41"/>
      <c r="J39" s="41">
        <f t="shared" si="6"/>
        <v>74648560.145597368</v>
      </c>
      <c r="K39" s="9"/>
      <c r="L39" s="41"/>
      <c r="M39" s="41">
        <f t="shared" si="5"/>
        <v>315439.78444451396</v>
      </c>
      <c r="N39" s="41"/>
      <c r="O39" s="7"/>
      <c r="P39" s="7"/>
      <c r="Q39" s="41"/>
      <c r="R39" s="41"/>
      <c r="S39" s="41"/>
      <c r="T39" s="7"/>
      <c r="U39" s="7"/>
      <c r="V39" s="41"/>
      <c r="W39" s="41"/>
      <c r="X39" s="41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</row>
    <row r="40" spans="1:64" x14ac:dyDescent="0.2">
      <c r="A40" s="7"/>
      <c r="B40" s="7">
        <v>2022</v>
      </c>
      <c r="C40" s="7">
        <v>4</v>
      </c>
      <c r="D40" s="7">
        <v>192</v>
      </c>
      <c r="E40" s="123">
        <f>central_SIPA_income!B33</f>
        <v>22821702.354767501</v>
      </c>
      <c r="F40" s="123">
        <f>central_SIPA_income!I33</f>
        <v>125393.13051099</v>
      </c>
      <c r="G40" s="41">
        <f t="shared" si="4"/>
        <v>22733927.163409807</v>
      </c>
      <c r="H40" s="41"/>
      <c r="I40" s="41"/>
      <c r="J40" s="41">
        <f t="shared" si="6"/>
        <v>86925140.89741233</v>
      </c>
      <c r="K40" s="9"/>
      <c r="L40" s="41"/>
      <c r="M40" s="41">
        <f t="shared" si="5"/>
        <v>314951.39200093551</v>
      </c>
      <c r="N40" s="41"/>
      <c r="O40" s="7"/>
      <c r="P40" s="7"/>
      <c r="Q40" s="41"/>
      <c r="R40" s="41"/>
      <c r="S40" s="41"/>
      <c r="T40" s="7"/>
      <c r="U40" s="7"/>
      <c r="V40" s="41"/>
      <c r="W40" s="41"/>
      <c r="X40" s="41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</row>
    <row r="41" spans="1:64" x14ac:dyDescent="0.2">
      <c r="A41" s="119"/>
      <c r="B41" s="119">
        <v>2023</v>
      </c>
      <c r="C41" s="5">
        <v>1</v>
      </c>
      <c r="D41" s="119">
        <v>193</v>
      </c>
      <c r="E41" s="121">
        <f>central_SIPA_income!B34</f>
        <v>20123273.5486775</v>
      </c>
      <c r="F41" s="121">
        <f>central_SIPA_income!I34</f>
        <v>127247.641487837</v>
      </c>
      <c r="G41" s="8">
        <f t="shared" ref="G41:G72" si="7">E41-F41*0.7</f>
        <v>20034200.199636016</v>
      </c>
      <c r="H41" s="8"/>
      <c r="I41" s="8"/>
      <c r="J41" s="8">
        <f t="shared" si="6"/>
        <v>76602500.86149776</v>
      </c>
      <c r="K41" s="6"/>
      <c r="L41" s="8"/>
      <c r="M41" s="8">
        <f t="shared" si="5"/>
        <v>319609.38890442444</v>
      </c>
      <c r="N41" s="8"/>
      <c r="O41" s="5"/>
      <c r="P41" s="5"/>
      <c r="Q41" s="8"/>
      <c r="R41" s="8"/>
      <c r="S41" s="8"/>
      <c r="T41" s="5"/>
      <c r="U41" s="5"/>
      <c r="V41" s="8"/>
      <c r="W41" s="8"/>
      <c r="X41" s="8"/>
      <c r="Y41" s="119"/>
      <c r="Z41" s="119"/>
      <c r="AA41" s="119"/>
      <c r="AB41" s="119"/>
      <c r="AC41" s="119"/>
      <c r="AD41" s="119"/>
      <c r="AE41" s="119"/>
      <c r="AF41" s="119"/>
      <c r="AG41" s="119"/>
      <c r="AH41" s="119"/>
      <c r="AI41" s="119"/>
      <c r="AJ41" s="119"/>
      <c r="AK41" s="119"/>
      <c r="AL41" s="119"/>
      <c r="AM41" s="119"/>
      <c r="AN41" s="119"/>
      <c r="AO41" s="119"/>
      <c r="AP41" s="119"/>
      <c r="AQ41" s="119"/>
      <c r="AR41" s="119"/>
      <c r="AS41" s="119"/>
      <c r="AT41" s="119"/>
      <c r="AU41" s="119"/>
      <c r="AV41" s="119"/>
      <c r="AW41" s="119"/>
      <c r="AX41" s="119"/>
      <c r="AY41" s="119"/>
      <c r="AZ41" s="119"/>
      <c r="BA41" s="119"/>
      <c r="BB41" s="119"/>
      <c r="BC41" s="119"/>
      <c r="BD41" s="119"/>
      <c r="BE41" s="119"/>
      <c r="BF41" s="119"/>
      <c r="BG41" s="119"/>
      <c r="BH41" s="119"/>
      <c r="BI41" s="119"/>
      <c r="BJ41" s="119"/>
      <c r="BK41" s="119"/>
      <c r="BL41" s="119"/>
    </row>
    <row r="42" spans="1:64" x14ac:dyDescent="0.2">
      <c r="A42" s="7"/>
      <c r="B42" s="7">
        <v>2023</v>
      </c>
      <c r="C42" s="7">
        <v>2</v>
      </c>
      <c r="D42" s="7">
        <v>194</v>
      </c>
      <c r="E42" s="123">
        <f>central_SIPA_income!B35</f>
        <v>23344326.405009702</v>
      </c>
      <c r="F42" s="123">
        <f>central_SIPA_income!I35</f>
        <v>130454.852004716</v>
      </c>
      <c r="G42" s="41">
        <f t="shared" si="7"/>
        <v>23253008.0086064</v>
      </c>
      <c r="H42" s="41"/>
      <c r="I42" s="41"/>
      <c r="J42" s="41">
        <f t="shared" si="6"/>
        <v>88909891.498640791</v>
      </c>
      <c r="K42" s="9"/>
      <c r="L42" s="41"/>
      <c r="M42" s="41">
        <f t="shared" si="5"/>
        <v>327664.97705837479</v>
      </c>
      <c r="N42" s="41"/>
      <c r="O42" s="7"/>
      <c r="P42" s="7"/>
      <c r="Q42" s="41"/>
      <c r="R42" s="41"/>
      <c r="S42" s="41"/>
      <c r="T42" s="7"/>
      <c r="U42" s="7"/>
      <c r="V42" s="41"/>
      <c r="W42" s="41"/>
      <c r="X42" s="41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</row>
    <row r="43" spans="1:64" x14ac:dyDescent="0.2">
      <c r="A43" s="7"/>
      <c r="B43" s="7">
        <v>2023</v>
      </c>
      <c r="C43" s="7">
        <v>3</v>
      </c>
      <c r="D43" s="7">
        <v>195</v>
      </c>
      <c r="E43" s="123">
        <f>central_SIPA_income!B36</f>
        <v>20535028.120530698</v>
      </c>
      <c r="F43" s="123">
        <f>central_SIPA_income!I36</f>
        <v>135567.24299450801</v>
      </c>
      <c r="G43" s="41">
        <f t="shared" si="7"/>
        <v>20440131.050434545</v>
      </c>
      <c r="H43" s="41"/>
      <c r="I43" s="41"/>
      <c r="J43" s="41">
        <f t="shared" si="6"/>
        <v>78154612.652242854</v>
      </c>
      <c r="K43" s="9"/>
      <c r="L43" s="41"/>
      <c r="M43" s="41">
        <f t="shared" si="5"/>
        <v>340505.82928151084</v>
      </c>
      <c r="N43" s="41"/>
      <c r="O43" s="7"/>
      <c r="P43" s="7"/>
      <c r="Q43" s="41"/>
      <c r="R43" s="41"/>
      <c r="S43" s="41"/>
      <c r="T43" s="7"/>
      <c r="U43" s="7"/>
      <c r="V43" s="41"/>
      <c r="W43" s="41"/>
      <c r="X43" s="41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</row>
    <row r="44" spans="1:64" x14ac:dyDescent="0.2">
      <c r="A44" s="7"/>
      <c r="B44" s="7">
        <v>2023</v>
      </c>
      <c r="C44" s="7">
        <v>4</v>
      </c>
      <c r="D44" s="7">
        <v>196</v>
      </c>
      <c r="E44" s="123">
        <f>central_SIPA_income!B37</f>
        <v>24203418.354260501</v>
      </c>
      <c r="F44" s="123">
        <f>central_SIPA_income!I37</f>
        <v>133814.787219322</v>
      </c>
      <c r="G44" s="41">
        <f t="shared" si="7"/>
        <v>24109748.003206976</v>
      </c>
      <c r="H44" s="41"/>
      <c r="I44" s="41"/>
      <c r="J44" s="41">
        <f t="shared" si="6"/>
        <v>92185711.12310788</v>
      </c>
      <c r="K44" s="9"/>
      <c r="L44" s="41"/>
      <c r="M44" s="41">
        <f t="shared" si="5"/>
        <v>336104.16562126321</v>
      </c>
      <c r="N44" s="41"/>
      <c r="O44" s="7"/>
      <c r="P44" s="7"/>
      <c r="Q44" s="41"/>
      <c r="R44" s="41"/>
      <c r="S44" s="41"/>
      <c r="T44" s="7"/>
      <c r="U44" s="7"/>
      <c r="V44" s="41"/>
      <c r="W44" s="41"/>
      <c r="X44" s="41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</row>
    <row r="45" spans="1:64" x14ac:dyDescent="0.2">
      <c r="A45" s="119"/>
      <c r="B45" s="119">
        <v>2024</v>
      </c>
      <c r="C45" s="5">
        <v>1</v>
      </c>
      <c r="D45" s="119">
        <v>197</v>
      </c>
      <c r="E45" s="121">
        <f>central_SIPA_income!B38</f>
        <v>21421235.706697401</v>
      </c>
      <c r="F45" s="121">
        <f>central_SIPA_income!I38</f>
        <v>136052.05957165701</v>
      </c>
      <c r="G45" s="8">
        <f t="shared" si="7"/>
        <v>21325999.26499724</v>
      </c>
      <c r="H45" s="8"/>
      <c r="I45" s="8"/>
      <c r="J45" s="8">
        <f t="shared" si="6"/>
        <v>81541806.55032745</v>
      </c>
      <c r="K45" s="6"/>
      <c r="L45" s="8"/>
      <c r="M45" s="8">
        <f t="shared" si="5"/>
        <v>341723.5487468114</v>
      </c>
      <c r="N45" s="8"/>
      <c r="O45" s="5"/>
      <c r="P45" s="5"/>
      <c r="Q45" s="8"/>
      <c r="R45" s="8"/>
      <c r="S45" s="8"/>
      <c r="T45" s="5"/>
      <c r="U45" s="5"/>
      <c r="V45" s="8"/>
      <c r="W45" s="8"/>
      <c r="X45" s="8"/>
      <c r="Y45" s="119"/>
      <c r="Z45" s="119"/>
      <c r="AA45" s="119"/>
      <c r="AB45" s="119"/>
      <c r="AC45" s="119"/>
      <c r="AD45" s="119"/>
      <c r="AE45" s="119"/>
      <c r="AF45" s="119"/>
      <c r="AG45" s="119"/>
      <c r="AH45" s="119"/>
      <c r="AI45" s="119"/>
      <c r="AJ45" s="119"/>
      <c r="AK45" s="119"/>
      <c r="AL45" s="119"/>
      <c r="AM45" s="119"/>
      <c r="AN45" s="119"/>
      <c r="AO45" s="119"/>
      <c r="AP45" s="119"/>
      <c r="AQ45" s="119"/>
      <c r="AR45" s="119"/>
      <c r="AS45" s="119"/>
      <c r="AT45" s="119"/>
      <c r="AU45" s="119"/>
      <c r="AV45" s="119"/>
      <c r="AW45" s="119"/>
      <c r="AX45" s="119"/>
      <c r="AY45" s="119"/>
      <c r="AZ45" s="119"/>
      <c r="BA45" s="119"/>
      <c r="BB45" s="119"/>
      <c r="BC45" s="119"/>
      <c r="BD45" s="119"/>
      <c r="BE45" s="119"/>
      <c r="BF45" s="119"/>
      <c r="BG45" s="119"/>
      <c r="BH45" s="119"/>
      <c r="BI45" s="119"/>
      <c r="BJ45" s="119"/>
      <c r="BK45" s="119"/>
      <c r="BL45" s="119"/>
    </row>
    <row r="46" spans="1:64" x14ac:dyDescent="0.2">
      <c r="A46" s="7"/>
      <c r="B46" s="7">
        <v>2024</v>
      </c>
      <c r="C46" s="7">
        <v>2</v>
      </c>
      <c r="D46" s="7">
        <v>198</v>
      </c>
      <c r="E46" s="123">
        <f>central_SIPA_income!B39</f>
        <v>24759653.902339399</v>
      </c>
      <c r="F46" s="123">
        <f>central_SIPA_income!I39</f>
        <v>137622.55995964</v>
      </c>
      <c r="G46" s="41">
        <f t="shared" si="7"/>
        <v>24663318.110367652</v>
      </c>
      <c r="H46" s="41"/>
      <c r="I46" s="41"/>
      <c r="J46" s="41">
        <f t="shared" si="6"/>
        <v>94302334.406698987</v>
      </c>
      <c r="K46" s="9"/>
      <c r="L46" s="41"/>
      <c r="M46" s="41">
        <f t="shared" si="5"/>
        <v>345668.19293359882</v>
      </c>
      <c r="N46" s="41"/>
      <c r="O46" s="7"/>
      <c r="P46" s="7"/>
      <c r="Q46" s="41"/>
      <c r="R46" s="41"/>
      <c r="S46" s="41"/>
      <c r="T46" s="7"/>
      <c r="U46" s="7"/>
      <c r="V46" s="41"/>
      <c r="W46" s="41"/>
      <c r="X46" s="41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</row>
    <row r="47" spans="1:64" x14ac:dyDescent="0.2">
      <c r="A47" s="7"/>
      <c r="B47" s="7">
        <v>2024</v>
      </c>
      <c r="C47" s="7">
        <v>3</v>
      </c>
      <c r="D47" s="7">
        <v>199</v>
      </c>
      <c r="E47" s="123">
        <f>central_SIPA_income!B40</f>
        <v>21959623.956195101</v>
      </c>
      <c r="F47" s="123">
        <f>central_SIPA_income!I40</f>
        <v>138112.40106034701</v>
      </c>
      <c r="G47" s="41">
        <f t="shared" si="7"/>
        <v>21862945.27545286</v>
      </c>
      <c r="H47" s="41"/>
      <c r="I47" s="41"/>
      <c r="J47" s="41">
        <f t="shared" si="6"/>
        <v>83594866.159328043</v>
      </c>
      <c r="K47" s="9"/>
      <c r="L47" s="41"/>
      <c r="M47" s="41">
        <f t="shared" si="5"/>
        <v>346898.53255346679</v>
      </c>
      <c r="N47" s="41"/>
      <c r="O47" s="7"/>
      <c r="P47" s="7"/>
      <c r="Q47" s="41"/>
      <c r="R47" s="41"/>
      <c r="S47" s="41"/>
      <c r="T47" s="7"/>
      <c r="U47" s="7"/>
      <c r="V47" s="41"/>
      <c r="W47" s="41"/>
      <c r="X47" s="41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</row>
    <row r="48" spans="1:64" x14ac:dyDescent="0.2">
      <c r="A48" s="7"/>
      <c r="B48" s="7">
        <v>2024</v>
      </c>
      <c r="C48" s="7">
        <v>4</v>
      </c>
      <c r="D48" s="7">
        <v>200</v>
      </c>
      <c r="E48" s="123">
        <f>central_SIPA_income!B41</f>
        <v>25344226.078890901</v>
      </c>
      <c r="F48" s="123">
        <f>central_SIPA_income!I41</f>
        <v>136871.123513959</v>
      </c>
      <c r="G48" s="41">
        <f t="shared" si="7"/>
        <v>25248416.292431131</v>
      </c>
      <c r="H48" s="41"/>
      <c r="I48" s="41"/>
      <c r="J48" s="41">
        <f t="shared" si="6"/>
        <v>96539508.0172728</v>
      </c>
      <c r="K48" s="9"/>
      <c r="L48" s="41"/>
      <c r="M48" s="41">
        <f t="shared" si="5"/>
        <v>343780.80122718692</v>
      </c>
      <c r="N48" s="41"/>
      <c r="O48" s="7"/>
      <c r="P48" s="7"/>
      <c r="Q48" s="41"/>
      <c r="R48" s="41"/>
      <c r="S48" s="41"/>
      <c r="T48" s="7"/>
      <c r="U48" s="7"/>
      <c r="V48" s="41"/>
      <c r="W48" s="41"/>
      <c r="X48" s="41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</row>
    <row r="49" spans="1:64" x14ac:dyDescent="0.2">
      <c r="A49" s="119"/>
      <c r="B49" s="119">
        <v>2025</v>
      </c>
      <c r="C49" s="5">
        <v>1</v>
      </c>
      <c r="D49" s="119">
        <v>201</v>
      </c>
      <c r="E49" s="121">
        <f>central_SIPA_income!B42</f>
        <v>22338423.536509</v>
      </c>
      <c r="F49" s="121">
        <f>central_SIPA_income!I42</f>
        <v>138008.67382107701</v>
      </c>
      <c r="G49" s="8">
        <f t="shared" si="7"/>
        <v>22241817.464834247</v>
      </c>
      <c r="H49" s="8"/>
      <c r="I49" s="8"/>
      <c r="J49" s="8">
        <f t="shared" si="6"/>
        <v>85043516.812924519</v>
      </c>
      <c r="K49" s="6"/>
      <c r="L49" s="8"/>
      <c r="M49" s="8">
        <f t="shared" si="5"/>
        <v>346637.99963381345</v>
      </c>
      <c r="N49" s="8"/>
      <c r="O49" s="5"/>
      <c r="P49" s="5"/>
      <c r="Q49" s="8"/>
      <c r="R49" s="8"/>
      <c r="S49" s="8"/>
      <c r="T49" s="5"/>
      <c r="U49" s="5"/>
      <c r="V49" s="8"/>
      <c r="W49" s="8"/>
      <c r="X49" s="8"/>
      <c r="Y49" s="119"/>
      <c r="Z49" s="119"/>
      <c r="AA49" s="119"/>
      <c r="AB49" s="119"/>
      <c r="AC49" s="119"/>
      <c r="AD49" s="119"/>
      <c r="AE49" s="119"/>
      <c r="AF49" s="119"/>
      <c r="AG49" s="119"/>
      <c r="AH49" s="119"/>
      <c r="AI49" s="119"/>
      <c r="AJ49" s="119"/>
      <c r="AK49" s="119"/>
      <c r="AL49" s="119"/>
      <c r="AM49" s="119"/>
      <c r="AN49" s="119"/>
      <c r="AO49" s="119"/>
      <c r="AP49" s="119"/>
      <c r="AQ49" s="119"/>
      <c r="AR49" s="119"/>
      <c r="AS49" s="119"/>
      <c r="AT49" s="119"/>
      <c r="AU49" s="119"/>
      <c r="AV49" s="119"/>
      <c r="AW49" s="119"/>
      <c r="AX49" s="119"/>
      <c r="AY49" s="119"/>
      <c r="AZ49" s="119"/>
      <c r="BA49" s="119"/>
      <c r="BB49" s="119"/>
      <c r="BC49" s="119"/>
      <c r="BD49" s="119"/>
      <c r="BE49" s="119"/>
      <c r="BF49" s="119"/>
      <c r="BG49" s="119"/>
      <c r="BH49" s="119"/>
      <c r="BI49" s="119"/>
      <c r="BJ49" s="119"/>
      <c r="BK49" s="119"/>
      <c r="BL49" s="119"/>
    </row>
    <row r="50" spans="1:64" x14ac:dyDescent="0.2">
      <c r="A50" s="7"/>
      <c r="B50" s="7">
        <v>2025</v>
      </c>
      <c r="C50" s="7">
        <v>2</v>
      </c>
      <c r="D50" s="7">
        <v>202</v>
      </c>
      <c r="E50" s="123">
        <f>central_SIPA_income!B43</f>
        <v>25714131.525149699</v>
      </c>
      <c r="F50" s="123">
        <f>central_SIPA_income!I43</f>
        <v>145124.33339165401</v>
      </c>
      <c r="G50" s="41">
        <f t="shared" si="7"/>
        <v>25612544.491775542</v>
      </c>
      <c r="H50" s="41"/>
      <c r="I50" s="41"/>
      <c r="J50" s="41">
        <f t="shared" si="6"/>
        <v>97931783.747076213</v>
      </c>
      <c r="K50" s="9"/>
      <c r="L50" s="41"/>
      <c r="M50" s="41">
        <f t="shared" si="5"/>
        <v>364510.48497352342</v>
      </c>
      <c r="N50" s="41"/>
      <c r="O50" s="7"/>
      <c r="P50" s="7"/>
      <c r="Q50" s="41"/>
      <c r="R50" s="41"/>
      <c r="S50" s="41"/>
      <c r="T50" s="7"/>
      <c r="U50" s="7"/>
      <c r="V50" s="41"/>
      <c r="W50" s="41"/>
      <c r="X50" s="41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</row>
    <row r="51" spans="1:64" x14ac:dyDescent="0.2">
      <c r="A51" s="7"/>
      <c r="B51" s="7">
        <v>2025</v>
      </c>
      <c r="C51" s="7">
        <v>3</v>
      </c>
      <c r="D51" s="7">
        <v>203</v>
      </c>
      <c r="E51" s="123">
        <f>central_SIPA_income!B44</f>
        <v>22754612.794346299</v>
      </c>
      <c r="F51" s="123">
        <f>central_SIPA_income!I44</f>
        <v>146199.94344984801</v>
      </c>
      <c r="G51" s="41">
        <f t="shared" si="7"/>
        <v>22652272.833931405</v>
      </c>
      <c r="H51" s="41"/>
      <c r="I51" s="41"/>
      <c r="J51" s="41">
        <f t="shared" si="6"/>
        <v>86612928.491532117</v>
      </c>
      <c r="K51" s="9"/>
      <c r="L51" s="41"/>
      <c r="M51" s="41">
        <f t="shared" si="5"/>
        <v>367212.10733272205</v>
      </c>
      <c r="N51" s="41"/>
      <c r="O51" s="7"/>
      <c r="P51" s="7"/>
      <c r="Q51" s="41"/>
      <c r="R51" s="41"/>
      <c r="S51" s="41"/>
      <c r="T51" s="7"/>
      <c r="U51" s="7"/>
      <c r="V51" s="41"/>
      <c r="W51" s="41"/>
      <c r="X51" s="41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</row>
    <row r="52" spans="1:64" x14ac:dyDescent="0.2">
      <c r="A52" s="7"/>
      <c r="B52" s="7">
        <v>2025</v>
      </c>
      <c r="C52" s="7">
        <v>4</v>
      </c>
      <c r="D52" s="7">
        <v>204</v>
      </c>
      <c r="E52" s="123">
        <f>central_SIPA_income!B45</f>
        <v>26521591.465177</v>
      </c>
      <c r="F52" s="123">
        <f>central_SIPA_income!I45</f>
        <v>144696.49706591299</v>
      </c>
      <c r="G52" s="41">
        <f t="shared" si="7"/>
        <v>26420303.917230859</v>
      </c>
      <c r="H52" s="41"/>
      <c r="I52" s="41"/>
      <c r="J52" s="41">
        <f t="shared" si="6"/>
        <v>101020321.92018722</v>
      </c>
      <c r="K52" s="9"/>
      <c r="L52" s="41"/>
      <c r="M52" s="41">
        <f t="shared" si="5"/>
        <v>363435.88347189734</v>
      </c>
      <c r="N52" s="41"/>
      <c r="O52" s="7"/>
      <c r="P52" s="7"/>
      <c r="Q52" s="41"/>
      <c r="R52" s="41"/>
      <c r="S52" s="41"/>
      <c r="T52" s="7"/>
      <c r="U52" s="7"/>
      <c r="V52" s="41"/>
      <c r="W52" s="41"/>
      <c r="X52" s="41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</row>
    <row r="53" spans="1:64" x14ac:dyDescent="0.2">
      <c r="A53" s="119"/>
      <c r="B53" s="119">
        <v>2026</v>
      </c>
      <c r="C53" s="5">
        <v>1</v>
      </c>
      <c r="D53" s="119">
        <v>205</v>
      </c>
      <c r="E53" s="121">
        <f>central_SIPA_income!B46</f>
        <v>23334578.175799701</v>
      </c>
      <c r="F53" s="121">
        <f>central_SIPA_income!I46</f>
        <v>139892.52036602399</v>
      </c>
      <c r="G53" s="8">
        <f t="shared" si="7"/>
        <v>23236653.411543485</v>
      </c>
      <c r="H53" s="8"/>
      <c r="I53" s="8"/>
      <c r="J53" s="8">
        <f t="shared" si="6"/>
        <v>88847358.279290006</v>
      </c>
      <c r="K53" s="6"/>
      <c r="L53" s="8"/>
      <c r="M53" s="8">
        <f t="shared" si="5"/>
        <v>351369.6790266906</v>
      </c>
      <c r="N53" s="8"/>
      <c r="O53" s="5"/>
      <c r="P53" s="5"/>
      <c r="Q53" s="8"/>
      <c r="R53" s="8"/>
      <c r="S53" s="8"/>
      <c r="T53" s="5"/>
      <c r="U53" s="5"/>
      <c r="V53" s="8"/>
      <c r="W53" s="8"/>
      <c r="X53" s="8"/>
      <c r="Y53" s="119"/>
      <c r="Z53" s="119"/>
      <c r="AA53" s="119"/>
      <c r="AB53" s="119"/>
      <c r="AC53" s="119"/>
      <c r="AD53" s="119"/>
      <c r="AE53" s="119"/>
      <c r="AF53" s="119"/>
      <c r="AG53" s="119"/>
      <c r="AH53" s="119"/>
      <c r="AI53" s="119"/>
      <c r="AJ53" s="119"/>
      <c r="AK53" s="119"/>
      <c r="AL53" s="119"/>
      <c r="AM53" s="119"/>
      <c r="AN53" s="119"/>
      <c r="AO53" s="119"/>
      <c r="AP53" s="119"/>
      <c r="AQ53" s="119"/>
      <c r="AR53" s="119"/>
      <c r="AS53" s="119"/>
      <c r="AT53" s="119"/>
      <c r="AU53" s="119"/>
      <c r="AV53" s="119"/>
      <c r="AW53" s="119"/>
      <c r="AX53" s="119"/>
      <c r="AY53" s="119"/>
      <c r="AZ53" s="119"/>
      <c r="BA53" s="119"/>
      <c r="BB53" s="119"/>
      <c r="BC53" s="119"/>
      <c r="BD53" s="119"/>
      <c r="BE53" s="119"/>
      <c r="BF53" s="119"/>
      <c r="BG53" s="119"/>
      <c r="BH53" s="119"/>
      <c r="BI53" s="119"/>
      <c r="BJ53" s="119"/>
      <c r="BK53" s="119"/>
      <c r="BL53" s="119"/>
    </row>
    <row r="54" spans="1:64" x14ac:dyDescent="0.2">
      <c r="A54" s="7"/>
      <c r="B54" s="7">
        <v>2026</v>
      </c>
      <c r="C54" s="7">
        <v>2</v>
      </c>
      <c r="D54" s="7">
        <v>206</v>
      </c>
      <c r="E54" s="123">
        <f>central_SIPA_income!B47</f>
        <v>26936402.0766236</v>
      </c>
      <c r="F54" s="123">
        <f>central_SIPA_income!I47</f>
        <v>142495.063252391</v>
      </c>
      <c r="G54" s="41">
        <f t="shared" si="7"/>
        <v>26836655.532346927</v>
      </c>
      <c r="H54" s="41"/>
      <c r="I54" s="41"/>
      <c r="J54" s="41">
        <f t="shared" si="6"/>
        <v>102612278.40648578</v>
      </c>
      <c r="K54" s="9"/>
      <c r="L54" s="41"/>
      <c r="M54" s="41">
        <f t="shared" si="5"/>
        <v>357906.51642331004</v>
      </c>
      <c r="N54" s="41"/>
      <c r="O54" s="7"/>
      <c r="P54" s="7"/>
      <c r="Q54" s="41"/>
      <c r="R54" s="41"/>
      <c r="S54" s="41"/>
      <c r="T54" s="7"/>
      <c r="U54" s="7"/>
      <c r="V54" s="41"/>
      <c r="W54" s="41"/>
      <c r="X54" s="41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</row>
    <row r="55" spans="1:64" x14ac:dyDescent="0.2">
      <c r="A55" s="7"/>
      <c r="B55" s="7">
        <v>2026</v>
      </c>
      <c r="C55" s="7">
        <v>3</v>
      </c>
      <c r="D55" s="7">
        <v>207</v>
      </c>
      <c r="E55" s="123">
        <f>central_SIPA_income!B48</f>
        <v>23699815.447894599</v>
      </c>
      <c r="F55" s="123">
        <f>central_SIPA_income!I48</f>
        <v>139503.65422025099</v>
      </c>
      <c r="G55" s="41">
        <f t="shared" si="7"/>
        <v>23602162.889940422</v>
      </c>
      <c r="H55" s="41"/>
      <c r="I55" s="41"/>
      <c r="J55" s="41">
        <f t="shared" si="6"/>
        <v>90244915.44926855</v>
      </c>
      <c r="K55" s="9"/>
      <c r="L55" s="41"/>
      <c r="M55" s="41">
        <f t="shared" si="5"/>
        <v>350392.95938172954</v>
      </c>
      <c r="N55" s="41"/>
      <c r="O55" s="7"/>
      <c r="P55" s="7"/>
      <c r="Q55" s="41"/>
      <c r="R55" s="41"/>
      <c r="S55" s="41"/>
      <c r="T55" s="7"/>
      <c r="U55" s="7"/>
      <c r="V55" s="41"/>
      <c r="W55" s="41"/>
      <c r="X55" s="41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</row>
    <row r="56" spans="1:64" x14ac:dyDescent="0.2">
      <c r="A56" s="7"/>
      <c r="B56" s="7">
        <v>2026</v>
      </c>
      <c r="C56" s="7">
        <v>4</v>
      </c>
      <c r="D56" s="7">
        <v>208</v>
      </c>
      <c r="E56" s="123">
        <f>central_SIPA_income!B49</f>
        <v>27444877.4028496</v>
      </c>
      <c r="F56" s="123">
        <f>central_SIPA_income!I49</f>
        <v>142151.10827267301</v>
      </c>
      <c r="G56" s="41">
        <f t="shared" si="7"/>
        <v>27345371.62705873</v>
      </c>
      <c r="H56" s="41"/>
      <c r="I56" s="41"/>
      <c r="J56" s="41">
        <f t="shared" si="6"/>
        <v>104557398.48590511</v>
      </c>
      <c r="K56" s="9"/>
      <c r="L56" s="41"/>
      <c r="M56" s="41">
        <f t="shared" si="5"/>
        <v>357042.6006792307</v>
      </c>
      <c r="N56" s="41"/>
      <c r="O56" s="7"/>
      <c r="P56" s="7"/>
      <c r="Q56" s="41"/>
      <c r="R56" s="41"/>
      <c r="S56" s="41"/>
      <c r="T56" s="7"/>
      <c r="U56" s="7"/>
      <c r="V56" s="41"/>
      <c r="W56" s="41"/>
      <c r="X56" s="41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</row>
    <row r="57" spans="1:64" x14ac:dyDescent="0.2">
      <c r="A57" s="119"/>
      <c r="B57" s="119">
        <v>2027</v>
      </c>
      <c r="C57" s="5">
        <v>1</v>
      </c>
      <c r="D57" s="119">
        <v>209</v>
      </c>
      <c r="E57" s="121">
        <f>central_SIPA_income!B50</f>
        <v>24016579.6394003</v>
      </c>
      <c r="F57" s="121">
        <f>central_SIPA_income!I50</f>
        <v>137312.09448640101</v>
      </c>
      <c r="G57" s="8">
        <f t="shared" si="7"/>
        <v>23920461.173259821</v>
      </c>
      <c r="H57" s="8"/>
      <c r="I57" s="8"/>
      <c r="J57" s="8">
        <f t="shared" si="6"/>
        <v>91461956.522993594</v>
      </c>
      <c r="K57" s="6"/>
      <c r="L57" s="8"/>
      <c r="M57" s="8">
        <f t="shared" si="5"/>
        <v>344888.39317450213</v>
      </c>
      <c r="N57" s="8"/>
      <c r="O57" s="5"/>
      <c r="P57" s="5"/>
      <c r="Q57" s="8"/>
      <c r="R57" s="8"/>
      <c r="S57" s="8"/>
      <c r="T57" s="5"/>
      <c r="U57" s="5"/>
      <c r="V57" s="8"/>
      <c r="W57" s="8"/>
      <c r="X57" s="8"/>
      <c r="Y57" s="119"/>
      <c r="Z57" s="119"/>
      <c r="AA57" s="119"/>
      <c r="AB57" s="119"/>
      <c r="AC57" s="119"/>
      <c r="AD57" s="119"/>
      <c r="AE57" s="119"/>
      <c r="AF57" s="119"/>
      <c r="AG57" s="119"/>
      <c r="AH57" s="119"/>
      <c r="AI57" s="119"/>
      <c r="AJ57" s="119"/>
      <c r="AK57" s="119"/>
      <c r="AL57" s="119"/>
      <c r="AM57" s="119"/>
      <c r="AN57" s="119"/>
      <c r="AO57" s="119"/>
      <c r="AP57" s="119"/>
      <c r="AQ57" s="119"/>
      <c r="AR57" s="119"/>
      <c r="AS57" s="119"/>
      <c r="AT57" s="119"/>
      <c r="AU57" s="119"/>
      <c r="AV57" s="119"/>
      <c r="AW57" s="119"/>
      <c r="AX57" s="119"/>
      <c r="AY57" s="119"/>
      <c r="AZ57" s="119"/>
      <c r="BA57" s="119"/>
      <c r="BB57" s="119"/>
      <c r="BC57" s="119"/>
      <c r="BD57" s="119"/>
      <c r="BE57" s="119"/>
      <c r="BF57" s="119"/>
      <c r="BG57" s="119"/>
      <c r="BH57" s="119"/>
      <c r="BI57" s="119"/>
      <c r="BJ57" s="119"/>
      <c r="BK57" s="119"/>
      <c r="BL57" s="119"/>
    </row>
    <row r="58" spans="1:64" x14ac:dyDescent="0.2">
      <c r="A58" s="7"/>
      <c r="B58" s="7">
        <v>2027</v>
      </c>
      <c r="C58" s="7">
        <v>2</v>
      </c>
      <c r="D58" s="7">
        <v>210</v>
      </c>
      <c r="E58" s="123">
        <f>central_SIPA_income!B51</f>
        <v>27690646.298811801</v>
      </c>
      <c r="F58" s="123">
        <f>central_SIPA_income!I51</f>
        <v>142728.09060937801</v>
      </c>
      <c r="G58" s="41">
        <f t="shared" si="7"/>
        <v>27590736.635385238</v>
      </c>
      <c r="H58" s="41"/>
      <c r="I58" s="41"/>
      <c r="J58" s="41">
        <f t="shared" si="6"/>
        <v>105495572.86144391</v>
      </c>
      <c r="K58" s="9"/>
      <c r="L58" s="41"/>
      <c r="M58" s="41">
        <f t="shared" si="5"/>
        <v>358491.81396041013</v>
      </c>
      <c r="N58" s="41"/>
      <c r="O58" s="7"/>
      <c r="P58" s="7"/>
      <c r="Q58" s="41"/>
      <c r="R58" s="41"/>
      <c r="S58" s="41"/>
      <c r="T58" s="7"/>
      <c r="U58" s="7"/>
      <c r="V58" s="41"/>
      <c r="W58" s="41"/>
      <c r="X58" s="41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</row>
    <row r="59" spans="1:64" x14ac:dyDescent="0.2">
      <c r="A59" s="7"/>
      <c r="B59" s="7">
        <v>2027</v>
      </c>
      <c r="C59" s="7">
        <v>3</v>
      </c>
      <c r="D59" s="7">
        <v>211</v>
      </c>
      <c r="E59" s="123">
        <f>central_SIPA_income!B52</f>
        <v>24444014.501179099</v>
      </c>
      <c r="F59" s="123">
        <f>central_SIPA_income!I52</f>
        <v>141640.719691356</v>
      </c>
      <c r="G59" s="41">
        <f t="shared" si="7"/>
        <v>24344865.99739515</v>
      </c>
      <c r="H59" s="41"/>
      <c r="I59" s="41"/>
      <c r="J59" s="41">
        <f t="shared" si="6"/>
        <v>93084705.151962623</v>
      </c>
      <c r="K59" s="9"/>
      <c r="L59" s="41"/>
      <c r="M59" s="41">
        <f t="shared" si="5"/>
        <v>355760.65171207348</v>
      </c>
      <c r="N59" s="41"/>
      <c r="O59" s="7"/>
      <c r="P59" s="7"/>
      <c r="Q59" s="41"/>
      <c r="R59" s="41"/>
      <c r="S59" s="41"/>
      <c r="T59" s="7"/>
      <c r="U59" s="7"/>
      <c r="V59" s="41"/>
      <c r="W59" s="41"/>
      <c r="X59" s="41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</row>
    <row r="60" spans="1:64" x14ac:dyDescent="0.2">
      <c r="A60" s="7"/>
      <c r="B60" s="7">
        <v>2027</v>
      </c>
      <c r="C60" s="7">
        <v>4</v>
      </c>
      <c r="D60" s="7">
        <v>212</v>
      </c>
      <c r="E60" s="123">
        <f>central_SIPA_income!B53</f>
        <v>28165882.949161299</v>
      </c>
      <c r="F60" s="123">
        <f>central_SIPA_income!I53</f>
        <v>139903.61532446</v>
      </c>
      <c r="G60" s="41">
        <f t="shared" si="7"/>
        <v>28067950.418434177</v>
      </c>
      <c r="H60" s="41"/>
      <c r="I60" s="41"/>
      <c r="J60" s="41">
        <f t="shared" si="6"/>
        <v>107320241.12186137</v>
      </c>
      <c r="K60" s="9"/>
      <c r="L60" s="41"/>
      <c r="M60" s="41">
        <f t="shared" si="5"/>
        <v>351397.54636351654</v>
      </c>
      <c r="N60" s="41"/>
      <c r="O60" s="7"/>
      <c r="P60" s="7"/>
      <c r="Q60" s="41"/>
      <c r="R60" s="41"/>
      <c r="S60" s="41"/>
      <c r="T60" s="7"/>
      <c r="U60" s="7"/>
      <c r="V60" s="41"/>
      <c r="W60" s="41"/>
      <c r="X60" s="41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</row>
    <row r="61" spans="1:64" x14ac:dyDescent="0.2">
      <c r="A61" s="119"/>
      <c r="B61" s="119">
        <v>2028</v>
      </c>
      <c r="C61" s="5">
        <v>1</v>
      </c>
      <c r="D61" s="119">
        <v>213</v>
      </c>
      <c r="E61" s="121">
        <f>central_SIPA_income!B54</f>
        <v>24784140.177520402</v>
      </c>
      <c r="F61" s="121">
        <f>central_SIPA_income!I54</f>
        <v>142654.11143291701</v>
      </c>
      <c r="G61" s="8">
        <f t="shared" si="7"/>
        <v>24684282.29951736</v>
      </c>
      <c r="H61" s="8"/>
      <c r="I61" s="8"/>
      <c r="J61" s="8">
        <f t="shared" si="6"/>
        <v>94382492.800914809</v>
      </c>
      <c r="K61" s="6"/>
      <c r="L61" s="8"/>
      <c r="M61" s="8">
        <f t="shared" si="5"/>
        <v>358305.99959792854</v>
      </c>
      <c r="N61" s="8"/>
      <c r="O61" s="5"/>
      <c r="P61" s="5"/>
      <c r="Q61" s="8"/>
      <c r="R61" s="8"/>
      <c r="S61" s="8"/>
      <c r="T61" s="5"/>
      <c r="U61" s="5"/>
      <c r="V61" s="8"/>
      <c r="W61" s="8"/>
      <c r="X61" s="8"/>
      <c r="Y61" s="119"/>
      <c r="Z61" s="119"/>
      <c r="AA61" s="119"/>
      <c r="AB61" s="119"/>
      <c r="AC61" s="119"/>
      <c r="AD61" s="119"/>
      <c r="AE61" s="119"/>
      <c r="AF61" s="119"/>
      <c r="AG61" s="119"/>
      <c r="AH61" s="119"/>
      <c r="AI61" s="119"/>
      <c r="AJ61" s="119"/>
      <c r="AK61" s="119"/>
      <c r="AL61" s="119"/>
      <c r="AM61" s="119"/>
      <c r="AN61" s="119"/>
      <c r="AO61" s="119"/>
      <c r="AP61" s="119"/>
      <c r="AQ61" s="119"/>
      <c r="AR61" s="119"/>
      <c r="AS61" s="119"/>
      <c r="AT61" s="119"/>
      <c r="AU61" s="119"/>
      <c r="AV61" s="119"/>
      <c r="AW61" s="119"/>
      <c r="AX61" s="119"/>
      <c r="AY61" s="119"/>
      <c r="AZ61" s="119"/>
      <c r="BA61" s="119"/>
      <c r="BB61" s="119"/>
      <c r="BC61" s="119"/>
      <c r="BD61" s="119"/>
      <c r="BE61" s="119"/>
      <c r="BF61" s="119"/>
      <c r="BG61" s="119"/>
      <c r="BH61" s="119"/>
      <c r="BI61" s="119"/>
      <c r="BJ61" s="119"/>
      <c r="BK61" s="119"/>
      <c r="BL61" s="119"/>
    </row>
    <row r="62" spans="1:64" x14ac:dyDescent="0.2">
      <c r="A62" s="7"/>
      <c r="B62" s="7">
        <v>2028</v>
      </c>
      <c r="C62" s="7">
        <v>2</v>
      </c>
      <c r="D62" s="7">
        <v>214</v>
      </c>
      <c r="E62" s="123">
        <f>central_SIPA_income!B55</f>
        <v>28736206.5163876</v>
      </c>
      <c r="F62" s="123">
        <f>central_SIPA_income!I55</f>
        <v>146014.60762180301</v>
      </c>
      <c r="G62" s="41">
        <f t="shared" si="7"/>
        <v>28633996.291052338</v>
      </c>
      <c r="H62" s="41"/>
      <c r="I62" s="41"/>
      <c r="J62" s="41">
        <f t="shared" si="6"/>
        <v>109484566.57597496</v>
      </c>
      <c r="K62" s="9"/>
      <c r="L62" s="41"/>
      <c r="M62" s="41">
        <f t="shared" si="5"/>
        <v>366746.59716647491</v>
      </c>
      <c r="N62" s="41"/>
      <c r="O62" s="7"/>
      <c r="P62" s="7"/>
      <c r="Q62" s="41"/>
      <c r="R62" s="41"/>
      <c r="S62" s="41"/>
      <c r="T62" s="7"/>
      <c r="U62" s="7"/>
      <c r="V62" s="41"/>
      <c r="W62" s="41"/>
      <c r="X62" s="41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</row>
    <row r="63" spans="1:64" x14ac:dyDescent="0.2">
      <c r="A63" s="7"/>
      <c r="B63" s="7">
        <v>2028</v>
      </c>
      <c r="C63" s="7">
        <v>3</v>
      </c>
      <c r="D63" s="7">
        <v>215</v>
      </c>
      <c r="E63" s="123">
        <f>central_SIPA_income!B56</f>
        <v>25145926.8458919</v>
      </c>
      <c r="F63" s="123">
        <f>central_SIPA_income!I56</f>
        <v>149285.658703861</v>
      </c>
      <c r="G63" s="41">
        <f t="shared" si="7"/>
        <v>25041426.884799197</v>
      </c>
      <c r="H63" s="41"/>
      <c r="I63" s="41"/>
      <c r="J63" s="41">
        <f t="shared" si="6"/>
        <v>95748066.077068269</v>
      </c>
      <c r="K63" s="9"/>
      <c r="L63" s="41"/>
      <c r="M63" s="41">
        <f t="shared" si="5"/>
        <v>374962.53441440925</v>
      </c>
      <c r="N63" s="41"/>
      <c r="O63" s="7"/>
      <c r="P63" s="7"/>
      <c r="Q63" s="41"/>
      <c r="R63" s="41"/>
      <c r="S63" s="41"/>
      <c r="T63" s="7"/>
      <c r="U63" s="7"/>
      <c r="V63" s="41"/>
      <c r="W63" s="41"/>
      <c r="X63" s="41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</row>
    <row r="64" spans="1:64" x14ac:dyDescent="0.2">
      <c r="A64" s="7"/>
      <c r="B64" s="7">
        <v>2028</v>
      </c>
      <c r="C64" s="7">
        <v>4</v>
      </c>
      <c r="D64" s="7">
        <v>216</v>
      </c>
      <c r="E64" s="123">
        <f>central_SIPA_income!B57</f>
        <v>29227010.7126064</v>
      </c>
      <c r="F64" s="123">
        <f>central_SIPA_income!I57</f>
        <v>153745.935074471</v>
      </c>
      <c r="G64" s="41">
        <f t="shared" si="7"/>
        <v>29119388.558054272</v>
      </c>
      <c r="H64" s="41"/>
      <c r="I64" s="41"/>
      <c r="J64" s="41">
        <f t="shared" si="6"/>
        <v>111340505.9786298</v>
      </c>
      <c r="K64" s="9"/>
      <c r="L64" s="41"/>
      <c r="M64" s="41">
        <f t="shared" si="5"/>
        <v>386165.46272402169</v>
      </c>
      <c r="N64" s="41"/>
      <c r="O64" s="7"/>
      <c r="P64" s="7"/>
      <c r="Q64" s="41"/>
      <c r="R64" s="41"/>
      <c r="S64" s="41"/>
      <c r="T64" s="7"/>
      <c r="U64" s="7"/>
      <c r="V64" s="41"/>
      <c r="W64" s="41"/>
      <c r="X64" s="41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</row>
    <row r="65" spans="1:64" x14ac:dyDescent="0.2">
      <c r="A65" s="119"/>
      <c r="B65" s="119">
        <v>2029</v>
      </c>
      <c r="C65" s="5">
        <v>1</v>
      </c>
      <c r="D65" s="119">
        <v>217</v>
      </c>
      <c r="E65" s="121">
        <f>central_SIPA_income!B58</f>
        <v>25707831.866420101</v>
      </c>
      <c r="F65" s="121">
        <f>central_SIPA_income!I58</f>
        <v>151796.611461016</v>
      </c>
      <c r="G65" s="8">
        <f t="shared" si="7"/>
        <v>25601574.23839739</v>
      </c>
      <c r="H65" s="8"/>
      <c r="I65" s="8"/>
      <c r="J65" s="8">
        <f t="shared" si="6"/>
        <v>97889838.032474339</v>
      </c>
      <c r="K65" s="6"/>
      <c r="L65" s="8"/>
      <c r="M65" s="8">
        <f t="shared" si="5"/>
        <v>381269.32381261507</v>
      </c>
      <c r="N65" s="8"/>
      <c r="O65" s="5"/>
      <c r="P65" s="5"/>
      <c r="Q65" s="8"/>
      <c r="R65" s="8"/>
      <c r="S65" s="8"/>
      <c r="T65" s="5"/>
      <c r="U65" s="5"/>
      <c r="V65" s="8"/>
      <c r="W65" s="8"/>
      <c r="X65" s="8"/>
      <c r="Y65" s="119"/>
      <c r="Z65" s="119"/>
      <c r="AA65" s="119"/>
      <c r="AB65" s="119"/>
      <c r="AC65" s="119"/>
      <c r="AD65" s="119"/>
      <c r="AE65" s="119"/>
      <c r="AF65" s="119"/>
      <c r="AG65" s="119"/>
      <c r="AH65" s="119"/>
      <c r="AI65" s="119"/>
      <c r="AJ65" s="119"/>
      <c r="AK65" s="119"/>
      <c r="AL65" s="119"/>
      <c r="AM65" s="119"/>
      <c r="AN65" s="119"/>
      <c r="AO65" s="119"/>
      <c r="AP65" s="119"/>
      <c r="AQ65" s="119"/>
      <c r="AR65" s="119"/>
      <c r="AS65" s="119"/>
      <c r="AT65" s="119"/>
      <c r="AU65" s="119"/>
      <c r="AV65" s="119"/>
      <c r="AW65" s="119"/>
      <c r="AX65" s="119"/>
      <c r="AY65" s="119"/>
      <c r="AZ65" s="119"/>
      <c r="BA65" s="119"/>
      <c r="BB65" s="119"/>
      <c r="BC65" s="119"/>
      <c r="BD65" s="119"/>
      <c r="BE65" s="119"/>
      <c r="BF65" s="119"/>
      <c r="BG65" s="119"/>
      <c r="BH65" s="119"/>
      <c r="BI65" s="119"/>
      <c r="BJ65" s="119"/>
      <c r="BK65" s="119"/>
      <c r="BL65" s="119"/>
    </row>
    <row r="66" spans="1:64" x14ac:dyDescent="0.2">
      <c r="A66" s="7"/>
      <c r="B66" s="7">
        <v>2029</v>
      </c>
      <c r="C66" s="7">
        <v>2</v>
      </c>
      <c r="D66" s="7">
        <v>218</v>
      </c>
      <c r="E66" s="123">
        <f>central_SIPA_income!B59</f>
        <v>29788960.158314601</v>
      </c>
      <c r="F66" s="123">
        <f>central_SIPA_income!I59</f>
        <v>156929.248530132</v>
      </c>
      <c r="G66" s="41">
        <f t="shared" si="7"/>
        <v>29679109.684343509</v>
      </c>
      <c r="H66" s="41"/>
      <c r="I66" s="41"/>
      <c r="J66" s="41">
        <f t="shared" si="6"/>
        <v>113480648.21697824</v>
      </c>
      <c r="K66" s="9"/>
      <c r="L66" s="41"/>
      <c r="M66" s="41">
        <f t="shared" si="5"/>
        <v>394161.02834990638</v>
      </c>
      <c r="N66" s="41"/>
      <c r="O66" s="7"/>
      <c r="P66" s="7"/>
      <c r="Q66" s="41"/>
      <c r="R66" s="41"/>
      <c r="S66" s="41"/>
      <c r="T66" s="7"/>
      <c r="U66" s="7"/>
      <c r="V66" s="41"/>
      <c r="W66" s="41"/>
      <c r="X66" s="41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</row>
    <row r="67" spans="1:64" x14ac:dyDescent="0.2">
      <c r="A67" s="7"/>
      <c r="B67" s="7">
        <v>2029</v>
      </c>
      <c r="C67" s="7">
        <v>3</v>
      </c>
      <c r="D67" s="7">
        <v>219</v>
      </c>
      <c r="E67" s="123">
        <f>central_SIPA_income!B60</f>
        <v>26098852.541577298</v>
      </c>
      <c r="F67" s="123">
        <f>central_SIPA_income!I60</f>
        <v>158247.45752735401</v>
      </c>
      <c r="G67" s="41">
        <f t="shared" si="7"/>
        <v>25988079.321308151</v>
      </c>
      <c r="H67" s="41"/>
      <c r="I67" s="41"/>
      <c r="J67" s="41">
        <f t="shared" si="6"/>
        <v>99367673.71603623</v>
      </c>
      <c r="K67" s="9"/>
      <c r="L67" s="41"/>
      <c r="M67" s="41">
        <f t="shared" ref="M67:M98" si="8">F67*2.511711692</f>
        <v>397471.98930072848</v>
      </c>
      <c r="N67" s="41"/>
      <c r="O67" s="7"/>
      <c r="P67" s="7"/>
      <c r="Q67" s="41"/>
      <c r="R67" s="41"/>
      <c r="S67" s="41"/>
      <c r="T67" s="7"/>
      <c r="U67" s="7"/>
      <c r="V67" s="41"/>
      <c r="W67" s="41"/>
      <c r="X67" s="41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</row>
    <row r="68" spans="1:64" x14ac:dyDescent="0.2">
      <c r="A68" s="7"/>
      <c r="B68" s="7">
        <v>2029</v>
      </c>
      <c r="C68" s="7">
        <v>4</v>
      </c>
      <c r="D68" s="7">
        <v>220</v>
      </c>
      <c r="E68" s="123">
        <f>central_SIPA_income!B61</f>
        <v>30209957.1440637</v>
      </c>
      <c r="F68" s="123">
        <f>central_SIPA_income!I61</f>
        <v>158506.424665214</v>
      </c>
      <c r="G68" s="41">
        <f t="shared" si="7"/>
        <v>30099002.646798052</v>
      </c>
      <c r="H68" s="41"/>
      <c r="I68" s="41"/>
      <c r="J68" s="41">
        <f t="shared" ref="J68:J99" si="9">G68*3.8235866717</f>
        <v>115086145.35176006</v>
      </c>
      <c r="K68" s="9"/>
      <c r="L68" s="41"/>
      <c r="M68" s="41">
        <f t="shared" si="8"/>
        <v>398122.44008873519</v>
      </c>
      <c r="N68" s="41"/>
      <c r="O68" s="7"/>
      <c r="P68" s="7"/>
      <c r="Q68" s="41"/>
      <c r="R68" s="41"/>
      <c r="S68" s="41"/>
      <c r="T68" s="7"/>
      <c r="U68" s="7"/>
      <c r="V68" s="41"/>
      <c r="W68" s="41"/>
      <c r="X68" s="41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</row>
    <row r="69" spans="1:64" x14ac:dyDescent="0.2">
      <c r="A69" s="119"/>
      <c r="B69" s="119">
        <v>2030</v>
      </c>
      <c r="C69" s="5">
        <v>1</v>
      </c>
      <c r="D69" s="119">
        <v>221</v>
      </c>
      <c r="E69" s="121">
        <f>central_SIPA_income!B62</f>
        <v>26548835.834375098</v>
      </c>
      <c r="F69" s="121">
        <f>central_SIPA_income!I62</f>
        <v>162095.948084612</v>
      </c>
      <c r="G69" s="8">
        <f t="shared" si="7"/>
        <v>26435368.670715868</v>
      </c>
      <c r="H69" s="8"/>
      <c r="I69" s="8"/>
      <c r="J69" s="8">
        <f t="shared" si="9"/>
        <v>101077923.31082495</v>
      </c>
      <c r="K69" s="6"/>
      <c r="L69" s="8"/>
      <c r="M69" s="8">
        <f t="shared" si="8"/>
        <v>407138.28802994499</v>
      </c>
      <c r="N69" s="8"/>
      <c r="O69" s="5"/>
      <c r="P69" s="5"/>
      <c r="Q69" s="8"/>
      <c r="R69" s="8"/>
      <c r="S69" s="8"/>
      <c r="T69" s="5"/>
      <c r="U69" s="5"/>
      <c r="V69" s="8"/>
      <c r="W69" s="8"/>
      <c r="X69" s="8"/>
      <c r="Y69" s="119"/>
      <c r="Z69" s="119"/>
      <c r="AA69" s="119"/>
      <c r="AB69" s="119"/>
      <c r="AC69" s="119"/>
      <c r="AD69" s="119"/>
      <c r="AE69" s="119"/>
      <c r="AF69" s="119"/>
      <c r="AG69" s="119"/>
      <c r="AH69" s="119"/>
      <c r="AI69" s="119"/>
      <c r="AJ69" s="119"/>
      <c r="AK69" s="119"/>
      <c r="AL69" s="119"/>
      <c r="AM69" s="119"/>
      <c r="AN69" s="119"/>
      <c r="AO69" s="119"/>
      <c r="AP69" s="119"/>
      <c r="AQ69" s="119"/>
      <c r="AR69" s="119"/>
      <c r="AS69" s="119"/>
      <c r="AT69" s="119"/>
      <c r="AU69" s="119"/>
      <c r="AV69" s="119"/>
      <c r="AW69" s="119"/>
      <c r="AX69" s="119"/>
      <c r="AY69" s="119"/>
      <c r="AZ69" s="119"/>
      <c r="BA69" s="119"/>
      <c r="BB69" s="119"/>
      <c r="BC69" s="119"/>
      <c r="BD69" s="119"/>
      <c r="BE69" s="119"/>
      <c r="BF69" s="119"/>
      <c r="BG69" s="119"/>
      <c r="BH69" s="119"/>
      <c r="BI69" s="119"/>
      <c r="BJ69" s="119"/>
      <c r="BK69" s="119"/>
      <c r="BL69" s="119"/>
    </row>
    <row r="70" spans="1:64" x14ac:dyDescent="0.2">
      <c r="A70" s="7"/>
      <c r="B70" s="7">
        <v>2030</v>
      </c>
      <c r="C70" s="7">
        <v>2</v>
      </c>
      <c r="D70" s="7">
        <v>222</v>
      </c>
      <c r="E70" s="123">
        <f>central_SIPA_income!B63</f>
        <v>30838490.244638398</v>
      </c>
      <c r="F70" s="123">
        <f>central_SIPA_income!I63</f>
        <v>157603.09447790199</v>
      </c>
      <c r="G70" s="41">
        <f t="shared" si="7"/>
        <v>30728168.078503866</v>
      </c>
      <c r="H70" s="41"/>
      <c r="I70" s="41"/>
      <c r="J70" s="41">
        <f t="shared" si="9"/>
        <v>117491813.91072479</v>
      </c>
      <c r="K70" s="9"/>
      <c r="L70" s="41"/>
      <c r="M70" s="41">
        <f t="shared" si="8"/>
        <v>395853.53509552707</v>
      </c>
      <c r="N70" s="41"/>
      <c r="O70" s="7"/>
      <c r="P70" s="7"/>
      <c r="Q70" s="41"/>
      <c r="R70" s="41"/>
      <c r="S70" s="41"/>
      <c r="T70" s="7"/>
      <c r="U70" s="7"/>
      <c r="V70" s="41"/>
      <c r="W70" s="41"/>
      <c r="X70" s="41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</row>
    <row r="71" spans="1:64" x14ac:dyDescent="0.2">
      <c r="A71" s="7"/>
      <c r="B71" s="7">
        <v>2030</v>
      </c>
      <c r="C71" s="7">
        <v>3</v>
      </c>
      <c r="D71" s="7">
        <v>223</v>
      </c>
      <c r="E71" s="123">
        <f>central_SIPA_income!B64</f>
        <v>26981382.4138695</v>
      </c>
      <c r="F71" s="123">
        <f>central_SIPA_income!I64</f>
        <v>155099.12812411899</v>
      </c>
      <c r="G71" s="41">
        <f t="shared" si="7"/>
        <v>26872813.024182618</v>
      </c>
      <c r="H71" s="41"/>
      <c r="I71" s="41"/>
      <c r="J71" s="41">
        <f t="shared" si="9"/>
        <v>102750529.71035083</v>
      </c>
      <c r="K71" s="9"/>
      <c r="L71" s="41"/>
      <c r="M71" s="41">
        <f t="shared" si="8"/>
        <v>389564.29352835566</v>
      </c>
      <c r="N71" s="41"/>
      <c r="O71" s="7"/>
      <c r="P71" s="7"/>
      <c r="Q71" s="41"/>
      <c r="R71" s="41"/>
      <c r="S71" s="41"/>
      <c r="T71" s="7"/>
      <c r="U71" s="7"/>
      <c r="V71" s="41"/>
      <c r="W71" s="41"/>
      <c r="X71" s="41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</row>
    <row r="72" spans="1:64" x14ac:dyDescent="0.2">
      <c r="A72" s="7"/>
      <c r="B72" s="7">
        <v>2030</v>
      </c>
      <c r="C72" s="7">
        <v>4</v>
      </c>
      <c r="D72" s="7">
        <v>224</v>
      </c>
      <c r="E72" s="123">
        <f>central_SIPA_income!B65</f>
        <v>31258112.980022199</v>
      </c>
      <c r="F72" s="123">
        <f>central_SIPA_income!I65</f>
        <v>158092.074078818</v>
      </c>
      <c r="G72" s="41">
        <f t="shared" si="7"/>
        <v>31147448.528167028</v>
      </c>
      <c r="H72" s="41"/>
      <c r="I72" s="41"/>
      <c r="J72" s="41">
        <f t="shared" si="9"/>
        <v>119094969.04976124</v>
      </c>
      <c r="K72" s="9"/>
      <c r="L72" s="41"/>
      <c r="M72" s="41">
        <f t="shared" si="8"/>
        <v>397081.71087629726</v>
      </c>
      <c r="N72" s="41"/>
      <c r="O72" s="7"/>
      <c r="P72" s="7"/>
      <c r="Q72" s="41"/>
      <c r="R72" s="41"/>
      <c r="S72" s="41"/>
      <c r="T72" s="7"/>
      <c r="U72" s="7"/>
      <c r="V72" s="41"/>
      <c r="W72" s="41"/>
      <c r="X72" s="41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</row>
    <row r="73" spans="1:64" x14ac:dyDescent="0.2">
      <c r="A73" s="119"/>
      <c r="B73" s="119">
        <v>2031</v>
      </c>
      <c r="C73" s="5">
        <v>1</v>
      </c>
      <c r="D73" s="119">
        <v>225</v>
      </c>
      <c r="E73" s="121">
        <f>central_SIPA_income!B66</f>
        <v>27267604.174451102</v>
      </c>
      <c r="F73" s="121">
        <f>central_SIPA_income!I66</f>
        <v>155267.861550881</v>
      </c>
      <c r="G73" s="8">
        <f t="shared" ref="G73:G104" si="10">E73-F73*0.7</f>
        <v>27158916.671365485</v>
      </c>
      <c r="H73" s="8"/>
      <c r="I73" s="8"/>
      <c r="J73" s="8">
        <f t="shared" si="9"/>
        <v>103844471.802444</v>
      </c>
      <c r="K73" s="6"/>
      <c r="L73" s="8"/>
      <c r="M73" s="8">
        <f t="shared" si="8"/>
        <v>389988.10324918508</v>
      </c>
      <c r="N73" s="8"/>
      <c r="O73" s="5"/>
      <c r="P73" s="5"/>
      <c r="Q73" s="8"/>
      <c r="R73" s="8"/>
      <c r="S73" s="8"/>
      <c r="T73" s="5"/>
      <c r="U73" s="5"/>
      <c r="V73" s="8"/>
      <c r="W73" s="8"/>
      <c r="X73" s="8"/>
      <c r="Y73" s="119"/>
      <c r="Z73" s="119"/>
      <c r="AA73" s="119"/>
      <c r="AB73" s="119"/>
      <c r="AC73" s="119"/>
      <c r="AD73" s="119"/>
      <c r="AE73" s="119"/>
      <c r="AF73" s="119"/>
      <c r="AG73" s="119"/>
      <c r="AH73" s="119"/>
      <c r="AI73" s="119"/>
      <c r="AJ73" s="119"/>
      <c r="AK73" s="119"/>
      <c r="AL73" s="119"/>
      <c r="AM73" s="119"/>
      <c r="AN73" s="119"/>
      <c r="AO73" s="119"/>
      <c r="AP73" s="119"/>
      <c r="AQ73" s="119"/>
      <c r="AR73" s="119"/>
      <c r="AS73" s="119"/>
      <c r="AT73" s="119"/>
      <c r="AU73" s="119"/>
      <c r="AV73" s="119"/>
      <c r="AW73" s="119"/>
      <c r="AX73" s="119"/>
      <c r="AY73" s="119"/>
      <c r="AZ73" s="119"/>
      <c r="BA73" s="119"/>
      <c r="BB73" s="119"/>
      <c r="BC73" s="119"/>
      <c r="BD73" s="119"/>
      <c r="BE73" s="119"/>
      <c r="BF73" s="119"/>
      <c r="BG73" s="119"/>
      <c r="BH73" s="119"/>
      <c r="BI73" s="119"/>
      <c r="BJ73" s="119"/>
      <c r="BK73" s="119"/>
      <c r="BL73" s="119"/>
    </row>
    <row r="74" spans="1:64" x14ac:dyDescent="0.2">
      <c r="A74" s="7"/>
      <c r="B74" s="7">
        <v>2031</v>
      </c>
      <c r="C74" s="7">
        <v>2</v>
      </c>
      <c r="D74" s="7">
        <v>226</v>
      </c>
      <c r="E74" s="123">
        <f>central_SIPA_income!B67</f>
        <v>31550895.0756502</v>
      </c>
      <c r="F74" s="123">
        <f>central_SIPA_income!I67</f>
        <v>155143.468284364</v>
      </c>
      <c r="G74" s="41">
        <f t="shared" si="10"/>
        <v>31442294.647851147</v>
      </c>
      <c r="H74" s="41"/>
      <c r="I74" s="41"/>
      <c r="J74" s="41">
        <f t="shared" si="9"/>
        <v>120222338.74318789</v>
      </c>
      <c r="K74" s="9"/>
      <c r="L74" s="41"/>
      <c r="M74" s="41">
        <f t="shared" si="8"/>
        <v>389675.66322726826</v>
      </c>
      <c r="N74" s="41"/>
      <c r="O74" s="7"/>
      <c r="P74" s="7"/>
      <c r="Q74" s="41"/>
      <c r="R74" s="41"/>
      <c r="S74" s="41"/>
      <c r="T74" s="7"/>
      <c r="U74" s="7"/>
      <c r="V74" s="41"/>
      <c r="W74" s="41"/>
      <c r="X74" s="41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</row>
    <row r="75" spans="1:64" x14ac:dyDescent="0.2">
      <c r="A75" s="7"/>
      <c r="B75" s="7">
        <v>2031</v>
      </c>
      <c r="C75" s="7">
        <v>3</v>
      </c>
      <c r="D75" s="7">
        <v>227</v>
      </c>
      <c r="E75" s="123">
        <f>central_SIPA_income!B68</f>
        <v>27643646.183416899</v>
      </c>
      <c r="F75" s="123">
        <f>central_SIPA_income!I68</f>
        <v>164451.74242129401</v>
      </c>
      <c r="G75" s="41">
        <f t="shared" si="10"/>
        <v>27528529.963721994</v>
      </c>
      <c r="H75" s="41"/>
      <c r="I75" s="41"/>
      <c r="J75" s="41">
        <f t="shared" si="9"/>
        <v>105257720.26078151</v>
      </c>
      <c r="K75" s="9"/>
      <c r="L75" s="41"/>
      <c r="M75" s="41">
        <f t="shared" si="8"/>
        <v>413055.36420933658</v>
      </c>
      <c r="N75" s="41"/>
      <c r="O75" s="7"/>
      <c r="P75" s="7"/>
      <c r="Q75" s="41"/>
      <c r="R75" s="41"/>
      <c r="S75" s="41"/>
      <c r="T75" s="7"/>
      <c r="U75" s="7"/>
      <c r="V75" s="41"/>
      <c r="W75" s="41"/>
      <c r="X75" s="41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</row>
    <row r="76" spans="1:64" x14ac:dyDescent="0.2">
      <c r="A76" s="7"/>
      <c r="B76" s="7">
        <v>2031</v>
      </c>
      <c r="C76" s="7">
        <v>4</v>
      </c>
      <c r="D76" s="7">
        <v>228</v>
      </c>
      <c r="E76" s="123">
        <f>central_SIPA_income!B69</f>
        <v>32046990.165771302</v>
      </c>
      <c r="F76" s="123">
        <f>central_SIPA_income!I69</f>
        <v>167345.499121295</v>
      </c>
      <c r="G76" s="41">
        <f t="shared" si="10"/>
        <v>31929848.316386394</v>
      </c>
      <c r="H76" s="41"/>
      <c r="I76" s="41"/>
      <c r="J76" s="41">
        <f t="shared" si="9"/>
        <v>122086542.45193771</v>
      </c>
      <c r="K76" s="9"/>
      <c r="L76" s="41"/>
      <c r="M76" s="41">
        <f t="shared" si="8"/>
        <v>420323.64674653235</v>
      </c>
      <c r="N76" s="41"/>
      <c r="O76" s="7"/>
      <c r="P76" s="7"/>
      <c r="Q76" s="41"/>
      <c r="R76" s="41"/>
      <c r="S76" s="41"/>
      <c r="T76" s="7"/>
      <c r="U76" s="7"/>
      <c r="V76" s="41"/>
      <c r="W76" s="41"/>
      <c r="X76" s="41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</row>
    <row r="77" spans="1:64" x14ac:dyDescent="0.2">
      <c r="A77" s="119"/>
      <c r="B77" s="119">
        <v>2032</v>
      </c>
      <c r="C77" s="5">
        <v>1</v>
      </c>
      <c r="D77" s="119">
        <v>229</v>
      </c>
      <c r="E77" s="121">
        <f>central_SIPA_income!B70</f>
        <v>27966197.566740502</v>
      </c>
      <c r="F77" s="121">
        <f>central_SIPA_income!I70</f>
        <v>168910.46575440699</v>
      </c>
      <c r="G77" s="8">
        <f t="shared" si="10"/>
        <v>27847960.240712415</v>
      </c>
      <c r="H77" s="8"/>
      <c r="I77" s="8"/>
      <c r="J77" s="8">
        <f t="shared" si="9"/>
        <v>106479089.61041953</v>
      </c>
      <c r="K77" s="6"/>
      <c r="L77" s="8"/>
      <c r="M77" s="8">
        <f t="shared" si="8"/>
        <v>424254.39173650963</v>
      </c>
      <c r="N77" s="8"/>
      <c r="O77" s="5"/>
      <c r="P77" s="5"/>
      <c r="Q77" s="8"/>
      <c r="R77" s="8"/>
      <c r="S77" s="8"/>
      <c r="T77" s="5"/>
      <c r="U77" s="5"/>
      <c r="V77" s="8"/>
      <c r="W77" s="8"/>
      <c r="X77" s="8"/>
      <c r="Y77" s="119"/>
      <c r="Z77" s="119"/>
      <c r="AA77" s="119"/>
      <c r="AB77" s="119"/>
      <c r="AC77" s="119"/>
      <c r="AD77" s="119"/>
      <c r="AE77" s="119"/>
      <c r="AF77" s="119"/>
      <c r="AG77" s="119"/>
      <c r="AH77" s="119"/>
      <c r="AI77" s="119"/>
      <c r="AJ77" s="119"/>
      <c r="AK77" s="119"/>
      <c r="AL77" s="119"/>
      <c r="AM77" s="119"/>
      <c r="AN77" s="119"/>
      <c r="AO77" s="119"/>
      <c r="AP77" s="119"/>
      <c r="AQ77" s="119"/>
      <c r="AR77" s="119"/>
      <c r="AS77" s="119"/>
      <c r="AT77" s="119"/>
      <c r="AU77" s="119"/>
      <c r="AV77" s="119"/>
      <c r="AW77" s="119"/>
      <c r="AX77" s="119"/>
      <c r="AY77" s="119"/>
      <c r="AZ77" s="119"/>
      <c r="BA77" s="119"/>
      <c r="BB77" s="119"/>
      <c r="BC77" s="119"/>
      <c r="BD77" s="119"/>
      <c r="BE77" s="119"/>
      <c r="BF77" s="119"/>
      <c r="BG77" s="119"/>
      <c r="BH77" s="119"/>
      <c r="BI77" s="119"/>
      <c r="BJ77" s="119"/>
      <c r="BK77" s="119"/>
      <c r="BL77" s="119"/>
    </row>
    <row r="78" spans="1:64" x14ac:dyDescent="0.2">
      <c r="A78" s="7"/>
      <c r="B78" s="7">
        <v>2032</v>
      </c>
      <c r="C78" s="7">
        <v>2</v>
      </c>
      <c r="D78" s="7">
        <v>230</v>
      </c>
      <c r="E78" s="123">
        <f>central_SIPA_income!B71</f>
        <v>32139812.703242</v>
      </c>
      <c r="F78" s="123">
        <f>central_SIPA_income!I71</f>
        <v>174713.72534306199</v>
      </c>
      <c r="G78" s="41">
        <f t="shared" si="10"/>
        <v>32017513.095501855</v>
      </c>
      <c r="H78" s="41"/>
      <c r="I78" s="41"/>
      <c r="J78" s="41">
        <f t="shared" si="9"/>
        <v>122421736.33294111</v>
      </c>
      <c r="K78" s="9"/>
      <c r="L78" s="41"/>
      <c r="M78" s="41">
        <f t="shared" si="8"/>
        <v>438830.50669704552</v>
      </c>
      <c r="N78" s="41"/>
      <c r="O78" s="7"/>
      <c r="P78" s="7"/>
      <c r="Q78" s="41"/>
      <c r="R78" s="41"/>
      <c r="S78" s="41"/>
      <c r="T78" s="7"/>
      <c r="U78" s="7"/>
      <c r="V78" s="41"/>
      <c r="W78" s="41"/>
      <c r="X78" s="41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</row>
    <row r="79" spans="1:64" x14ac:dyDescent="0.2">
      <c r="A79" s="7"/>
      <c r="B79" s="7">
        <v>2032</v>
      </c>
      <c r="C79" s="7">
        <v>3</v>
      </c>
      <c r="D79" s="7">
        <v>231</v>
      </c>
      <c r="E79" s="123">
        <f>central_SIPA_income!B72</f>
        <v>28232722.220528599</v>
      </c>
      <c r="F79" s="123">
        <f>central_SIPA_income!I72</f>
        <v>174467.74735317199</v>
      </c>
      <c r="G79" s="41">
        <f t="shared" si="10"/>
        <v>28110594.797381379</v>
      </c>
      <c r="H79" s="41"/>
      <c r="I79" s="41"/>
      <c r="J79" s="41">
        <f t="shared" si="9"/>
        <v>107483295.60082681</v>
      </c>
      <c r="K79" s="9"/>
      <c r="L79" s="41"/>
      <c r="M79" s="41">
        <f t="shared" si="8"/>
        <v>438212.68090386415</v>
      </c>
      <c r="N79" s="41"/>
      <c r="O79" s="7"/>
      <c r="P79" s="7"/>
      <c r="Q79" s="41"/>
      <c r="R79" s="41"/>
      <c r="S79" s="41"/>
      <c r="T79" s="7"/>
      <c r="U79" s="7"/>
      <c r="V79" s="41"/>
      <c r="W79" s="41"/>
      <c r="X79" s="41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</row>
    <row r="80" spans="1:64" x14ac:dyDescent="0.2">
      <c r="A80" s="7"/>
      <c r="B80" s="7">
        <v>2032</v>
      </c>
      <c r="C80" s="7">
        <v>4</v>
      </c>
      <c r="D80" s="7">
        <v>232</v>
      </c>
      <c r="E80" s="123">
        <f>central_SIPA_income!B73</f>
        <v>32724137.664444301</v>
      </c>
      <c r="F80" s="123">
        <f>central_SIPA_income!I73</f>
        <v>166505.10198203399</v>
      </c>
      <c r="G80" s="41">
        <f t="shared" si="10"/>
        <v>32607584.093056876</v>
      </c>
      <c r="H80" s="41"/>
      <c r="I80" s="41"/>
      <c r="J80" s="41">
        <f t="shared" si="9"/>
        <v>124677923.93454921</v>
      </c>
      <c r="K80" s="9"/>
      <c r="L80" s="41"/>
      <c r="M80" s="41">
        <f t="shared" si="8"/>
        <v>418212.81142592715</v>
      </c>
      <c r="N80" s="41"/>
      <c r="O80" s="7"/>
      <c r="P80" s="7"/>
      <c r="Q80" s="41"/>
      <c r="R80" s="41"/>
      <c r="S80" s="41"/>
      <c r="T80" s="7"/>
      <c r="U80" s="7"/>
      <c r="V80" s="41"/>
      <c r="W80" s="41"/>
      <c r="X80" s="41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</row>
    <row r="81" spans="1:64" x14ac:dyDescent="0.2">
      <c r="A81" s="119"/>
      <c r="B81" s="119">
        <v>2033</v>
      </c>
      <c r="C81" s="5">
        <v>1</v>
      </c>
      <c r="D81" s="119">
        <v>233</v>
      </c>
      <c r="E81" s="121">
        <f>central_SIPA_income!B74</f>
        <v>28764944.216126502</v>
      </c>
      <c r="F81" s="121">
        <f>central_SIPA_income!I74</f>
        <v>165900.43420727801</v>
      </c>
      <c r="G81" s="8">
        <f t="shared" si="10"/>
        <v>28648813.912181407</v>
      </c>
      <c r="H81" s="8"/>
      <c r="I81" s="8"/>
      <c r="J81" s="8">
        <f t="shared" si="9"/>
        <v>109541223.03463037</v>
      </c>
      <c r="K81" s="6"/>
      <c r="L81" s="8"/>
      <c r="M81" s="8">
        <f t="shared" si="8"/>
        <v>416694.06030629692</v>
      </c>
      <c r="N81" s="8"/>
      <c r="O81" s="5"/>
      <c r="P81" s="5"/>
      <c r="Q81" s="8"/>
      <c r="R81" s="8"/>
      <c r="S81" s="8"/>
      <c r="T81" s="5"/>
      <c r="U81" s="5"/>
      <c r="V81" s="8"/>
      <c r="W81" s="8"/>
      <c r="X81" s="8"/>
      <c r="Y81" s="119"/>
      <c r="Z81" s="119"/>
      <c r="AA81" s="119"/>
      <c r="AB81" s="119"/>
      <c r="AC81" s="119"/>
      <c r="AD81" s="119"/>
      <c r="AE81" s="119"/>
      <c r="AF81" s="119"/>
      <c r="AG81" s="119"/>
      <c r="AH81" s="119"/>
      <c r="AI81" s="119"/>
      <c r="AJ81" s="119"/>
      <c r="AK81" s="119"/>
      <c r="AL81" s="119"/>
      <c r="AM81" s="119"/>
      <c r="AN81" s="119"/>
      <c r="AO81" s="119"/>
      <c r="AP81" s="119"/>
      <c r="AQ81" s="119"/>
      <c r="AR81" s="119"/>
      <c r="AS81" s="119"/>
      <c r="AT81" s="119"/>
      <c r="AU81" s="119"/>
      <c r="AV81" s="119"/>
      <c r="AW81" s="119"/>
      <c r="AX81" s="119"/>
      <c r="AY81" s="119"/>
      <c r="AZ81" s="119"/>
      <c r="BA81" s="119"/>
      <c r="BB81" s="119"/>
      <c r="BC81" s="119"/>
      <c r="BD81" s="119"/>
      <c r="BE81" s="119"/>
      <c r="BF81" s="119"/>
      <c r="BG81" s="119"/>
      <c r="BH81" s="119"/>
      <c r="BI81" s="119"/>
      <c r="BJ81" s="119"/>
      <c r="BK81" s="119"/>
      <c r="BL81" s="119"/>
    </row>
    <row r="82" spans="1:64" x14ac:dyDescent="0.2">
      <c r="A82" s="7"/>
      <c r="B82" s="7">
        <v>2033</v>
      </c>
      <c r="C82" s="7">
        <v>2</v>
      </c>
      <c r="D82" s="7">
        <v>234</v>
      </c>
      <c r="E82" s="123">
        <f>central_SIPA_income!B75</f>
        <v>33137367.806619201</v>
      </c>
      <c r="F82" s="123">
        <f>central_SIPA_income!I75</f>
        <v>173027.08405052201</v>
      </c>
      <c r="G82" s="41">
        <f t="shared" si="10"/>
        <v>33016248.847783834</v>
      </c>
      <c r="H82" s="41"/>
      <c r="I82" s="41"/>
      <c r="J82" s="41">
        <f t="shared" si="9"/>
        <v>126240489.04391676</v>
      </c>
      <c r="K82" s="9"/>
      <c r="L82" s="41"/>
      <c r="M82" s="41">
        <f t="shared" si="8"/>
        <v>434594.15004236286</v>
      </c>
      <c r="N82" s="41"/>
      <c r="O82" s="7"/>
      <c r="P82" s="7"/>
      <c r="Q82" s="41"/>
      <c r="R82" s="41"/>
      <c r="S82" s="41"/>
      <c r="T82" s="7"/>
      <c r="U82" s="7"/>
      <c r="V82" s="41"/>
      <c r="W82" s="41"/>
      <c r="X82" s="41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</row>
    <row r="83" spans="1:64" x14ac:dyDescent="0.2">
      <c r="A83" s="7"/>
      <c r="B83" s="7">
        <v>2033</v>
      </c>
      <c r="C83" s="7">
        <v>3</v>
      </c>
      <c r="D83" s="7">
        <v>235</v>
      </c>
      <c r="E83" s="123">
        <f>central_SIPA_income!B76</f>
        <v>29240366.1541305</v>
      </c>
      <c r="F83" s="123">
        <f>central_SIPA_income!I76</f>
        <v>173495.26710233599</v>
      </c>
      <c r="G83" s="41">
        <f t="shared" si="10"/>
        <v>29118919.467158865</v>
      </c>
      <c r="H83" s="41"/>
      <c r="I83" s="41"/>
      <c r="J83" s="41">
        <f t="shared" si="9"/>
        <v>111338712.3689343</v>
      </c>
      <c r="K83" s="9"/>
      <c r="L83" s="41"/>
      <c r="M83" s="41">
        <f t="shared" si="8"/>
        <v>435770.09088760026</v>
      </c>
      <c r="N83" s="41"/>
      <c r="O83" s="7"/>
      <c r="P83" s="7"/>
      <c r="Q83" s="41"/>
      <c r="R83" s="41"/>
      <c r="S83" s="41"/>
      <c r="T83" s="7"/>
      <c r="U83" s="7"/>
      <c r="V83" s="41"/>
      <c r="W83" s="41"/>
      <c r="X83" s="41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</row>
    <row r="84" spans="1:64" x14ac:dyDescent="0.2">
      <c r="A84" s="7"/>
      <c r="B84" s="7">
        <v>2033</v>
      </c>
      <c r="C84" s="7">
        <v>4</v>
      </c>
      <c r="D84" s="7">
        <v>236</v>
      </c>
      <c r="E84" s="123">
        <f>central_SIPA_income!B77</f>
        <v>34141229.949052699</v>
      </c>
      <c r="F84" s="123">
        <f>central_SIPA_income!I77</f>
        <v>175858.796256645</v>
      </c>
      <c r="G84" s="41">
        <f t="shared" si="10"/>
        <v>34018128.791673049</v>
      </c>
      <c r="H84" s="41"/>
      <c r="I84" s="41"/>
      <c r="J84" s="41">
        <f t="shared" si="9"/>
        <v>130071263.84401511</v>
      </c>
      <c r="K84" s="9"/>
      <c r="L84" s="41"/>
      <c r="M84" s="41">
        <f t="shared" si="8"/>
        <v>441706.59469886107</v>
      </c>
      <c r="N84" s="41"/>
      <c r="O84" s="7"/>
      <c r="P84" s="7"/>
      <c r="Q84" s="41"/>
      <c r="R84" s="41"/>
      <c r="S84" s="41"/>
      <c r="T84" s="7"/>
      <c r="U84" s="7"/>
      <c r="V84" s="41"/>
      <c r="W84" s="41"/>
      <c r="X84" s="41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</row>
    <row r="85" spans="1:64" x14ac:dyDescent="0.2">
      <c r="A85" s="119"/>
      <c r="B85" s="119">
        <v>2034</v>
      </c>
      <c r="C85" s="5">
        <v>1</v>
      </c>
      <c r="D85" s="119">
        <v>237</v>
      </c>
      <c r="E85" s="121">
        <f>central_SIPA_income!B78</f>
        <v>29911208.8020996</v>
      </c>
      <c r="F85" s="121">
        <f>central_SIPA_income!I78</f>
        <v>170851.502689065</v>
      </c>
      <c r="G85" s="8">
        <f t="shared" si="10"/>
        <v>29791612.750217255</v>
      </c>
      <c r="H85" s="8"/>
      <c r="I85" s="8"/>
      <c r="J85" s="8">
        <f t="shared" si="9"/>
        <v>113910813.44017848</v>
      </c>
      <c r="K85" s="6"/>
      <c r="L85" s="8"/>
      <c r="M85" s="8">
        <f t="shared" si="8"/>
        <v>429129.716899894</v>
      </c>
      <c r="N85" s="8"/>
      <c r="O85" s="5"/>
      <c r="P85" s="5"/>
      <c r="Q85" s="8"/>
      <c r="R85" s="8"/>
      <c r="S85" s="8"/>
      <c r="T85" s="5"/>
      <c r="U85" s="5"/>
      <c r="V85" s="8"/>
      <c r="W85" s="8"/>
      <c r="X85" s="8"/>
      <c r="Y85" s="119"/>
      <c r="Z85" s="119"/>
      <c r="AA85" s="119"/>
      <c r="AB85" s="119"/>
      <c r="AC85" s="119"/>
      <c r="AD85" s="119"/>
      <c r="AE85" s="119"/>
      <c r="AF85" s="119"/>
      <c r="AG85" s="119"/>
      <c r="AH85" s="119"/>
      <c r="AI85" s="119"/>
      <c r="AJ85" s="119"/>
      <c r="AK85" s="119"/>
      <c r="AL85" s="119"/>
      <c r="AM85" s="119"/>
      <c r="AN85" s="119"/>
      <c r="AO85" s="119"/>
      <c r="AP85" s="119"/>
      <c r="AQ85" s="119"/>
      <c r="AR85" s="119"/>
      <c r="AS85" s="119"/>
      <c r="AT85" s="119"/>
      <c r="AU85" s="119"/>
      <c r="AV85" s="119"/>
      <c r="AW85" s="119"/>
      <c r="AX85" s="119"/>
      <c r="AY85" s="119"/>
      <c r="AZ85" s="119"/>
      <c r="BA85" s="119"/>
      <c r="BB85" s="119"/>
      <c r="BC85" s="119"/>
      <c r="BD85" s="119"/>
      <c r="BE85" s="119"/>
      <c r="BF85" s="119"/>
      <c r="BG85" s="119"/>
      <c r="BH85" s="119"/>
      <c r="BI85" s="119"/>
      <c r="BJ85" s="119"/>
      <c r="BK85" s="119"/>
      <c r="BL85" s="119"/>
    </row>
    <row r="86" spans="1:64" x14ac:dyDescent="0.2">
      <c r="A86" s="7"/>
      <c r="B86" s="7">
        <v>2034</v>
      </c>
      <c r="C86" s="7">
        <v>2</v>
      </c>
      <c r="D86" s="7">
        <v>238</v>
      </c>
      <c r="E86" s="123">
        <f>central_SIPA_income!B79</f>
        <v>34507053.868770503</v>
      </c>
      <c r="F86" s="123">
        <f>central_SIPA_income!I79</f>
        <v>166013.106540009</v>
      </c>
      <c r="G86" s="41">
        <f t="shared" si="10"/>
        <v>34390844.694192499</v>
      </c>
      <c r="H86" s="41"/>
      <c r="I86" s="41"/>
      <c r="J86" s="41">
        <f t="shared" si="9"/>
        <v>131496375.40121911</v>
      </c>
      <c r="K86" s="9"/>
      <c r="L86" s="41"/>
      <c r="M86" s="41">
        <f t="shared" si="8"/>
        <v>416977.06072178227</v>
      </c>
      <c r="N86" s="41"/>
      <c r="O86" s="7"/>
      <c r="P86" s="7"/>
      <c r="Q86" s="41"/>
      <c r="R86" s="41"/>
      <c r="S86" s="41"/>
      <c r="T86" s="7"/>
      <c r="U86" s="7"/>
      <c r="V86" s="41"/>
      <c r="W86" s="41"/>
      <c r="X86" s="41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</row>
    <row r="87" spans="1:64" x14ac:dyDescent="0.2">
      <c r="A87" s="7"/>
      <c r="B87" s="7">
        <v>2034</v>
      </c>
      <c r="C87" s="7">
        <v>3</v>
      </c>
      <c r="D87" s="7">
        <v>239</v>
      </c>
      <c r="E87" s="123">
        <f>central_SIPA_income!B80</f>
        <v>30232196.056630701</v>
      </c>
      <c r="F87" s="123">
        <f>central_SIPA_income!I80</f>
        <v>171821.55202230299</v>
      </c>
      <c r="G87" s="41">
        <f t="shared" si="10"/>
        <v>30111920.97021509</v>
      </c>
      <c r="H87" s="41"/>
      <c r="I87" s="41"/>
      <c r="J87" s="41">
        <f t="shared" si="9"/>
        <v>115135539.68099816</v>
      </c>
      <c r="K87" s="9"/>
      <c r="L87" s="41"/>
      <c r="M87" s="41">
        <f t="shared" si="8"/>
        <v>431566.20115200465</v>
      </c>
      <c r="N87" s="41"/>
      <c r="O87" s="7"/>
      <c r="P87" s="7"/>
      <c r="Q87" s="41"/>
      <c r="R87" s="41"/>
      <c r="S87" s="41"/>
      <c r="T87" s="7"/>
      <c r="U87" s="7"/>
      <c r="V87" s="41"/>
      <c r="W87" s="41"/>
      <c r="X87" s="41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</row>
    <row r="88" spans="1:64" x14ac:dyDescent="0.2">
      <c r="A88" s="7"/>
      <c r="B88" s="7">
        <v>2034</v>
      </c>
      <c r="C88" s="7">
        <v>4</v>
      </c>
      <c r="D88" s="7">
        <v>240</v>
      </c>
      <c r="E88" s="123">
        <f>central_SIPA_income!B81</f>
        <v>34761464.926484697</v>
      </c>
      <c r="F88" s="123">
        <f>central_SIPA_income!I81</f>
        <v>179168.16639199501</v>
      </c>
      <c r="G88" s="41">
        <f t="shared" si="10"/>
        <v>34636047.210010298</v>
      </c>
      <c r="H88" s="41"/>
      <c r="I88" s="41"/>
      <c r="J88" s="41">
        <f t="shared" si="9"/>
        <v>132433928.47256735</v>
      </c>
      <c r="K88" s="9"/>
      <c r="L88" s="41"/>
      <c r="M88" s="41">
        <f t="shared" si="8"/>
        <v>450018.77836097532</v>
      </c>
      <c r="N88" s="41"/>
      <c r="O88" s="7"/>
      <c r="P88" s="7"/>
      <c r="Q88" s="41"/>
      <c r="R88" s="41"/>
      <c r="S88" s="41"/>
      <c r="T88" s="7"/>
      <c r="U88" s="7"/>
      <c r="V88" s="41"/>
      <c r="W88" s="41"/>
      <c r="X88" s="41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</row>
    <row r="89" spans="1:64" x14ac:dyDescent="0.2">
      <c r="A89" s="119"/>
      <c r="B89" s="119">
        <v>2035</v>
      </c>
      <c r="C89" s="5">
        <v>1</v>
      </c>
      <c r="D89" s="119">
        <v>241</v>
      </c>
      <c r="E89" s="121">
        <f>central_SIPA_income!B82</f>
        <v>30270421.026876301</v>
      </c>
      <c r="F89" s="121">
        <f>central_SIPA_income!I82</f>
        <v>173929.79544069499</v>
      </c>
      <c r="G89" s="8">
        <f t="shared" si="10"/>
        <v>30148670.170067813</v>
      </c>
      <c r="H89" s="8"/>
      <c r="I89" s="8"/>
      <c r="J89" s="8">
        <f t="shared" si="9"/>
        <v>115276053.43175067</v>
      </c>
      <c r="K89" s="6"/>
      <c r="L89" s="8"/>
      <c r="M89" s="8">
        <f t="shared" si="8"/>
        <v>436861.50079556188</v>
      </c>
      <c r="N89" s="8"/>
      <c r="O89" s="5"/>
      <c r="P89" s="5"/>
      <c r="Q89" s="8"/>
      <c r="R89" s="8"/>
      <c r="S89" s="8"/>
      <c r="T89" s="5"/>
      <c r="U89" s="5"/>
      <c r="V89" s="8"/>
      <c r="W89" s="8"/>
      <c r="X89" s="8"/>
      <c r="Y89" s="119"/>
      <c r="Z89" s="119"/>
      <c r="AA89" s="119"/>
      <c r="AB89" s="119"/>
      <c r="AC89" s="119"/>
      <c r="AD89" s="119"/>
      <c r="AE89" s="119"/>
      <c r="AF89" s="119"/>
      <c r="AG89" s="119"/>
      <c r="AH89" s="119"/>
      <c r="AI89" s="119"/>
      <c r="AJ89" s="119"/>
      <c r="AK89" s="119"/>
      <c r="AL89" s="119"/>
      <c r="AM89" s="119"/>
      <c r="AN89" s="119"/>
      <c r="AO89" s="119"/>
      <c r="AP89" s="119"/>
      <c r="AQ89" s="119"/>
      <c r="AR89" s="119"/>
      <c r="AS89" s="119"/>
      <c r="AT89" s="119"/>
      <c r="AU89" s="119"/>
      <c r="AV89" s="119"/>
      <c r="AW89" s="119"/>
      <c r="AX89" s="119"/>
      <c r="AY89" s="119"/>
      <c r="AZ89" s="119"/>
      <c r="BA89" s="119"/>
      <c r="BB89" s="119"/>
      <c r="BC89" s="119"/>
      <c r="BD89" s="119"/>
      <c r="BE89" s="119"/>
      <c r="BF89" s="119"/>
      <c r="BG89" s="119"/>
      <c r="BH89" s="119"/>
      <c r="BI89" s="119"/>
      <c r="BJ89" s="119"/>
      <c r="BK89" s="119"/>
      <c r="BL89" s="119"/>
    </row>
    <row r="90" spans="1:64" x14ac:dyDescent="0.2">
      <c r="A90" s="7"/>
      <c r="B90" s="7">
        <v>2035</v>
      </c>
      <c r="C90" s="7">
        <v>2</v>
      </c>
      <c r="D90" s="7">
        <v>242</v>
      </c>
      <c r="E90" s="123">
        <f>central_SIPA_income!B83</f>
        <v>34995170.716082498</v>
      </c>
      <c r="F90" s="123">
        <f>central_SIPA_income!I83</f>
        <v>173727.93787697199</v>
      </c>
      <c r="G90" s="41">
        <f t="shared" si="10"/>
        <v>34873561.159568615</v>
      </c>
      <c r="H90" s="41"/>
      <c r="I90" s="41"/>
      <c r="J90" s="41">
        <f t="shared" si="9"/>
        <v>133342083.64444137</v>
      </c>
      <c r="K90" s="9"/>
      <c r="L90" s="41"/>
      <c r="M90" s="41">
        <f t="shared" si="8"/>
        <v>436354.49279264023</v>
      </c>
      <c r="N90" s="41"/>
      <c r="O90" s="7"/>
      <c r="P90" s="7"/>
      <c r="Q90" s="41"/>
      <c r="R90" s="41"/>
      <c r="S90" s="41"/>
      <c r="T90" s="7"/>
      <c r="U90" s="7"/>
      <c r="V90" s="41"/>
      <c r="W90" s="41"/>
      <c r="X90" s="41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</row>
    <row r="91" spans="1:64" x14ac:dyDescent="0.2">
      <c r="A91" s="7"/>
      <c r="B91" s="7">
        <v>2035</v>
      </c>
      <c r="C91" s="7">
        <v>3</v>
      </c>
      <c r="D91" s="7">
        <v>243</v>
      </c>
      <c r="E91" s="123">
        <f>central_SIPA_income!B84</f>
        <v>30689602.059858199</v>
      </c>
      <c r="F91" s="123">
        <f>central_SIPA_income!I84</f>
        <v>178417.74016569601</v>
      </c>
      <c r="G91" s="41">
        <f t="shared" si="10"/>
        <v>30564709.641742211</v>
      </c>
      <c r="H91" s="41"/>
      <c r="I91" s="41"/>
      <c r="J91" s="41">
        <f t="shared" si="9"/>
        <v>116866816.410546</v>
      </c>
      <c r="K91" s="9"/>
      <c r="L91" s="41"/>
      <c r="M91" s="41">
        <f t="shared" si="8"/>
        <v>448133.92403439671</v>
      </c>
      <c r="N91" s="41"/>
      <c r="O91" s="7"/>
      <c r="P91" s="7"/>
      <c r="Q91" s="41"/>
      <c r="R91" s="41"/>
      <c r="S91" s="41"/>
      <c r="T91" s="7"/>
      <c r="U91" s="7"/>
      <c r="V91" s="41"/>
      <c r="W91" s="41"/>
      <c r="X91" s="41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</row>
    <row r="92" spans="1:64" x14ac:dyDescent="0.2">
      <c r="A92" s="7"/>
      <c r="B92" s="7">
        <v>2035</v>
      </c>
      <c r="C92" s="7">
        <v>4</v>
      </c>
      <c r="D92" s="7">
        <v>244</v>
      </c>
      <c r="E92" s="123">
        <f>central_SIPA_income!B85</f>
        <v>35507576.331584796</v>
      </c>
      <c r="F92" s="123">
        <f>central_SIPA_income!I85</f>
        <v>182038.899288566</v>
      </c>
      <c r="G92" s="41">
        <f t="shared" si="10"/>
        <v>35380149.102082804</v>
      </c>
      <c r="H92" s="41"/>
      <c r="I92" s="41"/>
      <c r="J92" s="41">
        <f t="shared" si="9"/>
        <v>135279066.54948252</v>
      </c>
      <c r="K92" s="9"/>
      <c r="L92" s="41"/>
      <c r="M92" s="41">
        <f t="shared" si="8"/>
        <v>457229.23174190172</v>
      </c>
      <c r="N92" s="41"/>
      <c r="O92" s="7"/>
      <c r="P92" s="7"/>
      <c r="Q92" s="41"/>
      <c r="R92" s="41"/>
      <c r="S92" s="41"/>
      <c r="T92" s="7"/>
      <c r="U92" s="7"/>
      <c r="V92" s="41"/>
      <c r="W92" s="41"/>
      <c r="X92" s="41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</row>
    <row r="93" spans="1:64" x14ac:dyDescent="0.2">
      <c r="A93" s="119"/>
      <c r="B93" s="119">
        <v>2036</v>
      </c>
      <c r="C93" s="5">
        <v>1</v>
      </c>
      <c r="D93" s="119">
        <v>245</v>
      </c>
      <c r="E93" s="121">
        <f>central_SIPA_income!B86</f>
        <v>31224073.0775568</v>
      </c>
      <c r="F93" s="121">
        <f>central_SIPA_income!I86</f>
        <v>184088.04934246899</v>
      </c>
      <c r="G93" s="8">
        <f t="shared" si="10"/>
        <v>31095211.443017073</v>
      </c>
      <c r="H93" s="8"/>
      <c r="I93" s="8"/>
      <c r="J93" s="8">
        <f t="shared" si="9"/>
        <v>118895236.02721341</v>
      </c>
      <c r="K93" s="6"/>
      <c r="L93" s="8"/>
      <c r="M93" s="8">
        <f t="shared" si="8"/>
        <v>462376.10589095228</v>
      </c>
      <c r="N93" s="8"/>
      <c r="O93" s="5"/>
      <c r="P93" s="5"/>
      <c r="Q93" s="8"/>
      <c r="R93" s="8"/>
      <c r="S93" s="8"/>
      <c r="T93" s="5"/>
      <c r="U93" s="5"/>
      <c r="V93" s="8"/>
      <c r="W93" s="8"/>
      <c r="X93" s="8"/>
      <c r="Y93" s="119"/>
      <c r="Z93" s="119"/>
      <c r="AA93" s="119"/>
      <c r="AB93" s="119"/>
      <c r="AC93" s="119"/>
      <c r="AD93" s="119"/>
      <c r="AE93" s="119"/>
      <c r="AF93" s="119"/>
      <c r="AG93" s="119"/>
      <c r="AH93" s="119"/>
      <c r="AI93" s="119"/>
      <c r="AJ93" s="119"/>
      <c r="AK93" s="119"/>
      <c r="AL93" s="119"/>
      <c r="AM93" s="119"/>
      <c r="AN93" s="119"/>
      <c r="AO93" s="119"/>
      <c r="AP93" s="119"/>
      <c r="AQ93" s="119"/>
      <c r="AR93" s="119"/>
      <c r="AS93" s="119"/>
      <c r="AT93" s="119"/>
      <c r="AU93" s="119"/>
      <c r="AV93" s="119"/>
      <c r="AW93" s="119"/>
      <c r="AX93" s="119"/>
      <c r="AY93" s="119"/>
      <c r="AZ93" s="119"/>
      <c r="BA93" s="119"/>
      <c r="BB93" s="119"/>
      <c r="BC93" s="119"/>
      <c r="BD93" s="119"/>
      <c r="BE93" s="119"/>
      <c r="BF93" s="119"/>
      <c r="BG93" s="119"/>
      <c r="BH93" s="119"/>
      <c r="BI93" s="119"/>
      <c r="BJ93" s="119"/>
      <c r="BK93" s="119"/>
      <c r="BL93" s="119"/>
    </row>
    <row r="94" spans="1:64" x14ac:dyDescent="0.2">
      <c r="A94" s="7"/>
      <c r="B94" s="7">
        <v>2036</v>
      </c>
      <c r="C94" s="7">
        <v>2</v>
      </c>
      <c r="D94" s="7">
        <v>246</v>
      </c>
      <c r="E94" s="123">
        <f>central_SIPA_income!B87</f>
        <v>36027704.208398797</v>
      </c>
      <c r="F94" s="123">
        <f>central_SIPA_income!I87</f>
        <v>180253.79201045999</v>
      </c>
      <c r="G94" s="41">
        <f t="shared" si="10"/>
        <v>35901526.553991474</v>
      </c>
      <c r="H94" s="41"/>
      <c r="I94" s="41"/>
      <c r="J94" s="41">
        <f t="shared" si="9"/>
        <v>137272598.42552543</v>
      </c>
      <c r="K94" s="9"/>
      <c r="L94" s="41"/>
      <c r="M94" s="41">
        <f t="shared" si="8"/>
        <v>452745.55692000856</v>
      </c>
      <c r="N94" s="41"/>
      <c r="O94" s="7"/>
      <c r="P94" s="7"/>
      <c r="Q94" s="41"/>
      <c r="R94" s="41"/>
      <c r="S94" s="41"/>
      <c r="T94" s="7"/>
      <c r="U94" s="7"/>
      <c r="V94" s="41"/>
      <c r="W94" s="41"/>
      <c r="X94" s="41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</row>
    <row r="95" spans="1:64" x14ac:dyDescent="0.2">
      <c r="A95" s="7"/>
      <c r="B95" s="7">
        <v>2036</v>
      </c>
      <c r="C95" s="7">
        <v>3</v>
      </c>
      <c r="D95" s="7">
        <v>247</v>
      </c>
      <c r="E95" s="123">
        <f>central_SIPA_income!B88</f>
        <v>31593741.9929788</v>
      </c>
      <c r="F95" s="123">
        <f>central_SIPA_income!I88</f>
        <v>179226.111145665</v>
      </c>
      <c r="G95" s="41">
        <f t="shared" si="10"/>
        <v>31468283.715176836</v>
      </c>
      <c r="H95" s="41"/>
      <c r="I95" s="41"/>
      <c r="J95" s="41">
        <f t="shared" si="9"/>
        <v>120321710.19462432</v>
      </c>
      <c r="K95" s="9"/>
      <c r="L95" s="41"/>
      <c r="M95" s="41">
        <f t="shared" si="8"/>
        <v>450164.31887625827</v>
      </c>
      <c r="N95" s="41"/>
      <c r="O95" s="7"/>
      <c r="P95" s="7"/>
      <c r="Q95" s="41"/>
      <c r="R95" s="41"/>
      <c r="S95" s="41"/>
      <c r="T95" s="7"/>
      <c r="U95" s="7"/>
      <c r="V95" s="41"/>
      <c r="W95" s="41"/>
      <c r="X95" s="41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</row>
    <row r="96" spans="1:64" x14ac:dyDescent="0.2">
      <c r="A96" s="7"/>
      <c r="B96" s="7">
        <v>2036</v>
      </c>
      <c r="C96" s="7">
        <v>4</v>
      </c>
      <c r="D96" s="7">
        <v>248</v>
      </c>
      <c r="E96" s="123">
        <f>central_SIPA_income!B89</f>
        <v>36165040.6064917</v>
      </c>
      <c r="F96" s="123">
        <f>central_SIPA_income!I89</f>
        <v>181635.896084426</v>
      </c>
      <c r="G96" s="41">
        <f t="shared" si="10"/>
        <v>36037895.479232602</v>
      </c>
      <c r="H96" s="41"/>
      <c r="I96" s="41"/>
      <c r="J96" s="41">
        <f t="shared" si="9"/>
        <v>137794016.83051148</v>
      </c>
      <c r="K96" s="9"/>
      <c r="L96" s="41"/>
      <c r="M96" s="41">
        <f t="shared" si="8"/>
        <v>456217.00388214982</v>
      </c>
      <c r="N96" s="41"/>
      <c r="O96" s="7"/>
      <c r="P96" s="7"/>
      <c r="Q96" s="41"/>
      <c r="R96" s="41"/>
      <c r="S96" s="41"/>
      <c r="T96" s="7"/>
      <c r="U96" s="7"/>
      <c r="V96" s="41"/>
      <c r="W96" s="41"/>
      <c r="X96" s="41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</row>
    <row r="97" spans="1:64" x14ac:dyDescent="0.2">
      <c r="A97" s="119"/>
      <c r="B97" s="119">
        <v>2037</v>
      </c>
      <c r="C97" s="5">
        <v>1</v>
      </c>
      <c r="D97" s="119">
        <v>249</v>
      </c>
      <c r="E97" s="121">
        <f>central_SIPA_income!B90</f>
        <v>31783101.261060201</v>
      </c>
      <c r="F97" s="121">
        <f>central_SIPA_income!I90</f>
        <v>182560.74838588201</v>
      </c>
      <c r="G97" s="8">
        <f t="shared" si="10"/>
        <v>31655308.737190083</v>
      </c>
      <c r="H97" s="8"/>
      <c r="I97" s="8"/>
      <c r="J97" s="8">
        <f t="shared" si="9"/>
        <v>121036816.57606857</v>
      </c>
      <c r="K97" s="6"/>
      <c r="L97" s="8"/>
      <c r="M97" s="8">
        <f t="shared" si="8"/>
        <v>458539.96622108994</v>
      </c>
      <c r="N97" s="8"/>
      <c r="O97" s="5"/>
      <c r="P97" s="5"/>
      <c r="Q97" s="8"/>
      <c r="R97" s="8"/>
      <c r="S97" s="8"/>
      <c r="T97" s="5"/>
      <c r="U97" s="5"/>
      <c r="V97" s="8"/>
      <c r="W97" s="8"/>
      <c r="X97" s="8"/>
      <c r="Y97" s="119"/>
      <c r="Z97" s="119"/>
      <c r="AA97" s="119"/>
      <c r="AB97" s="119"/>
      <c r="AC97" s="119"/>
      <c r="AD97" s="119"/>
      <c r="AE97" s="119"/>
      <c r="AF97" s="119"/>
      <c r="AG97" s="119"/>
      <c r="AH97" s="119"/>
      <c r="AI97" s="119"/>
      <c r="AJ97" s="119"/>
      <c r="AK97" s="119"/>
      <c r="AL97" s="119"/>
      <c r="AM97" s="119"/>
      <c r="AN97" s="119"/>
      <c r="AO97" s="119"/>
      <c r="AP97" s="119"/>
      <c r="AQ97" s="119"/>
      <c r="AR97" s="119"/>
      <c r="AS97" s="119"/>
      <c r="AT97" s="119"/>
      <c r="AU97" s="119"/>
      <c r="AV97" s="119"/>
      <c r="AW97" s="119"/>
      <c r="AX97" s="119"/>
      <c r="AY97" s="119"/>
      <c r="AZ97" s="119"/>
      <c r="BA97" s="119"/>
      <c r="BB97" s="119"/>
      <c r="BC97" s="119"/>
      <c r="BD97" s="119"/>
      <c r="BE97" s="119"/>
      <c r="BF97" s="119"/>
      <c r="BG97" s="119"/>
      <c r="BH97" s="119"/>
      <c r="BI97" s="119"/>
      <c r="BJ97" s="119"/>
      <c r="BK97" s="119"/>
      <c r="BL97" s="119"/>
    </row>
    <row r="98" spans="1:64" x14ac:dyDescent="0.2">
      <c r="A98" s="7"/>
      <c r="B98" s="7">
        <v>2037</v>
      </c>
      <c r="C98" s="7">
        <v>2</v>
      </c>
      <c r="D98" s="7">
        <v>250</v>
      </c>
      <c r="E98" s="123">
        <f>central_SIPA_income!B91</f>
        <v>36650137.728424303</v>
      </c>
      <c r="F98" s="123">
        <f>central_SIPA_income!I91</f>
        <v>187552.58253323301</v>
      </c>
      <c r="G98" s="41">
        <f t="shared" si="10"/>
        <v>36518850.920651041</v>
      </c>
      <c r="H98" s="41"/>
      <c r="I98" s="41"/>
      <c r="J98" s="41">
        <f t="shared" si="9"/>
        <v>139632991.64600059</v>
      </c>
      <c r="K98" s="9"/>
      <c r="L98" s="41"/>
      <c r="M98" s="41">
        <f t="shared" si="8"/>
        <v>471078.01441351633</v>
      </c>
      <c r="N98" s="41"/>
      <c r="O98" s="7"/>
      <c r="P98" s="7"/>
      <c r="Q98" s="41"/>
      <c r="R98" s="41"/>
      <c r="S98" s="41"/>
      <c r="T98" s="7"/>
      <c r="U98" s="7"/>
      <c r="V98" s="41"/>
      <c r="W98" s="41"/>
      <c r="X98" s="41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</row>
    <row r="99" spans="1:64" x14ac:dyDescent="0.2">
      <c r="A99" s="7"/>
      <c r="B99" s="7">
        <v>2037</v>
      </c>
      <c r="C99" s="7">
        <v>3</v>
      </c>
      <c r="D99" s="7">
        <v>251</v>
      </c>
      <c r="E99" s="123">
        <f>central_SIPA_income!B92</f>
        <v>32120778.983824398</v>
      </c>
      <c r="F99" s="123">
        <f>central_SIPA_income!I92</f>
        <v>188303.132621528</v>
      </c>
      <c r="G99" s="41">
        <f t="shared" si="10"/>
        <v>31988966.790989328</v>
      </c>
      <c r="H99" s="41"/>
      <c r="I99" s="41"/>
      <c r="J99" s="41">
        <f t="shared" si="9"/>
        <v>122312587.06348072</v>
      </c>
      <c r="K99" s="9"/>
      <c r="L99" s="41"/>
      <c r="M99" s="41">
        <f t="shared" ref="M99:M112" si="11">F99*2.511711692</f>
        <v>472963.17984571849</v>
      </c>
      <c r="N99" s="41"/>
      <c r="O99" s="7"/>
      <c r="P99" s="7"/>
      <c r="Q99" s="41"/>
      <c r="R99" s="41"/>
      <c r="S99" s="41"/>
      <c r="T99" s="7"/>
      <c r="U99" s="7"/>
      <c r="V99" s="41"/>
      <c r="W99" s="41"/>
      <c r="X99" s="41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</row>
    <row r="100" spans="1:64" x14ac:dyDescent="0.2">
      <c r="A100" s="7"/>
      <c r="B100" s="7">
        <v>2037</v>
      </c>
      <c r="C100" s="7">
        <v>4</v>
      </c>
      <c r="D100" s="7">
        <v>252</v>
      </c>
      <c r="E100" s="123">
        <f>central_SIPA_income!B93</f>
        <v>37425017.180907503</v>
      </c>
      <c r="F100" s="123">
        <f>central_SIPA_income!I93</f>
        <v>188838.32465310799</v>
      </c>
      <c r="G100" s="41">
        <f t="shared" si="10"/>
        <v>37292830.353650324</v>
      </c>
      <c r="H100" s="41"/>
      <c r="I100" s="41"/>
      <c r="J100" s="41">
        <f t="shared" ref="J100:J112" si="12">G100*3.8235866717</f>
        <v>142592369.0901866</v>
      </c>
      <c r="K100" s="9"/>
      <c r="L100" s="41"/>
      <c r="M100" s="41">
        <f t="shared" si="11"/>
        <v>474307.4279289032</v>
      </c>
      <c r="N100" s="41"/>
      <c r="O100" s="7"/>
      <c r="P100" s="7"/>
      <c r="Q100" s="41"/>
      <c r="R100" s="41"/>
      <c r="S100" s="41"/>
      <c r="T100" s="7"/>
      <c r="U100" s="7"/>
      <c r="V100" s="41"/>
      <c r="W100" s="41"/>
      <c r="X100" s="41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</row>
    <row r="101" spans="1:64" x14ac:dyDescent="0.2">
      <c r="A101" s="119"/>
      <c r="B101" s="119">
        <v>2038</v>
      </c>
      <c r="C101" s="5">
        <v>1</v>
      </c>
      <c r="D101" s="119">
        <v>253</v>
      </c>
      <c r="E101" s="121">
        <f>central_SIPA_income!B94</f>
        <v>32936391.198015802</v>
      </c>
      <c r="F101" s="121">
        <f>central_SIPA_income!I94</f>
        <v>179691.79119115401</v>
      </c>
      <c r="G101" s="8">
        <f t="shared" si="10"/>
        <v>32810606.944181994</v>
      </c>
      <c r="H101" s="8"/>
      <c r="I101" s="8"/>
      <c r="J101" s="8">
        <f t="shared" si="12"/>
        <v>125454199.40216175</v>
      </c>
      <c r="K101" s="6"/>
      <c r="L101" s="8"/>
      <c r="M101" s="8">
        <f t="shared" si="11"/>
        <v>451333.97289124416</v>
      </c>
      <c r="N101" s="8"/>
      <c r="O101" s="5"/>
      <c r="P101" s="5"/>
      <c r="Q101" s="8"/>
      <c r="R101" s="8"/>
      <c r="S101" s="8"/>
      <c r="T101" s="5"/>
      <c r="U101" s="5"/>
      <c r="V101" s="8"/>
      <c r="W101" s="8"/>
      <c r="X101" s="8"/>
      <c r="Y101" s="119"/>
      <c r="Z101" s="119"/>
      <c r="AA101" s="119"/>
      <c r="AB101" s="119"/>
      <c r="AC101" s="119"/>
      <c r="AD101" s="119"/>
      <c r="AE101" s="119"/>
      <c r="AF101" s="119"/>
      <c r="AG101" s="119"/>
      <c r="AH101" s="119"/>
      <c r="AI101" s="119"/>
      <c r="AJ101" s="119"/>
      <c r="AK101" s="119"/>
      <c r="AL101" s="119"/>
      <c r="AM101" s="119"/>
      <c r="AN101" s="119"/>
      <c r="AO101" s="119"/>
      <c r="AP101" s="119"/>
      <c r="AQ101" s="119"/>
      <c r="AR101" s="119"/>
      <c r="AS101" s="119"/>
      <c r="AT101" s="119"/>
      <c r="AU101" s="119"/>
      <c r="AV101" s="119"/>
      <c r="AW101" s="119"/>
      <c r="AX101" s="119"/>
      <c r="AY101" s="119"/>
      <c r="AZ101" s="119"/>
      <c r="BA101" s="119"/>
      <c r="BB101" s="119"/>
      <c r="BC101" s="119"/>
      <c r="BD101" s="119"/>
      <c r="BE101" s="119"/>
      <c r="BF101" s="119"/>
      <c r="BG101" s="119"/>
      <c r="BH101" s="119"/>
      <c r="BI101" s="119"/>
      <c r="BJ101" s="119"/>
      <c r="BK101" s="119"/>
      <c r="BL101" s="119"/>
    </row>
    <row r="102" spans="1:64" x14ac:dyDescent="0.2">
      <c r="A102" s="7"/>
      <c r="B102" s="7">
        <v>2038</v>
      </c>
      <c r="C102" s="7">
        <v>2</v>
      </c>
      <c r="D102" s="7">
        <v>254</v>
      </c>
      <c r="E102" s="123">
        <f>central_SIPA_income!B95</f>
        <v>38050882.518429302</v>
      </c>
      <c r="F102" s="123">
        <f>central_SIPA_income!I95</f>
        <v>189103.13103018899</v>
      </c>
      <c r="G102" s="41">
        <f t="shared" si="10"/>
        <v>37918510.326708168</v>
      </c>
      <c r="H102" s="41"/>
      <c r="I102" s="41"/>
      <c r="J102" s="41">
        <f t="shared" si="12"/>
        <v>144984710.69592017</v>
      </c>
      <c r="K102" s="9"/>
      <c r="L102" s="41"/>
      <c r="M102" s="41">
        <f t="shared" si="11"/>
        <v>474972.54520233371</v>
      </c>
      <c r="N102" s="41"/>
      <c r="O102" s="7"/>
      <c r="P102" s="7"/>
      <c r="Q102" s="41"/>
      <c r="R102" s="41"/>
      <c r="S102" s="41"/>
      <c r="T102" s="7"/>
      <c r="U102" s="7"/>
      <c r="V102" s="41"/>
      <c r="W102" s="41"/>
      <c r="X102" s="41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</row>
    <row r="103" spans="1:64" x14ac:dyDescent="0.2">
      <c r="A103" s="7"/>
      <c r="B103" s="7">
        <v>2038</v>
      </c>
      <c r="C103" s="7">
        <v>3</v>
      </c>
      <c r="D103" s="7">
        <v>255</v>
      </c>
      <c r="E103" s="123">
        <f>central_SIPA_income!B96</f>
        <v>33103193.211773202</v>
      </c>
      <c r="F103" s="123">
        <f>central_SIPA_income!I96</f>
        <v>189176.86154843</v>
      </c>
      <c r="G103" s="41">
        <f t="shared" si="10"/>
        <v>32970769.408689301</v>
      </c>
      <c r="H103" s="41"/>
      <c r="I103" s="41"/>
      <c r="J103" s="41">
        <f t="shared" si="12"/>
        <v>126066594.4667585</v>
      </c>
      <c r="K103" s="9"/>
      <c r="L103" s="41"/>
      <c r="M103" s="41">
        <f t="shared" si="11"/>
        <v>475157.73500705685</v>
      </c>
      <c r="N103" s="41"/>
      <c r="O103" s="7"/>
      <c r="P103" s="7"/>
      <c r="Q103" s="41"/>
      <c r="R103" s="41"/>
      <c r="S103" s="41"/>
      <c r="T103" s="7"/>
      <c r="U103" s="7"/>
      <c r="V103" s="41"/>
      <c r="W103" s="41"/>
      <c r="X103" s="41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</row>
    <row r="104" spans="1:64" x14ac:dyDescent="0.2">
      <c r="A104" s="7"/>
      <c r="B104" s="7">
        <v>2038</v>
      </c>
      <c r="C104" s="7">
        <v>4</v>
      </c>
      <c r="D104" s="7">
        <v>256</v>
      </c>
      <c r="E104" s="123">
        <f>central_SIPA_income!B97</f>
        <v>38085659.752138697</v>
      </c>
      <c r="F104" s="123">
        <f>central_SIPA_income!I97</f>
        <v>188347.97957761399</v>
      </c>
      <c r="G104" s="41">
        <f t="shared" si="10"/>
        <v>37953816.16643437</v>
      </c>
      <c r="H104" s="41"/>
      <c r="I104" s="41"/>
      <c r="J104" s="41">
        <f t="shared" si="12"/>
        <v>145119705.63413045</v>
      </c>
      <c r="K104" s="9"/>
      <c r="L104" s="41"/>
      <c r="M104" s="41">
        <f t="shared" si="11"/>
        <v>473075.82246967027</v>
      </c>
      <c r="N104" s="41"/>
      <c r="O104" s="7"/>
      <c r="P104" s="7"/>
      <c r="Q104" s="41"/>
      <c r="R104" s="41"/>
      <c r="S104" s="41"/>
      <c r="T104" s="7"/>
      <c r="U104" s="7"/>
      <c r="V104" s="41"/>
      <c r="W104" s="41"/>
      <c r="X104" s="41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</row>
    <row r="105" spans="1:64" x14ac:dyDescent="0.2">
      <c r="A105" s="119"/>
      <c r="B105" s="119">
        <v>2039</v>
      </c>
      <c r="C105" s="5">
        <v>1</v>
      </c>
      <c r="D105" s="119">
        <v>257</v>
      </c>
      <c r="E105" s="121">
        <f>central_SIPA_income!B98</f>
        <v>33441156.692829501</v>
      </c>
      <c r="F105" s="121">
        <f>central_SIPA_income!I98</f>
        <v>191242.67539147299</v>
      </c>
      <c r="G105" s="8">
        <f t="shared" ref="G105:G112" si="13">E105-F105*0.7</f>
        <v>33307286.82005547</v>
      </c>
      <c r="H105" s="8"/>
      <c r="I105" s="8"/>
      <c r="J105" s="8">
        <f t="shared" si="12"/>
        <v>127353297.95565318</v>
      </c>
      <c r="K105" s="6"/>
      <c r="L105" s="8"/>
      <c r="M105" s="8">
        <f t="shared" si="11"/>
        <v>480346.46379012341</v>
      </c>
      <c r="N105" s="8"/>
      <c r="O105" s="5"/>
      <c r="P105" s="5"/>
      <c r="Q105" s="8"/>
      <c r="R105" s="8"/>
      <c r="S105" s="8"/>
      <c r="T105" s="5"/>
      <c r="U105" s="5"/>
      <c r="V105" s="8"/>
      <c r="W105" s="8"/>
      <c r="X105" s="8"/>
      <c r="Y105" s="119"/>
      <c r="Z105" s="119"/>
      <c r="AA105" s="119"/>
      <c r="AB105" s="119"/>
      <c r="AC105" s="119"/>
      <c r="AD105" s="119"/>
      <c r="AE105" s="119"/>
      <c r="AF105" s="119"/>
      <c r="AG105" s="119"/>
      <c r="AH105" s="119"/>
      <c r="AI105" s="119"/>
      <c r="AJ105" s="119"/>
      <c r="AK105" s="119"/>
      <c r="AL105" s="119"/>
      <c r="AM105" s="119"/>
      <c r="AN105" s="119"/>
      <c r="AO105" s="119"/>
      <c r="AP105" s="119"/>
      <c r="AQ105" s="119"/>
      <c r="AR105" s="119"/>
      <c r="AS105" s="119"/>
      <c r="AT105" s="119"/>
      <c r="AU105" s="119"/>
      <c r="AV105" s="119"/>
      <c r="AW105" s="119"/>
      <c r="AX105" s="119"/>
      <c r="AY105" s="119"/>
      <c r="AZ105" s="119"/>
      <c r="BA105" s="119"/>
      <c r="BB105" s="119"/>
      <c r="BC105" s="119"/>
      <c r="BD105" s="119"/>
      <c r="BE105" s="119"/>
      <c r="BF105" s="119"/>
      <c r="BG105" s="119"/>
      <c r="BH105" s="119"/>
      <c r="BI105" s="119"/>
      <c r="BJ105" s="119"/>
      <c r="BK105" s="119"/>
      <c r="BL105" s="119"/>
    </row>
    <row r="106" spans="1:64" x14ac:dyDescent="0.2">
      <c r="A106" s="7"/>
      <c r="B106" s="7">
        <v>2039</v>
      </c>
      <c r="C106" s="7">
        <v>2</v>
      </c>
      <c r="D106" s="7">
        <v>258</v>
      </c>
      <c r="E106" s="123">
        <f>central_SIPA_income!B99</f>
        <v>38443742.744989298</v>
      </c>
      <c r="F106" s="123">
        <f>central_SIPA_income!I99</f>
        <v>198614.17872627301</v>
      </c>
      <c r="G106" s="41">
        <f t="shared" si="13"/>
        <v>38304712.81988091</v>
      </c>
      <c r="H106" s="41"/>
      <c r="I106" s="41"/>
      <c r="J106" s="41">
        <f t="shared" si="12"/>
        <v>146461389.40139279</v>
      </c>
      <c r="K106" s="9"/>
      <c r="L106" s="41"/>
      <c r="M106" s="41">
        <f t="shared" si="11"/>
        <v>498861.55490375758</v>
      </c>
      <c r="N106" s="41"/>
      <c r="O106" s="7"/>
      <c r="P106" s="7"/>
      <c r="Q106" s="41"/>
      <c r="R106" s="41"/>
      <c r="S106" s="41"/>
      <c r="T106" s="7"/>
      <c r="U106" s="7"/>
      <c r="V106" s="41"/>
      <c r="W106" s="41"/>
      <c r="X106" s="41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</row>
    <row r="107" spans="1:64" x14ac:dyDescent="0.2">
      <c r="A107" s="7"/>
      <c r="B107" s="7">
        <v>2039</v>
      </c>
      <c r="C107" s="7">
        <v>3</v>
      </c>
      <c r="D107" s="7">
        <v>259</v>
      </c>
      <c r="E107" s="123">
        <f>central_SIPA_income!B100</f>
        <v>33840569.938549504</v>
      </c>
      <c r="F107" s="123">
        <f>central_SIPA_income!I100</f>
        <v>194431.52202988899</v>
      </c>
      <c r="G107" s="41">
        <f t="shared" si="13"/>
        <v>33704467.873128578</v>
      </c>
      <c r="H107" s="41"/>
      <c r="I107" s="41"/>
      <c r="J107" s="41">
        <f t="shared" si="12"/>
        <v>128871954.13643529</v>
      </c>
      <c r="K107" s="9"/>
      <c r="L107" s="41"/>
      <c r="M107" s="41">
        <f t="shared" si="11"/>
        <v>488355.92717582773</v>
      </c>
      <c r="N107" s="41"/>
      <c r="O107" s="7"/>
      <c r="P107" s="7"/>
      <c r="Q107" s="41"/>
      <c r="R107" s="41"/>
      <c r="S107" s="41"/>
      <c r="T107" s="7"/>
      <c r="U107" s="7"/>
      <c r="V107" s="41"/>
      <c r="W107" s="41"/>
      <c r="X107" s="41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</row>
    <row r="108" spans="1:64" x14ac:dyDescent="0.2">
      <c r="A108" s="7"/>
      <c r="B108" s="7">
        <v>2039</v>
      </c>
      <c r="C108" s="7">
        <v>4</v>
      </c>
      <c r="D108" s="7">
        <v>260</v>
      </c>
      <c r="E108" s="123">
        <f>central_SIPA_income!B101</f>
        <v>39272102.174731597</v>
      </c>
      <c r="F108" s="123">
        <f>central_SIPA_income!I101</f>
        <v>188023.59280116399</v>
      </c>
      <c r="G108" s="41">
        <f t="shared" si="13"/>
        <v>39140485.659770779</v>
      </c>
      <c r="H108" s="41"/>
      <c r="I108" s="41"/>
      <c r="J108" s="41">
        <f t="shared" si="12"/>
        <v>149657039.29256454</v>
      </c>
      <c r="K108" s="9"/>
      <c r="L108" s="41"/>
      <c r="M108" s="41">
        <f t="shared" si="11"/>
        <v>472261.05641053064</v>
      </c>
      <c r="N108" s="41"/>
      <c r="O108" s="7"/>
      <c r="P108" s="7"/>
      <c r="Q108" s="41"/>
      <c r="R108" s="41"/>
      <c r="S108" s="41"/>
      <c r="T108" s="7"/>
      <c r="U108" s="7"/>
      <c r="V108" s="41"/>
      <c r="W108" s="41"/>
      <c r="X108" s="41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</row>
    <row r="109" spans="1:64" x14ac:dyDescent="0.2">
      <c r="A109" s="119"/>
      <c r="B109" s="119">
        <v>2040</v>
      </c>
      <c r="C109" s="5">
        <v>1</v>
      </c>
      <c r="D109" s="119">
        <v>261</v>
      </c>
      <c r="E109" s="121">
        <f>central_SIPA_income!B102</f>
        <v>34495288.906656504</v>
      </c>
      <c r="F109" s="121">
        <f>central_SIPA_income!I102</f>
        <v>188437.447268221</v>
      </c>
      <c r="G109" s="8">
        <f t="shared" si="13"/>
        <v>34363382.693568751</v>
      </c>
      <c r="H109" s="8"/>
      <c r="I109" s="8"/>
      <c r="J109" s="8">
        <f t="shared" si="12"/>
        <v>131391372.06165592</v>
      </c>
      <c r="K109" s="6"/>
      <c r="L109" s="8"/>
      <c r="M109" s="8">
        <f t="shared" si="11"/>
        <v>473300.53951422416</v>
      </c>
      <c r="N109" s="8"/>
      <c r="O109" s="5"/>
      <c r="P109" s="5"/>
      <c r="Q109" s="8"/>
      <c r="R109" s="8"/>
      <c r="S109" s="8"/>
      <c r="T109" s="5"/>
      <c r="U109" s="5"/>
      <c r="V109" s="8"/>
      <c r="W109" s="8"/>
      <c r="X109" s="8"/>
      <c r="Y109" s="119"/>
      <c r="Z109" s="119"/>
      <c r="AA109" s="119"/>
      <c r="AB109" s="119"/>
      <c r="AC109" s="119"/>
      <c r="AD109" s="119"/>
      <c r="AE109" s="119"/>
      <c r="AF109" s="119"/>
      <c r="AG109" s="119"/>
      <c r="AH109" s="119"/>
      <c r="AI109" s="119"/>
      <c r="AJ109" s="119"/>
      <c r="AK109" s="119"/>
      <c r="AL109" s="119"/>
      <c r="AM109" s="119"/>
      <c r="AN109" s="119"/>
      <c r="AO109" s="119"/>
      <c r="AP109" s="119"/>
      <c r="AQ109" s="119"/>
      <c r="AR109" s="119"/>
      <c r="AS109" s="119"/>
      <c r="AT109" s="119"/>
      <c r="AU109" s="119"/>
      <c r="AV109" s="119"/>
      <c r="AW109" s="119"/>
      <c r="AX109" s="119"/>
      <c r="AY109" s="119"/>
      <c r="AZ109" s="119"/>
      <c r="BA109" s="119"/>
      <c r="BB109" s="119"/>
      <c r="BC109" s="119"/>
      <c r="BD109" s="119"/>
      <c r="BE109" s="119"/>
      <c r="BF109" s="119"/>
      <c r="BG109" s="119"/>
      <c r="BH109" s="119"/>
      <c r="BI109" s="119"/>
      <c r="BJ109" s="119"/>
      <c r="BK109" s="119"/>
      <c r="BL109" s="119"/>
    </row>
    <row r="110" spans="1:64" x14ac:dyDescent="0.2">
      <c r="A110" s="7"/>
      <c r="B110" s="7">
        <v>2040</v>
      </c>
      <c r="C110" s="7">
        <v>2</v>
      </c>
      <c r="D110" s="7">
        <v>262</v>
      </c>
      <c r="E110" s="123">
        <f>central_SIPA_income!B103</f>
        <v>39855567.702678397</v>
      </c>
      <c r="F110" s="123">
        <f>central_SIPA_income!I103</f>
        <v>187846.27110365001</v>
      </c>
      <c r="G110" s="41">
        <f t="shared" si="13"/>
        <v>39724075.312905841</v>
      </c>
      <c r="H110" s="41"/>
      <c r="I110" s="41"/>
      <c r="J110" s="41">
        <f t="shared" si="12"/>
        <v>151888444.9120338</v>
      </c>
      <c r="K110" s="9"/>
      <c r="L110" s="41"/>
      <c r="M110" s="41">
        <f t="shared" si="11"/>
        <v>471815.67542963946</v>
      </c>
      <c r="N110" s="41"/>
      <c r="O110" s="7"/>
      <c r="P110" s="7"/>
      <c r="Q110" s="41"/>
      <c r="R110" s="41"/>
      <c r="S110" s="41"/>
      <c r="T110" s="7"/>
      <c r="U110" s="7"/>
      <c r="V110" s="41"/>
      <c r="W110" s="41"/>
      <c r="X110" s="41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</row>
    <row r="111" spans="1:64" x14ac:dyDescent="0.2">
      <c r="A111" s="7"/>
      <c r="B111" s="7">
        <v>2040</v>
      </c>
      <c r="C111" s="7">
        <v>3</v>
      </c>
      <c r="D111" s="7">
        <v>263</v>
      </c>
      <c r="E111" s="123">
        <f>central_SIPA_income!B104</f>
        <v>34884906.583608098</v>
      </c>
      <c r="F111" s="123">
        <f>central_SIPA_income!I104</f>
        <v>190417.36993456699</v>
      </c>
      <c r="G111" s="41">
        <f t="shared" si="13"/>
        <v>34751614.424653903</v>
      </c>
      <c r="H111" s="41"/>
      <c r="I111" s="41"/>
      <c r="J111" s="41">
        <f t="shared" si="12"/>
        <v>132875809.73416413</v>
      </c>
      <c r="K111" s="9"/>
      <c r="L111" s="41"/>
      <c r="M111" s="41">
        <f t="shared" si="11"/>
        <v>478273.53442454117</v>
      </c>
      <c r="N111" s="41"/>
      <c r="O111" s="7"/>
      <c r="P111" s="7"/>
      <c r="Q111" s="41"/>
      <c r="R111" s="41"/>
      <c r="S111" s="41"/>
      <c r="T111" s="7"/>
      <c r="U111" s="7"/>
      <c r="V111" s="41"/>
      <c r="W111" s="41"/>
      <c r="X111" s="41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</row>
    <row r="112" spans="1:64" x14ac:dyDescent="0.2">
      <c r="A112" s="7"/>
      <c r="B112" s="7">
        <v>2040</v>
      </c>
      <c r="C112" s="7">
        <v>4</v>
      </c>
      <c r="D112" s="7">
        <v>264</v>
      </c>
      <c r="E112" s="123">
        <f>central_SIPA_income!B105</f>
        <v>40291256.224606097</v>
      </c>
      <c r="F112" s="123">
        <f>central_SIPA_income!I105</f>
        <v>193606.19678614801</v>
      </c>
      <c r="G112" s="41">
        <f t="shared" si="13"/>
        <v>40155731.886855796</v>
      </c>
      <c r="H112" s="41"/>
      <c r="I112" s="41"/>
      <c r="J112" s="41">
        <f t="shared" si="12"/>
        <v>153538921.23494053</v>
      </c>
      <c r="K112" s="9"/>
      <c r="L112" s="41"/>
      <c r="M112" s="41">
        <f t="shared" si="11"/>
        <v>486282.94811142079</v>
      </c>
      <c r="N112" s="41"/>
      <c r="O112" s="7"/>
      <c r="P112" s="7"/>
      <c r="Q112" s="41"/>
      <c r="R112" s="41"/>
      <c r="S112" s="41"/>
      <c r="T112" s="7"/>
      <c r="U112" s="7"/>
      <c r="V112" s="41"/>
      <c r="W112" s="41"/>
      <c r="X112" s="41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</row>
    <row r="113" spans="1:64" x14ac:dyDescent="0.2">
      <c r="A113" s="119"/>
      <c r="B113" s="119"/>
      <c r="C113" s="5"/>
      <c r="D113" s="119"/>
      <c r="E113" s="36"/>
      <c r="F113" s="36"/>
      <c r="G113" s="8"/>
      <c r="H113" s="8"/>
      <c r="I113" s="8"/>
      <c r="J113" s="8"/>
      <c r="K113" s="6"/>
      <c r="L113" s="8"/>
      <c r="M113" s="8"/>
      <c r="N113" s="8"/>
      <c r="O113" s="5"/>
      <c r="P113" s="5"/>
      <c r="Q113" s="8"/>
      <c r="R113" s="8"/>
      <c r="S113" s="8"/>
      <c r="T113" s="5"/>
      <c r="U113" s="5"/>
      <c r="V113" s="8"/>
      <c r="W113" s="8"/>
      <c r="X113" s="8"/>
      <c r="Y113" s="119"/>
      <c r="Z113" s="119"/>
      <c r="AA113" s="119"/>
      <c r="AB113" s="119"/>
      <c r="AC113" s="119"/>
      <c r="AD113" s="119"/>
      <c r="AE113" s="119"/>
      <c r="AF113" s="119"/>
      <c r="AG113" s="119"/>
      <c r="AH113" s="119"/>
      <c r="AI113" s="119"/>
      <c r="AJ113" s="119"/>
      <c r="AK113" s="119"/>
      <c r="AL113" s="119"/>
      <c r="AM113" s="119"/>
      <c r="AN113" s="119"/>
      <c r="AO113" s="119"/>
      <c r="AP113" s="119"/>
      <c r="AQ113" s="119"/>
      <c r="AR113" s="119"/>
      <c r="AS113" s="119"/>
      <c r="AT113" s="119"/>
      <c r="AU113" s="119"/>
      <c r="AV113" s="119"/>
      <c r="AW113" s="119"/>
      <c r="AX113" s="119"/>
      <c r="AY113" s="119"/>
      <c r="AZ113" s="119"/>
      <c r="BA113" s="119"/>
      <c r="BB113" s="119"/>
      <c r="BC113" s="119"/>
      <c r="BD113" s="119"/>
      <c r="BE113" s="119"/>
      <c r="BF113" s="119"/>
      <c r="BG113" s="119"/>
      <c r="BH113" s="119"/>
      <c r="BI113" s="119"/>
      <c r="BJ113" s="119"/>
      <c r="BK113" s="119"/>
      <c r="BL113" s="119"/>
    </row>
    <row r="114" spans="1:64" x14ac:dyDescent="0.2">
      <c r="A114" s="7"/>
      <c r="B114" s="7"/>
      <c r="C114" s="7"/>
      <c r="D114" s="7"/>
      <c r="E114" s="43"/>
      <c r="F114" s="43"/>
      <c r="G114" s="41"/>
      <c r="H114" s="41"/>
      <c r="I114" s="41"/>
      <c r="J114" s="41"/>
      <c r="K114" s="9"/>
      <c r="L114" s="41"/>
      <c r="M114" s="41"/>
      <c r="N114" s="41"/>
      <c r="O114" s="7"/>
      <c r="P114" s="7"/>
      <c r="Q114" s="41"/>
      <c r="R114" s="41"/>
      <c r="S114" s="41"/>
      <c r="T114" s="7"/>
      <c r="U114" s="7"/>
      <c r="V114" s="41"/>
      <c r="W114" s="41"/>
      <c r="X114" s="41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</row>
    <row r="115" spans="1:64" x14ac:dyDescent="0.2">
      <c r="A115" s="7"/>
      <c r="B115" s="7"/>
      <c r="C115" s="7"/>
      <c r="D115" s="7"/>
      <c r="E115" s="43"/>
      <c r="F115" s="43"/>
      <c r="G115" s="41"/>
      <c r="H115" s="41"/>
      <c r="I115" s="41"/>
      <c r="J115" s="41"/>
      <c r="K115" s="9"/>
      <c r="L115" s="41"/>
      <c r="M115" s="41"/>
      <c r="N115" s="41"/>
      <c r="O115" s="7"/>
      <c r="P115" s="7"/>
      <c r="Q115" s="41"/>
      <c r="R115" s="41"/>
      <c r="S115" s="41"/>
      <c r="T115" s="7"/>
      <c r="U115" s="7"/>
      <c r="V115" s="41"/>
      <c r="W115" s="41"/>
      <c r="X115" s="41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</row>
    <row r="116" spans="1:64" x14ac:dyDescent="0.2">
      <c r="A116" s="7"/>
      <c r="B116" s="7"/>
      <c r="C116" s="7"/>
      <c r="D116" s="7"/>
      <c r="E116" s="43"/>
      <c r="F116" s="43"/>
      <c r="G116" s="41"/>
      <c r="H116" s="41"/>
      <c r="I116" s="41"/>
      <c r="J116" s="41"/>
      <c r="K116" s="9"/>
      <c r="L116" s="41"/>
      <c r="M116" s="41"/>
      <c r="N116" s="41"/>
      <c r="O116" s="7"/>
      <c r="P116" s="7"/>
      <c r="Q116" s="41"/>
      <c r="R116" s="41"/>
      <c r="S116" s="41"/>
      <c r="T116" s="7"/>
      <c r="U116" s="7"/>
      <c r="V116" s="41"/>
      <c r="W116" s="41"/>
      <c r="X116" s="41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23"/>
  <sheetViews>
    <sheetView zoomScale="75" zoomScaleNormal="75" workbookViewId="0">
      <selection activeCell="E9" sqref="E9"/>
    </sheetView>
  </sheetViews>
  <sheetFormatPr baseColWidth="10" defaultColWidth="9" defaultRowHeight="12.75" x14ac:dyDescent="0.2"/>
  <cols>
    <col min="5" max="5" width="20.42578125" style="32" customWidth="1"/>
    <col min="6" max="6" width="11.42578125" style="32" customWidth="1"/>
    <col min="7" max="8" width="11.42578125" customWidth="1"/>
    <col min="10" max="10" width="12.28515625" customWidth="1"/>
  </cols>
  <sheetData>
    <row r="1" spans="1:64" ht="12.75" customHeight="1" x14ac:dyDescent="0.2">
      <c r="A1" s="127"/>
      <c r="B1" s="127"/>
      <c r="C1" s="127"/>
      <c r="D1" s="127"/>
      <c r="E1" s="128" t="s">
        <v>148</v>
      </c>
      <c r="F1" s="128" t="s">
        <v>149</v>
      </c>
      <c r="G1" s="127"/>
      <c r="H1" s="127"/>
      <c r="I1" s="127"/>
      <c r="J1" s="127"/>
      <c r="K1" s="127"/>
      <c r="L1" s="127"/>
      <c r="M1" s="129"/>
      <c r="N1" s="127"/>
      <c r="O1" s="127"/>
      <c r="P1" s="127"/>
      <c r="Q1" s="127"/>
      <c r="R1" s="127"/>
      <c r="S1" s="127"/>
      <c r="T1" s="127"/>
      <c r="U1" s="127"/>
      <c r="V1" s="127"/>
      <c r="W1" s="127"/>
      <c r="X1" s="127"/>
      <c r="Y1" s="130"/>
      <c r="Z1" s="130"/>
      <c r="AA1" s="130"/>
      <c r="AB1" s="130"/>
      <c r="AC1" s="130"/>
      <c r="AD1" s="130"/>
      <c r="AE1" s="130"/>
      <c r="AF1" s="130"/>
      <c r="AG1" s="130"/>
      <c r="AH1" s="130"/>
      <c r="AI1" s="130"/>
      <c r="AJ1" s="130"/>
      <c r="AK1" s="130"/>
      <c r="AL1" s="130"/>
      <c r="AM1" s="130"/>
      <c r="AN1" s="130"/>
      <c r="AO1" s="130"/>
      <c r="AP1" s="130"/>
      <c r="AQ1" s="130"/>
      <c r="AR1" s="130"/>
      <c r="AS1" s="130"/>
      <c r="AT1" s="130"/>
      <c r="AU1" s="130"/>
      <c r="AV1" s="130"/>
      <c r="AW1" s="130"/>
      <c r="AX1" s="130"/>
      <c r="AY1" s="130"/>
      <c r="AZ1" s="130"/>
      <c r="BA1" s="130"/>
      <c r="BB1" s="130"/>
      <c r="BC1" s="130"/>
      <c r="BD1" s="130"/>
      <c r="BE1" s="130"/>
      <c r="BF1" s="130"/>
      <c r="BG1" s="130"/>
      <c r="BH1" s="130"/>
      <c r="BI1" s="130"/>
      <c r="BJ1" s="130"/>
      <c r="BK1" s="130"/>
      <c r="BL1" s="130"/>
    </row>
    <row r="2" spans="1:64" ht="50.25" customHeight="1" x14ac:dyDescent="0.2">
      <c r="A2" s="108" t="s">
        <v>150</v>
      </c>
      <c r="B2" s="108" t="s">
        <v>120</v>
      </c>
      <c r="C2" s="108" t="s">
        <v>121</v>
      </c>
      <c r="D2" s="108" t="s">
        <v>151</v>
      </c>
      <c r="E2" s="110" t="s">
        <v>152</v>
      </c>
      <c r="F2" s="110" t="s">
        <v>153</v>
      </c>
      <c r="G2" s="108" t="s">
        <v>154</v>
      </c>
      <c r="H2" s="108" t="s">
        <v>155</v>
      </c>
      <c r="I2" s="108" t="s">
        <v>156</v>
      </c>
      <c r="J2" s="108" t="s">
        <v>157</v>
      </c>
      <c r="K2" s="108" t="s">
        <v>158</v>
      </c>
      <c r="L2" s="108" t="s">
        <v>159</v>
      </c>
      <c r="M2" s="111" t="s">
        <v>160</v>
      </c>
      <c r="N2" s="108"/>
      <c r="O2" s="108"/>
      <c r="P2" s="108"/>
      <c r="Q2" s="108"/>
      <c r="R2" s="108"/>
      <c r="S2" s="108"/>
      <c r="T2" s="108"/>
      <c r="U2" s="108"/>
      <c r="V2" s="108"/>
      <c r="W2" s="108"/>
      <c r="X2" s="108"/>
      <c r="Y2" s="112"/>
      <c r="Z2" s="112"/>
      <c r="AA2" s="112"/>
      <c r="AB2" s="112"/>
      <c r="AC2" s="112"/>
      <c r="AD2" s="112"/>
      <c r="AE2" s="112"/>
      <c r="AF2" s="112"/>
      <c r="AG2" s="112"/>
      <c r="AH2" s="112"/>
      <c r="AI2" s="112"/>
      <c r="AJ2" s="112"/>
      <c r="AK2" s="112"/>
      <c r="AL2" s="112"/>
      <c r="AM2" s="112"/>
      <c r="AN2" s="112"/>
      <c r="AO2" s="112"/>
      <c r="AP2" s="112"/>
      <c r="AQ2" s="112"/>
      <c r="AR2" s="112"/>
      <c r="AS2" s="112"/>
      <c r="AT2" s="112"/>
      <c r="AU2" s="112"/>
      <c r="AV2" s="112"/>
      <c r="AW2" s="112"/>
      <c r="AX2" s="112"/>
      <c r="AY2" s="112"/>
      <c r="AZ2" s="112"/>
      <c r="BA2" s="112"/>
      <c r="BB2" s="112"/>
      <c r="BC2" s="112"/>
      <c r="BD2" s="112"/>
      <c r="BE2" s="112"/>
      <c r="BF2" s="112"/>
      <c r="BG2" s="112"/>
      <c r="BH2" s="112"/>
      <c r="BI2" s="112"/>
      <c r="BJ2" s="112"/>
      <c r="BK2" s="112"/>
      <c r="BL2" s="112"/>
    </row>
    <row r="3" spans="1:64" x14ac:dyDescent="0.2">
      <c r="A3" s="113" t="s">
        <v>161</v>
      </c>
      <c r="B3" s="113">
        <v>2014</v>
      </c>
      <c r="C3" s="114">
        <v>1</v>
      </c>
      <c r="D3" s="113">
        <v>45</v>
      </c>
      <c r="E3" s="115">
        <v>16336703</v>
      </c>
      <c r="F3" s="115">
        <v>147746</v>
      </c>
      <c r="G3" s="116">
        <v>16188957</v>
      </c>
      <c r="H3" s="131">
        <v>59323985</v>
      </c>
      <c r="I3" s="132">
        <f t="shared" ref="I3:I8" si="0">H3/G3</f>
        <v>3.6644723313552565</v>
      </c>
      <c r="J3" s="116">
        <f>G3*I10</f>
        <v>61899880.214338109</v>
      </c>
      <c r="K3" s="131">
        <v>354218</v>
      </c>
      <c r="L3" s="132">
        <f t="shared" ref="L3:L8" si="1">K3/F3</f>
        <v>2.3974794579887102</v>
      </c>
      <c r="M3" s="116">
        <f t="shared" ref="M3:M34" si="2">F3*2.511711692</f>
        <v>371095.35564623203</v>
      </c>
      <c r="N3" s="131"/>
      <c r="O3" s="113"/>
      <c r="P3" s="113"/>
      <c r="Q3" s="116"/>
      <c r="R3" s="116"/>
      <c r="S3" s="116"/>
      <c r="T3" s="113"/>
      <c r="U3" s="113"/>
      <c r="V3" s="114"/>
      <c r="W3" s="114"/>
      <c r="X3" s="116"/>
      <c r="Y3" s="113"/>
      <c r="Z3" s="113"/>
      <c r="AA3" s="113"/>
      <c r="AB3" s="113"/>
      <c r="AC3" s="113"/>
      <c r="AD3" s="113"/>
      <c r="AE3" s="113"/>
      <c r="AF3" s="113"/>
      <c r="AG3" s="113"/>
      <c r="AH3" s="113"/>
      <c r="AI3" s="113"/>
      <c r="AJ3" s="113"/>
      <c r="AK3" s="113"/>
      <c r="AL3" s="113"/>
      <c r="AM3" s="113"/>
      <c r="AN3" s="113"/>
      <c r="AO3" s="113"/>
      <c r="AP3" s="113"/>
      <c r="AQ3" s="113"/>
      <c r="AR3" s="113"/>
      <c r="AS3" s="113"/>
      <c r="AT3" s="113"/>
      <c r="AU3" s="113"/>
      <c r="AV3" s="113"/>
      <c r="AW3" s="113"/>
      <c r="AX3" s="113"/>
      <c r="AY3" s="113"/>
      <c r="AZ3" s="113"/>
      <c r="BA3" s="113"/>
      <c r="BB3" s="113"/>
      <c r="BC3" s="113"/>
      <c r="BD3" s="113"/>
      <c r="BE3" s="113"/>
      <c r="BF3" s="113"/>
      <c r="BG3" s="113"/>
      <c r="BH3" s="113"/>
      <c r="BI3" s="113"/>
      <c r="BJ3" s="113"/>
      <c r="BK3" s="113"/>
      <c r="BL3" s="113"/>
    </row>
    <row r="4" spans="1:64" x14ac:dyDescent="0.2">
      <c r="B4" s="113">
        <v>2014</v>
      </c>
      <c r="C4" s="114">
        <v>2</v>
      </c>
      <c r="D4" s="113">
        <v>46</v>
      </c>
      <c r="E4" s="115">
        <v>19039169</v>
      </c>
      <c r="F4" s="115">
        <v>150094</v>
      </c>
      <c r="G4" s="116">
        <v>18889075</v>
      </c>
      <c r="H4" s="131">
        <v>70642775</v>
      </c>
      <c r="I4" s="132">
        <f t="shared" si="0"/>
        <v>3.7398747688809535</v>
      </c>
      <c r="J4" s="116">
        <f t="shared" ref="J4:J35" si="3">G4*3.8235866717</f>
        <v>72224015.410741687</v>
      </c>
      <c r="K4" s="131">
        <v>375893</v>
      </c>
      <c r="L4" s="132">
        <f t="shared" si="1"/>
        <v>2.5043839194105026</v>
      </c>
      <c r="M4" s="116">
        <f t="shared" si="2"/>
        <v>376992.85469904798</v>
      </c>
      <c r="N4" s="131"/>
      <c r="Q4" s="116"/>
      <c r="R4" s="116"/>
      <c r="S4" s="116"/>
      <c r="V4" s="114"/>
      <c r="W4" s="114"/>
      <c r="X4" s="116"/>
    </row>
    <row r="5" spans="1:64" x14ac:dyDescent="0.2">
      <c r="B5" s="113">
        <v>2014</v>
      </c>
      <c r="C5" s="114">
        <v>3</v>
      </c>
      <c r="D5" s="113">
        <v>47</v>
      </c>
      <c r="E5" s="115">
        <v>16811748</v>
      </c>
      <c r="F5" s="115">
        <v>145661</v>
      </c>
      <c r="G5" s="116">
        <v>16666087</v>
      </c>
      <c r="H5" s="131">
        <v>66453030</v>
      </c>
      <c r="I5" s="132">
        <f t="shared" si="0"/>
        <v>3.98732047900626</v>
      </c>
      <c r="J5" s="116">
        <f t="shared" si="3"/>
        <v>63724228.122592643</v>
      </c>
      <c r="K5" s="131">
        <v>387130</v>
      </c>
      <c r="L5" s="132">
        <f t="shared" si="1"/>
        <v>2.6577464111876208</v>
      </c>
      <c r="M5" s="116">
        <f t="shared" si="2"/>
        <v>365858.43676841201</v>
      </c>
      <c r="N5" s="131"/>
      <c r="Q5" s="116"/>
      <c r="R5" s="116"/>
      <c r="S5" s="116"/>
      <c r="V5" s="114"/>
      <c r="W5" s="114"/>
      <c r="X5" s="116"/>
    </row>
    <row r="6" spans="1:64" x14ac:dyDescent="0.2">
      <c r="B6" s="113">
        <v>2014</v>
      </c>
      <c r="C6" s="114">
        <v>4</v>
      </c>
      <c r="D6" s="113">
        <v>48</v>
      </c>
      <c r="E6" s="115">
        <v>20743937</v>
      </c>
      <c r="F6" s="115">
        <v>143630</v>
      </c>
      <c r="G6" s="116">
        <v>20600306</v>
      </c>
      <c r="H6" s="131">
        <v>75212989</v>
      </c>
      <c r="I6" s="132">
        <f t="shared" si="0"/>
        <v>3.6510617366557563</v>
      </c>
      <c r="J6" s="116">
        <f t="shared" si="3"/>
        <v>78767055.454541549</v>
      </c>
      <c r="K6" s="131">
        <v>390504</v>
      </c>
      <c r="L6" s="132">
        <f t="shared" si="1"/>
        <v>2.718819188191882</v>
      </c>
      <c r="M6" s="116">
        <f t="shared" si="2"/>
        <v>360757.15032195998</v>
      </c>
      <c r="N6" s="131"/>
      <c r="Q6" s="116"/>
      <c r="R6" s="116"/>
      <c r="S6" s="116"/>
      <c r="V6" s="114"/>
      <c r="W6" s="114"/>
      <c r="X6" s="116"/>
    </row>
    <row r="7" spans="1:64" x14ac:dyDescent="0.2">
      <c r="B7" s="113">
        <v>2015</v>
      </c>
      <c r="C7" s="114">
        <v>1</v>
      </c>
      <c r="D7" s="113">
        <v>49</v>
      </c>
      <c r="E7" s="115">
        <v>18307160</v>
      </c>
      <c r="F7" s="115">
        <v>167252</v>
      </c>
      <c r="G7" s="116">
        <v>18139908</v>
      </c>
      <c r="H7" s="131">
        <v>71061517</v>
      </c>
      <c r="I7" s="132">
        <f t="shared" si="0"/>
        <v>3.9174133077190909</v>
      </c>
      <c r="J7" s="116">
        <f t="shared" si="3"/>
        <v>69359510.454664201</v>
      </c>
      <c r="K7" s="131">
        <v>409117</v>
      </c>
      <c r="L7" s="132">
        <f t="shared" si="1"/>
        <v>2.4461112572644872</v>
      </c>
      <c r="M7" s="116">
        <f t="shared" si="2"/>
        <v>420088.80391038401</v>
      </c>
      <c r="N7" s="131"/>
      <c r="Q7" s="116"/>
      <c r="R7" s="116"/>
      <c r="S7" s="116"/>
      <c r="V7" s="114"/>
      <c r="W7" s="114"/>
      <c r="X7" s="116"/>
    </row>
    <row r="8" spans="1:64" x14ac:dyDescent="0.2">
      <c r="B8" s="113">
        <v>2015</v>
      </c>
      <c r="C8" s="114">
        <v>2</v>
      </c>
      <c r="D8" s="113">
        <v>50</v>
      </c>
      <c r="E8" s="115">
        <v>21740969</v>
      </c>
      <c r="F8" s="115">
        <v>188439</v>
      </c>
      <c r="G8" s="116">
        <v>21552530</v>
      </c>
      <c r="H8" s="131">
        <v>85808756</v>
      </c>
      <c r="I8" s="132">
        <f t="shared" si="0"/>
        <v>3.9813774067360073</v>
      </c>
      <c r="J8" s="116">
        <f t="shared" si="3"/>
        <v>82407966.449414402</v>
      </c>
      <c r="K8" s="131">
        <v>442027</v>
      </c>
      <c r="L8" s="132">
        <f t="shared" si="1"/>
        <v>2.3457299179044679</v>
      </c>
      <c r="M8" s="116">
        <f t="shared" si="2"/>
        <v>473304.43952878797</v>
      </c>
      <c r="N8" s="131"/>
      <c r="Q8" s="116"/>
      <c r="R8" s="116"/>
      <c r="S8" s="116"/>
      <c r="V8" s="114"/>
      <c r="W8" s="114"/>
      <c r="X8" s="116"/>
    </row>
    <row r="9" spans="1:64" x14ac:dyDescent="0.2">
      <c r="A9" s="119"/>
      <c r="B9" s="119">
        <v>2015</v>
      </c>
      <c r="C9" s="5">
        <v>1</v>
      </c>
      <c r="D9" s="119">
        <v>161</v>
      </c>
      <c r="E9" s="121">
        <f>low_SIPA_income!B2</f>
        <v>18004066.583314002</v>
      </c>
      <c r="F9" s="121">
        <f>low_SIPA_income!I2</f>
        <v>135449.214417351</v>
      </c>
      <c r="G9" s="8">
        <f t="shared" ref="G9:G40" si="4">E9-F9*0.7</f>
        <v>17909252.133221857</v>
      </c>
      <c r="H9" s="8"/>
      <c r="I9" s="8"/>
      <c r="J9" s="8">
        <f t="shared" si="3"/>
        <v>68477577.756701887</v>
      </c>
      <c r="K9" s="6"/>
      <c r="L9" s="8"/>
      <c r="M9" s="8">
        <f t="shared" si="2"/>
        <v>340209.37552427547</v>
      </c>
      <c r="N9" s="8"/>
      <c r="O9" s="5"/>
      <c r="P9" s="5"/>
      <c r="Q9" s="8"/>
      <c r="R9" s="8"/>
      <c r="S9" s="8"/>
      <c r="T9" s="5"/>
      <c r="U9" s="5"/>
      <c r="V9" s="8"/>
      <c r="W9" s="8"/>
      <c r="X9" s="8"/>
      <c r="Y9" s="119"/>
      <c r="Z9" s="119"/>
      <c r="AA9" s="119"/>
      <c r="AB9" s="119"/>
      <c r="AC9" s="119"/>
      <c r="AD9" s="119"/>
      <c r="AE9" s="119"/>
      <c r="AF9" s="119"/>
      <c r="AG9" s="119"/>
      <c r="AH9" s="119"/>
      <c r="AI9" s="119"/>
      <c r="AJ9" s="119"/>
      <c r="AK9" s="119"/>
      <c r="AL9" s="119"/>
      <c r="AM9" s="119"/>
      <c r="AN9" s="119"/>
      <c r="AO9" s="119"/>
      <c r="AP9" s="119"/>
      <c r="AQ9" s="119"/>
      <c r="AR9" s="119"/>
      <c r="AS9" s="119"/>
      <c r="AT9" s="119"/>
      <c r="AU9" s="119"/>
      <c r="AV9" s="119"/>
      <c r="AW9" s="119"/>
      <c r="AX9" s="119"/>
      <c r="AY9" s="119"/>
      <c r="AZ9" s="119"/>
      <c r="BA9" s="119"/>
      <c r="BB9" s="119"/>
      <c r="BC9" s="119"/>
      <c r="BD9" s="119"/>
      <c r="BE9" s="119"/>
      <c r="BF9" s="119"/>
      <c r="BG9" s="119"/>
      <c r="BH9" s="119"/>
      <c r="BI9" s="119"/>
      <c r="BJ9" s="119"/>
      <c r="BK9" s="119"/>
      <c r="BL9" s="119"/>
    </row>
    <row r="10" spans="1:64" x14ac:dyDescent="0.2">
      <c r="A10" s="7">
        <v>1000</v>
      </c>
      <c r="B10" s="7">
        <v>2015</v>
      </c>
      <c r="C10" s="7">
        <v>2</v>
      </c>
      <c r="D10" s="7">
        <v>162</v>
      </c>
      <c r="E10" s="123">
        <f>low_SIPA_income!B3</f>
        <v>22160667.130405199</v>
      </c>
      <c r="F10" s="123">
        <f>low_SIPA_income!I3</f>
        <v>151084.142402353</v>
      </c>
      <c r="G10" s="41">
        <f t="shared" si="4"/>
        <v>22054908.230723552</v>
      </c>
      <c r="H10" s="41" t="s">
        <v>162</v>
      </c>
      <c r="I10" s="134">
        <f>AVERAGE(I3:I8)</f>
        <v>3.823586671725554</v>
      </c>
      <c r="J10" s="41">
        <f t="shared" si="3"/>
        <v>84328853.156561211</v>
      </c>
      <c r="K10" s="9" t="s">
        <v>162</v>
      </c>
      <c r="L10" s="134">
        <f>AVERAGE(L3:L8)</f>
        <v>2.5117116919912781</v>
      </c>
      <c r="M10" s="41">
        <f t="shared" si="2"/>
        <v>379479.80694778298</v>
      </c>
      <c r="N10" s="41"/>
      <c r="O10" s="7"/>
      <c r="P10" s="7"/>
      <c r="Q10" s="41"/>
      <c r="R10" s="41"/>
      <c r="S10" s="41"/>
      <c r="T10" s="7"/>
      <c r="U10" s="7"/>
      <c r="V10" s="41"/>
      <c r="W10" s="41"/>
      <c r="X10" s="41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</row>
    <row r="11" spans="1:64" x14ac:dyDescent="0.2">
      <c r="B11" s="7">
        <v>2015</v>
      </c>
      <c r="C11" s="7">
        <v>3</v>
      </c>
      <c r="D11" s="7">
        <v>163</v>
      </c>
      <c r="E11" s="123">
        <f>low_SIPA_income!B4</f>
        <v>20241475.1026517</v>
      </c>
      <c r="F11" s="123">
        <f>low_SIPA_income!I4</f>
        <v>149343.027816335</v>
      </c>
      <c r="G11" s="41">
        <f t="shared" si="4"/>
        <v>20136934.983180266</v>
      </c>
      <c r="H11" s="41">
        <v>76520057</v>
      </c>
      <c r="I11" s="41"/>
      <c r="J11" s="41">
        <f t="shared" si="3"/>
        <v>76995316.210577533</v>
      </c>
      <c r="K11" s="9">
        <v>445064</v>
      </c>
      <c r="L11" s="41"/>
      <c r="M11" s="41">
        <f t="shared" si="2"/>
        <v>375106.62908496987</v>
      </c>
      <c r="N11" s="41"/>
      <c r="Q11" s="41"/>
      <c r="R11" s="41"/>
      <c r="S11" s="41"/>
      <c r="V11" s="41"/>
      <c r="W11" s="41"/>
      <c r="X11" s="41"/>
    </row>
    <row r="12" spans="1:64" x14ac:dyDescent="0.2">
      <c r="B12" s="7">
        <v>2015</v>
      </c>
      <c r="C12" s="7">
        <v>4</v>
      </c>
      <c r="D12" s="7">
        <v>164</v>
      </c>
      <c r="E12" s="123">
        <f>low_SIPA_income!B5</f>
        <v>23722454.9768764</v>
      </c>
      <c r="F12" s="123">
        <f>low_SIPA_income!I5</f>
        <v>146563.952510206</v>
      </c>
      <c r="G12" s="41">
        <f t="shared" si="4"/>
        <v>23619860.210119255</v>
      </c>
      <c r="H12" s="41">
        <v>81658874</v>
      </c>
      <c r="I12" s="41"/>
      <c r="J12" s="41">
        <f t="shared" si="3"/>
        <v>90312582.68682915</v>
      </c>
      <c r="K12" s="9">
        <v>414371</v>
      </c>
      <c r="L12" s="41"/>
      <c r="M12" s="41">
        <f t="shared" si="2"/>
        <v>368126.39314561716</v>
      </c>
      <c r="N12" s="41"/>
      <c r="Q12" s="41"/>
      <c r="R12" s="41"/>
      <c r="S12" s="41"/>
      <c r="V12" s="41"/>
      <c r="W12" s="41"/>
      <c r="X12" s="41"/>
    </row>
    <row r="13" spans="1:64" x14ac:dyDescent="0.2">
      <c r="A13" s="119" t="s">
        <v>163</v>
      </c>
      <c r="B13" s="119">
        <v>2016</v>
      </c>
      <c r="C13" s="5">
        <v>1</v>
      </c>
      <c r="D13" s="119">
        <v>165</v>
      </c>
      <c r="E13" s="121">
        <f>low_SIPA_income!B6</f>
        <v>19331296.599987499</v>
      </c>
      <c r="F13" s="121">
        <f>low_SIPA_income!I6</f>
        <v>140377.52522743901</v>
      </c>
      <c r="G13" s="8">
        <f t="shared" si="4"/>
        <v>19233032.332328293</v>
      </c>
      <c r="H13" s="8">
        <v>71384639</v>
      </c>
      <c r="I13" s="8"/>
      <c r="J13" s="8">
        <f t="shared" si="3"/>
        <v>73539166.08226563</v>
      </c>
      <c r="K13" s="6">
        <v>399060</v>
      </c>
      <c r="L13" s="8"/>
      <c r="M13" s="8">
        <f t="shared" si="2"/>
        <v>352587.87140778353</v>
      </c>
      <c r="N13" s="8"/>
      <c r="O13" s="5"/>
      <c r="P13" s="5"/>
      <c r="Q13" s="8"/>
      <c r="R13" s="8"/>
      <c r="S13" s="8"/>
      <c r="T13" s="5"/>
      <c r="U13" s="5"/>
      <c r="V13" s="8"/>
      <c r="W13" s="8"/>
      <c r="X13" s="8"/>
      <c r="Y13" s="119"/>
      <c r="Z13" s="119"/>
      <c r="AA13" s="119"/>
      <c r="AB13" s="119"/>
      <c r="AC13" s="119"/>
      <c r="AD13" s="119"/>
      <c r="AE13" s="119"/>
      <c r="AF13" s="119"/>
      <c r="AG13" s="119"/>
      <c r="AH13" s="119"/>
      <c r="AI13" s="119"/>
      <c r="AJ13" s="119"/>
      <c r="AK13" s="119"/>
      <c r="AL13" s="119"/>
      <c r="AM13" s="119"/>
      <c r="AN13" s="119"/>
      <c r="AO13" s="119"/>
      <c r="AP13" s="119"/>
      <c r="AQ13" s="119"/>
      <c r="AR13" s="119"/>
      <c r="AS13" s="119"/>
      <c r="AT13" s="119"/>
      <c r="AU13" s="119"/>
      <c r="AV13" s="119"/>
      <c r="AW13" s="119"/>
      <c r="AX13" s="119"/>
      <c r="AY13" s="119"/>
      <c r="AZ13" s="119"/>
      <c r="BA13" s="119"/>
      <c r="BB13" s="119"/>
      <c r="BC13" s="119"/>
      <c r="BD13" s="119"/>
      <c r="BE13" s="119"/>
      <c r="BF13" s="119"/>
      <c r="BG13" s="119"/>
      <c r="BH13" s="119"/>
      <c r="BI13" s="119"/>
      <c r="BJ13" s="119"/>
      <c r="BK13" s="119"/>
      <c r="BL13" s="119"/>
    </row>
    <row r="14" spans="1:64" x14ac:dyDescent="0.2">
      <c r="A14" s="7"/>
      <c r="B14" s="7">
        <v>2016</v>
      </c>
      <c r="C14" s="7">
        <v>2</v>
      </c>
      <c r="D14" s="7">
        <v>166</v>
      </c>
      <c r="E14" s="123">
        <f>low_SIPA_income!B7</f>
        <v>22042294.269524802</v>
      </c>
      <c r="F14" s="123">
        <f>low_SIPA_income!I7</f>
        <v>141764.81012723199</v>
      </c>
      <c r="G14" s="41">
        <f t="shared" si="4"/>
        <v>21943058.902435739</v>
      </c>
      <c r="H14" s="41">
        <v>78650764</v>
      </c>
      <c r="I14" s="41"/>
      <c r="J14" s="41">
        <f t="shared" si="3"/>
        <v>83901187.555681333</v>
      </c>
      <c r="K14" s="9">
        <v>377742</v>
      </c>
      <c r="L14" s="41"/>
      <c r="M14" s="41">
        <f t="shared" si="2"/>
        <v>356072.33111072861</v>
      </c>
      <c r="N14" s="41"/>
      <c r="O14" s="7"/>
      <c r="P14" s="7"/>
      <c r="Q14" s="41"/>
      <c r="R14" s="41"/>
      <c r="S14" s="41"/>
      <c r="T14" s="7"/>
      <c r="U14" s="7"/>
      <c r="V14" s="41"/>
      <c r="W14" s="41"/>
      <c r="X14" s="41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</row>
    <row r="15" spans="1:64" x14ac:dyDescent="0.2">
      <c r="A15" s="7"/>
      <c r="B15" s="7">
        <v>2016</v>
      </c>
      <c r="C15" s="7">
        <v>3</v>
      </c>
      <c r="D15" s="7">
        <v>167</v>
      </c>
      <c r="E15" s="123">
        <f>low_SIPA_income!B8</f>
        <v>19232590.532311499</v>
      </c>
      <c r="F15" s="123">
        <f>low_SIPA_income!I8</f>
        <v>144189.0349691</v>
      </c>
      <c r="G15" s="41">
        <f t="shared" si="4"/>
        <v>19131658.20783313</v>
      </c>
      <c r="H15" s="41">
        <v>72210474</v>
      </c>
      <c r="I15" s="41"/>
      <c r="J15" s="41">
        <f t="shared" si="3"/>
        <v>73151553.330990672</v>
      </c>
      <c r="K15" s="9">
        <v>375488</v>
      </c>
      <c r="L15" s="41"/>
      <c r="M15" s="41">
        <f t="shared" si="2"/>
        <v>362161.28499008535</v>
      </c>
      <c r="N15" s="41"/>
      <c r="O15" s="7"/>
      <c r="P15" s="7"/>
      <c r="Q15" s="41"/>
      <c r="R15" s="41"/>
      <c r="S15" s="41"/>
      <c r="T15" s="7"/>
      <c r="U15" s="7"/>
      <c r="V15" s="41"/>
      <c r="W15" s="41"/>
      <c r="X15" s="41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</row>
    <row r="16" spans="1:64" x14ac:dyDescent="0.2">
      <c r="A16" s="7"/>
      <c r="B16" s="7">
        <v>2016</v>
      </c>
      <c r="C16" s="7">
        <v>4</v>
      </c>
      <c r="D16" s="7">
        <v>168</v>
      </c>
      <c r="E16" s="123">
        <f>low_SIPA_income!B9</f>
        <v>22573431.310347799</v>
      </c>
      <c r="F16" s="123">
        <f>low_SIPA_income!I9</f>
        <v>151268.17202622999</v>
      </c>
      <c r="G16" s="41">
        <f t="shared" si="4"/>
        <v>22467543.589929439</v>
      </c>
      <c r="H16" s="41">
        <v>79983678</v>
      </c>
      <c r="I16" s="41"/>
      <c r="J16" s="41">
        <f t="shared" si="3"/>
        <v>85906600.216292977</v>
      </c>
      <c r="K16" s="9">
        <v>355397</v>
      </c>
      <c r="L16" s="41"/>
      <c r="M16" s="41">
        <f t="shared" si="2"/>
        <v>379942.03630574921</v>
      </c>
      <c r="N16" s="41"/>
      <c r="O16" s="7"/>
      <c r="P16" s="7"/>
      <c r="Q16" s="41"/>
      <c r="R16" s="41"/>
      <c r="S16" s="41"/>
      <c r="T16" s="7"/>
      <c r="U16" s="7"/>
      <c r="V16" s="41"/>
      <c r="W16" s="41"/>
      <c r="X16" s="41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</row>
    <row r="17" spans="1:64" x14ac:dyDescent="0.2">
      <c r="A17" s="119"/>
      <c r="B17" s="119">
        <v>2017</v>
      </c>
      <c r="C17" s="5">
        <v>1</v>
      </c>
      <c r="D17" s="119">
        <v>169</v>
      </c>
      <c r="E17" s="121">
        <f>low_SIPA_income!B10</f>
        <v>19517489.313673198</v>
      </c>
      <c r="F17" s="121">
        <f>low_SIPA_income!I10</f>
        <v>123378.28715431099</v>
      </c>
      <c r="G17" s="8">
        <f t="shared" si="4"/>
        <v>19431124.512665182</v>
      </c>
      <c r="H17" s="8">
        <v>74434596</v>
      </c>
      <c r="I17" s="8"/>
      <c r="J17" s="8">
        <f t="shared" si="3"/>
        <v>74296588.702769756</v>
      </c>
      <c r="K17" s="6">
        <v>462191</v>
      </c>
      <c r="L17" s="8"/>
      <c r="M17" s="8">
        <f t="shared" si="2"/>
        <v>309890.68638441636</v>
      </c>
      <c r="N17" s="8"/>
      <c r="O17" s="5"/>
      <c r="P17" s="5"/>
      <c r="Q17" s="8"/>
      <c r="R17" s="8"/>
      <c r="S17" s="8"/>
      <c r="T17" s="5"/>
      <c r="U17" s="5"/>
      <c r="V17" s="8"/>
      <c r="W17" s="8"/>
      <c r="X17" s="8"/>
      <c r="Y17" s="119"/>
      <c r="Z17" s="119"/>
      <c r="AA17" s="119"/>
      <c r="AB17" s="119"/>
      <c r="AC17" s="119"/>
      <c r="AD17" s="119"/>
      <c r="AE17" s="119"/>
      <c r="AF17" s="119"/>
      <c r="AG17" s="119"/>
      <c r="AH17" s="119"/>
      <c r="AI17" s="119"/>
      <c r="AJ17" s="119"/>
      <c r="AK17" s="119"/>
      <c r="AL17" s="119"/>
      <c r="AM17" s="119"/>
      <c r="AN17" s="119"/>
      <c r="AO17" s="119"/>
      <c r="AP17" s="119"/>
      <c r="AQ17" s="119"/>
      <c r="AR17" s="119"/>
      <c r="AS17" s="119"/>
      <c r="AT17" s="119"/>
      <c r="AU17" s="119"/>
      <c r="AV17" s="119"/>
      <c r="AW17" s="119"/>
      <c r="AX17" s="119"/>
      <c r="AY17" s="119"/>
      <c r="AZ17" s="119"/>
      <c r="BA17" s="119"/>
      <c r="BB17" s="119"/>
      <c r="BC17" s="119"/>
      <c r="BD17" s="119"/>
      <c r="BE17" s="119"/>
      <c r="BF17" s="119"/>
      <c r="BG17" s="119"/>
      <c r="BH17" s="119"/>
      <c r="BI17" s="119"/>
      <c r="BJ17" s="119"/>
      <c r="BK17" s="119"/>
      <c r="BL17" s="119"/>
    </row>
    <row r="18" spans="1:64" x14ac:dyDescent="0.2">
      <c r="A18" s="7"/>
      <c r="B18" s="7">
        <v>2017</v>
      </c>
      <c r="C18" s="7">
        <v>2</v>
      </c>
      <c r="D18" s="7">
        <v>170</v>
      </c>
      <c r="E18" s="123">
        <f>low_SIPA_income!B11</f>
        <v>23345636.009243499</v>
      </c>
      <c r="F18" s="123">
        <f>low_SIPA_income!I11</f>
        <v>131002.673091904</v>
      </c>
      <c r="G18" s="41">
        <f t="shared" si="4"/>
        <v>23253934.138079166</v>
      </c>
      <c r="H18" s="41">
        <v>80479757</v>
      </c>
      <c r="I18" s="41"/>
      <c r="J18" s="41">
        <f t="shared" si="3"/>
        <v>88913432.634949133</v>
      </c>
      <c r="K18" s="9">
        <v>458270</v>
      </c>
      <c r="L18" s="41"/>
      <c r="M18" s="41">
        <f t="shared" si="2"/>
        <v>329040.94568818907</v>
      </c>
      <c r="N18" s="41"/>
      <c r="O18" s="7"/>
      <c r="P18" s="7"/>
      <c r="Q18" s="41"/>
      <c r="R18" s="41"/>
      <c r="S18" s="41"/>
      <c r="T18" s="7"/>
      <c r="U18" s="7"/>
      <c r="V18" s="41"/>
      <c r="W18" s="41"/>
      <c r="X18" s="41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</row>
    <row r="19" spans="1:64" x14ac:dyDescent="0.2">
      <c r="A19" s="7"/>
      <c r="B19" s="7">
        <v>2017</v>
      </c>
      <c r="C19" s="7">
        <v>3</v>
      </c>
      <c r="D19" s="7">
        <v>171</v>
      </c>
      <c r="E19" s="123">
        <f>low_SIPA_income!B12</f>
        <v>20685682.268273499</v>
      </c>
      <c r="F19" s="123">
        <f>low_SIPA_income!I12</f>
        <v>137459.02665501201</v>
      </c>
      <c r="G19" s="41">
        <f t="shared" si="4"/>
        <v>20589460.949614991</v>
      </c>
      <c r="H19" s="41">
        <v>73976782</v>
      </c>
      <c r="I19" s="41"/>
      <c r="J19" s="41">
        <f t="shared" si="3"/>
        <v>78725588.464435503</v>
      </c>
      <c r="K19" s="9">
        <v>489074</v>
      </c>
      <c r="L19" s="41"/>
      <c r="M19" s="41">
        <f t="shared" si="2"/>
        <v>345257.44442033331</v>
      </c>
      <c r="N19" s="41"/>
      <c r="O19" s="7"/>
      <c r="P19" s="7"/>
      <c r="Q19" s="41"/>
      <c r="R19" s="41"/>
      <c r="S19" s="41"/>
      <c r="T19" s="7"/>
      <c r="U19" s="7"/>
      <c r="V19" s="41"/>
      <c r="W19" s="41"/>
      <c r="X19" s="41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</row>
    <row r="20" spans="1:64" x14ac:dyDescent="0.2">
      <c r="A20" s="7"/>
      <c r="B20" s="7">
        <v>2017</v>
      </c>
      <c r="C20" s="7">
        <v>4</v>
      </c>
      <c r="D20" s="7">
        <v>172</v>
      </c>
      <c r="E20" s="123">
        <f>low_SIPA_income!B13</f>
        <v>24447811.704215098</v>
      </c>
      <c r="F20" s="123">
        <f>low_SIPA_income!I13</f>
        <v>143698.09455918201</v>
      </c>
      <c r="G20" s="41">
        <f t="shared" si="4"/>
        <v>24347223.038023669</v>
      </c>
      <c r="H20" s="41">
        <v>82408987.563397601</v>
      </c>
      <c r="I20" s="41"/>
      <c r="J20" s="41">
        <f t="shared" si="3"/>
        <v>93093717.50109449</v>
      </c>
      <c r="K20" s="9"/>
      <c r="L20" s="41"/>
      <c r="M20" s="41">
        <f t="shared" si="2"/>
        <v>360928.18422241905</v>
      </c>
      <c r="N20" s="41"/>
      <c r="O20" s="7"/>
      <c r="P20" s="7"/>
      <c r="Q20" s="41"/>
      <c r="R20" s="41"/>
      <c r="S20" s="41"/>
      <c r="T20" s="7"/>
      <c r="U20" s="7"/>
      <c r="V20" s="41"/>
      <c r="W20" s="41"/>
      <c r="X20" s="41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</row>
    <row r="21" spans="1:64" x14ac:dyDescent="0.2">
      <c r="A21" s="119"/>
      <c r="B21" s="119">
        <v>2018</v>
      </c>
      <c r="C21" s="5">
        <v>1</v>
      </c>
      <c r="D21" s="119">
        <v>173</v>
      </c>
      <c r="E21" s="121">
        <f>low_SIPA_income!B14</f>
        <v>19576770.979535699</v>
      </c>
      <c r="F21" s="121">
        <f>low_SIPA_income!I14</f>
        <v>129450.461885458</v>
      </c>
      <c r="G21" s="8">
        <f t="shared" si="4"/>
        <v>19486155.65621588</v>
      </c>
      <c r="H21" s="8"/>
      <c r="I21" s="8"/>
      <c r="J21" s="8">
        <f t="shared" si="3"/>
        <v>74507005.04977861</v>
      </c>
      <c r="K21" s="6"/>
      <c r="L21" s="8"/>
      <c r="M21" s="8">
        <f t="shared" si="2"/>
        <v>325142.23865250521</v>
      </c>
      <c r="N21" s="8"/>
      <c r="O21" s="5"/>
      <c r="P21" s="5"/>
      <c r="Q21" s="8"/>
      <c r="R21" s="8"/>
      <c r="S21" s="8"/>
      <c r="T21" s="5"/>
      <c r="U21" s="5"/>
      <c r="V21" s="8"/>
      <c r="W21" s="8"/>
      <c r="X21" s="8"/>
      <c r="Y21" s="119"/>
      <c r="Z21" s="119"/>
      <c r="AA21" s="119"/>
      <c r="AB21" s="119"/>
      <c r="AC21" s="119"/>
      <c r="AD21" s="119"/>
      <c r="AE21" s="119"/>
      <c r="AF21" s="119"/>
      <c r="AG21" s="119"/>
      <c r="AH21" s="119"/>
      <c r="AI21" s="119"/>
      <c r="AJ21" s="119"/>
      <c r="AK21" s="119"/>
      <c r="AL21" s="119"/>
      <c r="AM21" s="119"/>
      <c r="AN21" s="119"/>
      <c r="AO21" s="119"/>
      <c r="AP21" s="119"/>
      <c r="AQ21" s="119"/>
      <c r="AR21" s="119"/>
      <c r="AS21" s="119"/>
      <c r="AT21" s="119"/>
      <c r="AU21" s="119"/>
      <c r="AV21" s="119"/>
      <c r="AW21" s="119"/>
      <c r="AX21" s="119"/>
      <c r="AY21" s="119"/>
      <c r="AZ21" s="119"/>
      <c r="BA21" s="119"/>
      <c r="BB21" s="119"/>
      <c r="BC21" s="119"/>
      <c r="BD21" s="119"/>
      <c r="BE21" s="119"/>
      <c r="BF21" s="119"/>
      <c r="BG21" s="119"/>
      <c r="BH21" s="119"/>
      <c r="BI21" s="119"/>
      <c r="BJ21" s="119"/>
      <c r="BK21" s="119"/>
      <c r="BL21" s="119"/>
    </row>
    <row r="22" spans="1:64" x14ac:dyDescent="0.2">
      <c r="A22" s="7"/>
      <c r="B22" s="7">
        <v>2018</v>
      </c>
      <c r="C22" s="7">
        <v>2</v>
      </c>
      <c r="D22" s="7">
        <v>174</v>
      </c>
      <c r="E22" s="123">
        <f>low_SIPA_income!B15</f>
        <v>22220215.517313901</v>
      </c>
      <c r="F22" s="123">
        <f>low_SIPA_income!I15</f>
        <v>124241.716375217</v>
      </c>
      <c r="G22" s="41">
        <f t="shared" si="4"/>
        <v>22133246.315851249</v>
      </c>
      <c r="H22" s="41"/>
      <c r="I22" s="41"/>
      <c r="J22" s="41">
        <f t="shared" si="3"/>
        <v>84628385.614741966</v>
      </c>
      <c r="K22" s="9"/>
      <c r="L22" s="41"/>
      <c r="M22" s="41">
        <f t="shared" si="2"/>
        <v>312059.3716537804</v>
      </c>
      <c r="N22" s="41"/>
      <c r="O22" s="7"/>
      <c r="P22" s="7"/>
      <c r="Q22" s="41"/>
      <c r="R22" s="41"/>
      <c r="S22" s="41"/>
      <c r="T22" s="7"/>
      <c r="U22" s="7"/>
      <c r="V22" s="41"/>
      <c r="W22" s="41"/>
      <c r="X22" s="41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</row>
    <row r="23" spans="1:64" x14ac:dyDescent="0.2">
      <c r="A23" s="7"/>
      <c r="B23" s="7">
        <v>2018</v>
      </c>
      <c r="C23" s="7">
        <v>3</v>
      </c>
      <c r="D23" s="7">
        <v>175</v>
      </c>
      <c r="E23" s="123">
        <f>low_SIPA_income!B16</f>
        <v>18315951.789164402</v>
      </c>
      <c r="F23" s="123">
        <f>low_SIPA_income!I16</f>
        <v>112657.52315571001</v>
      </c>
      <c r="G23" s="41">
        <f t="shared" si="4"/>
        <v>18237091.522955403</v>
      </c>
      <c r="H23" s="41"/>
      <c r="I23" s="41"/>
      <c r="J23" s="41">
        <f t="shared" si="3"/>
        <v>69731100.077745333</v>
      </c>
      <c r="K23" s="9"/>
      <c r="L23" s="41"/>
      <c r="M23" s="41">
        <f t="shared" si="2"/>
        <v>282963.21810195758</v>
      </c>
      <c r="N23" s="41"/>
      <c r="O23" s="7"/>
      <c r="P23" s="7"/>
      <c r="Q23" s="41"/>
      <c r="R23" s="41"/>
      <c r="S23" s="41"/>
      <c r="T23" s="7"/>
      <c r="U23" s="7"/>
      <c r="V23" s="41"/>
      <c r="W23" s="41"/>
      <c r="X23" s="41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</row>
    <row r="24" spans="1:64" x14ac:dyDescent="0.2">
      <c r="A24" s="7"/>
      <c r="B24" s="7">
        <v>2018</v>
      </c>
      <c r="C24" s="7">
        <v>4</v>
      </c>
      <c r="D24" s="7">
        <v>176</v>
      </c>
      <c r="E24" s="123">
        <f>low_SIPA_income!B17</f>
        <v>19986579.5361517</v>
      </c>
      <c r="F24" s="123">
        <f>low_SIPA_income!I17</f>
        <v>111977.056282442</v>
      </c>
      <c r="G24" s="41">
        <f t="shared" si="4"/>
        <v>19908195.596753992</v>
      </c>
      <c r="H24" s="41"/>
      <c r="I24" s="41"/>
      <c r="J24" s="41">
        <f t="shared" si="3"/>
        <v>76120711.341345191</v>
      </c>
      <c r="K24" s="9"/>
      <c r="L24" s="41"/>
      <c r="M24" s="41">
        <f t="shared" si="2"/>
        <v>281254.08150035166</v>
      </c>
      <c r="N24" s="41"/>
      <c r="O24" s="7"/>
      <c r="P24" s="7"/>
      <c r="Q24" s="41"/>
      <c r="R24" s="41"/>
      <c r="S24" s="41"/>
      <c r="T24" s="7"/>
      <c r="U24" s="7"/>
      <c r="V24" s="41"/>
      <c r="W24" s="41"/>
      <c r="X24" s="41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</row>
    <row r="25" spans="1:64" x14ac:dyDescent="0.2">
      <c r="A25" s="119"/>
      <c r="B25" s="119">
        <v>2019</v>
      </c>
      <c r="C25" s="5">
        <v>1</v>
      </c>
      <c r="D25" s="119">
        <v>177</v>
      </c>
      <c r="E25" s="121">
        <f>low_SIPA_income!B18</f>
        <v>15765474.155274</v>
      </c>
      <c r="F25" s="121">
        <f>low_SIPA_income!I18</f>
        <v>112983.375310289</v>
      </c>
      <c r="G25" s="8">
        <f t="shared" si="4"/>
        <v>15686385.792556798</v>
      </c>
      <c r="H25" s="8"/>
      <c r="I25" s="8"/>
      <c r="J25" s="8">
        <f t="shared" si="3"/>
        <v>59978255.643564418</v>
      </c>
      <c r="K25" s="6"/>
      <c r="L25" s="8"/>
      <c r="M25" s="8">
        <f t="shared" si="2"/>
        <v>283781.66476847703</v>
      </c>
      <c r="N25" s="8"/>
      <c r="O25" s="5"/>
      <c r="P25" s="5"/>
      <c r="Q25" s="8"/>
      <c r="R25" s="8"/>
      <c r="S25" s="8"/>
      <c r="T25" s="5"/>
      <c r="U25" s="5"/>
      <c r="V25" s="8"/>
      <c r="W25" s="8"/>
      <c r="X25" s="8"/>
      <c r="Y25" s="119"/>
      <c r="Z25" s="119"/>
      <c r="AA25" s="119"/>
      <c r="AB25" s="119"/>
      <c r="AC25" s="119"/>
      <c r="AD25" s="119"/>
      <c r="AE25" s="119"/>
      <c r="AF25" s="119"/>
      <c r="AG25" s="119"/>
      <c r="AH25" s="119"/>
      <c r="AI25" s="119"/>
      <c r="AJ25" s="119"/>
      <c r="AK25" s="119"/>
      <c r="AL25" s="119"/>
      <c r="AM25" s="119"/>
      <c r="AN25" s="119"/>
      <c r="AO25" s="119"/>
      <c r="AP25" s="119"/>
      <c r="AQ25" s="119"/>
      <c r="AR25" s="119"/>
      <c r="AS25" s="119"/>
      <c r="AT25" s="119"/>
      <c r="AU25" s="119"/>
      <c r="AV25" s="119"/>
      <c r="AW25" s="119"/>
      <c r="AX25" s="119"/>
      <c r="AY25" s="119"/>
      <c r="AZ25" s="119"/>
      <c r="BA25" s="119"/>
      <c r="BB25" s="119"/>
      <c r="BC25" s="119"/>
      <c r="BD25" s="119"/>
      <c r="BE25" s="119"/>
      <c r="BF25" s="119"/>
      <c r="BG25" s="119"/>
      <c r="BH25" s="119"/>
      <c r="BI25" s="119"/>
      <c r="BJ25" s="119"/>
      <c r="BK25" s="119"/>
      <c r="BL25" s="119"/>
    </row>
    <row r="26" spans="1:64" x14ac:dyDescent="0.2">
      <c r="A26" s="7"/>
      <c r="B26" s="7">
        <v>2019</v>
      </c>
      <c r="C26" s="7">
        <v>2</v>
      </c>
      <c r="D26" s="7">
        <v>178</v>
      </c>
      <c r="E26" s="123">
        <f>low_SIPA_income!B19</f>
        <v>18657793.518582702</v>
      </c>
      <c r="F26" s="123">
        <f>low_SIPA_income!I19</f>
        <v>111109.744064318</v>
      </c>
      <c r="G26" s="41">
        <f t="shared" si="4"/>
        <v>18580016.697737679</v>
      </c>
      <c r="H26" s="41">
        <v>1000</v>
      </c>
      <c r="I26" s="41"/>
      <c r="J26" s="41">
        <f t="shared" si="3"/>
        <v>71042304.205433235</v>
      </c>
      <c r="K26" s="9"/>
      <c r="L26" s="41"/>
      <c r="M26" s="41">
        <f t="shared" si="2"/>
        <v>279075.64326147514</v>
      </c>
      <c r="N26" s="41"/>
      <c r="O26" s="7"/>
      <c r="P26" s="7"/>
      <c r="Q26" s="41"/>
      <c r="R26" s="41"/>
      <c r="S26" s="41"/>
      <c r="T26" s="7"/>
      <c r="U26" s="7"/>
      <c r="V26" s="41"/>
      <c r="W26" s="41"/>
      <c r="X26" s="41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</row>
    <row r="27" spans="1:64" x14ac:dyDescent="0.2">
      <c r="A27" s="7"/>
      <c r="B27" s="7">
        <v>2019</v>
      </c>
      <c r="C27" s="7">
        <v>3</v>
      </c>
      <c r="D27" s="7">
        <v>179</v>
      </c>
      <c r="E27" s="123">
        <f>low_SIPA_income!B20</f>
        <v>15997402.205666799</v>
      </c>
      <c r="F27" s="123">
        <f>low_SIPA_income!I20</f>
        <v>109390.258252687</v>
      </c>
      <c r="G27" s="41">
        <f t="shared" si="4"/>
        <v>15920829.024889918</v>
      </c>
      <c r="H27" s="41"/>
      <c r="I27" s="41"/>
      <c r="J27" s="41">
        <f t="shared" si="3"/>
        <v>60874669.661983602</v>
      </c>
      <c r="K27" s="9"/>
      <c r="L27" s="41"/>
      <c r="M27" s="41">
        <f t="shared" si="2"/>
        <v>274756.79064417339</v>
      </c>
      <c r="N27" s="41"/>
      <c r="O27" s="7"/>
      <c r="P27" s="7"/>
      <c r="Q27" s="41"/>
      <c r="R27" s="41"/>
      <c r="S27" s="41"/>
      <c r="T27" s="7"/>
      <c r="U27" s="7"/>
      <c r="V27" s="41"/>
      <c r="W27" s="41"/>
      <c r="X27" s="41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</row>
    <row r="28" spans="1:64" x14ac:dyDescent="0.2">
      <c r="A28" s="7"/>
      <c r="B28" s="7">
        <v>2019</v>
      </c>
      <c r="C28" s="7">
        <v>4</v>
      </c>
      <c r="D28" s="7">
        <v>180</v>
      </c>
      <c r="E28" s="123">
        <f>low_SIPA_income!B21</f>
        <v>18417019.9206197</v>
      </c>
      <c r="F28" s="123">
        <f>low_SIPA_income!I21</f>
        <v>108953.57795993501</v>
      </c>
      <c r="G28" s="41">
        <f t="shared" si="4"/>
        <v>18340752.416047744</v>
      </c>
      <c r="H28" s="41"/>
      <c r="I28" s="41"/>
      <c r="J28" s="41">
        <f t="shared" si="3"/>
        <v>70127456.486949727</v>
      </c>
      <c r="K28" s="9"/>
      <c r="L28" s="41"/>
      <c r="M28" s="41">
        <f t="shared" si="2"/>
        <v>273659.97564720229</v>
      </c>
      <c r="N28" s="41"/>
      <c r="O28" s="7"/>
      <c r="P28" s="7"/>
      <c r="Q28" s="41"/>
      <c r="R28" s="41"/>
      <c r="S28" s="41"/>
      <c r="T28" s="7"/>
      <c r="U28" s="7"/>
      <c r="V28" s="41"/>
      <c r="W28" s="41"/>
      <c r="X28" s="41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</row>
    <row r="29" spans="1:64" x14ac:dyDescent="0.2">
      <c r="A29" s="119"/>
      <c r="B29" s="119">
        <v>2020</v>
      </c>
      <c r="C29" s="5">
        <v>1</v>
      </c>
      <c r="D29" s="119">
        <v>181</v>
      </c>
      <c r="E29" s="121">
        <f>low_SIPA_income!B22</f>
        <v>16219761.434002399</v>
      </c>
      <c r="F29" s="121">
        <f>low_SIPA_income!I22</f>
        <v>110895.328749862</v>
      </c>
      <c r="G29" s="8">
        <f t="shared" si="4"/>
        <v>16142134.703877496</v>
      </c>
      <c r="H29" s="8"/>
      <c r="I29" s="8"/>
      <c r="J29" s="8">
        <f t="shared" si="3"/>
        <v>61720851.106532022</v>
      </c>
      <c r="K29" s="6"/>
      <c r="L29" s="8"/>
      <c r="M29" s="8">
        <f t="shared" si="2"/>
        <v>278537.09380921215</v>
      </c>
      <c r="N29" s="8"/>
      <c r="O29" s="5"/>
      <c r="P29" s="5"/>
      <c r="Q29" s="8"/>
      <c r="R29" s="8"/>
      <c r="S29" s="8"/>
      <c r="T29" s="5"/>
      <c r="U29" s="5"/>
      <c r="V29" s="8"/>
      <c r="W29" s="8"/>
      <c r="X29" s="8"/>
      <c r="Y29" s="119"/>
      <c r="Z29" s="119"/>
      <c r="AA29" s="119"/>
      <c r="AB29" s="119"/>
      <c r="AC29" s="119"/>
      <c r="AD29" s="119"/>
      <c r="AE29" s="119"/>
      <c r="AF29" s="119"/>
      <c r="AG29" s="119"/>
      <c r="AH29" s="119"/>
      <c r="AI29" s="119"/>
      <c r="AJ29" s="119"/>
      <c r="AK29" s="119"/>
      <c r="AL29" s="119"/>
      <c r="AM29" s="119"/>
      <c r="AN29" s="119"/>
      <c r="AO29" s="119"/>
      <c r="AP29" s="119"/>
      <c r="AQ29" s="119"/>
      <c r="AR29" s="119"/>
      <c r="AS29" s="119"/>
      <c r="AT29" s="119"/>
      <c r="AU29" s="119"/>
      <c r="AV29" s="119"/>
      <c r="AW29" s="119"/>
      <c r="AX29" s="119"/>
      <c r="AY29" s="119"/>
      <c r="AZ29" s="119"/>
      <c r="BA29" s="119"/>
      <c r="BB29" s="119"/>
      <c r="BC29" s="119"/>
      <c r="BD29" s="119"/>
      <c r="BE29" s="119"/>
      <c r="BF29" s="119"/>
      <c r="BG29" s="119"/>
      <c r="BH29" s="119"/>
      <c r="BI29" s="119"/>
      <c r="BJ29" s="119"/>
      <c r="BK29" s="119"/>
      <c r="BL29" s="119"/>
    </row>
    <row r="30" spans="1:64" x14ac:dyDescent="0.2">
      <c r="A30" s="7"/>
      <c r="B30" s="7">
        <v>2020</v>
      </c>
      <c r="C30" s="7">
        <v>2</v>
      </c>
      <c r="D30" s="7">
        <v>182</v>
      </c>
      <c r="E30" s="123">
        <f>low_SIPA_income!B23</f>
        <v>19095179.179377399</v>
      </c>
      <c r="F30" s="123">
        <f>low_SIPA_income!I23</f>
        <v>111735.512325865</v>
      </c>
      <c r="G30" s="41">
        <f t="shared" si="4"/>
        <v>19016964.320749294</v>
      </c>
      <c r="H30" s="41"/>
      <c r="I30" s="41"/>
      <c r="J30" s="41">
        <f t="shared" si="3"/>
        <v>72713011.313011453</v>
      </c>
      <c r="K30" s="9"/>
      <c r="L30" s="41"/>
      <c r="M30" s="41">
        <f t="shared" si="2"/>
        <v>280647.39272048522</v>
      </c>
      <c r="N30" s="41"/>
      <c r="O30" s="7"/>
      <c r="P30" s="7"/>
      <c r="Q30" s="41"/>
      <c r="R30" s="41"/>
      <c r="S30" s="41"/>
      <c r="T30" s="7"/>
      <c r="U30" s="7"/>
      <c r="V30" s="41"/>
      <c r="W30" s="41"/>
      <c r="X30" s="41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</row>
    <row r="31" spans="1:64" x14ac:dyDescent="0.2">
      <c r="A31" s="7"/>
      <c r="B31" s="7">
        <v>2020</v>
      </c>
      <c r="C31" s="7">
        <v>3</v>
      </c>
      <c r="D31" s="7">
        <v>183</v>
      </c>
      <c r="E31" s="123">
        <f>low_SIPA_income!B24</f>
        <v>16661765.693549201</v>
      </c>
      <c r="F31" s="123">
        <f>low_SIPA_income!I24</f>
        <v>112811.77132169199</v>
      </c>
      <c r="G31" s="41">
        <f t="shared" si="4"/>
        <v>16582797.453624016</v>
      </c>
      <c r="H31" s="41"/>
      <c r="I31" s="41"/>
      <c r="J31" s="41">
        <f t="shared" si="3"/>
        <v>63405763.323177487</v>
      </c>
      <c r="K31" s="9"/>
      <c r="L31" s="41"/>
      <c r="M31" s="41">
        <f t="shared" si="2"/>
        <v>283350.64502392407</v>
      </c>
      <c r="N31" s="41"/>
      <c r="O31" s="7"/>
      <c r="P31" s="7"/>
      <c r="Q31" s="41"/>
      <c r="R31" s="41"/>
      <c r="S31" s="41"/>
      <c r="T31" s="7"/>
      <c r="U31" s="7"/>
      <c r="V31" s="41"/>
      <c r="W31" s="41"/>
      <c r="X31" s="41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</row>
    <row r="32" spans="1:64" x14ac:dyDescent="0.2">
      <c r="A32" s="7"/>
      <c r="B32" s="7">
        <v>2020</v>
      </c>
      <c r="C32" s="7">
        <v>4</v>
      </c>
      <c r="D32" s="7">
        <v>184</v>
      </c>
      <c r="E32" s="123">
        <f>low_SIPA_income!B25</f>
        <v>19484973.2178551</v>
      </c>
      <c r="F32" s="123">
        <f>low_SIPA_income!I25</f>
        <v>115665.706632701</v>
      </c>
      <c r="G32" s="41">
        <f t="shared" si="4"/>
        <v>19404007.223212209</v>
      </c>
      <c r="H32" s="41"/>
      <c r="I32" s="41"/>
      <c r="J32" s="41">
        <f t="shared" si="3"/>
        <v>74192903.396244735</v>
      </c>
      <c r="K32" s="9"/>
      <c r="L32" s="41"/>
      <c r="M32" s="41">
        <f t="shared" si="2"/>
        <v>290518.90771279705</v>
      </c>
      <c r="N32" s="41"/>
      <c r="O32" s="7"/>
      <c r="P32" s="7"/>
      <c r="Q32" s="41"/>
      <c r="R32" s="41"/>
      <c r="S32" s="41"/>
      <c r="T32" s="7"/>
      <c r="U32" s="7"/>
      <c r="V32" s="41"/>
      <c r="W32" s="41"/>
      <c r="X32" s="41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</row>
    <row r="33" spans="1:64" x14ac:dyDescent="0.2">
      <c r="A33" s="119"/>
      <c r="B33" s="119">
        <v>2021</v>
      </c>
      <c r="C33" s="5">
        <v>1</v>
      </c>
      <c r="D33" s="119">
        <v>185</v>
      </c>
      <c r="E33" s="121">
        <f>low_SIPA_income!B26</f>
        <v>17180532.393275999</v>
      </c>
      <c r="F33" s="121">
        <f>low_SIPA_income!I26</f>
        <v>117095.96275325899</v>
      </c>
      <c r="G33" s="8">
        <f t="shared" si="4"/>
        <v>17098565.219348717</v>
      </c>
      <c r="H33" s="8"/>
      <c r="I33" s="8"/>
      <c r="J33" s="8">
        <f t="shared" si="3"/>
        <v>65377846.077894948</v>
      </c>
      <c r="K33" s="6"/>
      <c r="L33" s="8"/>
      <c r="M33" s="8">
        <f t="shared" si="2"/>
        <v>294111.29873335711</v>
      </c>
      <c r="N33" s="8"/>
      <c r="O33" s="5"/>
      <c r="P33" s="5"/>
      <c r="Q33" s="8"/>
      <c r="R33" s="8"/>
      <c r="S33" s="8"/>
      <c r="T33" s="5"/>
      <c r="U33" s="5"/>
      <c r="V33" s="8"/>
      <c r="W33" s="8"/>
      <c r="X33" s="8"/>
      <c r="Y33" s="119"/>
      <c r="Z33" s="119"/>
      <c r="AA33" s="119"/>
      <c r="AB33" s="119"/>
      <c r="AC33" s="119"/>
      <c r="AD33" s="119"/>
      <c r="AE33" s="119"/>
      <c r="AF33" s="119"/>
      <c r="AG33" s="119"/>
      <c r="AH33" s="119"/>
      <c r="AI33" s="119"/>
      <c r="AJ33" s="119"/>
      <c r="AK33" s="119"/>
      <c r="AL33" s="119"/>
      <c r="AM33" s="119"/>
      <c r="AN33" s="119"/>
      <c r="AO33" s="119"/>
      <c r="AP33" s="119"/>
      <c r="AQ33" s="119"/>
      <c r="AR33" s="119"/>
      <c r="AS33" s="119"/>
      <c r="AT33" s="119"/>
      <c r="AU33" s="119"/>
      <c r="AV33" s="119"/>
      <c r="AW33" s="119"/>
      <c r="AX33" s="119"/>
      <c r="AY33" s="119"/>
      <c r="AZ33" s="119"/>
      <c r="BA33" s="119"/>
      <c r="BB33" s="119"/>
      <c r="BC33" s="119"/>
      <c r="BD33" s="119"/>
      <c r="BE33" s="119"/>
      <c r="BF33" s="119"/>
      <c r="BG33" s="119"/>
      <c r="BH33" s="119"/>
      <c r="BI33" s="119"/>
      <c r="BJ33" s="119"/>
      <c r="BK33" s="119"/>
      <c r="BL33" s="119"/>
    </row>
    <row r="34" spans="1:64" x14ac:dyDescent="0.2">
      <c r="A34" s="7"/>
      <c r="B34" s="7">
        <v>2021</v>
      </c>
      <c r="C34" s="7">
        <v>2</v>
      </c>
      <c r="D34" s="7">
        <v>186</v>
      </c>
      <c r="E34" s="123">
        <f>low_SIPA_income!B27</f>
        <v>19951636.390964899</v>
      </c>
      <c r="F34" s="123">
        <f>low_SIPA_income!I27</f>
        <v>112815.624363854</v>
      </c>
      <c r="G34" s="41">
        <f t="shared" si="4"/>
        <v>19872665.453910202</v>
      </c>
      <c r="H34" s="41"/>
      <c r="I34" s="41"/>
      <c r="J34" s="41">
        <f t="shared" si="3"/>
        <v>75984858.760724083</v>
      </c>
      <c r="K34" s="9"/>
      <c r="L34" s="41"/>
      <c r="M34" s="41">
        <f t="shared" si="2"/>
        <v>283360.32275497215</v>
      </c>
      <c r="N34" s="41"/>
      <c r="O34" s="7"/>
      <c r="P34" s="7"/>
      <c r="Q34" s="41"/>
      <c r="R34" s="41"/>
      <c r="S34" s="41"/>
      <c r="T34" s="7"/>
      <c r="U34" s="7"/>
      <c r="V34" s="41"/>
      <c r="W34" s="41"/>
      <c r="X34" s="41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</row>
    <row r="35" spans="1:64" x14ac:dyDescent="0.2">
      <c r="A35" s="7"/>
      <c r="B35" s="7">
        <v>2021</v>
      </c>
      <c r="C35" s="7">
        <v>3</v>
      </c>
      <c r="D35" s="7">
        <v>187</v>
      </c>
      <c r="E35" s="123">
        <f>low_SIPA_income!B28</f>
        <v>17451665.632257801</v>
      </c>
      <c r="F35" s="123">
        <f>low_SIPA_income!I28</f>
        <v>118695.719873636</v>
      </c>
      <c r="G35" s="41">
        <f t="shared" si="4"/>
        <v>17368578.628346257</v>
      </c>
      <c r="H35" s="41"/>
      <c r="I35" s="41"/>
      <c r="J35" s="41">
        <f t="shared" si="3"/>
        <v>66410265.749718219</v>
      </c>
      <c r="K35" s="9"/>
      <c r="L35" s="41"/>
      <c r="M35" s="41">
        <f t="shared" ref="M35:M66" si="5">F35*2.511711692</f>
        <v>298129.4273969683</v>
      </c>
      <c r="N35" s="41"/>
      <c r="O35" s="7"/>
      <c r="P35" s="7"/>
      <c r="Q35" s="41"/>
      <c r="R35" s="41"/>
      <c r="S35" s="41"/>
      <c r="T35" s="7"/>
      <c r="U35" s="7"/>
      <c r="V35" s="41"/>
      <c r="W35" s="41"/>
      <c r="X35" s="41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</row>
    <row r="36" spans="1:64" x14ac:dyDescent="0.2">
      <c r="A36" s="7"/>
      <c r="B36" s="7">
        <v>2021</v>
      </c>
      <c r="C36" s="7">
        <v>4</v>
      </c>
      <c r="D36" s="7">
        <v>188</v>
      </c>
      <c r="E36" s="123">
        <f>low_SIPA_income!B29</f>
        <v>20405339.079285</v>
      </c>
      <c r="F36" s="123">
        <f>low_SIPA_income!I29</f>
        <v>114687.41764689601</v>
      </c>
      <c r="G36" s="41">
        <f t="shared" si="4"/>
        <v>20325057.886932172</v>
      </c>
      <c r="H36" s="41"/>
      <c r="I36" s="41"/>
      <c r="J36" s="41">
        <f t="shared" ref="J36:J67" si="6">G36*3.8235866717</f>
        <v>77714620.438004822</v>
      </c>
      <c r="K36" s="9"/>
      <c r="L36" s="41"/>
      <c r="M36" s="41">
        <f t="shared" si="5"/>
        <v>288061.72782899585</v>
      </c>
      <c r="N36" s="41"/>
      <c r="O36" s="7"/>
      <c r="P36" s="7"/>
      <c r="Q36" s="41"/>
      <c r="R36" s="41"/>
      <c r="S36" s="41"/>
      <c r="T36" s="7"/>
      <c r="U36" s="7"/>
      <c r="V36" s="41"/>
      <c r="W36" s="41"/>
      <c r="X36" s="41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</row>
    <row r="37" spans="1:64" x14ac:dyDescent="0.2">
      <c r="A37" s="119"/>
      <c r="B37" s="119">
        <v>2022</v>
      </c>
      <c r="C37" s="5">
        <v>1</v>
      </c>
      <c r="D37" s="119">
        <v>189</v>
      </c>
      <c r="E37" s="121">
        <f>low_SIPA_income!B30</f>
        <v>17865337.3120379</v>
      </c>
      <c r="F37" s="121">
        <f>low_SIPA_income!I30</f>
        <v>117374.912621981</v>
      </c>
      <c r="G37" s="8">
        <f t="shared" si="4"/>
        <v>17783174.873202514</v>
      </c>
      <c r="H37" s="8"/>
      <c r="I37" s="8"/>
      <c r="J37" s="8">
        <f t="shared" si="6"/>
        <v>67995510.425687477</v>
      </c>
      <c r="K37" s="6"/>
      <c r="L37" s="8"/>
      <c r="M37" s="8">
        <f t="shared" si="5"/>
        <v>294811.94038010808</v>
      </c>
      <c r="N37" s="8"/>
      <c r="O37" s="5"/>
      <c r="P37" s="5"/>
      <c r="Q37" s="8"/>
      <c r="R37" s="8"/>
      <c r="S37" s="8"/>
      <c r="T37" s="5"/>
      <c r="U37" s="5"/>
      <c r="V37" s="8"/>
      <c r="W37" s="8"/>
      <c r="X37" s="8"/>
      <c r="Y37" s="119"/>
      <c r="Z37" s="119"/>
      <c r="AA37" s="119"/>
      <c r="AB37" s="119"/>
      <c r="AC37" s="119"/>
      <c r="AD37" s="119"/>
      <c r="AE37" s="119"/>
      <c r="AF37" s="119"/>
      <c r="AG37" s="119"/>
      <c r="AH37" s="119"/>
      <c r="AI37" s="119"/>
      <c r="AJ37" s="119"/>
      <c r="AK37" s="119"/>
      <c r="AL37" s="119"/>
      <c r="AM37" s="119"/>
      <c r="AN37" s="119"/>
      <c r="AO37" s="119"/>
      <c r="AP37" s="119"/>
      <c r="AQ37" s="119"/>
      <c r="AR37" s="119"/>
      <c r="AS37" s="119"/>
      <c r="AT37" s="119"/>
      <c r="AU37" s="119"/>
      <c r="AV37" s="119"/>
      <c r="AW37" s="119"/>
      <c r="AX37" s="119"/>
      <c r="AY37" s="119"/>
      <c r="AZ37" s="119"/>
      <c r="BA37" s="119"/>
      <c r="BB37" s="119"/>
      <c r="BC37" s="119"/>
      <c r="BD37" s="119"/>
      <c r="BE37" s="119"/>
      <c r="BF37" s="119"/>
      <c r="BG37" s="119"/>
      <c r="BH37" s="119"/>
      <c r="BI37" s="119"/>
      <c r="BJ37" s="119"/>
      <c r="BK37" s="119"/>
      <c r="BL37" s="119"/>
    </row>
    <row r="38" spans="1:64" x14ac:dyDescent="0.2">
      <c r="A38" s="7"/>
      <c r="B38" s="7">
        <v>2022</v>
      </c>
      <c r="C38" s="7">
        <v>2</v>
      </c>
      <c r="D38" s="7">
        <v>190</v>
      </c>
      <c r="E38" s="123">
        <f>low_SIPA_income!B31</f>
        <v>20717108.0180851</v>
      </c>
      <c r="F38" s="123">
        <f>low_SIPA_income!I31</f>
        <v>118900.60121722901</v>
      </c>
      <c r="G38" s="41">
        <f t="shared" si="4"/>
        <v>20633877.597233038</v>
      </c>
      <c r="H38" s="41"/>
      <c r="I38" s="41"/>
      <c r="J38" s="41">
        <f t="shared" si="6"/>
        <v>78895419.366269469</v>
      </c>
      <c r="K38" s="9"/>
      <c r="L38" s="41"/>
      <c r="M38" s="41">
        <f t="shared" si="5"/>
        <v>298644.03026314353</v>
      </c>
      <c r="N38" s="41"/>
      <c r="O38" s="7"/>
      <c r="P38" s="7"/>
      <c r="Q38" s="41"/>
      <c r="R38" s="41"/>
      <c r="S38" s="41"/>
      <c r="T38" s="7"/>
      <c r="U38" s="7"/>
      <c r="V38" s="41"/>
      <c r="W38" s="41"/>
      <c r="X38" s="41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</row>
    <row r="39" spans="1:64" x14ac:dyDescent="0.2">
      <c r="A39" s="7"/>
      <c r="B39" s="7">
        <v>2022</v>
      </c>
      <c r="C39" s="7">
        <v>3</v>
      </c>
      <c r="D39" s="7">
        <v>191</v>
      </c>
      <c r="E39" s="123">
        <f>low_SIPA_income!B32</f>
        <v>18273146.540880401</v>
      </c>
      <c r="F39" s="123">
        <f>low_SIPA_income!I32</f>
        <v>119396.831971516</v>
      </c>
      <c r="G39" s="41">
        <f t="shared" si="4"/>
        <v>18189568.758500341</v>
      </c>
      <c r="H39" s="41"/>
      <c r="I39" s="41"/>
      <c r="J39" s="41">
        <f t="shared" si="6"/>
        <v>69549392.668972626</v>
      </c>
      <c r="K39" s="9"/>
      <c r="L39" s="41"/>
      <c r="M39" s="41">
        <f t="shared" si="5"/>
        <v>299890.41885061614</v>
      </c>
      <c r="N39" s="41"/>
      <c r="O39" s="7"/>
      <c r="P39" s="7"/>
      <c r="Q39" s="41"/>
      <c r="R39" s="41"/>
      <c r="S39" s="41"/>
      <c r="T39" s="7"/>
      <c r="U39" s="7"/>
      <c r="V39" s="41"/>
      <c r="W39" s="41"/>
      <c r="X39" s="41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</row>
    <row r="40" spans="1:64" x14ac:dyDescent="0.2">
      <c r="A40" s="7"/>
      <c r="B40" s="7">
        <v>2022</v>
      </c>
      <c r="C40" s="7">
        <v>4</v>
      </c>
      <c r="D40" s="7">
        <v>192</v>
      </c>
      <c r="E40" s="123">
        <f>low_SIPA_income!B33</f>
        <v>21178008.4776861</v>
      </c>
      <c r="F40" s="123">
        <f>low_SIPA_income!I33</f>
        <v>115712.588610148</v>
      </c>
      <c r="G40" s="41">
        <f t="shared" si="4"/>
        <v>21097009.665658996</v>
      </c>
      <c r="H40" s="41"/>
      <c r="I40" s="41"/>
      <c r="J40" s="41">
        <f t="shared" si="6"/>
        <v>80666244.97033982</v>
      </c>
      <c r="K40" s="9"/>
      <c r="L40" s="41"/>
      <c r="M40" s="41">
        <f t="shared" si="5"/>
        <v>290636.66172369476</v>
      </c>
      <c r="N40" s="41"/>
      <c r="O40" s="7"/>
      <c r="P40" s="7"/>
      <c r="Q40" s="41"/>
      <c r="R40" s="41"/>
      <c r="S40" s="41"/>
      <c r="T40" s="7"/>
      <c r="U40" s="7"/>
      <c r="V40" s="41"/>
      <c r="W40" s="41"/>
      <c r="X40" s="41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</row>
    <row r="41" spans="1:64" x14ac:dyDescent="0.2">
      <c r="A41" s="119"/>
      <c r="B41" s="119">
        <v>2023</v>
      </c>
      <c r="C41" s="5">
        <v>1</v>
      </c>
      <c r="D41" s="119">
        <v>193</v>
      </c>
      <c r="E41" s="121">
        <f>low_SIPA_income!B34</f>
        <v>18614439.940992799</v>
      </c>
      <c r="F41" s="121">
        <f>low_SIPA_income!I34</f>
        <v>120062.54141661301</v>
      </c>
      <c r="G41" s="8">
        <f t="shared" ref="G41:G72" si="7">E41-F41*0.7</f>
        <v>18530396.16200117</v>
      </c>
      <c r="H41" s="8"/>
      <c r="I41" s="8"/>
      <c r="J41" s="8">
        <f t="shared" si="6"/>
        <v>70852575.786348507</v>
      </c>
      <c r="K41" s="6"/>
      <c r="L41" s="8"/>
      <c r="M41" s="8">
        <f t="shared" si="5"/>
        <v>301562.48904734111</v>
      </c>
      <c r="N41" s="8"/>
      <c r="O41" s="5"/>
      <c r="P41" s="5"/>
      <c r="Q41" s="8"/>
      <c r="R41" s="8"/>
      <c r="S41" s="8"/>
      <c r="T41" s="5"/>
      <c r="U41" s="5"/>
      <c r="V41" s="8"/>
      <c r="W41" s="8"/>
      <c r="X41" s="8"/>
      <c r="Y41" s="119"/>
      <c r="Z41" s="119"/>
      <c r="AA41" s="119"/>
      <c r="AB41" s="119"/>
      <c r="AC41" s="119"/>
      <c r="AD41" s="119"/>
      <c r="AE41" s="119"/>
      <c r="AF41" s="119"/>
      <c r="AG41" s="119"/>
      <c r="AH41" s="119"/>
      <c r="AI41" s="119"/>
      <c r="AJ41" s="119"/>
      <c r="AK41" s="119"/>
      <c r="AL41" s="119"/>
      <c r="AM41" s="119"/>
      <c r="AN41" s="119"/>
      <c r="AO41" s="119"/>
      <c r="AP41" s="119"/>
      <c r="AQ41" s="119"/>
      <c r="AR41" s="119"/>
      <c r="AS41" s="119"/>
      <c r="AT41" s="119"/>
      <c r="AU41" s="119"/>
      <c r="AV41" s="119"/>
      <c r="AW41" s="119"/>
      <c r="AX41" s="119"/>
      <c r="AY41" s="119"/>
      <c r="AZ41" s="119"/>
      <c r="BA41" s="119"/>
      <c r="BB41" s="119"/>
      <c r="BC41" s="119"/>
      <c r="BD41" s="119"/>
      <c r="BE41" s="119"/>
      <c r="BF41" s="119"/>
      <c r="BG41" s="119"/>
      <c r="BH41" s="119"/>
      <c r="BI41" s="119"/>
      <c r="BJ41" s="119"/>
      <c r="BK41" s="119"/>
      <c r="BL41" s="119"/>
    </row>
    <row r="42" spans="1:64" x14ac:dyDescent="0.2">
      <c r="A42" s="7"/>
      <c r="B42" s="7">
        <v>2023</v>
      </c>
      <c r="C42" s="7">
        <v>2</v>
      </c>
      <c r="D42" s="7">
        <v>194</v>
      </c>
      <c r="E42" s="123">
        <f>low_SIPA_income!B35</f>
        <v>21793230.227002699</v>
      </c>
      <c r="F42" s="123">
        <f>low_SIPA_income!I35</f>
        <v>121525.173916464</v>
      </c>
      <c r="G42" s="41">
        <f t="shared" si="7"/>
        <v>21708162.605261173</v>
      </c>
      <c r="H42" s="41"/>
      <c r="I42" s="41"/>
      <c r="J42" s="41">
        <f t="shared" si="6"/>
        <v>83003041.204572976</v>
      </c>
      <c r="K42" s="9"/>
      <c r="L42" s="41"/>
      <c r="M42" s="41">
        <f t="shared" si="5"/>
        <v>305236.20019831607</v>
      </c>
      <c r="N42" s="41"/>
      <c r="O42" s="7"/>
      <c r="P42" s="7"/>
      <c r="Q42" s="41"/>
      <c r="R42" s="41"/>
      <c r="S42" s="41"/>
      <c r="T42" s="7"/>
      <c r="U42" s="7"/>
      <c r="V42" s="41"/>
      <c r="W42" s="41"/>
      <c r="X42" s="41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</row>
    <row r="43" spans="1:64" x14ac:dyDescent="0.2">
      <c r="A43" s="7"/>
      <c r="B43" s="7">
        <v>2023</v>
      </c>
      <c r="C43" s="7">
        <v>3</v>
      </c>
      <c r="D43" s="7">
        <v>195</v>
      </c>
      <c r="E43" s="123">
        <f>low_SIPA_income!B36</f>
        <v>19146864.4969192</v>
      </c>
      <c r="F43" s="123">
        <f>low_SIPA_income!I36</f>
        <v>124670.794272231</v>
      </c>
      <c r="G43" s="41">
        <f t="shared" si="7"/>
        <v>19059594.940928638</v>
      </c>
      <c r="H43" s="41"/>
      <c r="I43" s="41"/>
      <c r="J43" s="41">
        <f t="shared" si="6"/>
        <v>72876013.184135497</v>
      </c>
      <c r="K43" s="9"/>
      <c r="L43" s="41"/>
      <c r="M43" s="41">
        <f t="shared" si="5"/>
        <v>313137.09162448923</v>
      </c>
      <c r="N43" s="41"/>
      <c r="O43" s="7"/>
      <c r="P43" s="7"/>
      <c r="Q43" s="41"/>
      <c r="R43" s="41"/>
      <c r="S43" s="41"/>
      <c r="T43" s="7"/>
      <c r="U43" s="7"/>
      <c r="V43" s="41"/>
      <c r="W43" s="41"/>
      <c r="X43" s="41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</row>
    <row r="44" spans="1:64" x14ac:dyDescent="0.2">
      <c r="A44" s="7"/>
      <c r="B44" s="7">
        <v>2023</v>
      </c>
      <c r="C44" s="7">
        <v>4</v>
      </c>
      <c r="D44" s="7">
        <v>196</v>
      </c>
      <c r="E44" s="123">
        <f>low_SIPA_income!B37</f>
        <v>22112574.311699301</v>
      </c>
      <c r="F44" s="123">
        <f>low_SIPA_income!I37</f>
        <v>120691.434095772</v>
      </c>
      <c r="G44" s="41">
        <f t="shared" si="7"/>
        <v>22028090.30783226</v>
      </c>
      <c r="H44" s="41"/>
      <c r="I44" s="41"/>
      <c r="J44" s="41">
        <f t="shared" si="6"/>
        <v>84226312.50403139</v>
      </c>
      <c r="K44" s="9"/>
      <c r="L44" s="41"/>
      <c r="M44" s="41">
        <f t="shared" si="5"/>
        <v>303142.08614259795</v>
      </c>
      <c r="N44" s="41"/>
      <c r="O44" s="7"/>
      <c r="P44" s="7"/>
      <c r="Q44" s="41"/>
      <c r="R44" s="41"/>
      <c r="S44" s="41"/>
      <c r="T44" s="7"/>
      <c r="U44" s="7"/>
      <c r="V44" s="41"/>
      <c r="W44" s="41"/>
      <c r="X44" s="41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</row>
    <row r="45" spans="1:64" x14ac:dyDescent="0.2">
      <c r="A45" s="119"/>
      <c r="B45" s="119">
        <v>2024</v>
      </c>
      <c r="C45" s="5">
        <v>1</v>
      </c>
      <c r="D45" s="119">
        <v>197</v>
      </c>
      <c r="E45" s="121">
        <f>low_SIPA_income!B38</f>
        <v>19308145.188397501</v>
      </c>
      <c r="F45" s="121">
        <f>low_SIPA_income!I38</f>
        <v>124111.238254657</v>
      </c>
      <c r="G45" s="8">
        <f t="shared" si="7"/>
        <v>19221267.321619242</v>
      </c>
      <c r="H45" s="8"/>
      <c r="I45" s="8"/>
      <c r="J45" s="8">
        <f t="shared" si="6"/>
        <v>73494181.544126093</v>
      </c>
      <c r="K45" s="6"/>
      <c r="L45" s="8"/>
      <c r="M45" s="8">
        <f t="shared" si="5"/>
        <v>311731.64823281969</v>
      </c>
      <c r="N45" s="8"/>
      <c r="O45" s="5"/>
      <c r="P45" s="5"/>
      <c r="Q45" s="8"/>
      <c r="R45" s="8"/>
      <c r="S45" s="8"/>
      <c r="T45" s="5"/>
      <c r="U45" s="5"/>
      <c r="V45" s="8"/>
      <c r="W45" s="8"/>
      <c r="X45" s="8"/>
      <c r="Y45" s="119"/>
      <c r="Z45" s="119"/>
      <c r="AA45" s="119"/>
      <c r="AB45" s="119"/>
      <c r="AC45" s="119"/>
      <c r="AD45" s="119"/>
      <c r="AE45" s="119"/>
      <c r="AF45" s="119"/>
      <c r="AG45" s="119"/>
      <c r="AH45" s="119"/>
      <c r="AI45" s="119"/>
      <c r="AJ45" s="119"/>
      <c r="AK45" s="119"/>
      <c r="AL45" s="119"/>
      <c r="AM45" s="119"/>
      <c r="AN45" s="119"/>
      <c r="AO45" s="119"/>
      <c r="AP45" s="119"/>
      <c r="AQ45" s="119"/>
      <c r="AR45" s="119"/>
      <c r="AS45" s="119"/>
      <c r="AT45" s="119"/>
      <c r="AU45" s="119"/>
      <c r="AV45" s="119"/>
      <c r="AW45" s="119"/>
      <c r="AX45" s="119"/>
      <c r="AY45" s="119"/>
      <c r="AZ45" s="119"/>
      <c r="BA45" s="119"/>
      <c r="BB45" s="119"/>
      <c r="BC45" s="119"/>
      <c r="BD45" s="119"/>
      <c r="BE45" s="119"/>
      <c r="BF45" s="119"/>
      <c r="BG45" s="119"/>
      <c r="BH45" s="119"/>
      <c r="BI45" s="119"/>
      <c r="BJ45" s="119"/>
      <c r="BK45" s="119"/>
      <c r="BL45" s="119"/>
    </row>
    <row r="46" spans="1:64" x14ac:dyDescent="0.2">
      <c r="A46" s="7"/>
      <c r="B46" s="7">
        <v>2024</v>
      </c>
      <c r="C46" s="7">
        <v>2</v>
      </c>
      <c r="D46" s="7">
        <v>198</v>
      </c>
      <c r="E46" s="123">
        <f>low_SIPA_income!B39</f>
        <v>22295922.363054901</v>
      </c>
      <c r="F46" s="123">
        <f>low_SIPA_income!I39</f>
        <v>124251.799082364</v>
      </c>
      <c r="G46" s="41">
        <f t="shared" si="7"/>
        <v>22208946.103697248</v>
      </c>
      <c r="H46" s="41"/>
      <c r="I46" s="41"/>
      <c r="J46" s="41">
        <f t="shared" si="6"/>
        <v>84917830.314600453</v>
      </c>
      <c r="K46" s="9"/>
      <c r="L46" s="41"/>
      <c r="M46" s="41">
        <f t="shared" si="5"/>
        <v>312084.69650720851</v>
      </c>
      <c r="N46" s="41"/>
      <c r="O46" s="7"/>
      <c r="P46" s="7"/>
      <c r="Q46" s="41"/>
      <c r="R46" s="41"/>
      <c r="S46" s="41"/>
      <c r="T46" s="7"/>
      <c r="U46" s="7"/>
      <c r="V46" s="41"/>
      <c r="W46" s="41"/>
      <c r="X46" s="41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</row>
    <row r="47" spans="1:64" x14ac:dyDescent="0.2">
      <c r="A47" s="7"/>
      <c r="B47" s="7">
        <v>2024</v>
      </c>
      <c r="C47" s="7">
        <v>3</v>
      </c>
      <c r="D47" s="7">
        <v>199</v>
      </c>
      <c r="E47" s="123">
        <f>low_SIPA_income!B40</f>
        <v>19659376.167029601</v>
      </c>
      <c r="F47" s="123">
        <f>low_SIPA_income!I40</f>
        <v>124346.864541359</v>
      </c>
      <c r="G47" s="41">
        <f t="shared" si="7"/>
        <v>19572333.361850649</v>
      </c>
      <c r="H47" s="41"/>
      <c r="I47" s="41"/>
      <c r="J47" s="41">
        <f t="shared" si="6"/>
        <v>74836512.976441398</v>
      </c>
      <c r="K47" s="9"/>
      <c r="L47" s="41"/>
      <c r="M47" s="41">
        <f t="shared" si="5"/>
        <v>312323.47353207163</v>
      </c>
      <c r="N47" s="41"/>
      <c r="O47" s="7"/>
      <c r="P47" s="7"/>
      <c r="Q47" s="41"/>
      <c r="R47" s="41"/>
      <c r="S47" s="41"/>
      <c r="T47" s="7"/>
      <c r="U47" s="7"/>
      <c r="V47" s="41"/>
      <c r="W47" s="41"/>
      <c r="X47" s="41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</row>
    <row r="48" spans="1:64" x14ac:dyDescent="0.2">
      <c r="A48" s="7"/>
      <c r="B48" s="7">
        <v>2024</v>
      </c>
      <c r="C48" s="7">
        <v>4</v>
      </c>
      <c r="D48" s="7">
        <v>200</v>
      </c>
      <c r="E48" s="123">
        <f>low_SIPA_income!B41</f>
        <v>22741610.276369601</v>
      </c>
      <c r="F48" s="123">
        <f>low_SIPA_income!I41</f>
        <v>125640.670673003</v>
      </c>
      <c r="G48" s="41">
        <f t="shared" si="7"/>
        <v>22653661.806898501</v>
      </c>
      <c r="H48" s="41"/>
      <c r="I48" s="41"/>
      <c r="J48" s="41">
        <f t="shared" si="6"/>
        <v>86618239.350056455</v>
      </c>
      <c r="K48" s="9"/>
      <c r="L48" s="41"/>
      <c r="M48" s="41">
        <f t="shared" si="5"/>
        <v>315573.14152010315</v>
      </c>
      <c r="N48" s="41"/>
      <c r="O48" s="7"/>
      <c r="P48" s="7"/>
      <c r="Q48" s="41"/>
      <c r="R48" s="41"/>
      <c r="S48" s="41"/>
      <c r="T48" s="7"/>
      <c r="U48" s="7"/>
      <c r="V48" s="41"/>
      <c r="W48" s="41"/>
      <c r="X48" s="41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</row>
    <row r="49" spans="1:64" x14ac:dyDescent="0.2">
      <c r="A49" s="119"/>
      <c r="B49" s="119">
        <v>2025</v>
      </c>
      <c r="C49" s="5">
        <v>1</v>
      </c>
      <c r="D49" s="119">
        <v>201</v>
      </c>
      <c r="E49" s="121">
        <f>low_SIPA_income!B42</f>
        <v>19776613.183225401</v>
      </c>
      <c r="F49" s="121">
        <f>low_SIPA_income!I42</f>
        <v>127438.422013121</v>
      </c>
      <c r="G49" s="8">
        <f t="shared" si="7"/>
        <v>19687406.287816215</v>
      </c>
      <c r="H49" s="8"/>
      <c r="I49" s="8"/>
      <c r="J49" s="8">
        <f t="shared" si="6"/>
        <v>75276504.282436863</v>
      </c>
      <c r="K49" s="6"/>
      <c r="L49" s="8"/>
      <c r="M49" s="8">
        <f t="shared" si="5"/>
        <v>320088.57458038622</v>
      </c>
      <c r="N49" s="8"/>
      <c r="O49" s="5"/>
      <c r="P49" s="5"/>
      <c r="Q49" s="8"/>
      <c r="R49" s="8"/>
      <c r="S49" s="8"/>
      <c r="T49" s="5"/>
      <c r="U49" s="5"/>
      <c r="V49" s="8"/>
      <c r="W49" s="8"/>
      <c r="X49" s="8"/>
      <c r="Y49" s="119"/>
      <c r="Z49" s="119"/>
      <c r="AA49" s="119"/>
      <c r="AB49" s="119"/>
      <c r="AC49" s="119"/>
      <c r="AD49" s="119"/>
      <c r="AE49" s="119"/>
      <c r="AF49" s="119"/>
      <c r="AG49" s="119"/>
      <c r="AH49" s="119"/>
      <c r="AI49" s="119"/>
      <c r="AJ49" s="119"/>
      <c r="AK49" s="119"/>
      <c r="AL49" s="119"/>
      <c r="AM49" s="119"/>
      <c r="AN49" s="119"/>
      <c r="AO49" s="119"/>
      <c r="AP49" s="119"/>
      <c r="AQ49" s="119"/>
      <c r="AR49" s="119"/>
      <c r="AS49" s="119"/>
      <c r="AT49" s="119"/>
      <c r="AU49" s="119"/>
      <c r="AV49" s="119"/>
      <c r="AW49" s="119"/>
      <c r="AX49" s="119"/>
      <c r="AY49" s="119"/>
      <c r="AZ49" s="119"/>
      <c r="BA49" s="119"/>
      <c r="BB49" s="119"/>
      <c r="BC49" s="119"/>
      <c r="BD49" s="119"/>
      <c r="BE49" s="119"/>
      <c r="BF49" s="119"/>
      <c r="BG49" s="119"/>
      <c r="BH49" s="119"/>
      <c r="BI49" s="119"/>
      <c r="BJ49" s="119"/>
      <c r="BK49" s="119"/>
      <c r="BL49" s="119"/>
    </row>
    <row r="50" spans="1:64" x14ac:dyDescent="0.2">
      <c r="A50" s="7"/>
      <c r="B50" s="7">
        <v>2025</v>
      </c>
      <c r="C50" s="7">
        <v>2</v>
      </c>
      <c r="D50" s="7">
        <v>202</v>
      </c>
      <c r="E50" s="123">
        <f>low_SIPA_income!B43</f>
        <v>22890259.538926098</v>
      </c>
      <c r="F50" s="123">
        <f>low_SIPA_income!I43</f>
        <v>127135.97476052299</v>
      </c>
      <c r="G50" s="41">
        <f t="shared" si="7"/>
        <v>22801264.356593732</v>
      </c>
      <c r="H50" s="41"/>
      <c r="I50" s="41"/>
      <c r="J50" s="41">
        <f t="shared" si="6"/>
        <v>87182610.491780072</v>
      </c>
      <c r="K50" s="9"/>
      <c r="L50" s="41"/>
      <c r="M50" s="41">
        <f t="shared" si="5"/>
        <v>319328.91427982249</v>
      </c>
      <c r="N50" s="41"/>
      <c r="O50" s="7"/>
      <c r="P50" s="7"/>
      <c r="Q50" s="41"/>
      <c r="R50" s="41"/>
      <c r="S50" s="41"/>
      <c r="T50" s="7"/>
      <c r="U50" s="7"/>
      <c r="V50" s="41"/>
      <c r="W50" s="41"/>
      <c r="X50" s="41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</row>
    <row r="51" spans="1:64" x14ac:dyDescent="0.2">
      <c r="A51" s="7"/>
      <c r="B51" s="7">
        <v>2025</v>
      </c>
      <c r="C51" s="7">
        <v>3</v>
      </c>
      <c r="D51" s="7">
        <v>203</v>
      </c>
      <c r="E51" s="123">
        <f>low_SIPA_income!B44</f>
        <v>20153814.975260202</v>
      </c>
      <c r="F51" s="123">
        <f>low_SIPA_income!I44</f>
        <v>128338.397252649</v>
      </c>
      <c r="G51" s="41">
        <f t="shared" si="7"/>
        <v>20063978.097183347</v>
      </c>
      <c r="H51" s="41"/>
      <c r="I51" s="41"/>
      <c r="J51" s="41">
        <f t="shared" si="6"/>
        <v>76716359.23367098</v>
      </c>
      <c r="K51" s="9"/>
      <c r="L51" s="41"/>
      <c r="M51" s="41">
        <f t="shared" si="5"/>
        <v>322349.05291201913</v>
      </c>
      <c r="N51" s="41"/>
      <c r="O51" s="7"/>
      <c r="P51" s="7"/>
      <c r="Q51" s="41"/>
      <c r="R51" s="41"/>
      <c r="S51" s="41"/>
      <c r="T51" s="7"/>
      <c r="U51" s="7"/>
      <c r="V51" s="41"/>
      <c r="W51" s="41"/>
      <c r="X51" s="41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</row>
    <row r="52" spans="1:64" x14ac:dyDescent="0.2">
      <c r="A52" s="7"/>
      <c r="B52" s="7">
        <v>2025</v>
      </c>
      <c r="C52" s="7">
        <v>4</v>
      </c>
      <c r="D52" s="7">
        <v>204</v>
      </c>
      <c r="E52" s="123">
        <f>low_SIPA_income!B45</f>
        <v>23274506.768704101</v>
      </c>
      <c r="F52" s="123">
        <f>low_SIPA_income!I45</f>
        <v>130189.022479835</v>
      </c>
      <c r="G52" s="41">
        <f t="shared" si="7"/>
        <v>23183374.452968217</v>
      </c>
      <c r="H52" s="41"/>
      <c r="I52" s="41"/>
      <c r="J52" s="41">
        <f t="shared" si="6"/>
        <v>88643641.563399553</v>
      </c>
      <c r="K52" s="9"/>
      <c r="L52" s="41"/>
      <c r="M52" s="41">
        <f t="shared" si="5"/>
        <v>326997.28993265238</v>
      </c>
      <c r="N52" s="41"/>
      <c r="O52" s="7"/>
      <c r="P52" s="7"/>
      <c r="Q52" s="41"/>
      <c r="R52" s="41"/>
      <c r="S52" s="41"/>
      <c r="T52" s="7"/>
      <c r="U52" s="7"/>
      <c r="V52" s="41"/>
      <c r="W52" s="41"/>
      <c r="X52" s="41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</row>
    <row r="53" spans="1:64" x14ac:dyDescent="0.2">
      <c r="A53" s="119"/>
      <c r="B53" s="119">
        <v>2026</v>
      </c>
      <c r="C53" s="5">
        <v>1</v>
      </c>
      <c r="D53" s="119">
        <v>205</v>
      </c>
      <c r="E53" s="121">
        <f>low_SIPA_income!B46</f>
        <v>20500688.054938599</v>
      </c>
      <c r="F53" s="121">
        <f>low_SIPA_income!I46</f>
        <v>132405.34632189301</v>
      </c>
      <c r="G53" s="8">
        <f t="shared" si="7"/>
        <v>20408004.312513273</v>
      </c>
      <c r="H53" s="8"/>
      <c r="I53" s="8"/>
      <c r="J53" s="8">
        <f t="shared" si="6"/>
        <v>78031773.285321876</v>
      </c>
      <c r="K53" s="6"/>
      <c r="L53" s="8"/>
      <c r="M53" s="8">
        <f t="shared" si="5"/>
        <v>332564.05644000787</v>
      </c>
      <c r="N53" s="8"/>
      <c r="O53" s="5"/>
      <c r="P53" s="5"/>
      <c r="Q53" s="8"/>
      <c r="R53" s="8"/>
      <c r="S53" s="8"/>
      <c r="T53" s="5"/>
      <c r="U53" s="5"/>
      <c r="V53" s="8"/>
      <c r="W53" s="8"/>
      <c r="X53" s="8"/>
      <c r="Y53" s="119"/>
      <c r="Z53" s="119"/>
      <c r="AA53" s="119"/>
      <c r="AB53" s="119"/>
      <c r="AC53" s="119"/>
      <c r="AD53" s="119"/>
      <c r="AE53" s="119"/>
      <c r="AF53" s="119"/>
      <c r="AG53" s="119"/>
      <c r="AH53" s="119"/>
      <c r="AI53" s="119"/>
      <c r="AJ53" s="119"/>
      <c r="AK53" s="119"/>
      <c r="AL53" s="119"/>
      <c r="AM53" s="119"/>
      <c r="AN53" s="119"/>
      <c r="AO53" s="119"/>
      <c r="AP53" s="119"/>
      <c r="AQ53" s="119"/>
      <c r="AR53" s="119"/>
      <c r="AS53" s="119"/>
      <c r="AT53" s="119"/>
      <c r="AU53" s="119"/>
      <c r="AV53" s="119"/>
      <c r="AW53" s="119"/>
      <c r="AX53" s="119"/>
      <c r="AY53" s="119"/>
      <c r="AZ53" s="119"/>
      <c r="BA53" s="119"/>
      <c r="BB53" s="119"/>
      <c r="BC53" s="119"/>
      <c r="BD53" s="119"/>
      <c r="BE53" s="119"/>
      <c r="BF53" s="119"/>
      <c r="BG53" s="119"/>
      <c r="BH53" s="119"/>
      <c r="BI53" s="119"/>
      <c r="BJ53" s="119"/>
      <c r="BK53" s="119"/>
      <c r="BL53" s="119"/>
    </row>
    <row r="54" spans="1:64" x14ac:dyDescent="0.2">
      <c r="A54" s="7"/>
      <c r="B54" s="7">
        <v>2026</v>
      </c>
      <c r="C54" s="7">
        <v>2</v>
      </c>
      <c r="D54" s="7">
        <v>206</v>
      </c>
      <c r="E54" s="123">
        <f>low_SIPA_income!B47</f>
        <v>23793874.5264971</v>
      </c>
      <c r="F54" s="123">
        <f>low_SIPA_income!I47</f>
        <v>126516.029974808</v>
      </c>
      <c r="G54" s="41">
        <f t="shared" si="7"/>
        <v>23705313.305514734</v>
      </c>
      <c r="H54" s="41"/>
      <c r="I54" s="41"/>
      <c r="J54" s="41">
        <f t="shared" si="6"/>
        <v>90639320.003438815</v>
      </c>
      <c r="K54" s="9"/>
      <c r="L54" s="41"/>
      <c r="M54" s="41">
        <f t="shared" si="5"/>
        <v>317771.79171314772</v>
      </c>
      <c r="N54" s="41"/>
      <c r="O54" s="7"/>
      <c r="P54" s="7"/>
      <c r="Q54" s="41"/>
      <c r="R54" s="41"/>
      <c r="S54" s="41"/>
      <c r="T54" s="7"/>
      <c r="U54" s="7"/>
      <c r="V54" s="41"/>
      <c r="W54" s="41"/>
      <c r="X54" s="41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</row>
    <row r="55" spans="1:64" x14ac:dyDescent="0.2">
      <c r="A55" s="7"/>
      <c r="B55" s="7">
        <v>2026</v>
      </c>
      <c r="C55" s="7">
        <v>3</v>
      </c>
      <c r="D55" s="7">
        <v>207</v>
      </c>
      <c r="E55" s="123">
        <f>low_SIPA_income!B48</f>
        <v>21044801.110601299</v>
      </c>
      <c r="F55" s="123">
        <f>low_SIPA_income!I48</f>
        <v>125500.067712619</v>
      </c>
      <c r="G55" s="41">
        <f t="shared" si="7"/>
        <v>20956951.063202467</v>
      </c>
      <c r="H55" s="41"/>
      <c r="I55" s="41"/>
      <c r="J55" s="41">
        <f t="shared" si="6"/>
        <v>80130718.764730096</v>
      </c>
      <c r="K55" s="9"/>
      <c r="L55" s="41"/>
      <c r="M55" s="41">
        <f t="shared" si="5"/>
        <v>315219.98742057686</v>
      </c>
      <c r="N55" s="41"/>
      <c r="O55" s="7"/>
      <c r="P55" s="7"/>
      <c r="Q55" s="41"/>
      <c r="R55" s="41"/>
      <c r="S55" s="41"/>
      <c r="T55" s="7"/>
      <c r="U55" s="7"/>
      <c r="V55" s="41"/>
      <c r="W55" s="41"/>
      <c r="X55" s="41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</row>
    <row r="56" spans="1:64" x14ac:dyDescent="0.2">
      <c r="A56" s="7"/>
      <c r="B56" s="7">
        <v>2026</v>
      </c>
      <c r="C56" s="7">
        <v>4</v>
      </c>
      <c r="D56" s="7">
        <v>208</v>
      </c>
      <c r="E56" s="123">
        <f>low_SIPA_income!B49</f>
        <v>24206942.810752701</v>
      </c>
      <c r="F56" s="123">
        <f>low_SIPA_income!I49</f>
        <v>135545.501117782</v>
      </c>
      <c r="G56" s="41">
        <f t="shared" si="7"/>
        <v>24112060.959970254</v>
      </c>
      <c r="H56" s="41"/>
      <c r="I56" s="41"/>
      <c r="J56" s="41">
        <f t="shared" si="6"/>
        <v>92194554.91376017</v>
      </c>
      <c r="K56" s="9"/>
      <c r="L56" s="41"/>
      <c r="M56" s="41">
        <f t="shared" si="5"/>
        <v>340451.21995553211</v>
      </c>
      <c r="N56" s="41"/>
      <c r="O56" s="7"/>
      <c r="P56" s="7"/>
      <c r="Q56" s="41"/>
      <c r="R56" s="41"/>
      <c r="S56" s="41"/>
      <c r="T56" s="7"/>
      <c r="U56" s="7"/>
      <c r="V56" s="41"/>
      <c r="W56" s="41"/>
      <c r="X56" s="41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</row>
    <row r="57" spans="1:64" x14ac:dyDescent="0.2">
      <c r="A57" s="119"/>
      <c r="B57" s="119">
        <v>2027</v>
      </c>
      <c r="C57" s="5">
        <v>1</v>
      </c>
      <c r="D57" s="119">
        <v>209</v>
      </c>
      <c r="E57" s="121">
        <f>low_SIPA_income!B50</f>
        <v>21244509.403555401</v>
      </c>
      <c r="F57" s="121">
        <f>low_SIPA_income!I50</f>
        <v>134675.18801382501</v>
      </c>
      <c r="G57" s="8">
        <f t="shared" si="7"/>
        <v>21150236.771945722</v>
      </c>
      <c r="H57" s="8"/>
      <c r="I57" s="8"/>
      <c r="J57" s="8">
        <f t="shared" si="6"/>
        <v>80869763.424510896</v>
      </c>
      <c r="K57" s="6"/>
      <c r="L57" s="8"/>
      <c r="M57" s="8">
        <f t="shared" si="5"/>
        <v>338265.24435662257</v>
      </c>
      <c r="N57" s="8"/>
      <c r="O57" s="5"/>
      <c r="P57" s="5"/>
      <c r="Q57" s="8"/>
      <c r="R57" s="8"/>
      <c r="S57" s="8"/>
      <c r="T57" s="5"/>
      <c r="U57" s="5"/>
      <c r="V57" s="8"/>
      <c r="W57" s="8"/>
      <c r="X57" s="8"/>
      <c r="Y57" s="119"/>
      <c r="Z57" s="119"/>
      <c r="AA57" s="119"/>
      <c r="AB57" s="119"/>
      <c r="AC57" s="119"/>
      <c r="AD57" s="119"/>
      <c r="AE57" s="119"/>
      <c r="AF57" s="119"/>
      <c r="AG57" s="119"/>
      <c r="AH57" s="119"/>
      <c r="AI57" s="119"/>
      <c r="AJ57" s="119"/>
      <c r="AK57" s="119"/>
      <c r="AL57" s="119"/>
      <c r="AM57" s="119"/>
      <c r="AN57" s="119"/>
      <c r="AO57" s="119"/>
      <c r="AP57" s="119"/>
      <c r="AQ57" s="119"/>
      <c r="AR57" s="119"/>
      <c r="AS57" s="119"/>
      <c r="AT57" s="119"/>
      <c r="AU57" s="119"/>
      <c r="AV57" s="119"/>
      <c r="AW57" s="119"/>
      <c r="AX57" s="119"/>
      <c r="AY57" s="119"/>
      <c r="AZ57" s="119"/>
      <c r="BA57" s="119"/>
      <c r="BB57" s="119"/>
      <c r="BC57" s="119"/>
      <c r="BD57" s="119"/>
      <c r="BE57" s="119"/>
      <c r="BF57" s="119"/>
      <c r="BG57" s="119"/>
      <c r="BH57" s="119"/>
      <c r="BI57" s="119"/>
      <c r="BJ57" s="119"/>
      <c r="BK57" s="119"/>
      <c r="BL57" s="119"/>
    </row>
    <row r="58" spans="1:64" x14ac:dyDescent="0.2">
      <c r="A58" s="7"/>
      <c r="B58" s="7">
        <v>2027</v>
      </c>
      <c r="C58" s="7">
        <v>2</v>
      </c>
      <c r="D58" s="7">
        <v>210</v>
      </c>
      <c r="E58" s="123">
        <f>low_SIPA_income!B51</f>
        <v>24533784.128075201</v>
      </c>
      <c r="F58" s="123">
        <f>low_SIPA_income!I51</f>
        <v>136524.51021621501</v>
      </c>
      <c r="G58" s="41">
        <f t="shared" si="7"/>
        <v>24438216.970923852</v>
      </c>
      <c r="H58" s="41"/>
      <c r="I58" s="41"/>
      <c r="J58" s="41">
        <f t="shared" si="6"/>
        <v>93441640.690137193</v>
      </c>
      <c r="K58" s="9"/>
      <c r="L58" s="41"/>
      <c r="M58" s="41">
        <f t="shared" si="5"/>
        <v>342910.2085546407</v>
      </c>
      <c r="N58" s="41"/>
      <c r="O58" s="7"/>
      <c r="P58" s="7"/>
      <c r="Q58" s="41"/>
      <c r="R58" s="41"/>
      <c r="S58" s="41"/>
      <c r="T58" s="7"/>
      <c r="U58" s="7"/>
      <c r="V58" s="41"/>
      <c r="W58" s="41"/>
      <c r="X58" s="41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</row>
    <row r="59" spans="1:64" x14ac:dyDescent="0.2">
      <c r="A59" s="7"/>
      <c r="B59" s="7">
        <v>2027</v>
      </c>
      <c r="C59" s="7">
        <v>3</v>
      </c>
      <c r="D59" s="7">
        <v>211</v>
      </c>
      <c r="E59" s="123">
        <f>low_SIPA_income!B52</f>
        <v>21559809.025895499</v>
      </c>
      <c r="F59" s="123">
        <f>low_SIPA_income!I52</f>
        <v>139217.166551781</v>
      </c>
      <c r="G59" s="41">
        <f t="shared" si="7"/>
        <v>21462357.009309251</v>
      </c>
      <c r="H59" s="41"/>
      <c r="I59" s="41"/>
      <c r="J59" s="41">
        <f t="shared" si="6"/>
        <v>82063182.204061925</v>
      </c>
      <c r="K59" s="9"/>
      <c r="L59" s="41"/>
      <c r="M59" s="41">
        <f t="shared" si="5"/>
        <v>349673.38495521969</v>
      </c>
      <c r="N59" s="41"/>
      <c r="O59" s="7"/>
      <c r="P59" s="7"/>
      <c r="Q59" s="41"/>
      <c r="R59" s="41"/>
      <c r="S59" s="41"/>
      <c r="T59" s="7"/>
      <c r="U59" s="7"/>
      <c r="V59" s="41"/>
      <c r="W59" s="41"/>
      <c r="X59" s="41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</row>
    <row r="60" spans="1:64" x14ac:dyDescent="0.2">
      <c r="A60" s="7"/>
      <c r="B60" s="7">
        <v>2027</v>
      </c>
      <c r="C60" s="7">
        <v>4</v>
      </c>
      <c r="D60" s="7">
        <v>212</v>
      </c>
      <c r="E60" s="123">
        <f>low_SIPA_income!B53</f>
        <v>25021175.185556602</v>
      </c>
      <c r="F60" s="123">
        <f>low_SIPA_income!I53</f>
        <v>140437.84170906799</v>
      </c>
      <c r="G60" s="41">
        <f t="shared" si="7"/>
        <v>24922868.696360253</v>
      </c>
      <c r="H60" s="41"/>
      <c r="I60" s="41"/>
      <c r="J60" s="41">
        <f t="shared" si="6"/>
        <v>95294748.567932218</v>
      </c>
      <c r="K60" s="9"/>
      <c r="L60" s="41"/>
      <c r="M60" s="41">
        <f t="shared" si="5"/>
        <v>352739.36901991133</v>
      </c>
      <c r="N60" s="41"/>
      <c r="O60" s="7"/>
      <c r="P60" s="7"/>
      <c r="Q60" s="41"/>
      <c r="R60" s="41"/>
      <c r="S60" s="41"/>
      <c r="T60" s="7"/>
      <c r="U60" s="7"/>
      <c r="V60" s="41"/>
      <c r="W60" s="41"/>
      <c r="X60" s="41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</row>
    <row r="61" spans="1:64" x14ac:dyDescent="0.2">
      <c r="A61" s="119"/>
      <c r="B61" s="119">
        <v>2028</v>
      </c>
      <c r="C61" s="5">
        <v>1</v>
      </c>
      <c r="D61" s="119">
        <v>213</v>
      </c>
      <c r="E61" s="121">
        <f>low_SIPA_income!B54</f>
        <v>22117943.822845101</v>
      </c>
      <c r="F61" s="121">
        <f>low_SIPA_income!I54</f>
        <v>143142.39307122899</v>
      </c>
      <c r="G61" s="8">
        <f t="shared" si="7"/>
        <v>22017744.14769524</v>
      </c>
      <c r="H61" s="8"/>
      <c r="I61" s="8"/>
      <c r="J61" s="8">
        <f t="shared" si="6"/>
        <v>84186753.064028203</v>
      </c>
      <c r="K61" s="6"/>
      <c r="L61" s="8"/>
      <c r="M61" s="8">
        <f t="shared" si="5"/>
        <v>359532.42229786562</v>
      </c>
      <c r="N61" s="8"/>
      <c r="O61" s="5"/>
      <c r="P61" s="5"/>
      <c r="Q61" s="8"/>
      <c r="R61" s="8"/>
      <c r="S61" s="8"/>
      <c r="T61" s="5"/>
      <c r="U61" s="5"/>
      <c r="V61" s="8"/>
      <c r="W61" s="8"/>
      <c r="X61" s="8"/>
      <c r="Y61" s="119"/>
      <c r="Z61" s="119"/>
      <c r="AA61" s="119"/>
      <c r="AB61" s="119"/>
      <c r="AC61" s="119"/>
      <c r="AD61" s="119"/>
      <c r="AE61" s="119"/>
      <c r="AF61" s="119"/>
      <c r="AG61" s="119"/>
      <c r="AH61" s="119"/>
      <c r="AI61" s="119"/>
      <c r="AJ61" s="119"/>
      <c r="AK61" s="119"/>
      <c r="AL61" s="119"/>
      <c r="AM61" s="119"/>
      <c r="AN61" s="119"/>
      <c r="AO61" s="119"/>
      <c r="AP61" s="119"/>
      <c r="AQ61" s="119"/>
      <c r="AR61" s="119"/>
      <c r="AS61" s="119"/>
      <c r="AT61" s="119"/>
      <c r="AU61" s="119"/>
      <c r="AV61" s="119"/>
      <c r="AW61" s="119"/>
      <c r="AX61" s="119"/>
      <c r="AY61" s="119"/>
      <c r="AZ61" s="119"/>
      <c r="BA61" s="119"/>
      <c r="BB61" s="119"/>
      <c r="BC61" s="119"/>
      <c r="BD61" s="119"/>
      <c r="BE61" s="119"/>
      <c r="BF61" s="119"/>
      <c r="BG61" s="119"/>
      <c r="BH61" s="119"/>
      <c r="BI61" s="119"/>
      <c r="BJ61" s="119"/>
      <c r="BK61" s="119"/>
      <c r="BL61" s="119"/>
    </row>
    <row r="62" spans="1:64" x14ac:dyDescent="0.2">
      <c r="A62" s="7"/>
      <c r="B62" s="7">
        <v>2028</v>
      </c>
      <c r="C62" s="7">
        <v>2</v>
      </c>
      <c r="D62" s="7">
        <v>214</v>
      </c>
      <c r="E62" s="123">
        <f>low_SIPA_income!B55</f>
        <v>25489775.1276972</v>
      </c>
      <c r="F62" s="123">
        <f>low_SIPA_income!I55</f>
        <v>142001.11751008499</v>
      </c>
      <c r="G62" s="41">
        <f t="shared" si="7"/>
        <v>25390374.345440142</v>
      </c>
      <c r="H62" s="41"/>
      <c r="I62" s="41"/>
      <c r="J62" s="41">
        <f t="shared" si="6"/>
        <v>97082296.936698541</v>
      </c>
      <c r="K62" s="9"/>
      <c r="L62" s="41"/>
      <c r="M62" s="41">
        <f t="shared" si="5"/>
        <v>356665.8671271464</v>
      </c>
      <c r="N62" s="41"/>
      <c r="O62" s="7"/>
      <c r="P62" s="7"/>
      <c r="Q62" s="41"/>
      <c r="R62" s="41"/>
      <c r="S62" s="41"/>
      <c r="T62" s="7"/>
      <c r="U62" s="7"/>
      <c r="V62" s="41"/>
      <c r="W62" s="41"/>
      <c r="X62" s="41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</row>
    <row r="63" spans="1:64" x14ac:dyDescent="0.2">
      <c r="A63" s="7"/>
      <c r="B63" s="7">
        <v>2028</v>
      </c>
      <c r="C63" s="7">
        <v>3</v>
      </c>
      <c r="D63" s="7">
        <v>215</v>
      </c>
      <c r="E63" s="123">
        <f>low_SIPA_income!B56</f>
        <v>22273358.428964201</v>
      </c>
      <c r="F63" s="123">
        <f>low_SIPA_income!I56</f>
        <v>142349.42431443799</v>
      </c>
      <c r="G63" s="41">
        <f t="shared" si="7"/>
        <v>22173713.831944093</v>
      </c>
      <c r="H63" s="41"/>
      <c r="I63" s="41"/>
      <c r="J63" s="41">
        <f t="shared" si="6"/>
        <v>84783116.66991137</v>
      </c>
      <c r="K63" s="9"/>
      <c r="L63" s="41"/>
      <c r="M63" s="41">
        <f t="shared" si="5"/>
        <v>357540.71340004297</v>
      </c>
      <c r="N63" s="41"/>
      <c r="O63" s="7"/>
      <c r="P63" s="7"/>
      <c r="Q63" s="41"/>
      <c r="R63" s="41"/>
      <c r="S63" s="41"/>
      <c r="T63" s="7"/>
      <c r="U63" s="7"/>
      <c r="V63" s="41"/>
      <c r="W63" s="41"/>
      <c r="X63" s="41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</row>
    <row r="64" spans="1:64" x14ac:dyDescent="0.2">
      <c r="A64" s="7"/>
      <c r="B64" s="7">
        <v>2028</v>
      </c>
      <c r="C64" s="7">
        <v>4</v>
      </c>
      <c r="D64" s="7">
        <v>216</v>
      </c>
      <c r="E64" s="123">
        <f>low_SIPA_income!B57</f>
        <v>25691334.792648502</v>
      </c>
      <c r="F64" s="123">
        <f>low_SIPA_income!I57</f>
        <v>142237.820389367</v>
      </c>
      <c r="G64" s="41">
        <f t="shared" si="7"/>
        <v>25591768.318375945</v>
      </c>
      <c r="H64" s="41"/>
      <c r="I64" s="41"/>
      <c r="J64" s="41">
        <f t="shared" si="6"/>
        <v>97852344.247376591</v>
      </c>
      <c r="K64" s="9"/>
      <c r="L64" s="41"/>
      <c r="M64" s="41">
        <f t="shared" si="5"/>
        <v>357260.39651656908</v>
      </c>
      <c r="N64" s="41"/>
      <c r="O64" s="7"/>
      <c r="P64" s="7"/>
      <c r="Q64" s="41"/>
      <c r="R64" s="41"/>
      <c r="S64" s="41"/>
      <c r="T64" s="7"/>
      <c r="U64" s="7"/>
      <c r="V64" s="41"/>
      <c r="W64" s="41"/>
      <c r="X64" s="41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</row>
    <row r="65" spans="1:64" x14ac:dyDescent="0.2">
      <c r="A65" s="119"/>
      <c r="B65" s="119">
        <v>2029</v>
      </c>
      <c r="C65" s="5">
        <v>1</v>
      </c>
      <c r="D65" s="119">
        <v>217</v>
      </c>
      <c r="E65" s="121">
        <f>low_SIPA_income!B58</f>
        <v>22483761.461421899</v>
      </c>
      <c r="F65" s="121">
        <f>low_SIPA_income!I58</f>
        <v>146287.50360266899</v>
      </c>
      <c r="G65" s="8">
        <f t="shared" si="7"/>
        <v>22381360.208900031</v>
      </c>
      <c r="H65" s="8"/>
      <c r="I65" s="8"/>
      <c r="J65" s="8">
        <f t="shared" si="6"/>
        <v>85577070.589266896</v>
      </c>
      <c r="K65" s="6"/>
      <c r="L65" s="8"/>
      <c r="M65" s="8">
        <f t="shared" si="5"/>
        <v>367432.03319231584</v>
      </c>
      <c r="N65" s="8"/>
      <c r="O65" s="5"/>
      <c r="P65" s="5"/>
      <c r="Q65" s="8"/>
      <c r="R65" s="8"/>
      <c r="S65" s="8"/>
      <c r="T65" s="5"/>
      <c r="U65" s="5"/>
      <c r="V65" s="8"/>
      <c r="W65" s="8"/>
      <c r="X65" s="8"/>
      <c r="Y65" s="119"/>
      <c r="Z65" s="119"/>
      <c r="AA65" s="119"/>
      <c r="AB65" s="119"/>
      <c r="AC65" s="119"/>
      <c r="AD65" s="119"/>
      <c r="AE65" s="119"/>
      <c r="AF65" s="119"/>
      <c r="AG65" s="119"/>
      <c r="AH65" s="119"/>
      <c r="AI65" s="119"/>
      <c r="AJ65" s="119"/>
      <c r="AK65" s="119"/>
      <c r="AL65" s="119"/>
      <c r="AM65" s="119"/>
      <c r="AN65" s="119"/>
      <c r="AO65" s="119"/>
      <c r="AP65" s="119"/>
      <c r="AQ65" s="119"/>
      <c r="AR65" s="119"/>
      <c r="AS65" s="119"/>
      <c r="AT65" s="119"/>
      <c r="AU65" s="119"/>
      <c r="AV65" s="119"/>
      <c r="AW65" s="119"/>
      <c r="AX65" s="119"/>
      <c r="AY65" s="119"/>
      <c r="AZ65" s="119"/>
      <c r="BA65" s="119"/>
      <c r="BB65" s="119"/>
      <c r="BC65" s="119"/>
      <c r="BD65" s="119"/>
      <c r="BE65" s="119"/>
      <c r="BF65" s="119"/>
      <c r="BG65" s="119"/>
      <c r="BH65" s="119"/>
      <c r="BI65" s="119"/>
      <c r="BJ65" s="119"/>
      <c r="BK65" s="119"/>
      <c r="BL65" s="119"/>
    </row>
    <row r="66" spans="1:64" x14ac:dyDescent="0.2">
      <c r="A66" s="7"/>
      <c r="B66" s="7">
        <v>2029</v>
      </c>
      <c r="C66" s="7">
        <v>2</v>
      </c>
      <c r="D66" s="7">
        <v>218</v>
      </c>
      <c r="E66" s="123">
        <f>low_SIPA_income!B59</f>
        <v>25820749.8446416</v>
      </c>
      <c r="F66" s="123">
        <f>low_SIPA_income!I59</f>
        <v>145947.14311315201</v>
      </c>
      <c r="G66" s="41">
        <f t="shared" si="7"/>
        <v>25718586.844462395</v>
      </c>
      <c r="H66" s="41"/>
      <c r="I66" s="41"/>
      <c r="J66" s="41">
        <f t="shared" si="6"/>
        <v>98337245.873445377</v>
      </c>
      <c r="K66" s="9"/>
      <c r="L66" s="41"/>
      <c r="M66" s="41">
        <f t="shared" si="5"/>
        <v>366577.14577130118</v>
      </c>
      <c r="N66" s="41"/>
      <c r="O66" s="7"/>
      <c r="P66" s="7"/>
      <c r="Q66" s="41"/>
      <c r="R66" s="41"/>
      <c r="S66" s="41"/>
      <c r="T66" s="7"/>
      <c r="U66" s="7"/>
      <c r="V66" s="41"/>
      <c r="W66" s="41"/>
      <c r="X66" s="41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</row>
    <row r="67" spans="1:64" x14ac:dyDescent="0.2">
      <c r="A67" s="7"/>
      <c r="B67" s="7">
        <v>2029</v>
      </c>
      <c r="C67" s="7">
        <v>3</v>
      </c>
      <c r="D67" s="7">
        <v>219</v>
      </c>
      <c r="E67" s="123">
        <f>low_SIPA_income!B60</f>
        <v>22510484.421731401</v>
      </c>
      <c r="F67" s="123">
        <f>low_SIPA_income!I60</f>
        <v>150673.24788127199</v>
      </c>
      <c r="G67" s="41">
        <f t="shared" si="7"/>
        <v>22405013.148214512</v>
      </c>
      <c r="H67" s="41"/>
      <c r="I67" s="41"/>
      <c r="J67" s="41">
        <f t="shared" si="6"/>
        <v>85667509.652776271</v>
      </c>
      <c r="K67" s="9"/>
      <c r="L67" s="41"/>
      <c r="M67" s="41">
        <f t="shared" ref="M67:M98" si="8">F67*2.511711692</f>
        <v>378447.7583750051</v>
      </c>
      <c r="N67" s="41"/>
      <c r="O67" s="7"/>
      <c r="P67" s="7"/>
      <c r="Q67" s="41"/>
      <c r="R67" s="41"/>
      <c r="S67" s="41"/>
      <c r="T67" s="7"/>
      <c r="U67" s="7"/>
      <c r="V67" s="41"/>
      <c r="W67" s="41"/>
      <c r="X67" s="41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</row>
    <row r="68" spans="1:64" x14ac:dyDescent="0.2">
      <c r="A68" s="7"/>
      <c r="B68" s="7">
        <v>2029</v>
      </c>
      <c r="C68" s="7">
        <v>4</v>
      </c>
      <c r="D68" s="7">
        <v>220</v>
      </c>
      <c r="E68" s="123">
        <f>low_SIPA_income!B61</f>
        <v>26023173.334846299</v>
      </c>
      <c r="F68" s="123">
        <f>low_SIPA_income!I61</f>
        <v>145760.70083689599</v>
      </c>
      <c r="G68" s="41">
        <f t="shared" si="7"/>
        <v>25921140.844260473</v>
      </c>
      <c r="H68" s="41"/>
      <c r="I68" s="41"/>
      <c r="J68" s="41">
        <f t="shared" ref="J68:J99" si="9">G68*3.8235866717</f>
        <v>99111728.647372842</v>
      </c>
      <c r="K68" s="9"/>
      <c r="L68" s="41"/>
      <c r="M68" s="41">
        <f t="shared" si="8"/>
        <v>366108.85652614583</v>
      </c>
      <c r="N68" s="41"/>
      <c r="O68" s="7"/>
      <c r="P68" s="7"/>
      <c r="Q68" s="41"/>
      <c r="R68" s="41"/>
      <c r="S68" s="41"/>
      <c r="T68" s="7"/>
      <c r="U68" s="7"/>
      <c r="V68" s="41"/>
      <c r="W68" s="41"/>
      <c r="X68" s="41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</row>
    <row r="69" spans="1:64" x14ac:dyDescent="0.2">
      <c r="A69" s="119"/>
      <c r="B69" s="119">
        <v>2030</v>
      </c>
      <c r="C69" s="5">
        <v>1</v>
      </c>
      <c r="D69" s="119">
        <v>221</v>
      </c>
      <c r="E69" s="121">
        <f>low_SIPA_income!B62</f>
        <v>22740711.427138101</v>
      </c>
      <c r="F69" s="121">
        <f>low_SIPA_income!I62</f>
        <v>150882.058047664</v>
      </c>
      <c r="G69" s="8">
        <f t="shared" si="7"/>
        <v>22635093.986504737</v>
      </c>
      <c r="H69" s="8"/>
      <c r="I69" s="8"/>
      <c r="J69" s="8">
        <f t="shared" si="9"/>
        <v>86547243.679476336</v>
      </c>
      <c r="K69" s="6"/>
      <c r="L69" s="8"/>
      <c r="M69" s="8">
        <f t="shared" si="8"/>
        <v>378972.22931134037</v>
      </c>
      <c r="N69" s="8"/>
      <c r="O69" s="5"/>
      <c r="P69" s="5"/>
      <c r="Q69" s="8"/>
      <c r="R69" s="8"/>
      <c r="S69" s="8"/>
      <c r="T69" s="5"/>
      <c r="U69" s="5"/>
      <c r="V69" s="8"/>
      <c r="W69" s="8"/>
      <c r="X69" s="8"/>
      <c r="Y69" s="119"/>
      <c r="Z69" s="119"/>
      <c r="AA69" s="119"/>
      <c r="AB69" s="119"/>
      <c r="AC69" s="119"/>
      <c r="AD69" s="119"/>
      <c r="AE69" s="119"/>
      <c r="AF69" s="119"/>
      <c r="AG69" s="119"/>
      <c r="AH69" s="119"/>
      <c r="AI69" s="119"/>
      <c r="AJ69" s="119"/>
      <c r="AK69" s="119"/>
      <c r="AL69" s="119"/>
      <c r="AM69" s="119"/>
      <c r="AN69" s="119"/>
      <c r="AO69" s="119"/>
      <c r="AP69" s="119"/>
      <c r="AQ69" s="119"/>
      <c r="AR69" s="119"/>
      <c r="AS69" s="119"/>
      <c r="AT69" s="119"/>
      <c r="AU69" s="119"/>
      <c r="AV69" s="119"/>
      <c r="AW69" s="119"/>
      <c r="AX69" s="119"/>
      <c r="AY69" s="119"/>
      <c r="AZ69" s="119"/>
      <c r="BA69" s="119"/>
      <c r="BB69" s="119"/>
      <c r="BC69" s="119"/>
      <c r="BD69" s="119"/>
      <c r="BE69" s="119"/>
      <c r="BF69" s="119"/>
      <c r="BG69" s="119"/>
      <c r="BH69" s="119"/>
      <c r="BI69" s="119"/>
      <c r="BJ69" s="119"/>
      <c r="BK69" s="119"/>
      <c r="BL69" s="119"/>
    </row>
    <row r="70" spans="1:64" x14ac:dyDescent="0.2">
      <c r="A70" s="7"/>
      <c r="B70" s="7">
        <v>2030</v>
      </c>
      <c r="C70" s="7">
        <v>2</v>
      </c>
      <c r="D70" s="7">
        <v>222</v>
      </c>
      <c r="E70" s="123">
        <f>low_SIPA_income!B63</f>
        <v>26398005.3736858</v>
      </c>
      <c r="F70" s="123">
        <f>low_SIPA_income!I63</f>
        <v>149338.44980356499</v>
      </c>
      <c r="G70" s="41">
        <f t="shared" si="7"/>
        <v>26293468.458823305</v>
      </c>
      <c r="H70" s="41"/>
      <c r="I70" s="41"/>
      <c r="J70" s="41">
        <f t="shared" si="9"/>
        <v>100535355.55192113</v>
      </c>
      <c r="K70" s="9"/>
      <c r="L70" s="41"/>
      <c r="M70" s="41">
        <f t="shared" si="8"/>
        <v>375095.13043676928</v>
      </c>
      <c r="N70" s="41"/>
      <c r="O70" s="7"/>
      <c r="P70" s="7"/>
      <c r="Q70" s="41"/>
      <c r="R70" s="41"/>
      <c r="S70" s="41"/>
      <c r="T70" s="7"/>
      <c r="U70" s="7"/>
      <c r="V70" s="41"/>
      <c r="W70" s="41"/>
      <c r="X70" s="41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</row>
    <row r="71" spans="1:64" x14ac:dyDescent="0.2">
      <c r="A71" s="7"/>
      <c r="B71" s="7">
        <v>2030</v>
      </c>
      <c r="C71" s="7">
        <v>3</v>
      </c>
      <c r="D71" s="7">
        <v>223</v>
      </c>
      <c r="E71" s="123">
        <f>low_SIPA_income!B64</f>
        <v>22941724.417657901</v>
      </c>
      <c r="F71" s="123">
        <f>low_SIPA_income!I64</f>
        <v>147033.30399187701</v>
      </c>
      <c r="G71" s="41">
        <f t="shared" si="7"/>
        <v>22838801.104863588</v>
      </c>
      <c r="H71" s="41"/>
      <c r="I71" s="41"/>
      <c r="J71" s="41">
        <f t="shared" si="9"/>
        <v>87326135.502163649</v>
      </c>
      <c r="K71" s="9"/>
      <c r="L71" s="41"/>
      <c r="M71" s="41">
        <f t="shared" si="8"/>
        <v>369305.26874978776</v>
      </c>
      <c r="N71" s="41"/>
      <c r="O71" s="7"/>
      <c r="P71" s="7"/>
      <c r="Q71" s="41"/>
      <c r="R71" s="41"/>
      <c r="S71" s="41"/>
      <c r="T71" s="7"/>
      <c r="U71" s="7"/>
      <c r="V71" s="41"/>
      <c r="W71" s="41"/>
      <c r="X71" s="41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</row>
    <row r="72" spans="1:64" x14ac:dyDescent="0.2">
      <c r="A72" s="7"/>
      <c r="B72" s="7">
        <v>2030</v>
      </c>
      <c r="C72" s="7">
        <v>4</v>
      </c>
      <c r="D72" s="7">
        <v>224</v>
      </c>
      <c r="E72" s="123">
        <f>low_SIPA_income!B65</f>
        <v>26499026.732247099</v>
      </c>
      <c r="F72" s="123">
        <f>low_SIPA_income!I65</f>
        <v>149423.193171035</v>
      </c>
      <c r="G72" s="41">
        <f t="shared" si="7"/>
        <v>26394430.497027375</v>
      </c>
      <c r="H72" s="41"/>
      <c r="I72" s="41"/>
      <c r="J72" s="41">
        <f t="shared" si="9"/>
        <v>100921392.65554588</v>
      </c>
      <c r="K72" s="9"/>
      <c r="L72" s="41"/>
      <c r="M72" s="41">
        <f t="shared" si="8"/>
        <v>375307.98134366318</v>
      </c>
      <c r="N72" s="41"/>
      <c r="O72" s="7"/>
      <c r="P72" s="7"/>
      <c r="Q72" s="41"/>
      <c r="R72" s="41"/>
      <c r="S72" s="41"/>
      <c r="T72" s="7"/>
      <c r="U72" s="7"/>
      <c r="V72" s="41"/>
      <c r="W72" s="41"/>
      <c r="X72" s="41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</row>
    <row r="73" spans="1:64" x14ac:dyDescent="0.2">
      <c r="A73" s="119"/>
      <c r="B73" s="119">
        <v>2031</v>
      </c>
      <c r="C73" s="5">
        <v>1</v>
      </c>
      <c r="D73" s="119">
        <v>225</v>
      </c>
      <c r="E73" s="121">
        <f>low_SIPA_income!B66</f>
        <v>23078395.767896999</v>
      </c>
      <c r="F73" s="121">
        <f>low_SIPA_income!I66</f>
        <v>156201.177816321</v>
      </c>
      <c r="G73" s="8">
        <f t="shared" ref="G73:G104" si="10">E73-F73*0.7</f>
        <v>22969054.943425573</v>
      </c>
      <c r="H73" s="8"/>
      <c r="I73" s="8"/>
      <c r="J73" s="8">
        <f t="shared" si="9"/>
        <v>87824172.343227029</v>
      </c>
      <c r="K73" s="6"/>
      <c r="L73" s="8"/>
      <c r="M73" s="8">
        <f t="shared" si="8"/>
        <v>392332.32462542446</v>
      </c>
      <c r="N73" s="8"/>
      <c r="O73" s="5"/>
      <c r="P73" s="5"/>
      <c r="Q73" s="8"/>
      <c r="R73" s="8"/>
      <c r="S73" s="8"/>
      <c r="T73" s="5"/>
      <c r="U73" s="5"/>
      <c r="V73" s="8"/>
      <c r="W73" s="8"/>
      <c r="X73" s="8"/>
      <c r="Y73" s="119"/>
      <c r="Z73" s="119"/>
      <c r="AA73" s="119"/>
      <c r="AB73" s="119"/>
      <c r="AC73" s="119"/>
      <c r="AD73" s="119"/>
      <c r="AE73" s="119"/>
      <c r="AF73" s="119"/>
      <c r="AG73" s="119"/>
      <c r="AH73" s="119"/>
      <c r="AI73" s="119"/>
      <c r="AJ73" s="119"/>
      <c r="AK73" s="119"/>
      <c r="AL73" s="119"/>
      <c r="AM73" s="119"/>
      <c r="AN73" s="119"/>
      <c r="AO73" s="119"/>
      <c r="AP73" s="119"/>
      <c r="AQ73" s="119"/>
      <c r="AR73" s="119"/>
      <c r="AS73" s="119"/>
      <c r="AT73" s="119"/>
      <c r="AU73" s="119"/>
      <c r="AV73" s="119"/>
      <c r="AW73" s="119"/>
      <c r="AX73" s="119"/>
      <c r="AY73" s="119"/>
      <c r="AZ73" s="119"/>
      <c r="BA73" s="119"/>
      <c r="BB73" s="119"/>
      <c r="BC73" s="119"/>
      <c r="BD73" s="119"/>
      <c r="BE73" s="119"/>
      <c r="BF73" s="119"/>
      <c r="BG73" s="119"/>
      <c r="BH73" s="119"/>
      <c r="BI73" s="119"/>
      <c r="BJ73" s="119"/>
      <c r="BK73" s="119"/>
      <c r="BL73" s="119"/>
    </row>
    <row r="74" spans="1:64" x14ac:dyDescent="0.2">
      <c r="A74" s="7"/>
      <c r="B74" s="7">
        <v>2031</v>
      </c>
      <c r="C74" s="7">
        <v>2</v>
      </c>
      <c r="D74" s="7">
        <v>226</v>
      </c>
      <c r="E74" s="123">
        <f>low_SIPA_income!B67</f>
        <v>26622480.788461599</v>
      </c>
      <c r="F74" s="123">
        <f>low_SIPA_income!I67</f>
        <v>150659.22601961199</v>
      </c>
      <c r="G74" s="41">
        <f t="shared" si="10"/>
        <v>26517019.330247872</v>
      </c>
      <c r="H74" s="41"/>
      <c r="I74" s="41"/>
      <c r="J74" s="41">
        <f t="shared" si="9"/>
        <v>101390121.68434703</v>
      </c>
      <c r="K74" s="9"/>
      <c r="L74" s="41"/>
      <c r="M74" s="41">
        <f t="shared" si="8"/>
        <v>378412.53950113006</v>
      </c>
      <c r="N74" s="41"/>
      <c r="O74" s="7"/>
      <c r="P74" s="7"/>
      <c r="Q74" s="41"/>
      <c r="R74" s="41"/>
      <c r="S74" s="41"/>
      <c r="T74" s="7"/>
      <c r="U74" s="7"/>
      <c r="V74" s="41"/>
      <c r="W74" s="41"/>
      <c r="X74" s="41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</row>
    <row r="75" spans="1:64" x14ac:dyDescent="0.2">
      <c r="A75" s="7"/>
      <c r="B75" s="7">
        <v>2031</v>
      </c>
      <c r="C75" s="7">
        <v>3</v>
      </c>
      <c r="D75" s="7">
        <v>227</v>
      </c>
      <c r="E75" s="123">
        <f>low_SIPA_income!B68</f>
        <v>23185049.714576699</v>
      </c>
      <c r="F75" s="123">
        <f>low_SIPA_income!I68</f>
        <v>151825.72371741099</v>
      </c>
      <c r="G75" s="41">
        <f t="shared" si="10"/>
        <v>23078771.707974512</v>
      </c>
      <c r="H75" s="41"/>
      <c r="I75" s="41"/>
      <c r="J75" s="41">
        <f t="shared" si="9"/>
        <v>88243683.901818395</v>
      </c>
      <c r="K75" s="9"/>
      <c r="L75" s="41"/>
      <c r="M75" s="41">
        <f t="shared" si="8"/>
        <v>381342.44540738291</v>
      </c>
      <c r="N75" s="41"/>
      <c r="O75" s="7"/>
      <c r="P75" s="7"/>
      <c r="Q75" s="41"/>
      <c r="R75" s="41"/>
      <c r="S75" s="41"/>
      <c r="T75" s="7"/>
      <c r="U75" s="7"/>
      <c r="V75" s="41"/>
      <c r="W75" s="41"/>
      <c r="X75" s="41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</row>
    <row r="76" spans="1:64" x14ac:dyDescent="0.2">
      <c r="A76" s="7"/>
      <c r="B76" s="7">
        <v>2031</v>
      </c>
      <c r="C76" s="7">
        <v>4</v>
      </c>
      <c r="D76" s="7">
        <v>228</v>
      </c>
      <c r="E76" s="123">
        <f>low_SIPA_income!B69</f>
        <v>26587776.247444101</v>
      </c>
      <c r="F76" s="123">
        <f>low_SIPA_income!I69</f>
        <v>157085.95972081501</v>
      </c>
      <c r="G76" s="41">
        <f t="shared" si="10"/>
        <v>26477816.075639531</v>
      </c>
      <c r="H76" s="41"/>
      <c r="I76" s="41"/>
      <c r="J76" s="41">
        <f t="shared" si="9"/>
        <v>101240224.64253932</v>
      </c>
      <c r="K76" s="9"/>
      <c r="L76" s="41"/>
      <c r="M76" s="41">
        <f t="shared" si="8"/>
        <v>394554.64167981211</v>
      </c>
      <c r="N76" s="41"/>
      <c r="O76" s="7"/>
      <c r="P76" s="7"/>
      <c r="Q76" s="41"/>
      <c r="R76" s="41"/>
      <c r="S76" s="41"/>
      <c r="T76" s="7"/>
      <c r="U76" s="7"/>
      <c r="V76" s="41"/>
      <c r="W76" s="41"/>
      <c r="X76" s="41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</row>
    <row r="77" spans="1:64" x14ac:dyDescent="0.2">
      <c r="A77" s="119"/>
      <c r="B77" s="119">
        <v>2032</v>
      </c>
      <c r="C77" s="5">
        <v>1</v>
      </c>
      <c r="D77" s="119">
        <v>229</v>
      </c>
      <c r="E77" s="121">
        <f>low_SIPA_income!B70</f>
        <v>23372015.222439401</v>
      </c>
      <c r="F77" s="121">
        <f>low_SIPA_income!I70</f>
        <v>156058.009924079</v>
      </c>
      <c r="G77" s="8">
        <f t="shared" si="10"/>
        <v>23262774.615492545</v>
      </c>
      <c r="H77" s="8"/>
      <c r="I77" s="8"/>
      <c r="J77" s="8">
        <f t="shared" si="9"/>
        <v>88947234.966558397</v>
      </c>
      <c r="K77" s="6"/>
      <c r="L77" s="8"/>
      <c r="M77" s="8">
        <f t="shared" si="8"/>
        <v>391972.72815656126</v>
      </c>
      <c r="N77" s="8"/>
      <c r="O77" s="5"/>
      <c r="P77" s="5"/>
      <c r="Q77" s="8"/>
      <c r="R77" s="8"/>
      <c r="S77" s="8"/>
      <c r="T77" s="5"/>
      <c r="U77" s="5"/>
      <c r="V77" s="8"/>
      <c r="W77" s="8"/>
      <c r="X77" s="8"/>
      <c r="Y77" s="119"/>
      <c r="Z77" s="119"/>
      <c r="AA77" s="119"/>
      <c r="AB77" s="119"/>
      <c r="AC77" s="119"/>
      <c r="AD77" s="119"/>
      <c r="AE77" s="119"/>
      <c r="AF77" s="119"/>
      <c r="AG77" s="119"/>
      <c r="AH77" s="119"/>
      <c r="AI77" s="119"/>
      <c r="AJ77" s="119"/>
      <c r="AK77" s="119"/>
      <c r="AL77" s="119"/>
      <c r="AM77" s="119"/>
      <c r="AN77" s="119"/>
      <c r="AO77" s="119"/>
      <c r="AP77" s="119"/>
      <c r="AQ77" s="119"/>
      <c r="AR77" s="119"/>
      <c r="AS77" s="119"/>
      <c r="AT77" s="119"/>
      <c r="AU77" s="119"/>
      <c r="AV77" s="119"/>
      <c r="AW77" s="119"/>
      <c r="AX77" s="119"/>
      <c r="AY77" s="119"/>
      <c r="AZ77" s="119"/>
      <c r="BA77" s="119"/>
      <c r="BB77" s="119"/>
      <c r="BC77" s="119"/>
      <c r="BD77" s="119"/>
      <c r="BE77" s="119"/>
      <c r="BF77" s="119"/>
      <c r="BG77" s="119"/>
      <c r="BH77" s="119"/>
      <c r="BI77" s="119"/>
      <c r="BJ77" s="119"/>
      <c r="BK77" s="119"/>
      <c r="BL77" s="119"/>
    </row>
    <row r="78" spans="1:64" x14ac:dyDescent="0.2">
      <c r="A78" s="7"/>
      <c r="B78" s="7">
        <v>2032</v>
      </c>
      <c r="C78" s="7">
        <v>2</v>
      </c>
      <c r="D78" s="7">
        <v>230</v>
      </c>
      <c r="E78" s="123">
        <f>low_SIPA_income!B71</f>
        <v>26956460.068164401</v>
      </c>
      <c r="F78" s="123">
        <f>low_SIPA_income!I71</f>
        <v>159561.39273341399</v>
      </c>
      <c r="G78" s="41">
        <f t="shared" si="10"/>
        <v>26844767.093251012</v>
      </c>
      <c r="H78" s="41"/>
      <c r="I78" s="41"/>
      <c r="J78" s="41">
        <f t="shared" si="9"/>
        <v>102643293.66264533</v>
      </c>
      <c r="K78" s="9"/>
      <c r="L78" s="41"/>
      <c r="M78" s="41">
        <f t="shared" si="8"/>
        <v>400772.21572031977</v>
      </c>
      <c r="N78" s="41"/>
      <c r="O78" s="7"/>
      <c r="P78" s="7"/>
      <c r="Q78" s="41"/>
      <c r="R78" s="41"/>
      <c r="S78" s="41"/>
      <c r="T78" s="7"/>
      <c r="U78" s="7"/>
      <c r="V78" s="41"/>
      <c r="W78" s="41"/>
      <c r="X78" s="41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</row>
    <row r="79" spans="1:64" x14ac:dyDescent="0.2">
      <c r="A79" s="7"/>
      <c r="B79" s="7">
        <v>2032</v>
      </c>
      <c r="C79" s="7">
        <v>3</v>
      </c>
      <c r="D79" s="7">
        <v>231</v>
      </c>
      <c r="E79" s="123">
        <f>low_SIPA_income!B72</f>
        <v>23453221.383941598</v>
      </c>
      <c r="F79" s="123">
        <f>low_SIPA_income!I72</f>
        <v>160205.497619581</v>
      </c>
      <c r="G79" s="41">
        <f t="shared" si="10"/>
        <v>23341077.535607893</v>
      </c>
      <c r="H79" s="41"/>
      <c r="I79" s="41"/>
      <c r="J79" s="41">
        <f t="shared" si="9"/>
        <v>89246632.968266621</v>
      </c>
      <c r="K79" s="9"/>
      <c r="L79" s="41"/>
      <c r="M79" s="41">
        <f t="shared" si="8"/>
        <v>402390.02149377979</v>
      </c>
      <c r="N79" s="41"/>
      <c r="O79" s="7"/>
      <c r="P79" s="7"/>
      <c r="Q79" s="41"/>
      <c r="R79" s="41"/>
      <c r="S79" s="41"/>
      <c r="T79" s="7"/>
      <c r="U79" s="7"/>
      <c r="V79" s="41"/>
      <c r="W79" s="41"/>
      <c r="X79" s="41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</row>
    <row r="80" spans="1:64" x14ac:dyDescent="0.2">
      <c r="A80" s="7"/>
      <c r="B80" s="7">
        <v>2032</v>
      </c>
      <c r="C80" s="7">
        <v>4</v>
      </c>
      <c r="D80" s="7">
        <v>232</v>
      </c>
      <c r="E80" s="123">
        <f>low_SIPA_income!B73</f>
        <v>26979117.423024599</v>
      </c>
      <c r="F80" s="123">
        <f>low_SIPA_income!I73</f>
        <v>163156.87095022001</v>
      </c>
      <c r="G80" s="41">
        <f t="shared" si="10"/>
        <v>26864907.613359444</v>
      </c>
      <c r="H80" s="41"/>
      <c r="I80" s="41"/>
      <c r="J80" s="41">
        <f t="shared" si="9"/>
        <v>102720302.68689303</v>
      </c>
      <c r="K80" s="9"/>
      <c r="L80" s="41"/>
      <c r="M80" s="41">
        <f t="shared" si="8"/>
        <v>409803.02039580274</v>
      </c>
      <c r="N80" s="41"/>
      <c r="O80" s="7"/>
      <c r="P80" s="7"/>
      <c r="Q80" s="41"/>
      <c r="R80" s="41"/>
      <c r="S80" s="41"/>
      <c r="T80" s="7"/>
      <c r="U80" s="7"/>
      <c r="V80" s="41"/>
      <c r="W80" s="41"/>
      <c r="X80" s="41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</row>
    <row r="81" spans="1:64" x14ac:dyDescent="0.2">
      <c r="A81" s="119"/>
      <c r="B81" s="119">
        <v>2033</v>
      </c>
      <c r="C81" s="5">
        <v>1</v>
      </c>
      <c r="D81" s="119">
        <v>233</v>
      </c>
      <c r="E81" s="121">
        <f>low_SIPA_income!B74</f>
        <v>23565070.341315899</v>
      </c>
      <c r="F81" s="121">
        <f>low_SIPA_income!I74</f>
        <v>169387.01906959299</v>
      </c>
      <c r="G81" s="8">
        <f t="shared" si="10"/>
        <v>23446499.427967183</v>
      </c>
      <c r="H81" s="8"/>
      <c r="I81" s="8"/>
      <c r="J81" s="8">
        <f t="shared" si="9"/>
        <v>89649722.710796997</v>
      </c>
      <c r="K81" s="6"/>
      <c r="L81" s="8"/>
      <c r="M81" s="8">
        <f t="shared" si="8"/>
        <v>425451.35627012368</v>
      </c>
      <c r="N81" s="8"/>
      <c r="O81" s="5"/>
      <c r="P81" s="5"/>
      <c r="Q81" s="8"/>
      <c r="R81" s="8"/>
      <c r="S81" s="8"/>
      <c r="T81" s="5"/>
      <c r="U81" s="5"/>
      <c r="V81" s="8"/>
      <c r="W81" s="8"/>
      <c r="X81" s="8"/>
      <c r="Y81" s="119"/>
      <c r="Z81" s="119"/>
      <c r="AA81" s="119"/>
      <c r="AB81" s="119"/>
      <c r="AC81" s="119"/>
      <c r="AD81" s="119"/>
      <c r="AE81" s="119"/>
      <c r="AF81" s="119"/>
      <c r="AG81" s="119"/>
      <c r="AH81" s="119"/>
      <c r="AI81" s="119"/>
      <c r="AJ81" s="119"/>
      <c r="AK81" s="119"/>
      <c r="AL81" s="119"/>
      <c r="AM81" s="119"/>
      <c r="AN81" s="119"/>
      <c r="AO81" s="119"/>
      <c r="AP81" s="119"/>
      <c r="AQ81" s="119"/>
      <c r="AR81" s="119"/>
      <c r="AS81" s="119"/>
      <c r="AT81" s="119"/>
      <c r="AU81" s="119"/>
      <c r="AV81" s="119"/>
      <c r="AW81" s="119"/>
      <c r="AX81" s="119"/>
      <c r="AY81" s="119"/>
      <c r="AZ81" s="119"/>
      <c r="BA81" s="119"/>
      <c r="BB81" s="119"/>
      <c r="BC81" s="119"/>
      <c r="BD81" s="119"/>
      <c r="BE81" s="119"/>
      <c r="BF81" s="119"/>
      <c r="BG81" s="119"/>
      <c r="BH81" s="119"/>
      <c r="BI81" s="119"/>
      <c r="BJ81" s="119"/>
      <c r="BK81" s="119"/>
      <c r="BL81" s="119"/>
    </row>
    <row r="82" spans="1:64" x14ac:dyDescent="0.2">
      <c r="A82" s="7"/>
      <c r="B82" s="7">
        <v>2033</v>
      </c>
      <c r="C82" s="7">
        <v>2</v>
      </c>
      <c r="D82" s="7">
        <v>234</v>
      </c>
      <c r="E82" s="123">
        <f>low_SIPA_income!B75</f>
        <v>27172460.000599399</v>
      </c>
      <c r="F82" s="123">
        <f>low_SIPA_income!I75</f>
        <v>170621.983951178</v>
      </c>
      <c r="G82" s="41">
        <f t="shared" si="10"/>
        <v>27053024.611833576</v>
      </c>
      <c r="H82" s="41"/>
      <c r="I82" s="41"/>
      <c r="J82" s="41">
        <f t="shared" si="9"/>
        <v>103439584.33497894</v>
      </c>
      <c r="K82" s="9"/>
      <c r="L82" s="41"/>
      <c r="M82" s="41">
        <f t="shared" si="8"/>
        <v>428553.23200241016</v>
      </c>
      <c r="N82" s="41"/>
      <c r="O82" s="7"/>
      <c r="P82" s="7"/>
      <c r="Q82" s="41"/>
      <c r="R82" s="41"/>
      <c r="S82" s="41"/>
      <c r="T82" s="7"/>
      <c r="U82" s="7"/>
      <c r="V82" s="41"/>
      <c r="W82" s="41"/>
      <c r="X82" s="41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</row>
    <row r="83" spans="1:64" x14ac:dyDescent="0.2">
      <c r="A83" s="7"/>
      <c r="B83" s="7">
        <v>2033</v>
      </c>
      <c r="C83" s="7">
        <v>3</v>
      </c>
      <c r="D83" s="7">
        <v>235</v>
      </c>
      <c r="E83" s="123">
        <f>low_SIPA_income!B76</f>
        <v>23914157.032616202</v>
      </c>
      <c r="F83" s="123">
        <f>low_SIPA_income!I76</f>
        <v>163370.56595056999</v>
      </c>
      <c r="G83" s="41">
        <f t="shared" si="10"/>
        <v>23799797.636450801</v>
      </c>
      <c r="H83" s="41"/>
      <c r="I83" s="41"/>
      <c r="J83" s="41">
        <f t="shared" si="9"/>
        <v>91000589.031890452</v>
      </c>
      <c r="K83" s="9"/>
      <c r="L83" s="41"/>
      <c r="M83" s="41">
        <f t="shared" si="8"/>
        <v>410339.76062670373</v>
      </c>
      <c r="N83" s="41"/>
      <c r="O83" s="7"/>
      <c r="P83" s="7"/>
      <c r="Q83" s="41"/>
      <c r="R83" s="41"/>
      <c r="S83" s="41"/>
      <c r="T83" s="7"/>
      <c r="U83" s="7"/>
      <c r="V83" s="41"/>
      <c r="W83" s="41"/>
      <c r="X83" s="41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</row>
    <row r="84" spans="1:64" x14ac:dyDescent="0.2">
      <c r="A84" s="7"/>
      <c r="B84" s="7">
        <v>2033</v>
      </c>
      <c r="C84" s="7">
        <v>4</v>
      </c>
      <c r="D84" s="7">
        <v>236</v>
      </c>
      <c r="E84" s="123">
        <f>low_SIPA_income!B77</f>
        <v>27458594.852445401</v>
      </c>
      <c r="F84" s="123">
        <f>low_SIPA_income!I77</f>
        <v>161178.03102099101</v>
      </c>
      <c r="G84" s="41">
        <f t="shared" si="10"/>
        <v>27345770.230730709</v>
      </c>
      <c r="H84" s="41"/>
      <c r="I84" s="41"/>
      <c r="J84" s="41">
        <f t="shared" si="9"/>
        <v>104558922.58159257</v>
      </c>
      <c r="K84" s="9"/>
      <c r="L84" s="41"/>
      <c r="M84" s="41">
        <f t="shared" si="8"/>
        <v>404832.74500896182</v>
      </c>
      <c r="N84" s="41"/>
      <c r="O84" s="7"/>
      <c r="P84" s="7"/>
      <c r="Q84" s="41"/>
      <c r="R84" s="41"/>
      <c r="S84" s="41"/>
      <c r="T84" s="7"/>
      <c r="U84" s="7"/>
      <c r="V84" s="41"/>
      <c r="W84" s="41"/>
      <c r="X84" s="41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</row>
    <row r="85" spans="1:64" x14ac:dyDescent="0.2">
      <c r="A85" s="119"/>
      <c r="B85" s="119">
        <v>2034</v>
      </c>
      <c r="C85" s="5">
        <v>1</v>
      </c>
      <c r="D85" s="119">
        <v>237</v>
      </c>
      <c r="E85" s="121">
        <f>low_SIPA_income!B78</f>
        <v>23861810.311912999</v>
      </c>
      <c r="F85" s="121">
        <f>low_SIPA_income!I78</f>
        <v>163514.79815555501</v>
      </c>
      <c r="G85" s="8">
        <f t="shared" si="10"/>
        <v>23747349.95320411</v>
      </c>
      <c r="H85" s="8"/>
      <c r="I85" s="8"/>
      <c r="J85" s="8">
        <f t="shared" si="9"/>
        <v>90800050.769266859</v>
      </c>
      <c r="K85" s="6"/>
      <c r="L85" s="8"/>
      <c r="M85" s="8">
        <f t="shared" si="8"/>
        <v>410702.03034232755</v>
      </c>
      <c r="N85" s="8"/>
      <c r="O85" s="5"/>
      <c r="P85" s="5"/>
      <c r="Q85" s="8"/>
      <c r="R85" s="8"/>
      <c r="S85" s="8"/>
      <c r="T85" s="5"/>
      <c r="U85" s="5"/>
      <c r="V85" s="8"/>
      <c r="W85" s="8"/>
      <c r="X85" s="8"/>
      <c r="Y85" s="119"/>
      <c r="Z85" s="119"/>
      <c r="AA85" s="119"/>
      <c r="AB85" s="119"/>
      <c r="AC85" s="119"/>
      <c r="AD85" s="119"/>
      <c r="AE85" s="119"/>
      <c r="AF85" s="119"/>
      <c r="AG85" s="119"/>
      <c r="AH85" s="119"/>
      <c r="AI85" s="119"/>
      <c r="AJ85" s="119"/>
      <c r="AK85" s="119"/>
      <c r="AL85" s="119"/>
      <c r="AM85" s="119"/>
      <c r="AN85" s="119"/>
      <c r="AO85" s="119"/>
      <c r="AP85" s="119"/>
      <c r="AQ85" s="119"/>
      <c r="AR85" s="119"/>
      <c r="AS85" s="119"/>
      <c r="AT85" s="119"/>
      <c r="AU85" s="119"/>
      <c r="AV85" s="119"/>
      <c r="AW85" s="119"/>
      <c r="AX85" s="119"/>
      <c r="AY85" s="119"/>
      <c r="AZ85" s="119"/>
      <c r="BA85" s="119"/>
      <c r="BB85" s="119"/>
      <c r="BC85" s="119"/>
      <c r="BD85" s="119"/>
      <c r="BE85" s="119"/>
      <c r="BF85" s="119"/>
      <c r="BG85" s="119"/>
      <c r="BH85" s="119"/>
      <c r="BI85" s="119"/>
      <c r="BJ85" s="119"/>
      <c r="BK85" s="119"/>
      <c r="BL85" s="119"/>
    </row>
    <row r="86" spans="1:64" x14ac:dyDescent="0.2">
      <c r="A86" s="7"/>
      <c r="B86" s="7">
        <v>2034</v>
      </c>
      <c r="C86" s="7">
        <v>2</v>
      </c>
      <c r="D86" s="7">
        <v>238</v>
      </c>
      <c r="E86" s="123">
        <f>low_SIPA_income!B79</f>
        <v>27520467.988538802</v>
      </c>
      <c r="F86" s="123">
        <f>low_SIPA_income!I79</f>
        <v>162451.632015268</v>
      </c>
      <c r="G86" s="41">
        <f t="shared" si="10"/>
        <v>27406751.846128114</v>
      </c>
      <c r="H86" s="41"/>
      <c r="I86" s="41"/>
      <c r="J86" s="41">
        <f t="shared" si="9"/>
        <v>104792091.07344483</v>
      </c>
      <c r="K86" s="9"/>
      <c r="L86" s="41"/>
      <c r="M86" s="41">
        <f t="shared" si="8"/>
        <v>408031.66351723013</v>
      </c>
      <c r="N86" s="41"/>
      <c r="O86" s="7"/>
      <c r="P86" s="7"/>
      <c r="Q86" s="41"/>
      <c r="R86" s="41"/>
      <c r="S86" s="41"/>
      <c r="T86" s="7"/>
      <c r="U86" s="7"/>
      <c r="V86" s="41"/>
      <c r="W86" s="41"/>
      <c r="X86" s="41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</row>
    <row r="87" spans="1:64" x14ac:dyDescent="0.2">
      <c r="A87" s="7"/>
      <c r="B87" s="7">
        <v>2034</v>
      </c>
      <c r="C87" s="7">
        <v>3</v>
      </c>
      <c r="D87" s="7">
        <v>239</v>
      </c>
      <c r="E87" s="123">
        <f>low_SIPA_income!B80</f>
        <v>23994542.912809301</v>
      </c>
      <c r="F87" s="123">
        <f>low_SIPA_income!I80</f>
        <v>161698.14540396299</v>
      </c>
      <c r="G87" s="41">
        <f t="shared" si="10"/>
        <v>23881354.211026527</v>
      </c>
      <c r="H87" s="41"/>
      <c r="I87" s="41"/>
      <c r="J87" s="41">
        <f t="shared" si="9"/>
        <v>91312427.663427696</v>
      </c>
      <c r="K87" s="9"/>
      <c r="L87" s="41"/>
      <c r="M87" s="41">
        <f t="shared" si="8"/>
        <v>406139.12238584989</v>
      </c>
      <c r="N87" s="41"/>
      <c r="O87" s="7"/>
      <c r="P87" s="7"/>
      <c r="Q87" s="41"/>
      <c r="R87" s="41"/>
      <c r="S87" s="41"/>
      <c r="T87" s="7"/>
      <c r="U87" s="7"/>
      <c r="V87" s="41"/>
      <c r="W87" s="41"/>
      <c r="X87" s="41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</row>
    <row r="88" spans="1:64" x14ac:dyDescent="0.2">
      <c r="A88" s="7"/>
      <c r="B88" s="7">
        <v>2034</v>
      </c>
      <c r="C88" s="7">
        <v>4</v>
      </c>
      <c r="D88" s="7">
        <v>240</v>
      </c>
      <c r="E88" s="123">
        <f>low_SIPA_income!B81</f>
        <v>27613338.848911501</v>
      </c>
      <c r="F88" s="123">
        <f>low_SIPA_income!I81</f>
        <v>157438.098667293</v>
      </c>
      <c r="G88" s="41">
        <f t="shared" si="10"/>
        <v>27503132.179844398</v>
      </c>
      <c r="H88" s="41"/>
      <c r="I88" s="41"/>
      <c r="J88" s="41">
        <f t="shared" si="9"/>
        <v>105160609.63285641</v>
      </c>
      <c r="K88" s="9"/>
      <c r="L88" s="41"/>
      <c r="M88" s="41">
        <f t="shared" si="8"/>
        <v>395439.11318888946</v>
      </c>
      <c r="N88" s="41"/>
      <c r="O88" s="7"/>
      <c r="P88" s="7"/>
      <c r="Q88" s="41"/>
      <c r="R88" s="41"/>
      <c r="S88" s="41"/>
      <c r="T88" s="7"/>
      <c r="U88" s="7"/>
      <c r="V88" s="41"/>
      <c r="W88" s="41"/>
      <c r="X88" s="41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</row>
    <row r="89" spans="1:64" x14ac:dyDescent="0.2">
      <c r="A89" s="119"/>
      <c r="B89" s="119">
        <v>2035</v>
      </c>
      <c r="C89" s="5">
        <v>1</v>
      </c>
      <c r="D89" s="119">
        <v>241</v>
      </c>
      <c r="E89" s="121">
        <f>low_SIPA_income!B82</f>
        <v>24031500.921937801</v>
      </c>
      <c r="F89" s="121">
        <f>low_SIPA_income!I82</f>
        <v>160718.024307691</v>
      </c>
      <c r="G89" s="8">
        <f t="shared" si="10"/>
        <v>23918998.304922417</v>
      </c>
      <c r="H89" s="8"/>
      <c r="I89" s="8"/>
      <c r="J89" s="8">
        <f t="shared" si="9"/>
        <v>91456363.119116247</v>
      </c>
      <c r="K89" s="6"/>
      <c r="L89" s="8"/>
      <c r="M89" s="8">
        <f t="shared" si="8"/>
        <v>403677.3407687677</v>
      </c>
      <c r="N89" s="8"/>
      <c r="O89" s="5"/>
      <c r="P89" s="5"/>
      <c r="Q89" s="8"/>
      <c r="R89" s="8"/>
      <c r="S89" s="8"/>
      <c r="T89" s="5"/>
      <c r="U89" s="5"/>
      <c r="V89" s="8"/>
      <c r="W89" s="8"/>
      <c r="X89" s="8"/>
      <c r="Y89" s="119"/>
      <c r="Z89" s="119"/>
      <c r="AA89" s="119"/>
      <c r="AB89" s="119"/>
      <c r="AC89" s="119"/>
      <c r="AD89" s="119"/>
      <c r="AE89" s="119"/>
      <c r="AF89" s="119"/>
      <c r="AG89" s="119"/>
      <c r="AH89" s="119"/>
      <c r="AI89" s="119"/>
      <c r="AJ89" s="119"/>
      <c r="AK89" s="119"/>
      <c r="AL89" s="119"/>
      <c r="AM89" s="119"/>
      <c r="AN89" s="119"/>
      <c r="AO89" s="119"/>
      <c r="AP89" s="119"/>
      <c r="AQ89" s="119"/>
      <c r="AR89" s="119"/>
      <c r="AS89" s="119"/>
      <c r="AT89" s="119"/>
      <c r="AU89" s="119"/>
      <c r="AV89" s="119"/>
      <c r="AW89" s="119"/>
      <c r="AX89" s="119"/>
      <c r="AY89" s="119"/>
      <c r="AZ89" s="119"/>
      <c r="BA89" s="119"/>
      <c r="BB89" s="119"/>
      <c r="BC89" s="119"/>
      <c r="BD89" s="119"/>
      <c r="BE89" s="119"/>
      <c r="BF89" s="119"/>
      <c r="BG89" s="119"/>
      <c r="BH89" s="119"/>
      <c r="BI89" s="119"/>
      <c r="BJ89" s="119"/>
      <c r="BK89" s="119"/>
      <c r="BL89" s="119"/>
    </row>
    <row r="90" spans="1:64" x14ac:dyDescent="0.2">
      <c r="A90" s="7"/>
      <c r="B90" s="7">
        <v>2035</v>
      </c>
      <c r="C90" s="7">
        <v>2</v>
      </c>
      <c r="D90" s="7">
        <v>242</v>
      </c>
      <c r="E90" s="123">
        <f>low_SIPA_income!B83</f>
        <v>27540383.166680999</v>
      </c>
      <c r="F90" s="123">
        <f>low_SIPA_income!I83</f>
        <v>166580.518347509</v>
      </c>
      <c r="G90" s="41">
        <f t="shared" si="10"/>
        <v>27423776.803837743</v>
      </c>
      <c r="H90" s="41"/>
      <c r="I90" s="41"/>
      <c r="J90" s="41">
        <f t="shared" si="9"/>
        <v>104857187.47482963</v>
      </c>
      <c r="K90" s="9"/>
      <c r="L90" s="41"/>
      <c r="M90" s="41">
        <f t="shared" si="8"/>
        <v>418402.23559285887</v>
      </c>
      <c r="N90" s="41"/>
      <c r="O90" s="7"/>
      <c r="P90" s="7"/>
      <c r="Q90" s="41"/>
      <c r="R90" s="41"/>
      <c r="S90" s="41"/>
      <c r="T90" s="7"/>
      <c r="U90" s="7"/>
      <c r="V90" s="41"/>
      <c r="W90" s="41"/>
      <c r="X90" s="41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</row>
    <row r="91" spans="1:64" x14ac:dyDescent="0.2">
      <c r="A91" s="7"/>
      <c r="B91" s="7">
        <v>2035</v>
      </c>
      <c r="C91" s="7">
        <v>3</v>
      </c>
      <c r="D91" s="7">
        <v>243</v>
      </c>
      <c r="E91" s="123">
        <f>low_SIPA_income!B84</f>
        <v>24347220.6473209</v>
      </c>
      <c r="F91" s="123">
        <f>low_SIPA_income!I84</f>
        <v>167437.45161747301</v>
      </c>
      <c r="G91" s="41">
        <f t="shared" si="10"/>
        <v>24230014.431188669</v>
      </c>
      <c r="H91" s="41"/>
      <c r="I91" s="41"/>
      <c r="J91" s="41">
        <f t="shared" si="9"/>
        <v>92645560.234191656</v>
      </c>
      <c r="K91" s="9"/>
      <c r="L91" s="41"/>
      <c r="M91" s="41">
        <f t="shared" si="8"/>
        <v>420554.60490629129</v>
      </c>
      <c r="N91" s="41"/>
      <c r="O91" s="7"/>
      <c r="P91" s="7"/>
      <c r="Q91" s="41"/>
      <c r="R91" s="41"/>
      <c r="S91" s="41"/>
      <c r="T91" s="7"/>
      <c r="U91" s="7"/>
      <c r="V91" s="41"/>
      <c r="W91" s="41"/>
      <c r="X91" s="41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</row>
    <row r="92" spans="1:64" x14ac:dyDescent="0.2">
      <c r="A92" s="7"/>
      <c r="B92" s="7">
        <v>2035</v>
      </c>
      <c r="C92" s="7">
        <v>4</v>
      </c>
      <c r="D92" s="7">
        <v>244</v>
      </c>
      <c r="E92" s="123">
        <f>low_SIPA_income!B85</f>
        <v>28032252.683563702</v>
      </c>
      <c r="F92" s="123">
        <f>low_SIPA_income!I85</f>
        <v>166283.912781644</v>
      </c>
      <c r="G92" s="41">
        <f t="shared" si="10"/>
        <v>27915853.944616552</v>
      </c>
      <c r="H92" s="41"/>
      <c r="I92" s="41"/>
      <c r="J92" s="41">
        <f t="shared" si="9"/>
        <v>106738687.07175973</v>
      </c>
      <c r="K92" s="9"/>
      <c r="L92" s="41"/>
      <c r="M92" s="41">
        <f t="shared" si="8"/>
        <v>417657.24792516348</v>
      </c>
      <c r="N92" s="41"/>
      <c r="O92" s="7"/>
      <c r="P92" s="7"/>
      <c r="Q92" s="41"/>
      <c r="R92" s="41"/>
      <c r="S92" s="41"/>
      <c r="T92" s="7"/>
      <c r="U92" s="7"/>
      <c r="V92" s="41"/>
      <c r="W92" s="41"/>
      <c r="X92" s="41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</row>
    <row r="93" spans="1:64" x14ac:dyDescent="0.2">
      <c r="A93" s="119"/>
      <c r="B93" s="119">
        <v>2036</v>
      </c>
      <c r="C93" s="5">
        <v>1</v>
      </c>
      <c r="D93" s="119">
        <v>245</v>
      </c>
      <c r="E93" s="121">
        <f>low_SIPA_income!B86</f>
        <v>24643519.631089199</v>
      </c>
      <c r="F93" s="121">
        <f>low_SIPA_income!I86</f>
        <v>160960.75086726699</v>
      </c>
      <c r="G93" s="8">
        <f t="shared" si="10"/>
        <v>24530847.105482113</v>
      </c>
      <c r="H93" s="8"/>
      <c r="I93" s="8"/>
      <c r="J93" s="8">
        <f t="shared" si="9"/>
        <v>93795820.038031936</v>
      </c>
      <c r="K93" s="6"/>
      <c r="L93" s="8"/>
      <c r="M93" s="8">
        <f t="shared" si="8"/>
        <v>404286.99990641366</v>
      </c>
      <c r="N93" s="8"/>
      <c r="O93" s="5"/>
      <c r="P93" s="5"/>
      <c r="Q93" s="8"/>
      <c r="R93" s="8"/>
      <c r="S93" s="8"/>
      <c r="T93" s="5"/>
      <c r="U93" s="5"/>
      <c r="V93" s="8"/>
      <c r="W93" s="8"/>
      <c r="X93" s="8"/>
      <c r="Y93" s="119"/>
      <c r="Z93" s="119"/>
      <c r="AA93" s="119"/>
      <c r="AB93" s="119"/>
      <c r="AC93" s="119"/>
      <c r="AD93" s="119"/>
      <c r="AE93" s="119"/>
      <c r="AF93" s="119"/>
      <c r="AG93" s="119"/>
      <c r="AH93" s="119"/>
      <c r="AI93" s="119"/>
      <c r="AJ93" s="119"/>
      <c r="AK93" s="119"/>
      <c r="AL93" s="119"/>
      <c r="AM93" s="119"/>
      <c r="AN93" s="119"/>
      <c r="AO93" s="119"/>
      <c r="AP93" s="119"/>
      <c r="AQ93" s="119"/>
      <c r="AR93" s="119"/>
      <c r="AS93" s="119"/>
      <c r="AT93" s="119"/>
      <c r="AU93" s="119"/>
      <c r="AV93" s="119"/>
      <c r="AW93" s="119"/>
      <c r="AX93" s="119"/>
      <c r="AY93" s="119"/>
      <c r="AZ93" s="119"/>
      <c r="BA93" s="119"/>
      <c r="BB93" s="119"/>
      <c r="BC93" s="119"/>
      <c r="BD93" s="119"/>
      <c r="BE93" s="119"/>
      <c r="BF93" s="119"/>
      <c r="BG93" s="119"/>
      <c r="BH93" s="119"/>
      <c r="BI93" s="119"/>
      <c r="BJ93" s="119"/>
      <c r="BK93" s="119"/>
      <c r="BL93" s="119"/>
    </row>
    <row r="94" spans="1:64" x14ac:dyDescent="0.2">
      <c r="A94" s="7"/>
      <c r="B94" s="7">
        <v>2036</v>
      </c>
      <c r="C94" s="7">
        <v>2</v>
      </c>
      <c r="D94" s="7">
        <v>246</v>
      </c>
      <c r="E94" s="123">
        <f>low_SIPA_income!B87</f>
        <v>28386066.436883699</v>
      </c>
      <c r="F94" s="123">
        <f>low_SIPA_income!I87</f>
        <v>160619.84167290901</v>
      </c>
      <c r="G94" s="41">
        <f t="shared" si="10"/>
        <v>28273632.547712661</v>
      </c>
      <c r="H94" s="41"/>
      <c r="I94" s="41"/>
      <c r="J94" s="41">
        <f t="shared" si="9"/>
        <v>108106684.56997745</v>
      </c>
      <c r="K94" s="9"/>
      <c r="L94" s="41"/>
      <c r="M94" s="41">
        <f t="shared" si="8"/>
        <v>403430.73429703439</v>
      </c>
      <c r="N94" s="41"/>
      <c r="O94" s="7"/>
      <c r="P94" s="7"/>
      <c r="Q94" s="41"/>
      <c r="R94" s="41"/>
      <c r="S94" s="41"/>
      <c r="T94" s="7"/>
      <c r="U94" s="7"/>
      <c r="V94" s="41"/>
      <c r="W94" s="41"/>
      <c r="X94" s="41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</row>
    <row r="95" spans="1:64" x14ac:dyDescent="0.2">
      <c r="A95" s="7"/>
      <c r="B95" s="7">
        <v>2036</v>
      </c>
      <c r="C95" s="7">
        <v>3</v>
      </c>
      <c r="D95" s="7">
        <v>247</v>
      </c>
      <c r="E95" s="123">
        <f>low_SIPA_income!B88</f>
        <v>24729809.832630601</v>
      </c>
      <c r="F95" s="123">
        <f>low_SIPA_income!I88</f>
        <v>167136.79739968799</v>
      </c>
      <c r="G95" s="41">
        <f t="shared" si="10"/>
        <v>24612814.074450821</v>
      </c>
      <c r="H95" s="41"/>
      <c r="I95" s="41"/>
      <c r="J95" s="41">
        <f t="shared" si="9"/>
        <v>94109227.848100334</v>
      </c>
      <c r="K95" s="9"/>
      <c r="L95" s="41"/>
      <c r="M95" s="41">
        <f t="shared" si="8"/>
        <v>419799.44819223153</v>
      </c>
      <c r="N95" s="41"/>
      <c r="O95" s="7"/>
      <c r="P95" s="7"/>
      <c r="Q95" s="41"/>
      <c r="R95" s="41"/>
      <c r="S95" s="41"/>
      <c r="T95" s="7"/>
      <c r="U95" s="7"/>
      <c r="V95" s="41"/>
      <c r="W95" s="41"/>
      <c r="X95" s="41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</row>
    <row r="96" spans="1:64" x14ac:dyDescent="0.2">
      <c r="A96" s="7"/>
      <c r="B96" s="7">
        <v>2036</v>
      </c>
      <c r="C96" s="7">
        <v>4</v>
      </c>
      <c r="D96" s="7">
        <v>248</v>
      </c>
      <c r="E96" s="123">
        <f>low_SIPA_income!B89</f>
        <v>28544619.014621601</v>
      </c>
      <c r="F96" s="123">
        <f>low_SIPA_income!I89</f>
        <v>169546.043839908</v>
      </c>
      <c r="G96" s="41">
        <f t="shared" si="10"/>
        <v>28425936.783933666</v>
      </c>
      <c r="H96" s="41"/>
      <c r="I96" s="41"/>
      <c r="J96" s="41">
        <f t="shared" si="9"/>
        <v>108689033.01763554</v>
      </c>
      <c r="K96" s="9"/>
      <c r="L96" s="41"/>
      <c r="M96" s="41">
        <f t="shared" si="8"/>
        <v>425850.78064504149</v>
      </c>
      <c r="N96" s="41"/>
      <c r="O96" s="7"/>
      <c r="P96" s="7"/>
      <c r="Q96" s="41"/>
      <c r="R96" s="41"/>
      <c r="S96" s="41"/>
      <c r="T96" s="7"/>
      <c r="U96" s="7"/>
      <c r="V96" s="41"/>
      <c r="W96" s="41"/>
      <c r="X96" s="41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</row>
    <row r="97" spans="1:64" x14ac:dyDescent="0.2">
      <c r="A97" s="119"/>
      <c r="B97" s="119">
        <v>2037</v>
      </c>
      <c r="C97" s="5">
        <v>1</v>
      </c>
      <c r="D97" s="119">
        <v>249</v>
      </c>
      <c r="E97" s="121">
        <f>low_SIPA_income!B90</f>
        <v>24993068.188999999</v>
      </c>
      <c r="F97" s="121">
        <f>low_SIPA_income!I90</f>
        <v>162468.831116371</v>
      </c>
      <c r="G97" s="8">
        <f t="shared" si="10"/>
        <v>24879340.00721854</v>
      </c>
      <c r="H97" s="8"/>
      <c r="I97" s="8"/>
      <c r="J97" s="8">
        <f t="shared" si="9"/>
        <v>95128312.852293402</v>
      </c>
      <c r="K97" s="6"/>
      <c r="L97" s="8"/>
      <c r="M97" s="8">
        <f t="shared" si="8"/>
        <v>408074.86270056246</v>
      </c>
      <c r="N97" s="8"/>
      <c r="O97" s="5"/>
      <c r="P97" s="5"/>
      <c r="Q97" s="8"/>
      <c r="R97" s="8"/>
      <c r="S97" s="8"/>
      <c r="T97" s="5"/>
      <c r="U97" s="5"/>
      <c r="V97" s="8"/>
      <c r="W97" s="8"/>
      <c r="X97" s="8"/>
      <c r="Y97" s="119"/>
      <c r="Z97" s="119"/>
      <c r="AA97" s="119"/>
      <c r="AB97" s="119"/>
      <c r="AC97" s="119"/>
      <c r="AD97" s="119"/>
      <c r="AE97" s="119"/>
      <c r="AF97" s="119"/>
      <c r="AG97" s="119"/>
      <c r="AH97" s="119"/>
      <c r="AI97" s="119"/>
      <c r="AJ97" s="119"/>
      <c r="AK97" s="119"/>
      <c r="AL97" s="119"/>
      <c r="AM97" s="119"/>
      <c r="AN97" s="119"/>
      <c r="AO97" s="119"/>
      <c r="AP97" s="119"/>
      <c r="AQ97" s="119"/>
      <c r="AR97" s="119"/>
      <c r="AS97" s="119"/>
      <c r="AT97" s="119"/>
      <c r="AU97" s="119"/>
      <c r="AV97" s="119"/>
      <c r="AW97" s="119"/>
      <c r="AX97" s="119"/>
      <c r="AY97" s="119"/>
      <c r="AZ97" s="119"/>
      <c r="BA97" s="119"/>
      <c r="BB97" s="119"/>
      <c r="BC97" s="119"/>
      <c r="BD97" s="119"/>
      <c r="BE97" s="119"/>
      <c r="BF97" s="119"/>
      <c r="BG97" s="119"/>
      <c r="BH97" s="119"/>
      <c r="BI97" s="119"/>
      <c r="BJ97" s="119"/>
      <c r="BK97" s="119"/>
      <c r="BL97" s="119"/>
    </row>
    <row r="98" spans="1:64" x14ac:dyDescent="0.2">
      <c r="A98" s="7"/>
      <c r="B98" s="7">
        <v>2037</v>
      </c>
      <c r="C98" s="7">
        <v>2</v>
      </c>
      <c r="D98" s="7">
        <v>250</v>
      </c>
      <c r="E98" s="123">
        <f>low_SIPA_income!B91</f>
        <v>28587524.334507901</v>
      </c>
      <c r="F98" s="123">
        <f>low_SIPA_income!I91</f>
        <v>166659.49235706101</v>
      </c>
      <c r="G98" s="41">
        <f t="shared" si="10"/>
        <v>28470862.68985796</v>
      </c>
      <c r="H98" s="41"/>
      <c r="I98" s="41"/>
      <c r="J98" s="41">
        <f t="shared" si="9"/>
        <v>108860811.11274171</v>
      </c>
      <c r="K98" s="9"/>
      <c r="L98" s="41"/>
      <c r="M98" s="41">
        <f t="shared" si="8"/>
        <v>418600.59553601476</v>
      </c>
      <c r="N98" s="41"/>
      <c r="O98" s="7"/>
      <c r="P98" s="7"/>
      <c r="Q98" s="41"/>
      <c r="R98" s="41"/>
      <c r="S98" s="41"/>
      <c r="T98" s="7"/>
      <c r="U98" s="7"/>
      <c r="V98" s="41"/>
      <c r="W98" s="41"/>
      <c r="X98" s="41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</row>
    <row r="99" spans="1:64" x14ac:dyDescent="0.2">
      <c r="A99" s="7"/>
      <c r="B99" s="7">
        <v>2037</v>
      </c>
      <c r="C99" s="7">
        <v>3</v>
      </c>
      <c r="D99" s="7">
        <v>251</v>
      </c>
      <c r="E99" s="123">
        <f>low_SIPA_income!B92</f>
        <v>25124238.120158698</v>
      </c>
      <c r="F99" s="123">
        <f>low_SIPA_income!I92</f>
        <v>169064.50749546499</v>
      </c>
      <c r="G99" s="41">
        <f t="shared" si="10"/>
        <v>25005892.964911874</v>
      </c>
      <c r="H99" s="41"/>
      <c r="I99" s="41"/>
      <c r="J99" s="41">
        <f t="shared" si="9"/>
        <v>95612199.054593846</v>
      </c>
      <c r="K99" s="9"/>
      <c r="L99" s="41"/>
      <c r="M99" s="41">
        <f t="shared" ref="M99:M112" si="11">F99*2.511711692</f>
        <v>424641.30017858103</v>
      </c>
      <c r="N99" s="41"/>
      <c r="O99" s="7"/>
      <c r="P99" s="7"/>
      <c r="Q99" s="41"/>
      <c r="R99" s="41"/>
      <c r="S99" s="41"/>
      <c r="T99" s="7"/>
      <c r="U99" s="7"/>
      <c r="V99" s="41"/>
      <c r="W99" s="41"/>
      <c r="X99" s="41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</row>
    <row r="100" spans="1:64" x14ac:dyDescent="0.2">
      <c r="A100" s="7"/>
      <c r="B100" s="7">
        <v>2037</v>
      </c>
      <c r="C100" s="7">
        <v>4</v>
      </c>
      <c r="D100" s="7">
        <v>252</v>
      </c>
      <c r="E100" s="123">
        <f>low_SIPA_income!B93</f>
        <v>28777288.721409202</v>
      </c>
      <c r="F100" s="123">
        <f>low_SIPA_income!I93</f>
        <v>168135.11624899501</v>
      </c>
      <c r="G100" s="41">
        <f t="shared" si="10"/>
        <v>28659594.140034907</v>
      </c>
      <c r="H100" s="41"/>
      <c r="I100" s="41"/>
      <c r="J100" s="41">
        <f t="shared" ref="J100:J112" si="12">G100*3.8235866717</f>
        <v>109582442.17016889</v>
      </c>
      <c r="K100" s="9"/>
      <c r="L100" s="41"/>
      <c r="M100" s="41">
        <f t="shared" si="11"/>
        <v>422306.93731837993</v>
      </c>
      <c r="N100" s="41"/>
      <c r="O100" s="7"/>
      <c r="P100" s="7"/>
      <c r="Q100" s="41"/>
      <c r="R100" s="41"/>
      <c r="S100" s="41"/>
      <c r="T100" s="7"/>
      <c r="U100" s="7"/>
      <c r="V100" s="41"/>
      <c r="W100" s="41"/>
      <c r="X100" s="41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</row>
    <row r="101" spans="1:64" x14ac:dyDescent="0.2">
      <c r="A101" s="119"/>
      <c r="B101" s="119">
        <v>2038</v>
      </c>
      <c r="C101" s="5">
        <v>1</v>
      </c>
      <c r="D101" s="119">
        <v>253</v>
      </c>
      <c r="E101" s="121">
        <f>low_SIPA_income!B94</f>
        <v>25319533.0031326</v>
      </c>
      <c r="F101" s="121">
        <f>low_SIPA_income!I94</f>
        <v>165434.457486214</v>
      </c>
      <c r="G101" s="8">
        <f t="shared" si="10"/>
        <v>25203728.882892251</v>
      </c>
      <c r="H101" s="8"/>
      <c r="I101" s="8"/>
      <c r="J101" s="8">
        <f t="shared" si="12"/>
        <v>96368641.833767146</v>
      </c>
      <c r="K101" s="6"/>
      <c r="L101" s="8"/>
      <c r="M101" s="8">
        <f t="shared" si="11"/>
        <v>415523.66112780065</v>
      </c>
      <c r="N101" s="8"/>
      <c r="O101" s="5"/>
      <c r="P101" s="5"/>
      <c r="Q101" s="8"/>
      <c r="R101" s="8"/>
      <c r="S101" s="8"/>
      <c r="T101" s="5"/>
      <c r="U101" s="5"/>
      <c r="V101" s="8"/>
      <c r="W101" s="8"/>
      <c r="X101" s="8"/>
      <c r="Y101" s="119"/>
      <c r="Z101" s="119"/>
      <c r="AA101" s="119"/>
      <c r="AB101" s="119"/>
      <c r="AC101" s="119"/>
      <c r="AD101" s="119"/>
      <c r="AE101" s="119"/>
      <c r="AF101" s="119"/>
      <c r="AG101" s="119"/>
      <c r="AH101" s="119"/>
      <c r="AI101" s="119"/>
      <c r="AJ101" s="119"/>
      <c r="AK101" s="119"/>
      <c r="AL101" s="119"/>
      <c r="AM101" s="119"/>
      <c r="AN101" s="119"/>
      <c r="AO101" s="119"/>
      <c r="AP101" s="119"/>
      <c r="AQ101" s="119"/>
      <c r="AR101" s="119"/>
      <c r="AS101" s="119"/>
      <c r="AT101" s="119"/>
      <c r="AU101" s="119"/>
      <c r="AV101" s="119"/>
      <c r="AW101" s="119"/>
      <c r="AX101" s="119"/>
      <c r="AY101" s="119"/>
      <c r="AZ101" s="119"/>
      <c r="BA101" s="119"/>
      <c r="BB101" s="119"/>
      <c r="BC101" s="119"/>
      <c r="BD101" s="119"/>
      <c r="BE101" s="119"/>
      <c r="BF101" s="119"/>
      <c r="BG101" s="119"/>
      <c r="BH101" s="119"/>
      <c r="BI101" s="119"/>
      <c r="BJ101" s="119"/>
      <c r="BK101" s="119"/>
      <c r="BL101" s="119"/>
    </row>
    <row r="102" spans="1:64" x14ac:dyDescent="0.2">
      <c r="A102" s="7"/>
      <c r="B102" s="7">
        <v>2038</v>
      </c>
      <c r="C102" s="7">
        <v>2</v>
      </c>
      <c r="D102" s="7">
        <v>254</v>
      </c>
      <c r="E102" s="123">
        <f>low_SIPA_income!B95</f>
        <v>29028298.2481298</v>
      </c>
      <c r="F102" s="123">
        <f>low_SIPA_income!I95</f>
        <v>167226.40882354899</v>
      </c>
      <c r="G102" s="41">
        <f t="shared" si="10"/>
        <v>28911239.761953317</v>
      </c>
      <c r="H102" s="41"/>
      <c r="I102" s="41"/>
      <c r="J102" s="41">
        <f t="shared" si="12"/>
        <v>110544631.01612779</v>
      </c>
      <c r="K102" s="9"/>
      <c r="L102" s="41"/>
      <c r="M102" s="41">
        <f t="shared" si="11"/>
        <v>420024.52625327994</v>
      </c>
      <c r="N102" s="41"/>
      <c r="O102" s="7"/>
      <c r="P102" s="7"/>
      <c r="Q102" s="41"/>
      <c r="R102" s="41"/>
      <c r="S102" s="41"/>
      <c r="T102" s="7"/>
      <c r="U102" s="7"/>
      <c r="V102" s="41"/>
      <c r="W102" s="41"/>
      <c r="X102" s="41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</row>
    <row r="103" spans="1:64" x14ac:dyDescent="0.2">
      <c r="A103" s="7"/>
      <c r="B103" s="7">
        <v>2038</v>
      </c>
      <c r="C103" s="7">
        <v>3</v>
      </c>
      <c r="D103" s="7">
        <v>255</v>
      </c>
      <c r="E103" s="123">
        <f>low_SIPA_income!B96</f>
        <v>25294495.0939213</v>
      </c>
      <c r="F103" s="123">
        <f>low_SIPA_income!I96</f>
        <v>171050.36854424499</v>
      </c>
      <c r="G103" s="41">
        <f t="shared" si="10"/>
        <v>25174759.835940327</v>
      </c>
      <c r="H103" s="41"/>
      <c r="I103" s="41"/>
      <c r="J103" s="41">
        <f t="shared" si="12"/>
        <v>96257876.171949923</v>
      </c>
      <c r="K103" s="9"/>
      <c r="L103" s="41"/>
      <c r="M103" s="41">
        <f t="shared" si="11"/>
        <v>429629.21059348917</v>
      </c>
      <c r="N103" s="41"/>
      <c r="O103" s="7"/>
      <c r="P103" s="7"/>
      <c r="Q103" s="41"/>
      <c r="R103" s="41"/>
      <c r="S103" s="41"/>
      <c r="T103" s="7"/>
      <c r="U103" s="7"/>
      <c r="V103" s="41"/>
      <c r="W103" s="41"/>
      <c r="X103" s="41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</row>
    <row r="104" spans="1:64" x14ac:dyDescent="0.2">
      <c r="A104" s="7"/>
      <c r="B104" s="7">
        <v>2038</v>
      </c>
      <c r="C104" s="7">
        <v>4</v>
      </c>
      <c r="D104" s="7">
        <v>256</v>
      </c>
      <c r="E104" s="123">
        <f>low_SIPA_income!B97</f>
        <v>29070594.426435299</v>
      </c>
      <c r="F104" s="123">
        <f>low_SIPA_income!I97</f>
        <v>171286.52076519901</v>
      </c>
      <c r="G104" s="41">
        <f t="shared" si="10"/>
        <v>28950693.861899659</v>
      </c>
      <c r="H104" s="41"/>
      <c r="I104" s="41"/>
      <c r="J104" s="41">
        <f t="shared" si="12"/>
        <v>110695487.18682654</v>
      </c>
      <c r="K104" s="9"/>
      <c r="L104" s="41"/>
      <c r="M104" s="41">
        <f t="shared" si="11"/>
        <v>430222.35688795114</v>
      </c>
      <c r="N104" s="41"/>
      <c r="O104" s="7"/>
      <c r="P104" s="7"/>
      <c r="Q104" s="41"/>
      <c r="R104" s="41"/>
      <c r="S104" s="41"/>
      <c r="T104" s="7"/>
      <c r="U104" s="7"/>
      <c r="V104" s="41"/>
      <c r="W104" s="41"/>
      <c r="X104" s="41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</row>
    <row r="105" spans="1:64" x14ac:dyDescent="0.2">
      <c r="A105" s="119"/>
      <c r="B105" s="119">
        <v>2039</v>
      </c>
      <c r="C105" s="5">
        <v>1</v>
      </c>
      <c r="D105" s="119">
        <v>257</v>
      </c>
      <c r="E105" s="121">
        <f>low_SIPA_income!B98</f>
        <v>25454406.632004399</v>
      </c>
      <c r="F105" s="121">
        <f>low_SIPA_income!I98</f>
        <v>172698.71703825699</v>
      </c>
      <c r="G105" s="8">
        <f t="shared" ref="G105:G112" si="13">E105-F105*0.7</f>
        <v>25333517.530077618</v>
      </c>
      <c r="H105" s="8"/>
      <c r="I105" s="8"/>
      <c r="J105" s="8">
        <f t="shared" si="12"/>
        <v>96864899.975283086</v>
      </c>
      <c r="K105" s="6"/>
      <c r="L105" s="8"/>
      <c r="M105" s="8">
        <f t="shared" si="11"/>
        <v>433769.38677838969</v>
      </c>
      <c r="N105" s="8"/>
      <c r="O105" s="5"/>
      <c r="P105" s="5"/>
      <c r="Q105" s="8"/>
      <c r="R105" s="8"/>
      <c r="S105" s="8"/>
      <c r="T105" s="5"/>
      <c r="U105" s="5"/>
      <c r="V105" s="8"/>
      <c r="W105" s="8"/>
      <c r="X105" s="8"/>
      <c r="Y105" s="119"/>
      <c r="Z105" s="119"/>
      <c r="AA105" s="119"/>
      <c r="AB105" s="119"/>
      <c r="AC105" s="119"/>
      <c r="AD105" s="119"/>
      <c r="AE105" s="119"/>
      <c r="AF105" s="119"/>
      <c r="AG105" s="119"/>
      <c r="AH105" s="119"/>
      <c r="AI105" s="119"/>
      <c r="AJ105" s="119"/>
      <c r="AK105" s="119"/>
      <c r="AL105" s="119"/>
      <c r="AM105" s="119"/>
      <c r="AN105" s="119"/>
      <c r="AO105" s="119"/>
      <c r="AP105" s="119"/>
      <c r="AQ105" s="119"/>
      <c r="AR105" s="119"/>
      <c r="AS105" s="119"/>
      <c r="AT105" s="119"/>
      <c r="AU105" s="119"/>
      <c r="AV105" s="119"/>
      <c r="AW105" s="119"/>
      <c r="AX105" s="119"/>
      <c r="AY105" s="119"/>
      <c r="AZ105" s="119"/>
      <c r="BA105" s="119"/>
      <c r="BB105" s="119"/>
      <c r="BC105" s="119"/>
      <c r="BD105" s="119"/>
      <c r="BE105" s="119"/>
      <c r="BF105" s="119"/>
      <c r="BG105" s="119"/>
      <c r="BH105" s="119"/>
      <c r="BI105" s="119"/>
      <c r="BJ105" s="119"/>
      <c r="BK105" s="119"/>
      <c r="BL105" s="119"/>
    </row>
    <row r="106" spans="1:64" x14ac:dyDescent="0.2">
      <c r="A106" s="7"/>
      <c r="B106" s="7">
        <v>2039</v>
      </c>
      <c r="C106" s="7">
        <v>2</v>
      </c>
      <c r="D106" s="7">
        <v>258</v>
      </c>
      <c r="E106" s="123">
        <f>low_SIPA_income!B99</f>
        <v>29278104.3937971</v>
      </c>
      <c r="F106" s="123">
        <f>low_SIPA_income!I99</f>
        <v>168529.74032339401</v>
      </c>
      <c r="G106" s="41">
        <f t="shared" si="13"/>
        <v>29160133.575570725</v>
      </c>
      <c r="H106" s="41"/>
      <c r="I106" s="41"/>
      <c r="J106" s="41">
        <f t="shared" si="12"/>
        <v>111496298.0845439</v>
      </c>
      <c r="K106" s="9"/>
      <c r="L106" s="41"/>
      <c r="M106" s="41">
        <f t="shared" si="11"/>
        <v>423298.1192199926</v>
      </c>
      <c r="N106" s="41"/>
      <c r="O106" s="7"/>
      <c r="P106" s="7"/>
      <c r="Q106" s="41"/>
      <c r="R106" s="41"/>
      <c r="S106" s="41"/>
      <c r="T106" s="7"/>
      <c r="U106" s="7"/>
      <c r="V106" s="41"/>
      <c r="W106" s="41"/>
      <c r="X106" s="41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</row>
    <row r="107" spans="1:64" x14ac:dyDescent="0.2">
      <c r="A107" s="7"/>
      <c r="B107" s="7">
        <v>2039</v>
      </c>
      <c r="C107" s="7">
        <v>3</v>
      </c>
      <c r="D107" s="7">
        <v>259</v>
      </c>
      <c r="E107" s="123">
        <f>low_SIPA_income!B100</f>
        <v>25525870.3999728</v>
      </c>
      <c r="F107" s="123">
        <f>low_SIPA_income!I100</f>
        <v>179229.63680708301</v>
      </c>
      <c r="G107" s="41">
        <f t="shared" si="13"/>
        <v>25400409.654207841</v>
      </c>
      <c r="H107" s="41"/>
      <c r="I107" s="41"/>
      <c r="J107" s="41">
        <f t="shared" si="12"/>
        <v>97120667.809549108</v>
      </c>
      <c r="K107" s="9"/>
      <c r="L107" s="41"/>
      <c r="M107" s="41">
        <f t="shared" si="11"/>
        <v>450173.17432126391</v>
      </c>
      <c r="N107" s="41"/>
      <c r="O107" s="7"/>
      <c r="P107" s="7"/>
      <c r="Q107" s="41"/>
      <c r="R107" s="41"/>
      <c r="S107" s="41"/>
      <c r="T107" s="7"/>
      <c r="U107" s="7"/>
      <c r="V107" s="41"/>
      <c r="W107" s="41"/>
      <c r="X107" s="41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</row>
    <row r="108" spans="1:64" x14ac:dyDescent="0.2">
      <c r="A108" s="7"/>
      <c r="B108" s="7">
        <v>2039</v>
      </c>
      <c r="C108" s="7">
        <v>4</v>
      </c>
      <c r="D108" s="7">
        <v>260</v>
      </c>
      <c r="E108" s="123">
        <f>low_SIPA_income!B101</f>
        <v>29335268.1022305</v>
      </c>
      <c r="F108" s="123">
        <f>low_SIPA_income!I101</f>
        <v>179171.56492193101</v>
      </c>
      <c r="G108" s="41">
        <f t="shared" si="13"/>
        <v>29209848.006785147</v>
      </c>
      <c r="H108" s="41"/>
      <c r="I108" s="41"/>
      <c r="J108" s="41">
        <f t="shared" si="12"/>
        <v>111686385.52112651</v>
      </c>
      <c r="K108" s="9"/>
      <c r="L108" s="41"/>
      <c r="M108" s="41">
        <f t="shared" si="11"/>
        <v>450027.31448835117</v>
      </c>
      <c r="N108" s="41"/>
      <c r="O108" s="7"/>
      <c r="P108" s="7"/>
      <c r="Q108" s="41"/>
      <c r="R108" s="41"/>
      <c r="S108" s="41"/>
      <c r="T108" s="7"/>
      <c r="U108" s="7"/>
      <c r="V108" s="41"/>
      <c r="W108" s="41"/>
      <c r="X108" s="41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</row>
    <row r="109" spans="1:64" x14ac:dyDescent="0.2">
      <c r="A109" s="119"/>
      <c r="B109" s="119">
        <v>2040</v>
      </c>
      <c r="C109" s="5">
        <v>1</v>
      </c>
      <c r="D109" s="119">
        <v>261</v>
      </c>
      <c r="E109" s="121">
        <f>low_SIPA_income!B102</f>
        <v>25657084.820138499</v>
      </c>
      <c r="F109" s="121">
        <f>low_SIPA_income!I102</f>
        <v>176011.03382305399</v>
      </c>
      <c r="G109" s="8">
        <f t="shared" si="13"/>
        <v>25533877.096462362</v>
      </c>
      <c r="H109" s="8"/>
      <c r="I109" s="8"/>
      <c r="J109" s="8">
        <f t="shared" si="12"/>
        <v>97630992.142859384</v>
      </c>
      <c r="K109" s="6"/>
      <c r="L109" s="8"/>
      <c r="M109" s="8">
        <f t="shared" si="11"/>
        <v>442088.97157437215</v>
      </c>
      <c r="N109" s="8"/>
      <c r="O109" s="5"/>
      <c r="P109" s="5"/>
      <c r="Q109" s="8"/>
      <c r="R109" s="8"/>
      <c r="S109" s="8"/>
      <c r="T109" s="5"/>
      <c r="U109" s="5"/>
      <c r="V109" s="8"/>
      <c r="W109" s="8"/>
      <c r="X109" s="8"/>
      <c r="Y109" s="119"/>
      <c r="Z109" s="119"/>
      <c r="AA109" s="119"/>
      <c r="AB109" s="119"/>
      <c r="AC109" s="119"/>
      <c r="AD109" s="119"/>
      <c r="AE109" s="119"/>
      <c r="AF109" s="119"/>
      <c r="AG109" s="119"/>
      <c r="AH109" s="119"/>
      <c r="AI109" s="119"/>
      <c r="AJ109" s="119"/>
      <c r="AK109" s="119"/>
      <c r="AL109" s="119"/>
      <c r="AM109" s="119"/>
      <c r="AN109" s="119"/>
      <c r="AO109" s="119"/>
      <c r="AP109" s="119"/>
      <c r="AQ109" s="119"/>
      <c r="AR109" s="119"/>
      <c r="AS109" s="119"/>
      <c r="AT109" s="119"/>
      <c r="AU109" s="119"/>
      <c r="AV109" s="119"/>
      <c r="AW109" s="119"/>
      <c r="AX109" s="119"/>
      <c r="AY109" s="119"/>
      <c r="AZ109" s="119"/>
      <c r="BA109" s="119"/>
      <c r="BB109" s="119"/>
      <c r="BC109" s="119"/>
      <c r="BD109" s="119"/>
      <c r="BE109" s="119"/>
      <c r="BF109" s="119"/>
      <c r="BG109" s="119"/>
      <c r="BH109" s="119"/>
      <c r="BI109" s="119"/>
      <c r="BJ109" s="119"/>
      <c r="BK109" s="119"/>
      <c r="BL109" s="119"/>
    </row>
    <row r="110" spans="1:64" x14ac:dyDescent="0.2">
      <c r="A110" s="7"/>
      <c r="B110" s="7">
        <v>2040</v>
      </c>
      <c r="C110" s="7">
        <v>2</v>
      </c>
      <c r="D110" s="7">
        <v>262</v>
      </c>
      <c r="E110" s="123">
        <f>low_SIPA_income!B103</f>
        <v>29271645.778156102</v>
      </c>
      <c r="F110" s="123">
        <f>low_SIPA_income!I103</f>
        <v>177108.194564265</v>
      </c>
      <c r="G110" s="41">
        <f t="shared" si="13"/>
        <v>29147670.041961115</v>
      </c>
      <c r="H110" s="41"/>
      <c r="I110" s="41"/>
      <c r="J110" s="41">
        <f t="shared" si="12"/>
        <v>111448642.68355191</v>
      </c>
      <c r="K110" s="9"/>
      <c r="L110" s="41"/>
      <c r="M110" s="41">
        <f t="shared" si="11"/>
        <v>444844.72303607524</v>
      </c>
      <c r="N110" s="41"/>
      <c r="O110" s="7"/>
      <c r="P110" s="7"/>
      <c r="Q110" s="41"/>
      <c r="R110" s="41"/>
      <c r="S110" s="41"/>
      <c r="T110" s="7"/>
      <c r="U110" s="7"/>
      <c r="V110" s="41"/>
      <c r="W110" s="41"/>
      <c r="X110" s="41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</row>
    <row r="111" spans="1:64" x14ac:dyDescent="0.2">
      <c r="A111" s="7"/>
      <c r="B111" s="7">
        <v>2040</v>
      </c>
      <c r="C111" s="7">
        <v>3</v>
      </c>
      <c r="D111" s="7">
        <v>263</v>
      </c>
      <c r="E111" s="123">
        <f>low_SIPA_income!B104</f>
        <v>25742690.059348401</v>
      </c>
      <c r="F111" s="123">
        <f>low_SIPA_income!I104</f>
        <v>175327.528259485</v>
      </c>
      <c r="G111" s="41">
        <f t="shared" si="13"/>
        <v>25619960.789566763</v>
      </c>
      <c r="H111" s="41"/>
      <c r="I111" s="41"/>
      <c r="J111" s="41">
        <f t="shared" si="12"/>
        <v>97960140.604464084</v>
      </c>
      <c r="K111" s="9"/>
      <c r="L111" s="41"/>
      <c r="M111" s="41">
        <f t="shared" si="11"/>
        <v>440372.20265880891</v>
      </c>
      <c r="N111" s="41"/>
      <c r="O111" s="7"/>
      <c r="P111" s="7"/>
      <c r="Q111" s="41"/>
      <c r="R111" s="41"/>
      <c r="S111" s="41"/>
      <c r="T111" s="7"/>
      <c r="U111" s="7"/>
      <c r="V111" s="41"/>
      <c r="W111" s="41"/>
      <c r="X111" s="41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</row>
    <row r="112" spans="1:64" x14ac:dyDescent="0.2">
      <c r="A112" s="7"/>
      <c r="B112" s="7">
        <v>2040</v>
      </c>
      <c r="C112" s="7">
        <v>4</v>
      </c>
      <c r="D112" s="7">
        <v>264</v>
      </c>
      <c r="E112" s="123">
        <f>low_SIPA_income!B105</f>
        <v>29497765.573054601</v>
      </c>
      <c r="F112" s="123">
        <f>low_SIPA_income!I105</f>
        <v>178390.15355254299</v>
      </c>
      <c r="G112" s="41">
        <f t="shared" si="13"/>
        <v>29372892.46556782</v>
      </c>
      <c r="H112" s="41"/>
      <c r="I112" s="41"/>
      <c r="J112" s="41">
        <f t="shared" si="12"/>
        <v>112309800.14062247</v>
      </c>
      <c r="K112" s="9"/>
      <c r="L112" s="41"/>
      <c r="M112" s="41">
        <f t="shared" si="11"/>
        <v>448064.6344155976</v>
      </c>
      <c r="N112" s="41"/>
      <c r="O112" s="7"/>
      <c r="P112" s="7"/>
      <c r="Q112" s="41"/>
      <c r="R112" s="41"/>
      <c r="S112" s="41"/>
      <c r="T112" s="7"/>
      <c r="U112" s="7"/>
      <c r="V112" s="41"/>
      <c r="W112" s="41"/>
      <c r="X112" s="41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</row>
    <row r="113" spans="1:64" x14ac:dyDescent="0.2">
      <c r="A113" s="119"/>
      <c r="B113" s="119"/>
      <c r="C113" s="5"/>
      <c r="D113" s="119"/>
      <c r="E113" s="36"/>
      <c r="F113" s="36"/>
      <c r="G113" s="8"/>
      <c r="H113" s="8"/>
      <c r="I113" s="8"/>
      <c r="J113" s="8"/>
      <c r="K113" s="6"/>
      <c r="L113" s="8"/>
      <c r="M113" s="8"/>
      <c r="N113" s="8"/>
      <c r="O113" s="5"/>
      <c r="P113" s="5"/>
      <c r="Q113" s="8"/>
      <c r="R113" s="8"/>
      <c r="S113" s="8"/>
      <c r="T113" s="5"/>
      <c r="U113" s="5"/>
      <c r="V113" s="8"/>
      <c r="W113" s="8"/>
      <c r="X113" s="8"/>
      <c r="Y113" s="119"/>
      <c r="Z113" s="119"/>
      <c r="AA113" s="119"/>
      <c r="AB113" s="119"/>
      <c r="AC113" s="119"/>
      <c r="AD113" s="119"/>
      <c r="AE113" s="119"/>
      <c r="AF113" s="119"/>
      <c r="AG113" s="119"/>
      <c r="AH113" s="119"/>
      <c r="AI113" s="119"/>
      <c r="AJ113" s="119"/>
      <c r="AK113" s="119"/>
      <c r="AL113" s="119"/>
      <c r="AM113" s="119"/>
      <c r="AN113" s="119"/>
      <c r="AO113" s="119"/>
      <c r="AP113" s="119"/>
      <c r="AQ113" s="119"/>
      <c r="AR113" s="119"/>
      <c r="AS113" s="119"/>
      <c r="AT113" s="119"/>
      <c r="AU113" s="119"/>
      <c r="AV113" s="119"/>
      <c r="AW113" s="119"/>
      <c r="AX113" s="119"/>
      <c r="AY113" s="119"/>
      <c r="AZ113" s="119"/>
      <c r="BA113" s="119"/>
      <c r="BB113" s="119"/>
      <c r="BC113" s="119"/>
      <c r="BD113" s="119"/>
      <c r="BE113" s="119"/>
      <c r="BF113" s="119"/>
      <c r="BG113" s="119"/>
      <c r="BH113" s="119"/>
      <c r="BI113" s="119"/>
      <c r="BJ113" s="119"/>
      <c r="BK113" s="119"/>
      <c r="BL113" s="119"/>
    </row>
    <row r="114" spans="1:64" x14ac:dyDescent="0.2">
      <c r="A114" s="7"/>
      <c r="B114" s="7"/>
      <c r="C114" s="7"/>
      <c r="D114" s="7"/>
      <c r="E114" s="43"/>
      <c r="F114" s="43"/>
      <c r="G114" s="41"/>
      <c r="H114" s="41"/>
      <c r="I114" s="41"/>
      <c r="J114" s="41"/>
      <c r="K114" s="9"/>
      <c r="L114" s="41"/>
      <c r="M114" s="41"/>
      <c r="N114" s="41"/>
      <c r="O114" s="7"/>
      <c r="P114" s="7"/>
      <c r="Q114" s="41"/>
      <c r="R114" s="41"/>
      <c r="S114" s="41"/>
      <c r="T114" s="7"/>
      <c r="U114" s="7"/>
      <c r="V114" s="41"/>
      <c r="W114" s="41"/>
      <c r="X114" s="41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</row>
    <row r="115" spans="1:64" x14ac:dyDescent="0.2">
      <c r="A115" s="7"/>
      <c r="B115" s="7"/>
      <c r="C115" s="7"/>
      <c r="D115" s="7"/>
      <c r="E115" s="43"/>
      <c r="F115" s="43"/>
      <c r="G115" s="41"/>
      <c r="H115" s="41"/>
      <c r="I115" s="41"/>
      <c r="J115" s="41"/>
      <c r="K115" s="9"/>
      <c r="L115" s="41"/>
      <c r="M115" s="41"/>
      <c r="N115" s="41"/>
      <c r="O115" s="7"/>
      <c r="P115" s="7"/>
      <c r="Q115" s="41"/>
      <c r="R115" s="41"/>
      <c r="S115" s="41"/>
      <c r="T115" s="7"/>
      <c r="U115" s="7"/>
      <c r="V115" s="41"/>
      <c r="W115" s="41"/>
      <c r="X115" s="41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</row>
    <row r="116" spans="1:64" x14ac:dyDescent="0.2">
      <c r="A116" s="7"/>
      <c r="B116" s="7"/>
      <c r="C116" s="7"/>
      <c r="D116" s="7"/>
      <c r="E116" s="43"/>
      <c r="F116" s="43"/>
      <c r="G116" s="41"/>
      <c r="H116" s="41"/>
      <c r="I116" s="41"/>
      <c r="J116" s="41"/>
      <c r="K116" s="9"/>
      <c r="L116" s="41"/>
      <c r="M116" s="41"/>
      <c r="N116" s="41"/>
      <c r="O116" s="7"/>
      <c r="P116" s="7"/>
      <c r="Q116" s="41"/>
      <c r="R116" s="41"/>
      <c r="S116" s="41"/>
      <c r="T116" s="7"/>
      <c r="U116" s="7"/>
      <c r="V116" s="41"/>
      <c r="W116" s="41"/>
      <c r="X116" s="41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</row>
    <row r="123" spans="1:64" x14ac:dyDescent="0.2">
      <c r="E123" s="32">
        <v>1000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18"/>
  <sheetViews>
    <sheetView zoomScale="75" zoomScaleNormal="75" workbookViewId="0">
      <selection activeCell="E9" sqref="E9"/>
    </sheetView>
  </sheetViews>
  <sheetFormatPr baseColWidth="10" defaultColWidth="9" defaultRowHeight="12.75" x14ac:dyDescent="0.2"/>
  <cols>
    <col min="5" max="5" width="19.5703125" style="32" customWidth="1"/>
    <col min="6" max="6" width="12.140625" style="32" customWidth="1"/>
    <col min="7" max="10" width="12.140625" customWidth="1"/>
  </cols>
  <sheetData>
    <row r="1" spans="1:64" ht="12.75" customHeight="1" x14ac:dyDescent="0.2">
      <c r="A1" s="127"/>
      <c r="B1" s="127"/>
      <c r="C1" s="127"/>
      <c r="D1" s="127"/>
      <c r="E1" s="128" t="s">
        <v>148</v>
      </c>
      <c r="F1" s="128" t="s">
        <v>149</v>
      </c>
      <c r="G1" s="127"/>
      <c r="H1" s="127"/>
      <c r="I1" s="127"/>
      <c r="J1" s="127"/>
      <c r="K1" s="127"/>
      <c r="L1" s="127"/>
      <c r="M1" s="127"/>
      <c r="N1" s="127"/>
      <c r="O1" s="127"/>
      <c r="P1" s="127"/>
      <c r="Q1" s="127"/>
      <c r="R1" s="127"/>
      <c r="S1" s="127"/>
      <c r="T1" s="127"/>
      <c r="U1" s="127"/>
      <c r="V1" s="127"/>
      <c r="W1" s="127"/>
      <c r="X1" s="127"/>
      <c r="Y1" s="127"/>
      <c r="Z1" s="127"/>
      <c r="AA1" s="127"/>
      <c r="AB1" s="127"/>
      <c r="AC1" s="127"/>
      <c r="AD1" s="127"/>
      <c r="AE1" s="127"/>
      <c r="AF1" s="127"/>
      <c r="AG1" s="127"/>
      <c r="AH1" s="127"/>
      <c r="AI1" s="127"/>
      <c r="AJ1" s="127"/>
      <c r="AK1" s="127"/>
      <c r="AL1" s="127"/>
      <c r="AM1" s="127"/>
      <c r="AN1" s="127"/>
      <c r="AO1" s="127"/>
      <c r="AP1" s="127"/>
      <c r="AQ1" s="127"/>
      <c r="AR1" s="127"/>
      <c r="AS1" s="127"/>
      <c r="AT1" s="127"/>
      <c r="AU1" s="127"/>
      <c r="AV1" s="127"/>
      <c r="AW1" s="127"/>
      <c r="AX1" s="127"/>
      <c r="AY1" s="127"/>
      <c r="AZ1" s="127"/>
      <c r="BA1" s="127"/>
      <c r="BB1" s="127"/>
      <c r="BC1" s="127"/>
      <c r="BD1" s="127"/>
      <c r="BE1" s="127"/>
      <c r="BF1" s="127"/>
      <c r="BG1" s="127"/>
      <c r="BH1" s="127"/>
      <c r="BI1" s="127"/>
      <c r="BJ1" s="127"/>
      <c r="BK1" s="127"/>
      <c r="BL1" s="127"/>
    </row>
    <row r="2" spans="1:64" ht="50.25" customHeight="1" x14ac:dyDescent="0.2">
      <c r="A2" s="108" t="s">
        <v>150</v>
      </c>
      <c r="B2" s="108" t="s">
        <v>120</v>
      </c>
      <c r="C2" s="108" t="s">
        <v>121</v>
      </c>
      <c r="D2" s="108" t="s">
        <v>151</v>
      </c>
      <c r="E2" s="110" t="s">
        <v>152</v>
      </c>
      <c r="F2" s="110" t="s">
        <v>153</v>
      </c>
      <c r="G2" s="108" t="s">
        <v>154</v>
      </c>
      <c r="H2" s="108" t="s">
        <v>155</v>
      </c>
      <c r="I2" s="108" t="s">
        <v>156</v>
      </c>
      <c r="J2" s="108" t="s">
        <v>157</v>
      </c>
      <c r="K2" s="108" t="s">
        <v>158</v>
      </c>
      <c r="L2" s="108" t="s">
        <v>159</v>
      </c>
      <c r="M2" s="111" t="s">
        <v>160</v>
      </c>
      <c r="N2" s="108"/>
      <c r="O2" s="108"/>
      <c r="P2" s="108"/>
      <c r="Q2" s="108"/>
      <c r="R2" s="108"/>
      <c r="S2" s="108"/>
      <c r="T2" s="108"/>
      <c r="U2" s="108"/>
      <c r="V2" s="108"/>
      <c r="W2" s="108"/>
      <c r="X2" s="108"/>
      <c r="Y2" s="112"/>
      <c r="Z2" s="112"/>
      <c r="AA2" s="112"/>
      <c r="AB2" s="112"/>
      <c r="AC2" s="112"/>
      <c r="AD2" s="112"/>
      <c r="AE2" s="112"/>
      <c r="AF2" s="112"/>
      <c r="AG2" s="112"/>
      <c r="AH2" s="112"/>
      <c r="AI2" s="112"/>
      <c r="AJ2" s="112"/>
      <c r="AK2" s="112"/>
      <c r="AL2" s="112"/>
      <c r="AM2" s="112"/>
      <c r="AN2" s="112"/>
      <c r="AO2" s="112"/>
      <c r="AP2" s="112"/>
      <c r="AQ2" s="112"/>
      <c r="AR2" s="112"/>
      <c r="AS2" s="112"/>
      <c r="AT2" s="112"/>
      <c r="AU2" s="112"/>
      <c r="AV2" s="112"/>
      <c r="AW2" s="112"/>
      <c r="AX2" s="112"/>
      <c r="AY2" s="112"/>
      <c r="AZ2" s="112"/>
      <c r="BA2" s="112"/>
      <c r="BB2" s="112"/>
      <c r="BC2" s="112"/>
      <c r="BD2" s="112"/>
      <c r="BE2" s="112"/>
      <c r="BF2" s="112"/>
      <c r="BG2" s="112"/>
      <c r="BH2" s="112"/>
      <c r="BI2" s="112"/>
      <c r="BJ2" s="112"/>
      <c r="BK2" s="112"/>
      <c r="BL2" s="112"/>
    </row>
    <row r="3" spans="1:64" x14ac:dyDescent="0.2">
      <c r="A3" s="113" t="s">
        <v>161</v>
      </c>
      <c r="B3" s="113">
        <v>2014</v>
      </c>
      <c r="C3" s="114">
        <v>1</v>
      </c>
      <c r="D3" s="113">
        <v>45</v>
      </c>
      <c r="E3" s="115">
        <v>16336703</v>
      </c>
      <c r="F3" s="115">
        <v>147746</v>
      </c>
      <c r="G3" s="116">
        <v>16188957</v>
      </c>
      <c r="H3" s="131">
        <v>59323985</v>
      </c>
      <c r="I3" s="132">
        <f t="shared" ref="I3:I8" si="0">H3/G3</f>
        <v>3.6644723313552565</v>
      </c>
      <c r="J3" s="116">
        <f>G3*I10</f>
        <v>61899880.214338109</v>
      </c>
      <c r="K3" s="131">
        <v>354218</v>
      </c>
      <c r="L3" s="132">
        <f t="shared" ref="L3:L8" si="1">K3/F3</f>
        <v>2.3974794579887102</v>
      </c>
      <c r="M3" s="116">
        <f t="shared" ref="M3:M34" si="2">F3*2.511711692</f>
        <v>371095.35564623203</v>
      </c>
      <c r="N3" s="131"/>
      <c r="O3" s="113"/>
      <c r="P3" s="113"/>
      <c r="Q3" s="116"/>
      <c r="R3" s="116"/>
      <c r="S3" s="116"/>
      <c r="T3" s="113"/>
      <c r="U3" s="113"/>
      <c r="V3" s="114"/>
      <c r="W3" s="114"/>
      <c r="X3" s="116"/>
      <c r="Y3" s="113"/>
      <c r="Z3" s="113"/>
      <c r="AA3" s="113"/>
      <c r="AB3" s="113"/>
      <c r="AC3" s="113"/>
      <c r="AD3" s="113"/>
      <c r="AE3" s="113"/>
      <c r="AF3" s="113"/>
      <c r="AG3" s="113"/>
      <c r="AH3" s="113"/>
      <c r="AI3" s="113"/>
      <c r="AJ3" s="113"/>
      <c r="AK3" s="113"/>
      <c r="AL3" s="113"/>
      <c r="AM3" s="113"/>
      <c r="AN3" s="113"/>
      <c r="AO3" s="113"/>
      <c r="AP3" s="113"/>
      <c r="AQ3" s="113"/>
      <c r="AR3" s="113"/>
      <c r="AS3" s="113"/>
      <c r="AT3" s="113"/>
      <c r="AU3" s="113"/>
      <c r="AV3" s="113"/>
      <c r="AW3" s="113"/>
      <c r="AX3" s="113"/>
      <c r="AY3" s="113"/>
      <c r="AZ3" s="113"/>
      <c r="BA3" s="113"/>
      <c r="BB3" s="113"/>
      <c r="BC3" s="113"/>
      <c r="BD3" s="113"/>
      <c r="BE3" s="113"/>
      <c r="BF3" s="113"/>
      <c r="BG3" s="113"/>
      <c r="BH3" s="113"/>
      <c r="BI3" s="113"/>
      <c r="BJ3" s="113"/>
      <c r="BK3" s="113"/>
      <c r="BL3" s="113"/>
    </row>
    <row r="4" spans="1:64" x14ac:dyDescent="0.2">
      <c r="B4" s="113">
        <v>2014</v>
      </c>
      <c r="C4" s="114">
        <v>2</v>
      </c>
      <c r="D4" s="113">
        <v>46</v>
      </c>
      <c r="E4" s="115">
        <v>19039169</v>
      </c>
      <c r="F4" s="115">
        <v>150094</v>
      </c>
      <c r="G4" s="116">
        <v>18889075</v>
      </c>
      <c r="H4" s="131">
        <v>70642775</v>
      </c>
      <c r="I4" s="132">
        <f t="shared" si="0"/>
        <v>3.7398747688809535</v>
      </c>
      <c r="J4" s="116">
        <f t="shared" ref="J4:J35" si="3">G4*3.8235866717</f>
        <v>72224015.410741687</v>
      </c>
      <c r="K4" s="131">
        <v>375893</v>
      </c>
      <c r="L4" s="132">
        <f t="shared" si="1"/>
        <v>2.5043839194105026</v>
      </c>
      <c r="M4" s="116">
        <f t="shared" si="2"/>
        <v>376992.85469904798</v>
      </c>
      <c r="N4" s="131"/>
      <c r="Q4" s="116"/>
      <c r="R4" s="116"/>
      <c r="S4" s="116"/>
      <c r="V4" s="114"/>
      <c r="W4" s="114"/>
      <c r="X4" s="116"/>
    </row>
    <row r="5" spans="1:64" x14ac:dyDescent="0.2">
      <c r="B5" s="113">
        <v>2014</v>
      </c>
      <c r="C5" s="114">
        <v>3</v>
      </c>
      <c r="D5" s="113">
        <v>47</v>
      </c>
      <c r="E5" s="115">
        <v>16811748</v>
      </c>
      <c r="F5" s="115">
        <v>145661</v>
      </c>
      <c r="G5" s="116">
        <v>16666087</v>
      </c>
      <c r="H5" s="131">
        <v>66453030</v>
      </c>
      <c r="I5" s="132">
        <f t="shared" si="0"/>
        <v>3.98732047900626</v>
      </c>
      <c r="J5" s="116">
        <f t="shared" si="3"/>
        <v>63724228.122592643</v>
      </c>
      <c r="K5" s="131">
        <v>387130</v>
      </c>
      <c r="L5" s="132">
        <f t="shared" si="1"/>
        <v>2.6577464111876208</v>
      </c>
      <c r="M5" s="116">
        <f t="shared" si="2"/>
        <v>365858.43676841201</v>
      </c>
      <c r="N5" s="131"/>
      <c r="Q5" s="116"/>
      <c r="R5" s="116"/>
      <c r="S5" s="116"/>
      <c r="V5" s="114"/>
      <c r="W5" s="114"/>
      <c r="X5" s="116"/>
    </row>
    <row r="6" spans="1:64" x14ac:dyDescent="0.2">
      <c r="B6" s="113">
        <v>2014</v>
      </c>
      <c r="C6" s="114">
        <v>4</v>
      </c>
      <c r="D6" s="113">
        <v>48</v>
      </c>
      <c r="E6" s="115">
        <v>20743937</v>
      </c>
      <c r="F6" s="115">
        <v>143630</v>
      </c>
      <c r="G6" s="116">
        <v>20600306</v>
      </c>
      <c r="H6" s="131">
        <v>75212989</v>
      </c>
      <c r="I6" s="132">
        <f t="shared" si="0"/>
        <v>3.6510617366557563</v>
      </c>
      <c r="J6" s="116">
        <f t="shared" si="3"/>
        <v>78767055.454541549</v>
      </c>
      <c r="K6" s="131">
        <v>390504</v>
      </c>
      <c r="L6" s="132">
        <f t="shared" si="1"/>
        <v>2.718819188191882</v>
      </c>
      <c r="M6" s="116">
        <f t="shared" si="2"/>
        <v>360757.15032195998</v>
      </c>
      <c r="N6" s="131"/>
      <c r="Q6" s="116"/>
      <c r="R6" s="116"/>
      <c r="S6" s="116"/>
      <c r="V6" s="114"/>
      <c r="W6" s="114"/>
      <c r="X6" s="116"/>
    </row>
    <row r="7" spans="1:64" x14ac:dyDescent="0.2">
      <c r="B7" s="113">
        <v>2015</v>
      </c>
      <c r="C7" s="114">
        <v>1</v>
      </c>
      <c r="D7" s="113">
        <v>49</v>
      </c>
      <c r="E7" s="115">
        <v>18307160</v>
      </c>
      <c r="F7" s="115">
        <v>167252</v>
      </c>
      <c r="G7" s="116">
        <v>18139908</v>
      </c>
      <c r="H7" s="131">
        <v>71061517</v>
      </c>
      <c r="I7" s="132">
        <f t="shared" si="0"/>
        <v>3.9174133077190909</v>
      </c>
      <c r="J7" s="116">
        <f t="shared" si="3"/>
        <v>69359510.454664201</v>
      </c>
      <c r="K7" s="131">
        <v>409117</v>
      </c>
      <c r="L7" s="132">
        <f t="shared" si="1"/>
        <v>2.4461112572644872</v>
      </c>
      <c r="M7" s="116">
        <f t="shared" si="2"/>
        <v>420088.80391038401</v>
      </c>
      <c r="N7" s="131"/>
      <c r="Q7" s="116"/>
      <c r="R7" s="116"/>
      <c r="S7" s="116"/>
      <c r="V7" s="114"/>
      <c r="W7" s="114"/>
      <c r="X7" s="116"/>
    </row>
    <row r="8" spans="1:64" x14ac:dyDescent="0.2">
      <c r="B8" s="113">
        <v>2015</v>
      </c>
      <c r="C8" s="114">
        <v>2</v>
      </c>
      <c r="D8" s="113">
        <v>50</v>
      </c>
      <c r="E8" s="115">
        <v>21740969</v>
      </c>
      <c r="F8" s="115">
        <v>188439</v>
      </c>
      <c r="G8" s="116">
        <v>21552530</v>
      </c>
      <c r="H8" s="131">
        <v>85808756</v>
      </c>
      <c r="I8" s="132">
        <f t="shared" si="0"/>
        <v>3.9813774067360073</v>
      </c>
      <c r="J8" s="116">
        <f t="shared" si="3"/>
        <v>82407966.449414402</v>
      </c>
      <c r="K8" s="131">
        <v>442027</v>
      </c>
      <c r="L8" s="132">
        <f t="shared" si="1"/>
        <v>2.3457299179044679</v>
      </c>
      <c r="M8" s="116">
        <f t="shared" si="2"/>
        <v>473304.43952878797</v>
      </c>
      <c r="N8" s="131"/>
      <c r="Q8" s="116"/>
      <c r="R8" s="116"/>
      <c r="S8" s="116"/>
      <c r="V8" s="114"/>
      <c r="W8" s="114"/>
      <c r="X8" s="116"/>
    </row>
    <row r="9" spans="1:64" x14ac:dyDescent="0.2">
      <c r="A9" s="119"/>
      <c r="B9" s="119">
        <v>2015</v>
      </c>
      <c r="C9" s="5">
        <v>1</v>
      </c>
      <c r="D9" s="119">
        <v>161</v>
      </c>
      <c r="E9" s="121">
        <f>high_SIPA_income!B2</f>
        <v>18004066.583314002</v>
      </c>
      <c r="F9" s="121">
        <f>high_SIPA_income!I2</f>
        <v>135449.214417351</v>
      </c>
      <c r="G9" s="8">
        <f t="shared" ref="G9:G40" si="4">E9-F9*0.7</f>
        <v>17909252.133221857</v>
      </c>
      <c r="H9" s="8"/>
      <c r="I9" s="8"/>
      <c r="J9" s="8">
        <f t="shared" si="3"/>
        <v>68477577.756701887</v>
      </c>
      <c r="K9" s="6"/>
      <c r="L9" s="8"/>
      <c r="M9" s="8">
        <f t="shared" si="2"/>
        <v>340209.37552427547</v>
      </c>
      <c r="N9" s="8"/>
      <c r="O9" s="5"/>
      <c r="P9" s="5"/>
      <c r="Q9" s="8"/>
      <c r="R9" s="8"/>
      <c r="S9" s="8"/>
      <c r="T9" s="5"/>
      <c r="U9" s="5"/>
      <c r="V9" s="8"/>
      <c r="W9" s="8"/>
      <c r="X9" s="8"/>
      <c r="Y9" s="119"/>
      <c r="Z9" s="119"/>
      <c r="AA9" s="119"/>
      <c r="AB9" s="119"/>
      <c r="AC9" s="119"/>
      <c r="AD9" s="119"/>
      <c r="AE9" s="119"/>
      <c r="AF9" s="119"/>
      <c r="AG9" s="119"/>
      <c r="AH9" s="119"/>
      <c r="AI9" s="119"/>
      <c r="AJ9" s="119"/>
      <c r="AK9" s="119"/>
      <c r="AL9" s="119"/>
      <c r="AM9" s="119"/>
      <c r="AN9" s="119"/>
      <c r="AO9" s="119"/>
      <c r="AP9" s="119"/>
      <c r="AQ9" s="119"/>
      <c r="AR9" s="119"/>
      <c r="AS9" s="119"/>
      <c r="AT9" s="119"/>
      <c r="AU9" s="119"/>
      <c r="AV9" s="119"/>
      <c r="AW9" s="119"/>
      <c r="AX9" s="119"/>
      <c r="AY9" s="119"/>
      <c r="AZ9" s="119"/>
      <c r="BA9" s="119"/>
      <c r="BB9" s="119"/>
      <c r="BC9" s="119"/>
      <c r="BD9" s="119"/>
      <c r="BE9" s="119"/>
      <c r="BF9" s="119"/>
      <c r="BG9" s="119"/>
      <c r="BH9" s="119"/>
      <c r="BI9" s="119"/>
      <c r="BJ9" s="119"/>
      <c r="BK9" s="119"/>
      <c r="BL9" s="119"/>
    </row>
    <row r="10" spans="1:64" x14ac:dyDescent="0.2">
      <c r="A10" s="7"/>
      <c r="B10" s="7">
        <v>2015</v>
      </c>
      <c r="C10" s="7">
        <v>2</v>
      </c>
      <c r="D10" s="7">
        <v>162</v>
      </c>
      <c r="E10" s="123">
        <f>high_SIPA_income!B3</f>
        <v>22160667.130405199</v>
      </c>
      <c r="F10" s="123">
        <f>high_SIPA_income!I3</f>
        <v>151084.142402353</v>
      </c>
      <c r="G10" s="41">
        <f t="shared" si="4"/>
        <v>22054908.230723552</v>
      </c>
      <c r="H10" s="41" t="s">
        <v>162</v>
      </c>
      <c r="I10" s="134">
        <f>AVERAGE(I3:I8)</f>
        <v>3.823586671725554</v>
      </c>
      <c r="J10" s="41">
        <f t="shared" si="3"/>
        <v>84328853.156561211</v>
      </c>
      <c r="K10" s="9" t="s">
        <v>162</v>
      </c>
      <c r="L10" s="134">
        <f>AVERAGE(L3:L8)</f>
        <v>2.5117116919912781</v>
      </c>
      <c r="M10" s="41">
        <f t="shared" si="2"/>
        <v>379479.80694778298</v>
      </c>
      <c r="N10" s="41"/>
      <c r="O10" s="7"/>
      <c r="P10" s="7"/>
      <c r="Q10" s="41"/>
      <c r="R10" s="41"/>
      <c r="S10" s="41"/>
      <c r="T10" s="7"/>
      <c r="U10" s="7"/>
      <c r="V10" s="41"/>
      <c r="W10" s="41"/>
      <c r="X10" s="41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</row>
    <row r="11" spans="1:64" x14ac:dyDescent="0.2">
      <c r="A11" s="7"/>
      <c r="B11" s="7">
        <v>2015</v>
      </c>
      <c r="C11" s="7">
        <v>3</v>
      </c>
      <c r="D11" s="7">
        <v>163</v>
      </c>
      <c r="E11" s="123">
        <f>high_SIPA_income!B4</f>
        <v>20241474.660854701</v>
      </c>
      <c r="F11" s="123">
        <f>high_SIPA_income!I4</f>
        <v>149343.027816335</v>
      </c>
      <c r="G11" s="41">
        <f t="shared" si="4"/>
        <v>20136934.541383266</v>
      </c>
      <c r="H11" s="41">
        <v>76520057</v>
      </c>
      <c r="I11" s="41"/>
      <c r="J11" s="41">
        <f t="shared" si="3"/>
        <v>76995314.521328419</v>
      </c>
      <c r="K11" s="9">
        <v>445064</v>
      </c>
      <c r="L11" s="41"/>
      <c r="M11" s="41">
        <f t="shared" si="2"/>
        <v>375106.62908496987</v>
      </c>
      <c r="N11" s="41"/>
      <c r="Q11" s="41"/>
      <c r="R11" s="41"/>
      <c r="S11" s="41"/>
      <c r="V11" s="41"/>
      <c r="W11" s="41"/>
      <c r="X11" s="41"/>
    </row>
    <row r="12" spans="1:64" x14ac:dyDescent="0.2">
      <c r="A12" s="7"/>
      <c r="B12" s="7">
        <v>2015</v>
      </c>
      <c r="C12" s="7">
        <v>4</v>
      </c>
      <c r="D12" s="7">
        <v>164</v>
      </c>
      <c r="E12" s="123">
        <f>high_SIPA_income!B5</f>
        <v>23722644.808656499</v>
      </c>
      <c r="F12" s="123">
        <f>high_SIPA_income!I5</f>
        <v>146563.952510206</v>
      </c>
      <c r="G12" s="41">
        <f t="shared" si="4"/>
        <v>23620050.041899353</v>
      </c>
      <c r="H12" s="41">
        <v>81658874</v>
      </c>
      <c r="I12" s="41"/>
      <c r="J12" s="41">
        <f t="shared" si="3"/>
        <v>90313308.525093392</v>
      </c>
      <c r="K12" s="9">
        <v>414371</v>
      </c>
      <c r="L12" s="41"/>
      <c r="M12" s="41">
        <f t="shared" si="2"/>
        <v>368126.39314561716</v>
      </c>
      <c r="N12" s="41"/>
      <c r="Q12" s="41"/>
      <c r="R12" s="41"/>
      <c r="S12" s="41"/>
      <c r="V12" s="41"/>
      <c r="W12" s="41"/>
      <c r="X12" s="41"/>
    </row>
    <row r="13" spans="1:64" x14ac:dyDescent="0.2">
      <c r="A13" s="119" t="s">
        <v>163</v>
      </c>
      <c r="B13" s="119">
        <v>2016</v>
      </c>
      <c r="C13" s="5">
        <v>1</v>
      </c>
      <c r="D13" s="119">
        <v>165</v>
      </c>
      <c r="E13" s="121">
        <f>high_SIPA_income!B6</f>
        <v>19331318.926965501</v>
      </c>
      <c r="F13" s="121">
        <f>high_SIPA_income!I6</f>
        <v>140377.52522743901</v>
      </c>
      <c r="G13" s="8">
        <f t="shared" si="4"/>
        <v>19233054.659306295</v>
      </c>
      <c r="H13" s="8">
        <v>71384639</v>
      </c>
      <c r="I13" s="8"/>
      <c r="J13" s="8">
        <f t="shared" si="3"/>
        <v>73539251.451401144</v>
      </c>
      <c r="K13" s="6">
        <v>399060</v>
      </c>
      <c r="L13" s="8"/>
      <c r="M13" s="8">
        <f t="shared" si="2"/>
        <v>352587.87140778353</v>
      </c>
      <c r="N13" s="8"/>
      <c r="O13" s="5"/>
      <c r="P13" s="5"/>
      <c r="Q13" s="8"/>
      <c r="R13" s="8"/>
      <c r="S13" s="8"/>
      <c r="T13" s="5"/>
      <c r="U13" s="5"/>
      <c r="V13" s="8"/>
      <c r="W13" s="8"/>
      <c r="X13" s="8"/>
      <c r="Y13" s="119"/>
      <c r="Z13" s="119"/>
      <c r="AA13" s="119"/>
      <c r="AB13" s="119"/>
      <c r="AC13" s="119"/>
      <c r="AD13" s="119"/>
      <c r="AE13" s="119"/>
      <c r="AF13" s="119"/>
      <c r="AG13" s="119"/>
      <c r="AH13" s="119"/>
      <c r="AI13" s="119"/>
      <c r="AJ13" s="119"/>
      <c r="AK13" s="119"/>
      <c r="AL13" s="119"/>
      <c r="AM13" s="119"/>
      <c r="AN13" s="119"/>
      <c r="AO13" s="119"/>
      <c r="AP13" s="119"/>
      <c r="AQ13" s="119"/>
      <c r="AR13" s="119"/>
      <c r="AS13" s="119"/>
      <c r="AT13" s="119"/>
      <c r="AU13" s="119"/>
      <c r="AV13" s="119"/>
      <c r="AW13" s="119"/>
      <c r="AX13" s="119"/>
      <c r="AY13" s="119"/>
      <c r="AZ13" s="119"/>
      <c r="BA13" s="119"/>
      <c r="BB13" s="119"/>
      <c r="BC13" s="119"/>
      <c r="BD13" s="119"/>
      <c r="BE13" s="119"/>
      <c r="BF13" s="119"/>
      <c r="BG13" s="119"/>
      <c r="BH13" s="119"/>
      <c r="BI13" s="119"/>
      <c r="BJ13" s="119"/>
      <c r="BK13" s="119"/>
      <c r="BL13" s="119"/>
    </row>
    <row r="14" spans="1:64" x14ac:dyDescent="0.2">
      <c r="A14" s="7"/>
      <c r="B14" s="7">
        <v>2016</v>
      </c>
      <c r="C14" s="7">
        <v>2</v>
      </c>
      <c r="D14" s="7">
        <v>166</v>
      </c>
      <c r="E14" s="123">
        <f>high_SIPA_income!B7</f>
        <v>22042352.8766765</v>
      </c>
      <c r="F14" s="123">
        <f>high_SIPA_income!I7</f>
        <v>141764.81012723199</v>
      </c>
      <c r="G14" s="41">
        <f t="shared" si="4"/>
        <v>21943117.509587437</v>
      </c>
      <c r="H14" s="41">
        <v>78650764</v>
      </c>
      <c r="I14" s="41"/>
      <c r="J14" s="41">
        <f t="shared" si="3"/>
        <v>83901411.645205423</v>
      </c>
      <c r="K14" s="9">
        <v>377742</v>
      </c>
      <c r="L14" s="41"/>
      <c r="M14" s="41">
        <f t="shared" si="2"/>
        <v>356072.33111072861</v>
      </c>
      <c r="N14" s="41"/>
      <c r="O14" s="7"/>
      <c r="P14" s="7"/>
      <c r="Q14" s="41"/>
      <c r="R14" s="41"/>
      <c r="S14" s="41"/>
      <c r="T14" s="7"/>
      <c r="U14" s="7"/>
      <c r="V14" s="41"/>
      <c r="W14" s="41"/>
      <c r="X14" s="41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</row>
    <row r="15" spans="1:64" x14ac:dyDescent="0.2">
      <c r="A15" s="7"/>
      <c r="B15" s="7">
        <v>2016</v>
      </c>
      <c r="C15" s="7">
        <v>3</v>
      </c>
      <c r="D15" s="7">
        <v>167</v>
      </c>
      <c r="E15" s="123">
        <f>high_SIPA_income!B8</f>
        <v>19234129.639467299</v>
      </c>
      <c r="F15" s="123">
        <f>high_SIPA_income!I8</f>
        <v>144189.0349691</v>
      </c>
      <c r="G15" s="41">
        <f t="shared" si="4"/>
        <v>19133197.31498893</v>
      </c>
      <c r="H15" s="41">
        <v>72210474</v>
      </c>
      <c r="I15" s="41"/>
      <c r="J15" s="41">
        <f t="shared" si="3"/>
        <v>73157438.240597904</v>
      </c>
      <c r="K15" s="9">
        <v>375488</v>
      </c>
      <c r="L15" s="41"/>
      <c r="M15" s="41">
        <f t="shared" si="2"/>
        <v>362161.28499008535</v>
      </c>
      <c r="N15" s="41"/>
      <c r="O15" s="7"/>
      <c r="P15" s="7"/>
      <c r="Q15" s="41"/>
      <c r="R15" s="41"/>
      <c r="S15" s="41"/>
      <c r="T15" s="7"/>
      <c r="U15" s="7"/>
      <c r="V15" s="41"/>
      <c r="W15" s="41"/>
      <c r="X15" s="41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</row>
    <row r="16" spans="1:64" x14ac:dyDescent="0.2">
      <c r="A16" s="7"/>
      <c r="B16" s="7">
        <v>2016</v>
      </c>
      <c r="C16" s="7">
        <v>4</v>
      </c>
      <c r="D16" s="7">
        <v>168</v>
      </c>
      <c r="E16" s="123">
        <f>high_SIPA_income!B9</f>
        <v>22573512.100891899</v>
      </c>
      <c r="F16" s="123">
        <f>high_SIPA_income!I9</f>
        <v>151268.17202622999</v>
      </c>
      <c r="G16" s="41">
        <f t="shared" si="4"/>
        <v>22467624.380473539</v>
      </c>
      <c r="H16" s="41">
        <v>79983678</v>
      </c>
      <c r="I16" s="41"/>
      <c r="J16" s="41">
        <f t="shared" si="3"/>
        <v>85906909.125940606</v>
      </c>
      <c r="K16" s="9">
        <v>355397</v>
      </c>
      <c r="L16" s="41"/>
      <c r="M16" s="41">
        <f t="shared" si="2"/>
        <v>379942.03630574921</v>
      </c>
      <c r="N16" s="41"/>
      <c r="O16" s="7"/>
      <c r="P16" s="7"/>
      <c r="Q16" s="41"/>
      <c r="R16" s="41"/>
      <c r="S16" s="41"/>
      <c r="T16" s="7"/>
      <c r="U16" s="7"/>
      <c r="V16" s="41"/>
      <c r="W16" s="41"/>
      <c r="X16" s="41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</row>
    <row r="17" spans="1:64" x14ac:dyDescent="0.2">
      <c r="A17" s="119"/>
      <c r="B17" s="119">
        <v>2017</v>
      </c>
      <c r="C17" s="5">
        <v>1</v>
      </c>
      <c r="D17" s="119">
        <v>169</v>
      </c>
      <c r="E17" s="121">
        <f>high_SIPA_income!B10</f>
        <v>19517575.3041269</v>
      </c>
      <c r="F17" s="121">
        <f>high_SIPA_income!I10</f>
        <v>123378.28715431099</v>
      </c>
      <c r="G17" s="8">
        <f t="shared" si="4"/>
        <v>19431210.503118884</v>
      </c>
      <c r="H17" s="8">
        <v>74434596</v>
      </c>
      <c r="I17" s="8"/>
      <c r="J17" s="8">
        <f t="shared" si="3"/>
        <v>74296917.494722426</v>
      </c>
      <c r="K17" s="6">
        <v>462191</v>
      </c>
      <c r="L17" s="8"/>
      <c r="M17" s="8">
        <f t="shared" si="2"/>
        <v>309890.68638441636</v>
      </c>
      <c r="N17" s="8"/>
      <c r="O17" s="5"/>
      <c r="P17" s="5"/>
      <c r="Q17" s="8"/>
      <c r="R17" s="8"/>
      <c r="S17" s="8"/>
      <c r="T17" s="5"/>
      <c r="U17" s="5"/>
      <c r="V17" s="8"/>
      <c r="W17" s="8"/>
      <c r="X17" s="8"/>
      <c r="Y17" s="119"/>
      <c r="Z17" s="119"/>
      <c r="AA17" s="119"/>
      <c r="AB17" s="119"/>
      <c r="AC17" s="119"/>
      <c r="AD17" s="119"/>
      <c r="AE17" s="119"/>
      <c r="AF17" s="119"/>
      <c r="AG17" s="119"/>
      <c r="AH17" s="119"/>
      <c r="AI17" s="119"/>
      <c r="AJ17" s="119"/>
      <c r="AK17" s="119"/>
      <c r="AL17" s="119"/>
      <c r="AM17" s="119"/>
      <c r="AN17" s="119"/>
      <c r="AO17" s="119"/>
      <c r="AP17" s="119"/>
      <c r="AQ17" s="119"/>
      <c r="AR17" s="119"/>
      <c r="AS17" s="119"/>
      <c r="AT17" s="119"/>
      <c r="AU17" s="119"/>
      <c r="AV17" s="119"/>
      <c r="AW17" s="119"/>
      <c r="AX17" s="119"/>
      <c r="AY17" s="119"/>
      <c r="AZ17" s="119"/>
      <c r="BA17" s="119"/>
      <c r="BB17" s="119"/>
      <c r="BC17" s="119"/>
      <c r="BD17" s="119"/>
      <c r="BE17" s="119"/>
      <c r="BF17" s="119"/>
      <c r="BG17" s="119"/>
      <c r="BH17" s="119"/>
      <c r="BI17" s="119"/>
      <c r="BJ17" s="119"/>
      <c r="BK17" s="119"/>
      <c r="BL17" s="119"/>
    </row>
    <row r="18" spans="1:64" x14ac:dyDescent="0.2">
      <c r="A18" s="7"/>
      <c r="B18" s="7">
        <v>2017</v>
      </c>
      <c r="C18" s="7">
        <v>2</v>
      </c>
      <c r="D18" s="7">
        <v>170</v>
      </c>
      <c r="E18" s="123">
        <f>high_SIPA_income!B11</f>
        <v>23345722.454706602</v>
      </c>
      <c r="F18" s="123">
        <f>high_SIPA_income!I11</f>
        <v>131002.673091904</v>
      </c>
      <c r="G18" s="41">
        <f t="shared" si="4"/>
        <v>23254020.583542269</v>
      </c>
      <c r="H18" s="41">
        <v>80479757</v>
      </c>
      <c r="I18" s="41"/>
      <c r="J18" s="41">
        <f t="shared" si="3"/>
        <v>88913763.166669682</v>
      </c>
      <c r="K18" s="9">
        <v>458270</v>
      </c>
      <c r="L18" s="41"/>
      <c r="M18" s="41">
        <f t="shared" si="2"/>
        <v>329040.94568818907</v>
      </c>
      <c r="N18" s="41"/>
      <c r="O18" s="7"/>
      <c r="P18" s="7"/>
      <c r="Q18" s="41"/>
      <c r="R18" s="41"/>
      <c r="S18" s="41"/>
      <c r="T18" s="7"/>
      <c r="U18" s="7"/>
      <c r="V18" s="41"/>
      <c r="W18" s="41"/>
      <c r="X18" s="41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</row>
    <row r="19" spans="1:64" x14ac:dyDescent="0.2">
      <c r="A19" s="7"/>
      <c r="B19" s="7">
        <v>2017</v>
      </c>
      <c r="C19" s="7">
        <v>3</v>
      </c>
      <c r="D19" s="7">
        <v>171</v>
      </c>
      <c r="E19" s="123">
        <f>high_SIPA_income!B12</f>
        <v>20685758.757683098</v>
      </c>
      <c r="F19" s="123">
        <f>high_SIPA_income!I12</f>
        <v>137459.02665501201</v>
      </c>
      <c r="G19" s="41">
        <f t="shared" si="4"/>
        <v>20589537.43902459</v>
      </c>
      <c r="H19" s="41">
        <v>73976782</v>
      </c>
      <c r="I19" s="41"/>
      <c r="J19" s="41">
        <f t="shared" si="3"/>
        <v>78725880.928322583</v>
      </c>
      <c r="K19" s="9">
        <v>489074</v>
      </c>
      <c r="L19" s="41"/>
      <c r="M19" s="41">
        <f t="shared" si="2"/>
        <v>345257.44442033331</v>
      </c>
      <c r="N19" s="41"/>
      <c r="O19" s="7"/>
      <c r="P19" s="7"/>
      <c r="Q19" s="41"/>
      <c r="R19" s="41"/>
      <c r="S19" s="41"/>
      <c r="T19" s="7"/>
      <c r="U19" s="7"/>
      <c r="V19" s="41"/>
      <c r="W19" s="41"/>
      <c r="X19" s="41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</row>
    <row r="20" spans="1:64" x14ac:dyDescent="0.2">
      <c r="A20" s="7"/>
      <c r="B20" s="7">
        <v>2017</v>
      </c>
      <c r="C20" s="7">
        <v>4</v>
      </c>
      <c r="D20" s="7">
        <v>172</v>
      </c>
      <c r="E20" s="123">
        <f>high_SIPA_income!B13</f>
        <v>24447912.8962081</v>
      </c>
      <c r="F20" s="123">
        <f>high_SIPA_income!I13</f>
        <v>143698.09455918201</v>
      </c>
      <c r="G20" s="41">
        <f t="shared" si="4"/>
        <v>24347324.230016671</v>
      </c>
      <c r="H20" s="41">
        <v>82408987.563397601</v>
      </c>
      <c r="I20" s="41"/>
      <c r="J20" s="41">
        <f t="shared" si="3"/>
        <v>93094104.417450219</v>
      </c>
      <c r="K20" s="9"/>
      <c r="L20" s="41"/>
      <c r="M20" s="41">
        <f t="shared" si="2"/>
        <v>360928.18422241905</v>
      </c>
      <c r="N20" s="41"/>
      <c r="O20" s="7"/>
      <c r="P20" s="7"/>
      <c r="Q20" s="41"/>
      <c r="R20" s="41"/>
      <c r="S20" s="41"/>
      <c r="T20" s="7"/>
      <c r="U20" s="7"/>
      <c r="V20" s="41"/>
      <c r="W20" s="41"/>
      <c r="X20" s="41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</row>
    <row r="21" spans="1:64" x14ac:dyDescent="0.2">
      <c r="A21" s="119"/>
      <c r="B21" s="119">
        <v>2018</v>
      </c>
      <c r="C21" s="5">
        <v>1</v>
      </c>
      <c r="D21" s="119">
        <v>173</v>
      </c>
      <c r="E21" s="121">
        <f>high_SIPA_income!B14</f>
        <v>19576875.4819577</v>
      </c>
      <c r="F21" s="121">
        <f>high_SIPA_income!I14</f>
        <v>129450.461885458</v>
      </c>
      <c r="G21" s="8">
        <f t="shared" si="4"/>
        <v>19486260.158637881</v>
      </c>
      <c r="H21" s="8"/>
      <c r="I21" s="8"/>
      <c r="J21" s="8">
        <f t="shared" si="3"/>
        <v>74507404.623846531</v>
      </c>
      <c r="K21" s="6"/>
      <c r="L21" s="8"/>
      <c r="M21" s="8">
        <f t="shared" si="2"/>
        <v>325142.23865250521</v>
      </c>
      <c r="N21" s="8"/>
      <c r="O21" s="5"/>
      <c r="P21" s="5"/>
      <c r="Q21" s="8"/>
      <c r="R21" s="8"/>
      <c r="S21" s="8"/>
      <c r="T21" s="5"/>
      <c r="U21" s="5"/>
      <c r="V21" s="8"/>
      <c r="W21" s="8"/>
      <c r="X21" s="8"/>
      <c r="Y21" s="119"/>
      <c r="Z21" s="119"/>
      <c r="AA21" s="119"/>
      <c r="AB21" s="119"/>
      <c r="AC21" s="119"/>
      <c r="AD21" s="119"/>
      <c r="AE21" s="119"/>
      <c r="AF21" s="119"/>
      <c r="AG21" s="119"/>
      <c r="AH21" s="119"/>
      <c r="AI21" s="119"/>
      <c r="AJ21" s="119"/>
      <c r="AK21" s="119"/>
      <c r="AL21" s="119"/>
      <c r="AM21" s="119"/>
      <c r="AN21" s="119"/>
      <c r="AO21" s="119"/>
      <c r="AP21" s="119"/>
      <c r="AQ21" s="119"/>
      <c r="AR21" s="119"/>
      <c r="AS21" s="119"/>
      <c r="AT21" s="119"/>
      <c r="AU21" s="119"/>
      <c r="AV21" s="119"/>
      <c r="AW21" s="119"/>
      <c r="AX21" s="119"/>
      <c r="AY21" s="119"/>
      <c r="AZ21" s="119"/>
      <c r="BA21" s="119"/>
      <c r="BB21" s="119"/>
      <c r="BC21" s="119"/>
      <c r="BD21" s="119"/>
      <c r="BE21" s="119"/>
      <c r="BF21" s="119"/>
      <c r="BG21" s="119"/>
      <c r="BH21" s="119"/>
      <c r="BI21" s="119"/>
      <c r="BJ21" s="119"/>
      <c r="BK21" s="119"/>
      <c r="BL21" s="119"/>
    </row>
    <row r="22" spans="1:64" x14ac:dyDescent="0.2">
      <c r="A22" s="7"/>
      <c r="B22" s="7">
        <v>2018</v>
      </c>
      <c r="C22" s="7">
        <v>2</v>
      </c>
      <c r="D22" s="7">
        <v>174</v>
      </c>
      <c r="E22" s="123">
        <f>high_SIPA_income!B15</f>
        <v>22220331.7878667</v>
      </c>
      <c r="F22" s="123">
        <f>high_SIPA_income!I15</f>
        <v>124241.716375217</v>
      </c>
      <c r="G22" s="41">
        <f t="shared" si="4"/>
        <v>22133362.586404048</v>
      </c>
      <c r="H22" s="41"/>
      <c r="I22" s="41"/>
      <c r="J22" s="41">
        <f t="shared" si="3"/>
        <v>84628830.185277969</v>
      </c>
      <c r="K22" s="9"/>
      <c r="L22" s="41"/>
      <c r="M22" s="41">
        <f t="shared" si="2"/>
        <v>312059.3716537804</v>
      </c>
      <c r="N22" s="41"/>
      <c r="O22" s="7"/>
      <c r="P22" s="7"/>
      <c r="Q22" s="41"/>
      <c r="R22" s="41"/>
      <c r="S22" s="41"/>
      <c r="T22" s="7"/>
      <c r="U22" s="7"/>
      <c r="V22" s="41"/>
      <c r="W22" s="41"/>
      <c r="X22" s="41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</row>
    <row r="23" spans="1:64" x14ac:dyDescent="0.2">
      <c r="A23" s="7"/>
      <c r="B23" s="7">
        <v>2018</v>
      </c>
      <c r="C23" s="7">
        <v>3</v>
      </c>
      <c r="D23" s="7">
        <v>175</v>
      </c>
      <c r="E23" s="123">
        <f>high_SIPA_income!B16</f>
        <v>18304035.776367702</v>
      </c>
      <c r="F23" s="123">
        <f>high_SIPA_income!I16</f>
        <v>112609.408176984</v>
      </c>
      <c r="G23" s="41">
        <f t="shared" si="4"/>
        <v>18225209.190643813</v>
      </c>
      <c r="H23" s="41"/>
      <c r="I23" s="41"/>
      <c r="J23" s="41">
        <f t="shared" si="3"/>
        <v>69685666.950290039</v>
      </c>
      <c r="K23" s="9"/>
      <c r="L23" s="41"/>
      <c r="M23" s="41">
        <f t="shared" si="2"/>
        <v>282842.36714733113</v>
      </c>
      <c r="N23" s="41"/>
      <c r="O23" s="7"/>
      <c r="P23" s="7"/>
      <c r="Q23" s="41"/>
      <c r="R23" s="41"/>
      <c r="S23" s="41"/>
      <c r="T23" s="7"/>
      <c r="U23" s="7"/>
      <c r="V23" s="41"/>
      <c r="W23" s="41"/>
      <c r="X23" s="41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</row>
    <row r="24" spans="1:64" x14ac:dyDescent="0.2">
      <c r="A24" s="7"/>
      <c r="B24" s="7">
        <v>2018</v>
      </c>
      <c r="C24" s="7">
        <v>4</v>
      </c>
      <c r="D24" s="7">
        <v>176</v>
      </c>
      <c r="E24" s="123">
        <f>high_SIPA_income!B17</f>
        <v>19978690.537035901</v>
      </c>
      <c r="F24" s="123">
        <f>high_SIPA_income!I17</f>
        <v>111380.981934753</v>
      </c>
      <c r="G24" s="41">
        <f t="shared" si="4"/>
        <v>19900723.849681575</v>
      </c>
      <c r="H24" s="41"/>
      <c r="I24" s="41"/>
      <c r="J24" s="41">
        <f t="shared" si="3"/>
        <v>76092142.468824789</v>
      </c>
      <c r="K24" s="9"/>
      <c r="L24" s="41"/>
      <c r="M24" s="41">
        <f t="shared" si="2"/>
        <v>279756.91459195991</v>
      </c>
      <c r="N24" s="41"/>
      <c r="O24" s="7"/>
      <c r="P24" s="7"/>
      <c r="Q24" s="41"/>
      <c r="R24" s="41"/>
      <c r="S24" s="41"/>
      <c r="T24" s="7"/>
      <c r="U24" s="7"/>
      <c r="V24" s="41"/>
      <c r="W24" s="41"/>
      <c r="X24" s="41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</row>
    <row r="25" spans="1:64" x14ac:dyDescent="0.2">
      <c r="A25" s="119"/>
      <c r="B25" s="119">
        <v>2019</v>
      </c>
      <c r="C25" s="5">
        <v>1</v>
      </c>
      <c r="D25" s="119">
        <v>177</v>
      </c>
      <c r="E25" s="121">
        <f>high_SIPA_income!B18</f>
        <v>15756304.888634499</v>
      </c>
      <c r="F25" s="121">
        <f>high_SIPA_income!I18</f>
        <v>112841.24617785</v>
      </c>
      <c r="G25" s="8">
        <f t="shared" si="4"/>
        <v>15677316.016310005</v>
      </c>
      <c r="H25" s="8"/>
      <c r="I25" s="8"/>
      <c r="J25" s="8">
        <f t="shared" si="3"/>
        <v>59943576.567991875</v>
      </c>
      <c r="K25" s="6"/>
      <c r="L25" s="8"/>
      <c r="M25" s="8">
        <f t="shared" si="2"/>
        <v>283424.67736475618</v>
      </c>
      <c r="N25" s="8"/>
      <c r="O25" s="5"/>
      <c r="P25" s="5"/>
      <c r="Q25" s="8"/>
      <c r="R25" s="8"/>
      <c r="S25" s="8"/>
      <c r="T25" s="5"/>
      <c r="U25" s="5"/>
      <c r="V25" s="8"/>
      <c r="W25" s="8"/>
      <c r="X25" s="8"/>
      <c r="Y25" s="119"/>
      <c r="Z25" s="119"/>
      <c r="AA25" s="119"/>
      <c r="AB25" s="119"/>
      <c r="AC25" s="119"/>
      <c r="AD25" s="119"/>
      <c r="AE25" s="119"/>
      <c r="AF25" s="119"/>
      <c r="AG25" s="119"/>
      <c r="AH25" s="119"/>
      <c r="AI25" s="119"/>
      <c r="AJ25" s="119"/>
      <c r="AK25" s="119"/>
      <c r="AL25" s="119"/>
      <c r="AM25" s="119"/>
      <c r="AN25" s="119"/>
      <c r="AO25" s="119"/>
      <c r="AP25" s="119"/>
      <c r="AQ25" s="119"/>
      <c r="AR25" s="119"/>
      <c r="AS25" s="119"/>
      <c r="AT25" s="119"/>
      <c r="AU25" s="119"/>
      <c r="AV25" s="119"/>
      <c r="AW25" s="119"/>
      <c r="AX25" s="119"/>
      <c r="AY25" s="119"/>
      <c r="AZ25" s="119"/>
      <c r="BA25" s="119"/>
      <c r="BB25" s="119"/>
      <c r="BC25" s="119"/>
      <c r="BD25" s="119"/>
      <c r="BE25" s="119"/>
      <c r="BF25" s="119"/>
      <c r="BG25" s="119"/>
      <c r="BH25" s="119"/>
      <c r="BI25" s="119"/>
      <c r="BJ25" s="119"/>
      <c r="BK25" s="119"/>
      <c r="BL25" s="119"/>
    </row>
    <row r="26" spans="1:64" x14ac:dyDescent="0.2">
      <c r="A26" s="7"/>
      <c r="B26" s="7">
        <v>2019</v>
      </c>
      <c r="C26" s="7">
        <v>2</v>
      </c>
      <c r="D26" s="7">
        <v>178</v>
      </c>
      <c r="E26" s="123">
        <f>high_SIPA_income!B19</f>
        <v>18646832.081061799</v>
      </c>
      <c r="F26" s="123">
        <f>high_SIPA_income!I19</f>
        <v>111367.371902844</v>
      </c>
      <c r="G26" s="41">
        <f t="shared" si="4"/>
        <v>18568874.920729809</v>
      </c>
      <c r="H26" s="41">
        <v>1000</v>
      </c>
      <c r="I26" s="41"/>
      <c r="J26" s="41">
        <f t="shared" si="3"/>
        <v>70999702.655366898</v>
      </c>
      <c r="K26" s="9"/>
      <c r="L26" s="41"/>
      <c r="M26" s="41">
        <f t="shared" si="2"/>
        <v>279722.73011568555</v>
      </c>
      <c r="N26" s="41"/>
      <c r="O26" s="7"/>
      <c r="P26" s="7"/>
      <c r="Q26" s="41"/>
      <c r="R26" s="41"/>
      <c r="S26" s="41"/>
      <c r="T26" s="7"/>
      <c r="U26" s="7"/>
      <c r="V26" s="41"/>
      <c r="W26" s="41"/>
      <c r="X26" s="41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</row>
    <row r="27" spans="1:64" x14ac:dyDescent="0.2">
      <c r="A27" s="7"/>
      <c r="B27" s="7">
        <v>2019</v>
      </c>
      <c r="C27" s="7">
        <v>3</v>
      </c>
      <c r="D27" s="7">
        <v>179</v>
      </c>
      <c r="E27" s="123">
        <f>high_SIPA_income!B20</f>
        <v>15995991.385132801</v>
      </c>
      <c r="F27" s="123">
        <f>high_SIPA_income!I20</f>
        <v>110090.445964971</v>
      </c>
      <c r="G27" s="41">
        <f t="shared" si="4"/>
        <v>15918928.072957322</v>
      </c>
      <c r="H27" s="41"/>
      <c r="I27" s="41"/>
      <c r="J27" s="41">
        <f t="shared" si="3"/>
        <v>60867401.207510583</v>
      </c>
      <c r="K27" s="9"/>
      <c r="L27" s="41"/>
      <c r="M27" s="41">
        <f t="shared" si="2"/>
        <v>276515.46030771191</v>
      </c>
      <c r="N27" s="41"/>
      <c r="O27" s="7"/>
      <c r="P27" s="7"/>
      <c r="Q27" s="41"/>
      <c r="R27" s="41"/>
      <c r="S27" s="41"/>
      <c r="T27" s="7"/>
      <c r="U27" s="7"/>
      <c r="V27" s="41"/>
      <c r="W27" s="41"/>
      <c r="X27" s="41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</row>
    <row r="28" spans="1:64" x14ac:dyDescent="0.2">
      <c r="A28" s="7"/>
      <c r="B28" s="7">
        <v>2019</v>
      </c>
      <c r="C28" s="7">
        <v>4</v>
      </c>
      <c r="D28" s="7">
        <v>180</v>
      </c>
      <c r="E28" s="123">
        <f>high_SIPA_income!B21</f>
        <v>18436118.617878798</v>
      </c>
      <c r="F28" s="123">
        <f>high_SIPA_income!I21</f>
        <v>109378.803212193</v>
      </c>
      <c r="G28" s="41">
        <f t="shared" si="4"/>
        <v>18359553.455630261</v>
      </c>
      <c r="H28" s="41"/>
      <c r="I28" s="41"/>
      <c r="J28" s="41">
        <f t="shared" si="3"/>
        <v>70199343.891311556</v>
      </c>
      <c r="K28" s="9"/>
      <c r="L28" s="41"/>
      <c r="M28" s="41">
        <f t="shared" si="2"/>
        <v>274728.01888503233</v>
      </c>
      <c r="N28" s="41"/>
      <c r="O28" s="7"/>
      <c r="P28" s="7"/>
      <c r="Q28" s="41"/>
      <c r="R28" s="41"/>
      <c r="S28" s="41"/>
      <c r="T28" s="7"/>
      <c r="U28" s="7"/>
      <c r="V28" s="41"/>
      <c r="W28" s="41"/>
      <c r="X28" s="41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</row>
    <row r="29" spans="1:64" x14ac:dyDescent="0.2">
      <c r="A29" s="119"/>
      <c r="B29" s="119">
        <v>2020</v>
      </c>
      <c r="C29" s="5">
        <v>1</v>
      </c>
      <c r="D29" s="119">
        <v>181</v>
      </c>
      <c r="E29" s="121">
        <f>high_SIPA_income!B22</f>
        <v>16534328.448762299</v>
      </c>
      <c r="F29" s="121">
        <f>high_SIPA_income!I22</f>
        <v>110520.360172067</v>
      </c>
      <c r="G29" s="8">
        <f t="shared" si="4"/>
        <v>16456964.196641853</v>
      </c>
      <c r="H29" s="8"/>
      <c r="I29" s="8"/>
      <c r="J29" s="8">
        <f t="shared" si="3"/>
        <v>62924628.958923891</v>
      </c>
      <c r="K29" s="6"/>
      <c r="L29" s="8"/>
      <c r="M29" s="8">
        <f t="shared" si="2"/>
        <v>277595.28084823181</v>
      </c>
      <c r="N29" s="8"/>
      <c r="O29" s="5"/>
      <c r="P29" s="5"/>
      <c r="Q29" s="8"/>
      <c r="R29" s="8"/>
      <c r="S29" s="8"/>
      <c r="T29" s="5"/>
      <c r="U29" s="5"/>
      <c r="V29" s="8"/>
      <c r="W29" s="8"/>
      <c r="X29" s="8"/>
      <c r="Y29" s="119"/>
      <c r="Z29" s="119"/>
      <c r="AA29" s="119"/>
      <c r="AB29" s="119"/>
      <c r="AC29" s="119"/>
      <c r="AD29" s="119"/>
      <c r="AE29" s="119"/>
      <c r="AF29" s="119"/>
      <c r="AG29" s="119"/>
      <c r="AH29" s="119"/>
      <c r="AI29" s="119"/>
      <c r="AJ29" s="119"/>
      <c r="AK29" s="119"/>
      <c r="AL29" s="119"/>
      <c r="AM29" s="119"/>
      <c r="AN29" s="119"/>
      <c r="AO29" s="119"/>
      <c r="AP29" s="119"/>
      <c r="AQ29" s="119"/>
      <c r="AR29" s="119"/>
      <c r="AS29" s="119"/>
      <c r="AT29" s="119"/>
      <c r="AU29" s="119"/>
      <c r="AV29" s="119"/>
      <c r="AW29" s="119"/>
      <c r="AX29" s="119"/>
      <c r="AY29" s="119"/>
      <c r="AZ29" s="119"/>
      <c r="BA29" s="119"/>
      <c r="BB29" s="119"/>
      <c r="BC29" s="119"/>
      <c r="BD29" s="119"/>
      <c r="BE29" s="119"/>
      <c r="BF29" s="119"/>
      <c r="BG29" s="119"/>
      <c r="BH29" s="119"/>
      <c r="BI29" s="119"/>
      <c r="BJ29" s="119"/>
      <c r="BK29" s="119"/>
      <c r="BL29" s="119"/>
    </row>
    <row r="30" spans="1:64" x14ac:dyDescent="0.2">
      <c r="A30" s="7"/>
      <c r="B30" s="7">
        <v>2020</v>
      </c>
      <c r="C30" s="7">
        <v>2</v>
      </c>
      <c r="D30" s="7">
        <v>182</v>
      </c>
      <c r="E30" s="123">
        <f>high_SIPA_income!B23</f>
        <v>19981588.965427399</v>
      </c>
      <c r="F30" s="123">
        <f>high_SIPA_income!I23</f>
        <v>110302.276286578</v>
      </c>
      <c r="G30" s="41">
        <f t="shared" si="4"/>
        <v>19904377.372026794</v>
      </c>
      <c r="H30" s="41"/>
      <c r="I30" s="41"/>
      <c r="J30" s="41">
        <f t="shared" si="3"/>
        <v>76106112.028168723</v>
      </c>
      <c r="K30" s="9"/>
      <c r="L30" s="41"/>
      <c r="M30" s="41">
        <f t="shared" si="2"/>
        <v>277047.5170032123</v>
      </c>
      <c r="N30" s="41"/>
      <c r="O30" s="7"/>
      <c r="P30" s="7"/>
      <c r="Q30" s="41"/>
      <c r="R30" s="41"/>
      <c r="S30" s="41"/>
      <c r="T30" s="7"/>
      <c r="U30" s="7"/>
      <c r="V30" s="41"/>
      <c r="W30" s="41"/>
      <c r="X30" s="41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</row>
    <row r="31" spans="1:64" x14ac:dyDescent="0.2">
      <c r="A31" s="7"/>
      <c r="B31" s="7">
        <v>2020</v>
      </c>
      <c r="C31" s="7">
        <v>3</v>
      </c>
      <c r="D31" s="7">
        <v>183</v>
      </c>
      <c r="E31" s="123">
        <f>high_SIPA_income!B24</f>
        <v>17776916.5235002</v>
      </c>
      <c r="F31" s="123">
        <f>high_SIPA_income!I24</f>
        <v>117221.819912354</v>
      </c>
      <c r="G31" s="41">
        <f t="shared" si="4"/>
        <v>17694861.249561552</v>
      </c>
      <c r="H31" s="41"/>
      <c r="I31" s="41"/>
      <c r="J31" s="41">
        <f t="shared" si="3"/>
        <v>67657835.631404355</v>
      </c>
      <c r="K31" s="9"/>
      <c r="L31" s="41"/>
      <c r="M31" s="41">
        <f t="shared" si="2"/>
        <v>294427.41563137795</v>
      </c>
      <c r="N31" s="41"/>
      <c r="O31" s="7"/>
      <c r="P31" s="7"/>
      <c r="Q31" s="41"/>
      <c r="R31" s="41"/>
      <c r="S31" s="41"/>
      <c r="T31" s="7"/>
      <c r="U31" s="7"/>
      <c r="V31" s="41"/>
      <c r="W31" s="41"/>
      <c r="X31" s="41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</row>
    <row r="32" spans="1:64" x14ac:dyDescent="0.2">
      <c r="A32" s="7"/>
      <c r="B32" s="7">
        <v>2020</v>
      </c>
      <c r="C32" s="7">
        <v>4</v>
      </c>
      <c r="D32" s="7">
        <v>184</v>
      </c>
      <c r="E32" s="123">
        <f>high_SIPA_income!B25</f>
        <v>21120496.0261668</v>
      </c>
      <c r="F32" s="123">
        <f>high_SIPA_income!I25</f>
        <v>118890.32975185099</v>
      </c>
      <c r="G32" s="41">
        <f t="shared" si="4"/>
        <v>21037272.795340504</v>
      </c>
      <c r="H32" s="41"/>
      <c r="I32" s="41"/>
      <c r="J32" s="41">
        <f t="shared" si="3"/>
        <v>80437835.869180962</v>
      </c>
      <c r="K32" s="9"/>
      <c r="L32" s="41"/>
      <c r="M32" s="41">
        <f t="shared" si="2"/>
        <v>298618.23130345962</v>
      </c>
      <c r="N32" s="41"/>
      <c r="O32" s="7"/>
      <c r="P32" s="7"/>
      <c r="Q32" s="41"/>
      <c r="R32" s="41"/>
      <c r="S32" s="41"/>
      <c r="T32" s="7"/>
      <c r="U32" s="7"/>
      <c r="V32" s="41"/>
      <c r="W32" s="41"/>
      <c r="X32" s="41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</row>
    <row r="33" spans="1:64" x14ac:dyDescent="0.2">
      <c r="A33" s="119"/>
      <c r="B33" s="119">
        <v>2021</v>
      </c>
      <c r="C33" s="5">
        <v>1</v>
      </c>
      <c r="D33" s="119">
        <v>185</v>
      </c>
      <c r="E33" s="121">
        <f>high_SIPA_income!B26</f>
        <v>18926520.649835501</v>
      </c>
      <c r="F33" s="121">
        <f>high_SIPA_income!I26</f>
        <v>124512.17664464501</v>
      </c>
      <c r="G33" s="8">
        <f t="shared" si="4"/>
        <v>18839362.126184251</v>
      </c>
      <c r="H33" s="8"/>
      <c r="I33" s="8"/>
      <c r="J33" s="8">
        <f t="shared" si="3"/>
        <v>72033933.929007888</v>
      </c>
      <c r="K33" s="6"/>
      <c r="L33" s="8"/>
      <c r="M33" s="8">
        <f t="shared" si="2"/>
        <v>312738.68987472419</v>
      </c>
      <c r="N33" s="8"/>
      <c r="O33" s="5"/>
      <c r="P33" s="5"/>
      <c r="Q33" s="8"/>
      <c r="R33" s="8"/>
      <c r="S33" s="8"/>
      <c r="T33" s="5"/>
      <c r="U33" s="5"/>
      <c r="V33" s="8"/>
      <c r="W33" s="8"/>
      <c r="X33" s="8"/>
      <c r="Y33" s="119"/>
      <c r="Z33" s="119"/>
      <c r="AA33" s="119"/>
      <c r="AB33" s="119"/>
      <c r="AC33" s="119"/>
      <c r="AD33" s="119"/>
      <c r="AE33" s="119"/>
      <c r="AF33" s="119"/>
      <c r="AG33" s="119"/>
      <c r="AH33" s="119"/>
      <c r="AI33" s="119"/>
      <c r="AJ33" s="119"/>
      <c r="AK33" s="119"/>
      <c r="AL33" s="119"/>
      <c r="AM33" s="119"/>
      <c r="AN33" s="119"/>
      <c r="AO33" s="119"/>
      <c r="AP33" s="119"/>
      <c r="AQ33" s="119"/>
      <c r="AR33" s="119"/>
      <c r="AS33" s="119"/>
      <c r="AT33" s="119"/>
      <c r="AU33" s="119"/>
      <c r="AV33" s="119"/>
      <c r="AW33" s="119"/>
      <c r="AX33" s="119"/>
      <c r="AY33" s="119"/>
      <c r="AZ33" s="119"/>
      <c r="BA33" s="119"/>
      <c r="BB33" s="119"/>
      <c r="BC33" s="119"/>
      <c r="BD33" s="119"/>
      <c r="BE33" s="119"/>
      <c r="BF33" s="119"/>
      <c r="BG33" s="119"/>
      <c r="BH33" s="119"/>
      <c r="BI33" s="119"/>
      <c r="BJ33" s="119"/>
      <c r="BK33" s="119"/>
      <c r="BL33" s="119"/>
    </row>
    <row r="34" spans="1:64" x14ac:dyDescent="0.2">
      <c r="A34" s="7"/>
      <c r="B34" s="7">
        <v>2021</v>
      </c>
      <c r="C34" s="7">
        <v>2</v>
      </c>
      <c r="D34" s="7">
        <v>186</v>
      </c>
      <c r="E34" s="123">
        <f>high_SIPA_income!B27</f>
        <v>22479691.049968299</v>
      </c>
      <c r="F34" s="123">
        <f>high_SIPA_income!I27</f>
        <v>122882.24430235699</v>
      </c>
      <c r="G34" s="41">
        <f t="shared" si="4"/>
        <v>22393673.478956647</v>
      </c>
      <c r="H34" s="41"/>
      <c r="I34" s="41"/>
      <c r="J34" s="41">
        <f t="shared" si="3"/>
        <v>85624151.444540411</v>
      </c>
      <c r="K34" s="9"/>
      <c r="L34" s="41"/>
      <c r="M34" s="41">
        <f t="shared" si="2"/>
        <v>308644.76975343045</v>
      </c>
      <c r="N34" s="41"/>
      <c r="O34" s="7"/>
      <c r="P34" s="7"/>
      <c r="Q34" s="41"/>
      <c r="R34" s="41"/>
      <c r="S34" s="41"/>
      <c r="T34" s="7"/>
      <c r="U34" s="7"/>
      <c r="V34" s="41"/>
      <c r="W34" s="41"/>
      <c r="X34" s="41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</row>
    <row r="35" spans="1:64" x14ac:dyDescent="0.2">
      <c r="A35" s="7"/>
      <c r="B35" s="7">
        <v>2021</v>
      </c>
      <c r="C35" s="7">
        <v>3</v>
      </c>
      <c r="D35" s="7">
        <v>187</v>
      </c>
      <c r="E35" s="123">
        <f>high_SIPA_income!B28</f>
        <v>20111110.527476698</v>
      </c>
      <c r="F35" s="123">
        <f>high_SIPA_income!I28</f>
        <v>123428.44397502999</v>
      </c>
      <c r="G35" s="41">
        <f t="shared" si="4"/>
        <v>20024710.616694178</v>
      </c>
      <c r="H35" s="41"/>
      <c r="I35" s="41"/>
      <c r="J35" s="41">
        <f t="shared" si="3"/>
        <v>76566216.618641347</v>
      </c>
      <c r="K35" s="9"/>
      <c r="L35" s="41"/>
      <c r="M35" s="41">
        <f t="shared" ref="M35:M66" si="5">F35*2.511711692</f>
        <v>310016.66585744981</v>
      </c>
      <c r="N35" s="41"/>
      <c r="O35" s="7"/>
      <c r="P35" s="7"/>
      <c r="Q35" s="41"/>
      <c r="R35" s="41"/>
      <c r="S35" s="41"/>
      <c r="T35" s="7"/>
      <c r="U35" s="7"/>
      <c r="V35" s="41"/>
      <c r="W35" s="41"/>
      <c r="X35" s="41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</row>
    <row r="36" spans="1:64" x14ac:dyDescent="0.2">
      <c r="A36" s="7"/>
      <c r="B36" s="7">
        <v>2021</v>
      </c>
      <c r="C36" s="7">
        <v>4</v>
      </c>
      <c r="D36" s="7">
        <v>188</v>
      </c>
      <c r="E36" s="123">
        <f>high_SIPA_income!B29</f>
        <v>23875800.029132299</v>
      </c>
      <c r="F36" s="123">
        <f>high_SIPA_income!I29</f>
        <v>128466.70524058799</v>
      </c>
      <c r="G36" s="41">
        <f t="shared" si="4"/>
        <v>23785873.335463889</v>
      </c>
      <c r="H36" s="41"/>
      <c r="I36" s="41"/>
      <c r="J36" s="41">
        <f t="shared" ref="J36:J67" si="6">G36*3.8235866717</f>
        <v>90947348.260224149</v>
      </c>
      <c r="K36" s="9"/>
      <c r="L36" s="41"/>
      <c r="M36" s="41">
        <f t="shared" si="5"/>
        <v>322671.32558550255</v>
      </c>
      <c r="N36" s="41"/>
      <c r="O36" s="7"/>
      <c r="P36" s="7"/>
      <c r="Q36" s="41"/>
      <c r="R36" s="41"/>
      <c r="S36" s="41"/>
      <c r="T36" s="7"/>
      <c r="U36" s="7"/>
      <c r="V36" s="41"/>
      <c r="W36" s="41"/>
      <c r="X36" s="41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</row>
    <row r="37" spans="1:64" x14ac:dyDescent="0.2">
      <c r="A37" s="119"/>
      <c r="B37" s="119">
        <v>2022</v>
      </c>
      <c r="C37" s="5">
        <v>1</v>
      </c>
      <c r="D37" s="119">
        <v>189</v>
      </c>
      <c r="E37" s="121">
        <f>high_SIPA_income!B30</f>
        <v>21031205.818858501</v>
      </c>
      <c r="F37" s="121">
        <f>high_SIPA_income!I30</f>
        <v>133193.19756555001</v>
      </c>
      <c r="G37" s="8">
        <f t="shared" si="4"/>
        <v>20937970.580562614</v>
      </c>
      <c r="H37" s="8"/>
      <c r="I37" s="8"/>
      <c r="J37" s="8">
        <f t="shared" si="6"/>
        <v>80058145.244285926</v>
      </c>
      <c r="K37" s="6"/>
      <c r="L37" s="8"/>
      <c r="M37" s="8">
        <f t="shared" si="5"/>
        <v>334542.91162025789</v>
      </c>
      <c r="N37" s="8"/>
      <c r="O37" s="5"/>
      <c r="P37" s="5"/>
      <c r="Q37" s="8"/>
      <c r="R37" s="8"/>
      <c r="S37" s="8"/>
      <c r="T37" s="5"/>
      <c r="U37" s="5"/>
      <c r="V37" s="8"/>
      <c r="W37" s="8"/>
      <c r="X37" s="8"/>
      <c r="Y37" s="119"/>
      <c r="Z37" s="119"/>
      <c r="AA37" s="119"/>
      <c r="AB37" s="119"/>
      <c r="AC37" s="119"/>
      <c r="AD37" s="119"/>
      <c r="AE37" s="119"/>
      <c r="AF37" s="119"/>
      <c r="AG37" s="119"/>
      <c r="AH37" s="119"/>
      <c r="AI37" s="119"/>
      <c r="AJ37" s="119"/>
      <c r="AK37" s="119"/>
      <c r="AL37" s="119"/>
      <c r="AM37" s="119"/>
      <c r="AN37" s="119"/>
      <c r="AO37" s="119"/>
      <c r="AP37" s="119"/>
      <c r="AQ37" s="119"/>
      <c r="AR37" s="119"/>
      <c r="AS37" s="119"/>
      <c r="AT37" s="119"/>
      <c r="AU37" s="119"/>
      <c r="AV37" s="119"/>
      <c r="AW37" s="119"/>
      <c r="AX37" s="119"/>
      <c r="AY37" s="119"/>
      <c r="AZ37" s="119"/>
      <c r="BA37" s="119"/>
      <c r="BB37" s="119"/>
      <c r="BC37" s="119"/>
      <c r="BD37" s="119"/>
      <c r="BE37" s="119"/>
      <c r="BF37" s="119"/>
      <c r="BG37" s="119"/>
      <c r="BH37" s="119"/>
      <c r="BI37" s="119"/>
      <c r="BJ37" s="119"/>
      <c r="BK37" s="119"/>
      <c r="BL37" s="119"/>
    </row>
    <row r="38" spans="1:64" x14ac:dyDescent="0.2">
      <c r="A38" s="7"/>
      <c r="B38" s="7">
        <v>2022</v>
      </c>
      <c r="C38" s="7">
        <v>2</v>
      </c>
      <c r="D38" s="7">
        <v>190</v>
      </c>
      <c r="E38" s="123">
        <f>high_SIPA_income!B31</f>
        <v>24280616.180994</v>
      </c>
      <c r="F38" s="123">
        <f>high_SIPA_income!I31</f>
        <v>135321.58355877499</v>
      </c>
      <c r="G38" s="41">
        <f t="shared" si="4"/>
        <v>24185891.072502859</v>
      </c>
      <c r="H38" s="41"/>
      <c r="I38" s="41"/>
      <c r="J38" s="41">
        <f t="shared" si="6"/>
        <v>92476850.74800995</v>
      </c>
      <c r="K38" s="9"/>
      <c r="L38" s="41"/>
      <c r="M38" s="41">
        <f t="shared" si="5"/>
        <v>339888.80360453011</v>
      </c>
      <c r="N38" s="41"/>
      <c r="O38" s="7"/>
      <c r="P38" s="7"/>
      <c r="Q38" s="41"/>
      <c r="R38" s="41"/>
      <c r="S38" s="41"/>
      <c r="T38" s="7"/>
      <c r="U38" s="7"/>
      <c r="V38" s="41"/>
      <c r="W38" s="41"/>
      <c r="X38" s="41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</row>
    <row r="39" spans="1:64" x14ac:dyDescent="0.2">
      <c r="A39" s="7"/>
      <c r="B39" s="7">
        <v>2022</v>
      </c>
      <c r="C39" s="7">
        <v>3</v>
      </c>
      <c r="D39" s="7">
        <v>191</v>
      </c>
      <c r="E39" s="123">
        <f>high_SIPA_income!B32</f>
        <v>21549529.598664299</v>
      </c>
      <c r="F39" s="123">
        <f>high_SIPA_income!I32</f>
        <v>134470.98406568301</v>
      </c>
      <c r="G39" s="41">
        <f t="shared" si="4"/>
        <v>21455399.909818321</v>
      </c>
      <c r="H39" s="41"/>
      <c r="I39" s="41"/>
      <c r="J39" s="41">
        <f t="shared" si="6"/>
        <v>82036581.131174713</v>
      </c>
      <c r="K39" s="9"/>
      <c r="L39" s="41"/>
      <c r="M39" s="41">
        <f t="shared" si="5"/>
        <v>337752.34291252168</v>
      </c>
      <c r="N39" s="41"/>
      <c r="O39" s="7"/>
      <c r="P39" s="7"/>
      <c r="Q39" s="41"/>
      <c r="R39" s="41"/>
      <c r="S39" s="41"/>
      <c r="T39" s="7"/>
      <c r="U39" s="7"/>
      <c r="V39" s="41"/>
      <c r="W39" s="41"/>
      <c r="X39" s="41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</row>
    <row r="40" spans="1:64" x14ac:dyDescent="0.2">
      <c r="A40" s="7"/>
      <c r="B40" s="7">
        <v>2022</v>
      </c>
      <c r="C40" s="7">
        <v>4</v>
      </c>
      <c r="D40" s="7">
        <v>192</v>
      </c>
      <c r="E40" s="123">
        <f>high_SIPA_income!B33</f>
        <v>24957274.710528601</v>
      </c>
      <c r="F40" s="123">
        <f>high_SIPA_income!I33</f>
        <v>135126.01848994999</v>
      </c>
      <c r="G40" s="41">
        <f t="shared" si="4"/>
        <v>24862686.497585636</v>
      </c>
      <c r="H40" s="41"/>
      <c r="I40" s="41"/>
      <c r="J40" s="41">
        <f t="shared" si="6"/>
        <v>95064636.714823991</v>
      </c>
      <c r="K40" s="9"/>
      <c r="L40" s="41"/>
      <c r="M40" s="41">
        <f t="shared" si="5"/>
        <v>339397.60053461557</v>
      </c>
      <c r="N40" s="41"/>
      <c r="O40" s="7"/>
      <c r="P40" s="7"/>
      <c r="Q40" s="41"/>
      <c r="R40" s="41"/>
      <c r="S40" s="41"/>
      <c r="T40" s="7"/>
      <c r="U40" s="7"/>
      <c r="V40" s="41"/>
      <c r="W40" s="41"/>
      <c r="X40" s="41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</row>
    <row r="41" spans="1:64" x14ac:dyDescent="0.2">
      <c r="A41" s="119"/>
      <c r="B41" s="119">
        <v>2023</v>
      </c>
      <c r="C41" s="5">
        <v>1</v>
      </c>
      <c r="D41" s="119">
        <v>193</v>
      </c>
      <c r="E41" s="121">
        <f>high_SIPA_income!B34</f>
        <v>22013924.972267799</v>
      </c>
      <c r="F41" s="121">
        <f>high_SIPA_income!I34</f>
        <v>138870.25534937499</v>
      </c>
      <c r="G41" s="8">
        <f t="shared" ref="G41:G72" si="7">E41-F41*0.7</f>
        <v>21916715.793523237</v>
      </c>
      <c r="H41" s="8"/>
      <c r="I41" s="8"/>
      <c r="J41" s="8">
        <f t="shared" si="6"/>
        <v>83800462.395552337</v>
      </c>
      <c r="K41" s="6"/>
      <c r="L41" s="8"/>
      <c r="M41" s="8">
        <f t="shared" si="5"/>
        <v>348802.0440320507</v>
      </c>
      <c r="N41" s="8"/>
      <c r="O41" s="5"/>
      <c r="P41" s="5"/>
      <c r="Q41" s="8"/>
      <c r="R41" s="8"/>
      <c r="S41" s="8"/>
      <c r="T41" s="5"/>
      <c r="U41" s="5"/>
      <c r="V41" s="8"/>
      <c r="W41" s="8"/>
      <c r="X41" s="8"/>
      <c r="Y41" s="119"/>
      <c r="Z41" s="119"/>
      <c r="AA41" s="119"/>
      <c r="AB41" s="119"/>
      <c r="AC41" s="119"/>
      <c r="AD41" s="119"/>
      <c r="AE41" s="119"/>
      <c r="AF41" s="119"/>
      <c r="AG41" s="119"/>
      <c r="AH41" s="119"/>
      <c r="AI41" s="119"/>
      <c r="AJ41" s="119"/>
      <c r="AK41" s="119"/>
      <c r="AL41" s="119"/>
      <c r="AM41" s="119"/>
      <c r="AN41" s="119"/>
      <c r="AO41" s="119"/>
      <c r="AP41" s="119"/>
      <c r="AQ41" s="119"/>
      <c r="AR41" s="119"/>
      <c r="AS41" s="119"/>
      <c r="AT41" s="119"/>
      <c r="AU41" s="119"/>
      <c r="AV41" s="119"/>
      <c r="AW41" s="119"/>
      <c r="AX41" s="119"/>
      <c r="AY41" s="119"/>
      <c r="AZ41" s="119"/>
      <c r="BA41" s="119"/>
      <c r="BB41" s="119"/>
      <c r="BC41" s="119"/>
      <c r="BD41" s="119"/>
      <c r="BE41" s="119"/>
      <c r="BF41" s="119"/>
      <c r="BG41" s="119"/>
      <c r="BH41" s="119"/>
      <c r="BI41" s="119"/>
      <c r="BJ41" s="119"/>
      <c r="BK41" s="119"/>
      <c r="BL41" s="119"/>
    </row>
    <row r="42" spans="1:64" x14ac:dyDescent="0.2">
      <c r="A42" s="7"/>
      <c r="B42" s="7">
        <v>2023</v>
      </c>
      <c r="C42" s="7">
        <v>2</v>
      </c>
      <c r="D42" s="7">
        <v>194</v>
      </c>
      <c r="E42" s="123">
        <f>high_SIPA_income!B35</f>
        <v>25681882.583296701</v>
      </c>
      <c r="F42" s="123">
        <f>high_SIPA_income!I35</f>
        <v>141590.41758257401</v>
      </c>
      <c r="G42" s="41">
        <f t="shared" si="7"/>
        <v>25582769.2909889</v>
      </c>
      <c r="H42" s="41"/>
      <c r="I42" s="41"/>
      <c r="J42" s="41">
        <f t="shared" si="6"/>
        <v>97817935.686201215</v>
      </c>
      <c r="K42" s="9"/>
      <c r="L42" s="41"/>
      <c r="M42" s="41">
        <f t="shared" si="5"/>
        <v>355634.30731731351</v>
      </c>
      <c r="N42" s="41"/>
      <c r="O42" s="7"/>
      <c r="P42" s="7"/>
      <c r="Q42" s="41"/>
      <c r="R42" s="41"/>
      <c r="S42" s="41"/>
      <c r="T42" s="7"/>
      <c r="U42" s="7"/>
      <c r="V42" s="41"/>
      <c r="W42" s="41"/>
      <c r="X42" s="41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</row>
    <row r="43" spans="1:64" x14ac:dyDescent="0.2">
      <c r="A43" s="7"/>
      <c r="B43" s="7">
        <v>2023</v>
      </c>
      <c r="C43" s="7">
        <v>3</v>
      </c>
      <c r="D43" s="7">
        <v>195</v>
      </c>
      <c r="E43" s="123">
        <f>high_SIPA_income!B36</f>
        <v>22577468.258597501</v>
      </c>
      <c r="F43" s="123">
        <f>high_SIPA_income!I36</f>
        <v>147889.99077612199</v>
      </c>
      <c r="G43" s="41">
        <f t="shared" si="7"/>
        <v>22473945.265054215</v>
      </c>
      <c r="H43" s="41"/>
      <c r="I43" s="41"/>
      <c r="J43" s="41">
        <f t="shared" si="6"/>
        <v>85931077.575976625</v>
      </c>
      <c r="K43" s="9"/>
      <c r="L43" s="41"/>
      <c r="M43" s="41">
        <f t="shared" si="5"/>
        <v>371457.01896215777</v>
      </c>
      <c r="N43" s="41"/>
      <c r="O43" s="7"/>
      <c r="P43" s="7"/>
      <c r="Q43" s="41"/>
      <c r="R43" s="41"/>
      <c r="S43" s="41"/>
      <c r="T43" s="7"/>
      <c r="U43" s="7"/>
      <c r="V43" s="41"/>
      <c r="W43" s="41"/>
      <c r="X43" s="41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</row>
    <row r="44" spans="1:64" x14ac:dyDescent="0.2">
      <c r="A44" s="7"/>
      <c r="B44" s="7">
        <v>2023</v>
      </c>
      <c r="C44" s="7">
        <v>4</v>
      </c>
      <c r="D44" s="7">
        <v>196</v>
      </c>
      <c r="E44" s="123">
        <f>high_SIPA_income!B37</f>
        <v>26369676.7312904</v>
      </c>
      <c r="F44" s="123">
        <f>high_SIPA_income!I37</f>
        <v>145909.607320735</v>
      </c>
      <c r="G44" s="41">
        <f t="shared" si="7"/>
        <v>26267540.006165884</v>
      </c>
      <c r="H44" s="41"/>
      <c r="I44" s="41"/>
      <c r="J44" s="41">
        <f t="shared" si="6"/>
        <v>100436215.86592242</v>
      </c>
      <c r="K44" s="9"/>
      <c r="L44" s="41"/>
      <c r="M44" s="41">
        <f t="shared" si="5"/>
        <v>366482.86668261891</v>
      </c>
      <c r="N44" s="41"/>
      <c r="O44" s="7"/>
      <c r="P44" s="7"/>
      <c r="Q44" s="41"/>
      <c r="R44" s="41"/>
      <c r="S44" s="41"/>
      <c r="T44" s="7"/>
      <c r="U44" s="7"/>
      <c r="V44" s="41"/>
      <c r="W44" s="41"/>
      <c r="X44" s="41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</row>
    <row r="45" spans="1:64" x14ac:dyDescent="0.2">
      <c r="A45" s="119"/>
      <c r="B45" s="119">
        <v>2024</v>
      </c>
      <c r="C45" s="5">
        <v>1</v>
      </c>
      <c r="D45" s="119">
        <v>197</v>
      </c>
      <c r="E45" s="121">
        <f>high_SIPA_income!B38</f>
        <v>23472524.407227501</v>
      </c>
      <c r="F45" s="121">
        <f>high_SIPA_income!I38</f>
        <v>144876.778828376</v>
      </c>
      <c r="G45" s="8">
        <f t="shared" si="7"/>
        <v>23371110.662047639</v>
      </c>
      <c r="H45" s="8"/>
      <c r="I45" s="8"/>
      <c r="J45" s="8">
        <f t="shared" si="6"/>
        <v>89361467.230231121</v>
      </c>
      <c r="K45" s="6"/>
      <c r="L45" s="8"/>
      <c r="M45" s="8">
        <f t="shared" si="5"/>
        <v>363888.69928253005</v>
      </c>
      <c r="N45" s="8"/>
      <c r="O45" s="5"/>
      <c r="P45" s="5"/>
      <c r="Q45" s="8"/>
      <c r="R45" s="8"/>
      <c r="S45" s="8"/>
      <c r="T45" s="5"/>
      <c r="U45" s="5"/>
      <c r="V45" s="8"/>
      <c r="W45" s="8"/>
      <c r="X45" s="8"/>
      <c r="Y45" s="119"/>
      <c r="Z45" s="119"/>
      <c r="AA45" s="119"/>
      <c r="AB45" s="119"/>
      <c r="AC45" s="119"/>
      <c r="AD45" s="119"/>
      <c r="AE45" s="119"/>
      <c r="AF45" s="119"/>
      <c r="AG45" s="119"/>
      <c r="AH45" s="119"/>
      <c r="AI45" s="119"/>
      <c r="AJ45" s="119"/>
      <c r="AK45" s="119"/>
      <c r="AL45" s="119"/>
      <c r="AM45" s="119"/>
      <c r="AN45" s="119"/>
      <c r="AO45" s="119"/>
      <c r="AP45" s="119"/>
      <c r="AQ45" s="119"/>
      <c r="AR45" s="119"/>
      <c r="AS45" s="119"/>
      <c r="AT45" s="119"/>
      <c r="AU45" s="119"/>
      <c r="AV45" s="119"/>
      <c r="AW45" s="119"/>
      <c r="AX45" s="119"/>
      <c r="AY45" s="119"/>
      <c r="AZ45" s="119"/>
      <c r="BA45" s="119"/>
      <c r="BB45" s="119"/>
      <c r="BC45" s="119"/>
      <c r="BD45" s="119"/>
      <c r="BE45" s="119"/>
      <c r="BF45" s="119"/>
      <c r="BG45" s="119"/>
      <c r="BH45" s="119"/>
      <c r="BI45" s="119"/>
      <c r="BJ45" s="119"/>
      <c r="BK45" s="119"/>
      <c r="BL45" s="119"/>
    </row>
    <row r="46" spans="1:64" x14ac:dyDescent="0.2">
      <c r="A46" s="7"/>
      <c r="B46" s="7">
        <v>2024</v>
      </c>
      <c r="C46" s="7">
        <v>2</v>
      </c>
      <c r="D46" s="7">
        <v>198</v>
      </c>
      <c r="E46" s="123">
        <f>high_SIPA_income!B39</f>
        <v>27136908.035000801</v>
      </c>
      <c r="F46" s="123">
        <f>high_SIPA_income!I39</f>
        <v>149081.988106479</v>
      </c>
      <c r="G46" s="41">
        <f t="shared" si="7"/>
        <v>27032550.643326268</v>
      </c>
      <c r="H46" s="41"/>
      <c r="I46" s="41"/>
      <c r="J46" s="41">
        <f t="shared" si="6"/>
        <v>103361300.34187758</v>
      </c>
      <c r="K46" s="9"/>
      <c r="L46" s="41"/>
      <c r="M46" s="41">
        <f t="shared" si="5"/>
        <v>374450.97259364824</v>
      </c>
      <c r="N46" s="41"/>
      <c r="O46" s="7"/>
      <c r="P46" s="7"/>
      <c r="Q46" s="41"/>
      <c r="R46" s="41"/>
      <c r="S46" s="41"/>
      <c r="T46" s="7"/>
      <c r="U46" s="7"/>
      <c r="V46" s="41"/>
      <c r="W46" s="41"/>
      <c r="X46" s="41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</row>
    <row r="47" spans="1:64" x14ac:dyDescent="0.2">
      <c r="A47" s="7"/>
      <c r="B47" s="7">
        <v>2024</v>
      </c>
      <c r="C47" s="7">
        <v>3</v>
      </c>
      <c r="D47" s="7">
        <v>199</v>
      </c>
      <c r="E47" s="123">
        <f>high_SIPA_income!B40</f>
        <v>23947925.514002301</v>
      </c>
      <c r="F47" s="123">
        <f>high_SIPA_income!I40</f>
        <v>146925.25375725201</v>
      </c>
      <c r="G47" s="41">
        <f t="shared" si="7"/>
        <v>23845077.836372223</v>
      </c>
      <c r="H47" s="41"/>
      <c r="I47" s="41"/>
      <c r="J47" s="41">
        <f t="shared" si="6"/>
        <v>91173721.800801903</v>
      </c>
      <c r="K47" s="9"/>
      <c r="L47" s="41"/>
      <c r="M47" s="41">
        <f t="shared" si="5"/>
        <v>369033.8777121568</v>
      </c>
      <c r="N47" s="41"/>
      <c r="O47" s="7"/>
      <c r="P47" s="7"/>
      <c r="Q47" s="41"/>
      <c r="R47" s="41"/>
      <c r="S47" s="41"/>
      <c r="T47" s="7"/>
      <c r="U47" s="7"/>
      <c r="V47" s="41"/>
      <c r="W47" s="41"/>
      <c r="X47" s="41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</row>
    <row r="48" spans="1:64" x14ac:dyDescent="0.2">
      <c r="A48" s="7"/>
      <c r="B48" s="7">
        <v>2024</v>
      </c>
      <c r="C48" s="7">
        <v>4</v>
      </c>
      <c r="D48" s="7">
        <v>200</v>
      </c>
      <c r="E48" s="123">
        <f>high_SIPA_income!B41</f>
        <v>28019969.681206498</v>
      </c>
      <c r="F48" s="123">
        <f>high_SIPA_income!I41</f>
        <v>148260.13531661901</v>
      </c>
      <c r="G48" s="41">
        <f t="shared" si="7"/>
        <v>27916187.586484864</v>
      </c>
      <c r="H48" s="41"/>
      <c r="I48" s="41"/>
      <c r="J48" s="41">
        <f t="shared" si="6"/>
        <v>106739962.78036052</v>
      </c>
      <c r="K48" s="9"/>
      <c r="L48" s="41"/>
      <c r="M48" s="41">
        <f t="shared" si="5"/>
        <v>372386.71533225407</v>
      </c>
      <c r="N48" s="41"/>
      <c r="O48" s="7"/>
      <c r="P48" s="7"/>
      <c r="Q48" s="41"/>
      <c r="R48" s="41"/>
      <c r="S48" s="41"/>
      <c r="T48" s="7"/>
      <c r="U48" s="7"/>
      <c r="V48" s="41"/>
      <c r="W48" s="41"/>
      <c r="X48" s="41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</row>
    <row r="49" spans="1:64" x14ac:dyDescent="0.2">
      <c r="A49" s="119"/>
      <c r="B49" s="119">
        <v>2025</v>
      </c>
      <c r="C49" s="5">
        <v>1</v>
      </c>
      <c r="D49" s="119">
        <v>201</v>
      </c>
      <c r="E49" s="121">
        <f>high_SIPA_income!B42</f>
        <v>24882904.627725601</v>
      </c>
      <c r="F49" s="121">
        <f>high_SIPA_income!I42</f>
        <v>149136.46525407099</v>
      </c>
      <c r="G49" s="8">
        <f t="shared" si="7"/>
        <v>24778509.102047753</v>
      </c>
      <c r="H49" s="8"/>
      <c r="I49" s="8"/>
      <c r="J49" s="8">
        <f t="shared" si="6"/>
        <v>94742777.14718692</v>
      </c>
      <c r="K49" s="6"/>
      <c r="L49" s="8"/>
      <c r="M49" s="8">
        <f t="shared" si="5"/>
        <v>374587.80348220188</v>
      </c>
      <c r="N49" s="8"/>
      <c r="O49" s="5"/>
      <c r="P49" s="5"/>
      <c r="Q49" s="8"/>
      <c r="R49" s="8"/>
      <c r="S49" s="8"/>
      <c r="T49" s="5"/>
      <c r="U49" s="5"/>
      <c r="V49" s="8"/>
      <c r="W49" s="8"/>
      <c r="X49" s="8"/>
      <c r="Y49" s="119"/>
      <c r="Z49" s="119"/>
      <c r="AA49" s="119"/>
      <c r="AB49" s="119"/>
      <c r="AC49" s="119"/>
      <c r="AD49" s="119"/>
      <c r="AE49" s="119"/>
      <c r="AF49" s="119"/>
      <c r="AG49" s="119"/>
      <c r="AH49" s="119"/>
      <c r="AI49" s="119"/>
      <c r="AJ49" s="119"/>
      <c r="AK49" s="119"/>
      <c r="AL49" s="119"/>
      <c r="AM49" s="119"/>
      <c r="AN49" s="119"/>
      <c r="AO49" s="119"/>
      <c r="AP49" s="119"/>
      <c r="AQ49" s="119"/>
      <c r="AR49" s="119"/>
      <c r="AS49" s="119"/>
      <c r="AT49" s="119"/>
      <c r="AU49" s="119"/>
      <c r="AV49" s="119"/>
      <c r="AW49" s="119"/>
      <c r="AX49" s="119"/>
      <c r="AY49" s="119"/>
      <c r="AZ49" s="119"/>
      <c r="BA49" s="119"/>
      <c r="BB49" s="119"/>
      <c r="BC49" s="119"/>
      <c r="BD49" s="119"/>
      <c r="BE49" s="119"/>
      <c r="BF49" s="119"/>
      <c r="BG49" s="119"/>
      <c r="BH49" s="119"/>
      <c r="BI49" s="119"/>
      <c r="BJ49" s="119"/>
      <c r="BK49" s="119"/>
      <c r="BL49" s="119"/>
    </row>
    <row r="50" spans="1:64" x14ac:dyDescent="0.2">
      <c r="A50" s="7"/>
      <c r="B50" s="7">
        <v>2025</v>
      </c>
      <c r="C50" s="7">
        <v>2</v>
      </c>
      <c r="D50" s="7">
        <v>202</v>
      </c>
      <c r="E50" s="123">
        <f>high_SIPA_income!B43</f>
        <v>29089643.5178422</v>
      </c>
      <c r="F50" s="123">
        <f>high_SIPA_income!I43</f>
        <v>152790.51827172501</v>
      </c>
      <c r="G50" s="41">
        <f t="shared" si="7"/>
        <v>28982690.155051991</v>
      </c>
      <c r="H50" s="41"/>
      <c r="I50" s="41"/>
      <c r="J50" s="41">
        <f t="shared" si="6"/>
        <v>110817827.7868676</v>
      </c>
      <c r="K50" s="9"/>
      <c r="L50" s="41"/>
      <c r="M50" s="41">
        <f t="shared" si="5"/>
        <v>383765.73116983136</v>
      </c>
      <c r="N50" s="41"/>
      <c r="O50" s="7"/>
      <c r="P50" s="7"/>
      <c r="Q50" s="41"/>
      <c r="R50" s="41"/>
      <c r="S50" s="41"/>
      <c r="T50" s="7"/>
      <c r="U50" s="7"/>
      <c r="V50" s="41"/>
      <c r="W50" s="41"/>
      <c r="X50" s="41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</row>
    <row r="51" spans="1:64" x14ac:dyDescent="0.2">
      <c r="A51" s="7"/>
      <c r="B51" s="7">
        <v>2025</v>
      </c>
      <c r="C51" s="7">
        <v>3</v>
      </c>
      <c r="D51" s="7">
        <v>203</v>
      </c>
      <c r="E51" s="123">
        <f>high_SIPA_income!B44</f>
        <v>25822973.774945699</v>
      </c>
      <c r="F51" s="123">
        <f>high_SIPA_income!I44</f>
        <v>147134.90654442299</v>
      </c>
      <c r="G51" s="41">
        <f t="shared" si="7"/>
        <v>25719979.340364601</v>
      </c>
      <c r="H51" s="41"/>
      <c r="I51" s="41"/>
      <c r="J51" s="41">
        <f t="shared" si="6"/>
        <v>98342570.20221746</v>
      </c>
      <c r="K51" s="9"/>
      <c r="L51" s="41"/>
      <c r="M51" s="41">
        <f t="shared" si="5"/>
        <v>369560.46506895457</v>
      </c>
      <c r="N51" s="41"/>
      <c r="O51" s="7"/>
      <c r="P51" s="7"/>
      <c r="Q51" s="41"/>
      <c r="R51" s="41"/>
      <c r="S51" s="41"/>
      <c r="T51" s="7"/>
      <c r="U51" s="7"/>
      <c r="V51" s="41"/>
      <c r="W51" s="41"/>
      <c r="X51" s="41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</row>
    <row r="52" spans="1:64" x14ac:dyDescent="0.2">
      <c r="A52" s="7"/>
      <c r="B52" s="7">
        <v>2025</v>
      </c>
      <c r="C52" s="7">
        <v>4</v>
      </c>
      <c r="D52" s="7">
        <v>204</v>
      </c>
      <c r="E52" s="123">
        <f>high_SIPA_income!B45</f>
        <v>29926354.730582301</v>
      </c>
      <c r="F52" s="123">
        <f>high_SIPA_income!I45</f>
        <v>148034.937033247</v>
      </c>
      <c r="G52" s="41">
        <f t="shared" si="7"/>
        <v>29822730.274659026</v>
      </c>
      <c r="H52" s="41"/>
      <c r="I52" s="41"/>
      <c r="J52" s="41">
        <f t="shared" si="6"/>
        <v>114029793.99189034</v>
      </c>
      <c r="K52" s="9"/>
      <c r="L52" s="41"/>
      <c r="M52" s="41">
        <f t="shared" si="5"/>
        <v>371821.08217089029</v>
      </c>
      <c r="N52" s="41"/>
      <c r="O52" s="7"/>
      <c r="P52" s="7"/>
      <c r="Q52" s="41"/>
      <c r="R52" s="41"/>
      <c r="S52" s="41"/>
      <c r="T52" s="7"/>
      <c r="U52" s="7"/>
      <c r="V52" s="41"/>
      <c r="W52" s="41"/>
      <c r="X52" s="41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</row>
    <row r="53" spans="1:64" x14ac:dyDescent="0.2">
      <c r="A53" s="119"/>
      <c r="B53" s="119">
        <v>2026</v>
      </c>
      <c r="C53" s="5">
        <v>1</v>
      </c>
      <c r="D53" s="119">
        <v>205</v>
      </c>
      <c r="E53" s="121">
        <f>high_SIPA_income!B46</f>
        <v>26380995.169767302</v>
      </c>
      <c r="F53" s="121">
        <f>high_SIPA_income!I46</f>
        <v>146226.470725035</v>
      </c>
      <c r="G53" s="8">
        <f t="shared" si="7"/>
        <v>26278636.640259776</v>
      </c>
      <c r="H53" s="8"/>
      <c r="I53" s="8"/>
      <c r="J53" s="8">
        <f t="shared" si="6"/>
        <v>100478644.80814455</v>
      </c>
      <c r="K53" s="6"/>
      <c r="L53" s="8"/>
      <c r="M53" s="8">
        <f t="shared" si="5"/>
        <v>367278.73619996611</v>
      </c>
      <c r="N53" s="8"/>
      <c r="O53" s="5"/>
      <c r="P53" s="5"/>
      <c r="Q53" s="8"/>
      <c r="R53" s="8"/>
      <c r="S53" s="8"/>
      <c r="T53" s="5"/>
      <c r="U53" s="5"/>
      <c r="V53" s="8"/>
      <c r="W53" s="8"/>
      <c r="X53" s="8"/>
      <c r="Y53" s="119"/>
      <c r="Z53" s="119"/>
      <c r="AA53" s="119"/>
      <c r="AB53" s="119"/>
      <c r="AC53" s="119"/>
      <c r="AD53" s="119"/>
      <c r="AE53" s="119"/>
      <c r="AF53" s="119"/>
      <c r="AG53" s="119"/>
      <c r="AH53" s="119"/>
      <c r="AI53" s="119"/>
      <c r="AJ53" s="119"/>
      <c r="AK53" s="119"/>
      <c r="AL53" s="119"/>
      <c r="AM53" s="119"/>
      <c r="AN53" s="119"/>
      <c r="AO53" s="119"/>
      <c r="AP53" s="119"/>
      <c r="AQ53" s="119"/>
      <c r="AR53" s="119"/>
      <c r="AS53" s="119"/>
      <c r="AT53" s="119"/>
      <c r="AU53" s="119"/>
      <c r="AV53" s="119"/>
      <c r="AW53" s="119"/>
      <c r="AX53" s="119"/>
      <c r="AY53" s="119"/>
      <c r="AZ53" s="119"/>
      <c r="BA53" s="119"/>
      <c r="BB53" s="119"/>
      <c r="BC53" s="119"/>
      <c r="BD53" s="119"/>
      <c r="BE53" s="119"/>
      <c r="BF53" s="119"/>
      <c r="BG53" s="119"/>
      <c r="BH53" s="119"/>
      <c r="BI53" s="119"/>
      <c r="BJ53" s="119"/>
      <c r="BK53" s="119"/>
      <c r="BL53" s="119"/>
    </row>
    <row r="54" spans="1:64" x14ac:dyDescent="0.2">
      <c r="A54" s="7"/>
      <c r="B54" s="7">
        <v>2026</v>
      </c>
      <c r="C54" s="7">
        <v>2</v>
      </c>
      <c r="D54" s="7">
        <v>206</v>
      </c>
      <c r="E54" s="123">
        <f>high_SIPA_income!B47</f>
        <v>30511696.8074647</v>
      </c>
      <c r="F54" s="123">
        <f>high_SIPA_income!I47</f>
        <v>149419.54345712901</v>
      </c>
      <c r="G54" s="41">
        <f t="shared" si="7"/>
        <v>30407103.127044711</v>
      </c>
      <c r="H54" s="41"/>
      <c r="I54" s="41"/>
      <c r="J54" s="41">
        <f t="shared" si="6"/>
        <v>116264194.24157555</v>
      </c>
      <c r="K54" s="9"/>
      <c r="L54" s="41"/>
      <c r="M54" s="41">
        <f t="shared" si="5"/>
        <v>375298.81431457301</v>
      </c>
      <c r="N54" s="41"/>
      <c r="O54" s="7"/>
      <c r="P54" s="7"/>
      <c r="Q54" s="41"/>
      <c r="R54" s="41"/>
      <c r="S54" s="41"/>
      <c r="T54" s="7"/>
      <c r="U54" s="7"/>
      <c r="V54" s="41"/>
      <c r="W54" s="41"/>
      <c r="X54" s="41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</row>
    <row r="55" spans="1:64" x14ac:dyDescent="0.2">
      <c r="A55" s="7"/>
      <c r="B55" s="7">
        <v>2026</v>
      </c>
      <c r="C55" s="7">
        <v>3</v>
      </c>
      <c r="D55" s="7">
        <v>207</v>
      </c>
      <c r="E55" s="123">
        <f>high_SIPA_income!B48</f>
        <v>26864788.207669299</v>
      </c>
      <c r="F55" s="123">
        <f>high_SIPA_income!I48</f>
        <v>153646.98223771801</v>
      </c>
      <c r="G55" s="41">
        <f t="shared" si="7"/>
        <v>26757235.320102897</v>
      </c>
      <c r="H55" s="41"/>
      <c r="I55" s="41"/>
      <c r="J55" s="41">
        <f t="shared" si="6"/>
        <v>102308608.34148592</v>
      </c>
      <c r="K55" s="9"/>
      <c r="L55" s="41"/>
      <c r="M55" s="41">
        <f t="shared" si="5"/>
        <v>385916.92172699264</v>
      </c>
      <c r="N55" s="41"/>
      <c r="O55" s="7"/>
      <c r="P55" s="7"/>
      <c r="Q55" s="41"/>
      <c r="R55" s="41"/>
      <c r="S55" s="41"/>
      <c r="T55" s="7"/>
      <c r="U55" s="7"/>
      <c r="V55" s="41"/>
      <c r="W55" s="41"/>
      <c r="X55" s="41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</row>
    <row r="56" spans="1:64" x14ac:dyDescent="0.2">
      <c r="A56" s="7"/>
      <c r="B56" s="7">
        <v>2026</v>
      </c>
      <c r="C56" s="7">
        <v>4</v>
      </c>
      <c r="D56" s="7">
        <v>208</v>
      </c>
      <c r="E56" s="123">
        <f>high_SIPA_income!B49</f>
        <v>31273913.9515264</v>
      </c>
      <c r="F56" s="123">
        <f>high_SIPA_income!I49</f>
        <v>152616.39447532699</v>
      </c>
      <c r="G56" s="41">
        <f t="shared" si="7"/>
        <v>31167082.475393672</v>
      </c>
      <c r="H56" s="41"/>
      <c r="I56" s="41"/>
      <c r="J56" s="41">
        <f t="shared" si="6"/>
        <v>119170041.1486899</v>
      </c>
      <c r="K56" s="9"/>
      <c r="L56" s="41"/>
      <c r="M56" s="41">
        <f t="shared" si="5"/>
        <v>383328.382394563</v>
      </c>
      <c r="N56" s="41"/>
      <c r="O56" s="7"/>
      <c r="P56" s="7"/>
      <c r="Q56" s="41"/>
      <c r="R56" s="41"/>
      <c r="S56" s="41"/>
      <c r="T56" s="7"/>
      <c r="U56" s="7"/>
      <c r="V56" s="41"/>
      <c r="W56" s="41"/>
      <c r="X56" s="41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</row>
    <row r="57" spans="1:64" x14ac:dyDescent="0.2">
      <c r="A57" s="119"/>
      <c r="B57" s="119">
        <v>2027</v>
      </c>
      <c r="C57" s="5">
        <v>1</v>
      </c>
      <c r="D57" s="119">
        <v>209</v>
      </c>
      <c r="E57" s="121">
        <f>high_SIPA_income!B50</f>
        <v>27507274.438379399</v>
      </c>
      <c r="F57" s="121">
        <f>high_SIPA_income!I50</f>
        <v>155412.748528856</v>
      </c>
      <c r="G57" s="8">
        <f t="shared" si="7"/>
        <v>27398485.514409199</v>
      </c>
      <c r="H57" s="8"/>
      <c r="I57" s="8"/>
      <c r="J57" s="8">
        <f t="shared" si="6"/>
        <v>104760484.03766054</v>
      </c>
      <c r="K57" s="6"/>
      <c r="L57" s="8"/>
      <c r="M57" s="8">
        <f t="shared" si="5"/>
        <v>390352.0175657834</v>
      </c>
      <c r="N57" s="8"/>
      <c r="O57" s="5"/>
      <c r="P57" s="5"/>
      <c r="Q57" s="8"/>
      <c r="R57" s="8"/>
      <c r="S57" s="8"/>
      <c r="T57" s="5"/>
      <c r="U57" s="5"/>
      <c r="V57" s="8"/>
      <c r="W57" s="8"/>
      <c r="X57" s="8"/>
      <c r="Y57" s="119"/>
      <c r="Z57" s="119"/>
      <c r="AA57" s="119"/>
      <c r="AB57" s="119"/>
      <c r="AC57" s="119"/>
      <c r="AD57" s="119"/>
      <c r="AE57" s="119"/>
      <c r="AF57" s="119"/>
      <c r="AG57" s="119"/>
      <c r="AH57" s="119"/>
      <c r="AI57" s="119"/>
      <c r="AJ57" s="119"/>
      <c r="AK57" s="119"/>
      <c r="AL57" s="119"/>
      <c r="AM57" s="119"/>
      <c r="AN57" s="119"/>
      <c r="AO57" s="119"/>
      <c r="AP57" s="119"/>
      <c r="AQ57" s="119"/>
      <c r="AR57" s="119"/>
      <c r="AS57" s="119"/>
      <c r="AT57" s="119"/>
      <c r="AU57" s="119"/>
      <c r="AV57" s="119"/>
      <c r="AW57" s="119"/>
      <c r="AX57" s="119"/>
      <c r="AY57" s="119"/>
      <c r="AZ57" s="119"/>
      <c r="BA57" s="119"/>
      <c r="BB57" s="119"/>
      <c r="BC57" s="119"/>
      <c r="BD57" s="119"/>
      <c r="BE57" s="119"/>
      <c r="BF57" s="119"/>
      <c r="BG57" s="119"/>
      <c r="BH57" s="119"/>
      <c r="BI57" s="119"/>
      <c r="BJ57" s="119"/>
      <c r="BK57" s="119"/>
      <c r="BL57" s="119"/>
    </row>
    <row r="58" spans="1:64" x14ac:dyDescent="0.2">
      <c r="A58" s="7"/>
      <c r="B58" s="7">
        <v>2027</v>
      </c>
      <c r="C58" s="7">
        <v>2</v>
      </c>
      <c r="D58" s="7">
        <v>210</v>
      </c>
      <c r="E58" s="123">
        <f>high_SIPA_income!B51</f>
        <v>31899087.155240402</v>
      </c>
      <c r="F58" s="123">
        <f>high_SIPA_income!I51</f>
        <v>155255.488579011</v>
      </c>
      <c r="G58" s="41">
        <f t="shared" si="7"/>
        <v>31790408.313235093</v>
      </c>
      <c r="H58" s="41"/>
      <c r="I58" s="41"/>
      <c r="J58" s="41">
        <f t="shared" si="6"/>
        <v>121553381.51438659</v>
      </c>
      <c r="K58" s="9"/>
      <c r="L58" s="41"/>
      <c r="M58" s="41">
        <f t="shared" si="5"/>
        <v>389957.02591107436</v>
      </c>
      <c r="N58" s="41"/>
      <c r="O58" s="7"/>
      <c r="P58" s="7"/>
      <c r="Q58" s="41"/>
      <c r="R58" s="41"/>
      <c r="S58" s="41"/>
      <c r="T58" s="7"/>
      <c r="U58" s="7"/>
      <c r="V58" s="41"/>
      <c r="W58" s="41"/>
      <c r="X58" s="41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</row>
    <row r="59" spans="1:64" x14ac:dyDescent="0.2">
      <c r="A59" s="7"/>
      <c r="B59" s="7">
        <v>2027</v>
      </c>
      <c r="C59" s="7">
        <v>3</v>
      </c>
      <c r="D59" s="7">
        <v>211</v>
      </c>
      <c r="E59" s="123">
        <f>high_SIPA_income!B52</f>
        <v>28028164.299031999</v>
      </c>
      <c r="F59" s="123">
        <f>high_SIPA_income!I52</f>
        <v>155024.94463541001</v>
      </c>
      <c r="G59" s="41">
        <f t="shared" si="7"/>
        <v>27919646.837787211</v>
      </c>
      <c r="H59" s="41"/>
      <c r="I59" s="41"/>
      <c r="J59" s="41">
        <f t="shared" si="6"/>
        <v>106753189.52753423</v>
      </c>
      <c r="K59" s="9"/>
      <c r="L59" s="41"/>
      <c r="M59" s="41">
        <f t="shared" si="5"/>
        <v>389377.96599241201</v>
      </c>
      <c r="N59" s="41"/>
      <c r="O59" s="7"/>
      <c r="P59" s="7"/>
      <c r="Q59" s="41"/>
      <c r="R59" s="41"/>
      <c r="S59" s="41"/>
      <c r="T59" s="7"/>
      <c r="U59" s="7"/>
      <c r="V59" s="41"/>
      <c r="W59" s="41"/>
      <c r="X59" s="41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</row>
    <row r="60" spans="1:64" x14ac:dyDescent="0.2">
      <c r="A60" s="7"/>
      <c r="B60" s="7">
        <v>2027</v>
      </c>
      <c r="C60" s="7">
        <v>4</v>
      </c>
      <c r="D60" s="7">
        <v>212</v>
      </c>
      <c r="E60" s="123">
        <f>high_SIPA_income!B53</f>
        <v>32728178.484482002</v>
      </c>
      <c r="F60" s="123">
        <f>high_SIPA_income!I53</f>
        <v>152127.54269902399</v>
      </c>
      <c r="G60" s="41">
        <f t="shared" si="7"/>
        <v>32621689.204592686</v>
      </c>
      <c r="H60" s="41"/>
      <c r="I60" s="41"/>
      <c r="J60" s="41">
        <f t="shared" si="6"/>
        <v>124731856.05102037</v>
      </c>
      <c r="K60" s="9"/>
      <c r="L60" s="41"/>
      <c r="M60" s="41">
        <f t="shared" si="5"/>
        <v>382100.52767236781</v>
      </c>
      <c r="N60" s="41"/>
      <c r="O60" s="7"/>
      <c r="P60" s="7"/>
      <c r="Q60" s="41"/>
      <c r="R60" s="41"/>
      <c r="S60" s="41"/>
      <c r="T60" s="7"/>
      <c r="U60" s="7"/>
      <c r="V60" s="41"/>
      <c r="W60" s="41"/>
      <c r="X60" s="41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</row>
    <row r="61" spans="1:64" x14ac:dyDescent="0.2">
      <c r="A61" s="119"/>
      <c r="B61" s="119">
        <v>2028</v>
      </c>
      <c r="C61" s="5">
        <v>1</v>
      </c>
      <c r="D61" s="119">
        <v>213</v>
      </c>
      <c r="E61" s="121">
        <f>high_SIPA_income!B54</f>
        <v>28755793.211425401</v>
      </c>
      <c r="F61" s="121">
        <f>high_SIPA_income!I54</f>
        <v>156771.33205447401</v>
      </c>
      <c r="G61" s="8">
        <f t="shared" si="7"/>
        <v>28646053.27898727</v>
      </c>
      <c r="H61" s="8"/>
      <c r="I61" s="8"/>
      <c r="J61" s="8">
        <f t="shared" si="6"/>
        <v>109530667.51434381</v>
      </c>
      <c r="K61" s="6"/>
      <c r="L61" s="8"/>
      <c r="M61" s="8">
        <f t="shared" si="5"/>
        <v>393764.38769163674</v>
      </c>
      <c r="N61" s="8"/>
      <c r="O61" s="5"/>
      <c r="P61" s="5"/>
      <c r="Q61" s="8"/>
      <c r="R61" s="8"/>
      <c r="S61" s="8"/>
      <c r="T61" s="5"/>
      <c r="U61" s="5"/>
      <c r="V61" s="8"/>
      <c r="W61" s="8"/>
      <c r="X61" s="8"/>
      <c r="Y61" s="119"/>
      <c r="Z61" s="119"/>
      <c r="AA61" s="119"/>
      <c r="AB61" s="119"/>
      <c r="AC61" s="119"/>
      <c r="AD61" s="119"/>
      <c r="AE61" s="119"/>
      <c r="AF61" s="119"/>
      <c r="AG61" s="119"/>
      <c r="AH61" s="119"/>
      <c r="AI61" s="119"/>
      <c r="AJ61" s="119"/>
      <c r="AK61" s="119"/>
      <c r="AL61" s="119"/>
      <c r="AM61" s="119"/>
      <c r="AN61" s="119"/>
      <c r="AO61" s="119"/>
      <c r="AP61" s="119"/>
      <c r="AQ61" s="119"/>
      <c r="AR61" s="119"/>
      <c r="AS61" s="119"/>
      <c r="AT61" s="119"/>
      <c r="AU61" s="119"/>
      <c r="AV61" s="119"/>
      <c r="AW61" s="119"/>
      <c r="AX61" s="119"/>
      <c r="AY61" s="119"/>
      <c r="AZ61" s="119"/>
      <c r="BA61" s="119"/>
      <c r="BB61" s="119"/>
      <c r="BC61" s="119"/>
      <c r="BD61" s="119"/>
      <c r="BE61" s="119"/>
      <c r="BF61" s="119"/>
      <c r="BG61" s="119"/>
      <c r="BH61" s="119"/>
      <c r="BI61" s="119"/>
      <c r="BJ61" s="119"/>
      <c r="BK61" s="119"/>
      <c r="BL61" s="119"/>
    </row>
    <row r="62" spans="1:64" x14ac:dyDescent="0.2">
      <c r="A62" s="7"/>
      <c r="B62" s="7">
        <v>2028</v>
      </c>
      <c r="C62" s="7">
        <v>2</v>
      </c>
      <c r="D62" s="7">
        <v>214</v>
      </c>
      <c r="E62" s="123">
        <f>high_SIPA_income!B55</f>
        <v>33215625.4752976</v>
      </c>
      <c r="F62" s="123">
        <f>high_SIPA_income!I55</f>
        <v>162194.16599941201</v>
      </c>
      <c r="G62" s="41">
        <f t="shared" si="7"/>
        <v>33102089.559098013</v>
      </c>
      <c r="H62" s="41"/>
      <c r="I62" s="41"/>
      <c r="J62" s="41">
        <f t="shared" si="6"/>
        <v>126568708.4435869</v>
      </c>
      <c r="K62" s="9"/>
      <c r="L62" s="41"/>
      <c r="M62" s="41">
        <f t="shared" si="5"/>
        <v>407384.983114912</v>
      </c>
      <c r="N62" s="41"/>
      <c r="O62" s="7"/>
      <c r="P62" s="7"/>
      <c r="Q62" s="41"/>
      <c r="R62" s="41"/>
      <c r="S62" s="41"/>
      <c r="T62" s="7"/>
      <c r="U62" s="7"/>
      <c r="V62" s="41"/>
      <c r="W62" s="41"/>
      <c r="X62" s="41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</row>
    <row r="63" spans="1:64" x14ac:dyDescent="0.2">
      <c r="A63" s="7"/>
      <c r="B63" s="7">
        <v>2028</v>
      </c>
      <c r="C63" s="7">
        <v>3</v>
      </c>
      <c r="D63" s="7">
        <v>215</v>
      </c>
      <c r="E63" s="123">
        <f>high_SIPA_income!B56</f>
        <v>29317667.460952599</v>
      </c>
      <c r="F63" s="123">
        <f>high_SIPA_income!I56</f>
        <v>162918.23667881201</v>
      </c>
      <c r="G63" s="41">
        <f t="shared" si="7"/>
        <v>29203624.69527743</v>
      </c>
      <c r="H63" s="41"/>
      <c r="I63" s="41"/>
      <c r="J63" s="41">
        <f t="shared" si="6"/>
        <v>111662590.15019177</v>
      </c>
      <c r="K63" s="9"/>
      <c r="L63" s="41"/>
      <c r="M63" s="41">
        <f t="shared" si="5"/>
        <v>409203.6399061954</v>
      </c>
      <c r="N63" s="41"/>
      <c r="O63" s="7"/>
      <c r="P63" s="7"/>
      <c r="Q63" s="41"/>
      <c r="R63" s="41"/>
      <c r="S63" s="41"/>
      <c r="T63" s="7"/>
      <c r="U63" s="7"/>
      <c r="V63" s="41"/>
      <c r="W63" s="41"/>
      <c r="X63" s="41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</row>
    <row r="64" spans="1:64" x14ac:dyDescent="0.2">
      <c r="A64" s="7"/>
      <c r="B64" s="7">
        <v>2028</v>
      </c>
      <c r="C64" s="7">
        <v>4</v>
      </c>
      <c r="D64" s="7">
        <v>216</v>
      </c>
      <c r="E64" s="123">
        <f>high_SIPA_income!B57</f>
        <v>34056547.971006498</v>
      </c>
      <c r="F64" s="123">
        <f>high_SIPA_income!I57</f>
        <v>160621.24116093101</v>
      </c>
      <c r="G64" s="41">
        <f t="shared" si="7"/>
        <v>33944113.102193847</v>
      </c>
      <c r="H64" s="41"/>
      <c r="I64" s="41"/>
      <c r="J64" s="41">
        <f t="shared" si="6"/>
        <v>129788258.44022574</v>
      </c>
      <c r="K64" s="9"/>
      <c r="L64" s="41"/>
      <c r="M64" s="41">
        <f t="shared" si="5"/>
        <v>403434.24940746208</v>
      </c>
      <c r="N64" s="41"/>
      <c r="O64" s="7"/>
      <c r="P64" s="7"/>
      <c r="Q64" s="41"/>
      <c r="R64" s="41"/>
      <c r="S64" s="41"/>
      <c r="T64" s="7"/>
      <c r="U64" s="7"/>
      <c r="V64" s="41"/>
      <c r="W64" s="41"/>
      <c r="X64" s="41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</row>
    <row r="65" spans="1:64" x14ac:dyDescent="0.2">
      <c r="A65" s="119"/>
      <c r="B65" s="119">
        <v>2029</v>
      </c>
      <c r="C65" s="5">
        <v>1</v>
      </c>
      <c r="D65" s="119">
        <v>217</v>
      </c>
      <c r="E65" s="121">
        <f>high_SIPA_income!B58</f>
        <v>30015438.835850701</v>
      </c>
      <c r="F65" s="121">
        <f>high_SIPA_income!I58</f>
        <v>165654.539890883</v>
      </c>
      <c r="G65" s="8">
        <f t="shared" si="7"/>
        <v>29899480.657927081</v>
      </c>
      <c r="H65" s="8"/>
      <c r="I65" s="8"/>
      <c r="J65" s="8">
        <f t="shared" si="6"/>
        <v>114323255.73440194</v>
      </c>
      <c r="K65" s="6"/>
      <c r="L65" s="8"/>
      <c r="M65" s="8">
        <f t="shared" si="5"/>
        <v>416076.44467681122</v>
      </c>
      <c r="N65" s="8"/>
      <c r="O65" s="5"/>
      <c r="P65" s="5"/>
      <c r="Q65" s="8"/>
      <c r="R65" s="8"/>
      <c r="S65" s="8"/>
      <c r="T65" s="5"/>
      <c r="U65" s="5"/>
      <c r="V65" s="8"/>
      <c r="W65" s="8"/>
      <c r="X65" s="8"/>
      <c r="Y65" s="119"/>
      <c r="Z65" s="119"/>
      <c r="AA65" s="119"/>
      <c r="AB65" s="119"/>
      <c r="AC65" s="119"/>
      <c r="AD65" s="119"/>
      <c r="AE65" s="119"/>
      <c r="AF65" s="119"/>
      <c r="AG65" s="119"/>
      <c r="AH65" s="119"/>
      <c r="AI65" s="119"/>
      <c r="AJ65" s="119"/>
      <c r="AK65" s="119"/>
      <c r="AL65" s="119"/>
      <c r="AM65" s="119"/>
      <c r="AN65" s="119"/>
      <c r="AO65" s="119"/>
      <c r="AP65" s="119"/>
      <c r="AQ65" s="119"/>
      <c r="AR65" s="119"/>
      <c r="AS65" s="119"/>
      <c r="AT65" s="119"/>
      <c r="AU65" s="119"/>
      <c r="AV65" s="119"/>
      <c r="AW65" s="119"/>
      <c r="AX65" s="119"/>
      <c r="AY65" s="119"/>
      <c r="AZ65" s="119"/>
      <c r="BA65" s="119"/>
      <c r="BB65" s="119"/>
      <c r="BC65" s="119"/>
      <c r="BD65" s="119"/>
      <c r="BE65" s="119"/>
      <c r="BF65" s="119"/>
      <c r="BG65" s="119"/>
      <c r="BH65" s="119"/>
      <c r="BI65" s="119"/>
      <c r="BJ65" s="119"/>
      <c r="BK65" s="119"/>
      <c r="BL65" s="119"/>
    </row>
    <row r="66" spans="1:64" x14ac:dyDescent="0.2">
      <c r="A66" s="7"/>
      <c r="B66" s="7">
        <v>2029</v>
      </c>
      <c r="C66" s="7">
        <v>2</v>
      </c>
      <c r="D66" s="7">
        <v>218</v>
      </c>
      <c r="E66" s="123">
        <f>high_SIPA_income!B59</f>
        <v>35182913.569012702</v>
      </c>
      <c r="F66" s="123">
        <f>high_SIPA_income!I59</f>
        <v>162834.05304041901</v>
      </c>
      <c r="G66" s="41">
        <f t="shared" si="7"/>
        <v>35068929.731884405</v>
      </c>
      <c r="H66" s="41"/>
      <c r="I66" s="41"/>
      <c r="J66" s="41">
        <f t="shared" si="6"/>
        <v>134089092.31361708</v>
      </c>
      <c r="K66" s="9"/>
      <c r="L66" s="41"/>
      <c r="M66" s="41">
        <f t="shared" si="5"/>
        <v>408992.19487736857</v>
      </c>
      <c r="N66" s="41"/>
      <c r="O66" s="7"/>
      <c r="P66" s="7"/>
      <c r="Q66" s="41"/>
      <c r="R66" s="41"/>
      <c r="S66" s="41"/>
      <c r="T66" s="7"/>
      <c r="U66" s="7"/>
      <c r="V66" s="41"/>
      <c r="W66" s="41"/>
      <c r="X66" s="41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</row>
    <row r="67" spans="1:64" x14ac:dyDescent="0.2">
      <c r="A67" s="7"/>
      <c r="B67" s="7">
        <v>2029</v>
      </c>
      <c r="C67" s="7">
        <v>3</v>
      </c>
      <c r="D67" s="7">
        <v>219</v>
      </c>
      <c r="E67" s="123">
        <f>high_SIPA_income!B60</f>
        <v>30890532.4763312</v>
      </c>
      <c r="F67" s="123">
        <f>high_SIPA_income!I60</f>
        <v>167137.334175383</v>
      </c>
      <c r="G67" s="41">
        <f t="shared" si="7"/>
        <v>30773536.342408434</v>
      </c>
      <c r="H67" s="41"/>
      <c r="I67" s="41"/>
      <c r="J67" s="41">
        <f t="shared" si="6"/>
        <v>117665283.39990847</v>
      </c>
      <c r="K67" s="9"/>
      <c r="L67" s="41"/>
      <c r="M67" s="41">
        <f t="shared" ref="M67:M98" si="8">F67*2.511711692</f>
        <v>419800.79641802068</v>
      </c>
      <c r="N67" s="41"/>
      <c r="O67" s="7"/>
      <c r="P67" s="7"/>
      <c r="Q67" s="41"/>
      <c r="R67" s="41"/>
      <c r="S67" s="41"/>
      <c r="T67" s="7"/>
      <c r="U67" s="7"/>
      <c r="V67" s="41"/>
      <c r="W67" s="41"/>
      <c r="X67" s="41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</row>
    <row r="68" spans="1:64" x14ac:dyDescent="0.2">
      <c r="A68" s="7"/>
      <c r="B68" s="7">
        <v>2029</v>
      </c>
      <c r="C68" s="7">
        <v>4</v>
      </c>
      <c r="D68" s="7">
        <v>220</v>
      </c>
      <c r="E68" s="123">
        <f>high_SIPA_income!B61</f>
        <v>35874429.2168293</v>
      </c>
      <c r="F68" s="123">
        <f>high_SIPA_income!I61</f>
        <v>164648.70943682501</v>
      </c>
      <c r="G68" s="41">
        <f t="shared" si="7"/>
        <v>35759175.120223522</v>
      </c>
      <c r="H68" s="41"/>
      <c r="I68" s="41"/>
      <c r="J68" s="41">
        <f t="shared" ref="J68:J99" si="9">G68*3.8235866717</f>
        <v>136728305.3806729</v>
      </c>
      <c r="K68" s="9"/>
      <c r="L68" s="41"/>
      <c r="M68" s="41">
        <f t="shared" si="8"/>
        <v>413550.08856518409</v>
      </c>
      <c r="N68" s="41"/>
      <c r="O68" s="7"/>
      <c r="P68" s="7"/>
      <c r="Q68" s="41"/>
      <c r="R68" s="41"/>
      <c r="S68" s="41"/>
      <c r="T68" s="7"/>
      <c r="U68" s="7"/>
      <c r="V68" s="41"/>
      <c r="W68" s="41"/>
      <c r="X68" s="41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</row>
    <row r="69" spans="1:64" x14ac:dyDescent="0.2">
      <c r="A69" s="119"/>
      <c r="B69" s="119">
        <v>2030</v>
      </c>
      <c r="C69" s="5">
        <v>1</v>
      </c>
      <c r="D69" s="119">
        <v>221</v>
      </c>
      <c r="E69" s="121">
        <f>high_SIPA_income!B62</f>
        <v>31348337.903726202</v>
      </c>
      <c r="F69" s="121">
        <f>high_SIPA_income!I62</f>
        <v>176385.55643687499</v>
      </c>
      <c r="G69" s="8">
        <f t="shared" si="7"/>
        <v>31224868.01422039</v>
      </c>
      <c r="H69" s="8"/>
      <c r="I69" s="8"/>
      <c r="J69" s="8">
        <f t="shared" si="9"/>
        <v>119390989.16476473</v>
      </c>
      <c r="K69" s="6"/>
      <c r="L69" s="8"/>
      <c r="M69" s="8">
        <f t="shared" si="8"/>
        <v>443029.66440242477</v>
      </c>
      <c r="N69" s="8"/>
      <c r="O69" s="5"/>
      <c r="P69" s="5"/>
      <c r="Q69" s="8"/>
      <c r="R69" s="8"/>
      <c r="S69" s="8"/>
      <c r="T69" s="5"/>
      <c r="U69" s="5"/>
      <c r="V69" s="8"/>
      <c r="W69" s="8"/>
      <c r="X69" s="8"/>
      <c r="Y69" s="119"/>
      <c r="Z69" s="119"/>
      <c r="AA69" s="119"/>
      <c r="AB69" s="119"/>
      <c r="AC69" s="119"/>
      <c r="AD69" s="119"/>
      <c r="AE69" s="119"/>
      <c r="AF69" s="119"/>
      <c r="AG69" s="119"/>
      <c r="AH69" s="119"/>
      <c r="AI69" s="119"/>
      <c r="AJ69" s="119"/>
      <c r="AK69" s="119"/>
      <c r="AL69" s="119"/>
      <c r="AM69" s="119"/>
      <c r="AN69" s="119"/>
      <c r="AO69" s="119"/>
      <c r="AP69" s="119"/>
      <c r="AQ69" s="119"/>
      <c r="AR69" s="119"/>
      <c r="AS69" s="119"/>
      <c r="AT69" s="119"/>
      <c r="AU69" s="119"/>
      <c r="AV69" s="119"/>
      <c r="AW69" s="119"/>
      <c r="AX69" s="119"/>
      <c r="AY69" s="119"/>
      <c r="AZ69" s="119"/>
      <c r="BA69" s="119"/>
      <c r="BB69" s="119"/>
      <c r="BC69" s="119"/>
      <c r="BD69" s="119"/>
      <c r="BE69" s="119"/>
      <c r="BF69" s="119"/>
      <c r="BG69" s="119"/>
      <c r="BH69" s="119"/>
      <c r="BI69" s="119"/>
      <c r="BJ69" s="119"/>
      <c r="BK69" s="119"/>
      <c r="BL69" s="119"/>
    </row>
    <row r="70" spans="1:64" x14ac:dyDescent="0.2">
      <c r="A70" s="7"/>
      <c r="B70" s="7">
        <v>2030</v>
      </c>
      <c r="C70" s="7">
        <v>2</v>
      </c>
      <c r="D70" s="7">
        <v>222</v>
      </c>
      <c r="E70" s="123">
        <f>high_SIPA_income!B63</f>
        <v>36448250.157268196</v>
      </c>
      <c r="F70" s="123">
        <f>high_SIPA_income!I63</f>
        <v>170828.78746726699</v>
      </c>
      <c r="G70" s="41">
        <f t="shared" si="7"/>
        <v>36328670.00604111</v>
      </c>
      <c r="H70" s="41"/>
      <c r="I70" s="41"/>
      <c r="J70" s="41">
        <f t="shared" si="9"/>
        <v>138905818.43568635</v>
      </c>
      <c r="K70" s="9"/>
      <c r="L70" s="41"/>
      <c r="M70" s="41">
        <f t="shared" si="8"/>
        <v>429072.66281171754</v>
      </c>
      <c r="N70" s="41"/>
      <c r="O70" s="7"/>
      <c r="P70" s="7"/>
      <c r="Q70" s="41"/>
      <c r="R70" s="41"/>
      <c r="S70" s="41"/>
      <c r="T70" s="7"/>
      <c r="U70" s="7"/>
      <c r="V70" s="41"/>
      <c r="W70" s="41"/>
      <c r="X70" s="41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</row>
    <row r="71" spans="1:64" x14ac:dyDescent="0.2">
      <c r="A71" s="7"/>
      <c r="B71" s="7">
        <v>2030</v>
      </c>
      <c r="C71" s="7">
        <v>3</v>
      </c>
      <c r="D71" s="7">
        <v>223</v>
      </c>
      <c r="E71" s="123">
        <f>high_SIPA_income!B64</f>
        <v>31855667.628003798</v>
      </c>
      <c r="F71" s="123">
        <f>high_SIPA_income!I64</f>
        <v>170736.93107454001</v>
      </c>
      <c r="G71" s="41">
        <f t="shared" si="7"/>
        <v>31736151.776251622</v>
      </c>
      <c r="H71" s="41"/>
      <c r="I71" s="41"/>
      <c r="J71" s="41">
        <f t="shared" si="9"/>
        <v>121345926.94272399</v>
      </c>
      <c r="K71" s="9"/>
      <c r="L71" s="41"/>
      <c r="M71" s="41">
        <f t="shared" si="8"/>
        <v>428841.94603612029</v>
      </c>
      <c r="N71" s="41"/>
      <c r="O71" s="7"/>
      <c r="P71" s="7"/>
      <c r="Q71" s="41"/>
      <c r="R71" s="41"/>
      <c r="S71" s="41"/>
      <c r="T71" s="7"/>
      <c r="U71" s="7"/>
      <c r="V71" s="41"/>
      <c r="W71" s="41"/>
      <c r="X71" s="41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</row>
    <row r="72" spans="1:64" x14ac:dyDescent="0.2">
      <c r="A72" s="7"/>
      <c r="B72" s="7">
        <v>2030</v>
      </c>
      <c r="C72" s="7">
        <v>4</v>
      </c>
      <c r="D72" s="7">
        <v>224</v>
      </c>
      <c r="E72" s="123">
        <f>high_SIPA_income!B65</f>
        <v>37291263.574217401</v>
      </c>
      <c r="F72" s="123">
        <f>high_SIPA_income!I65</f>
        <v>171031.74089179901</v>
      </c>
      <c r="G72" s="41">
        <f t="shared" si="7"/>
        <v>37171541.355593145</v>
      </c>
      <c r="H72" s="41"/>
      <c r="I72" s="41"/>
      <c r="J72" s="41">
        <f t="shared" si="9"/>
        <v>142128610.09379131</v>
      </c>
      <c r="K72" s="9"/>
      <c r="L72" s="41"/>
      <c r="M72" s="41">
        <f t="shared" si="8"/>
        <v>429582.42330104607</v>
      </c>
      <c r="N72" s="41"/>
      <c r="O72" s="7"/>
      <c r="P72" s="7"/>
      <c r="Q72" s="41"/>
      <c r="R72" s="41"/>
      <c r="S72" s="41"/>
      <c r="T72" s="7"/>
      <c r="U72" s="7"/>
      <c r="V72" s="41"/>
      <c r="W72" s="41"/>
      <c r="X72" s="41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</row>
    <row r="73" spans="1:64" x14ac:dyDescent="0.2">
      <c r="A73" s="119"/>
      <c r="B73" s="119">
        <v>2031</v>
      </c>
      <c r="C73" s="5">
        <v>1</v>
      </c>
      <c r="D73" s="119">
        <v>225</v>
      </c>
      <c r="E73" s="121">
        <f>high_SIPA_income!B66</f>
        <v>32943710.037694499</v>
      </c>
      <c r="F73" s="121">
        <f>high_SIPA_income!I66</f>
        <v>175971.55934178</v>
      </c>
      <c r="G73" s="8">
        <f t="shared" ref="G73:G104" si="10">E73-F73*0.7</f>
        <v>32820529.946155254</v>
      </c>
      <c r="H73" s="8"/>
      <c r="I73" s="8"/>
      <c r="J73" s="8">
        <f t="shared" si="9"/>
        <v>125492140.86024995</v>
      </c>
      <c r="K73" s="6"/>
      <c r="L73" s="8"/>
      <c r="M73" s="8">
        <f t="shared" si="8"/>
        <v>441989.82305822062</v>
      </c>
      <c r="N73" s="8"/>
      <c r="O73" s="5"/>
      <c r="P73" s="5"/>
      <c r="Q73" s="8"/>
      <c r="R73" s="8"/>
      <c r="S73" s="8"/>
      <c r="T73" s="5"/>
      <c r="U73" s="5"/>
      <c r="V73" s="8"/>
      <c r="W73" s="8"/>
      <c r="X73" s="8"/>
      <c r="Y73" s="119"/>
      <c r="Z73" s="119"/>
      <c r="AA73" s="119"/>
      <c r="AB73" s="119"/>
      <c r="AC73" s="119"/>
      <c r="AD73" s="119"/>
      <c r="AE73" s="119"/>
      <c r="AF73" s="119"/>
      <c r="AG73" s="119"/>
      <c r="AH73" s="119"/>
      <c r="AI73" s="119"/>
      <c r="AJ73" s="119"/>
      <c r="AK73" s="119"/>
      <c r="AL73" s="119"/>
      <c r="AM73" s="119"/>
      <c r="AN73" s="119"/>
      <c r="AO73" s="119"/>
      <c r="AP73" s="119"/>
      <c r="AQ73" s="119"/>
      <c r="AR73" s="119"/>
      <c r="AS73" s="119"/>
      <c r="AT73" s="119"/>
      <c r="AU73" s="119"/>
      <c r="AV73" s="119"/>
      <c r="AW73" s="119"/>
      <c r="AX73" s="119"/>
      <c r="AY73" s="119"/>
      <c r="AZ73" s="119"/>
      <c r="BA73" s="119"/>
      <c r="BB73" s="119"/>
      <c r="BC73" s="119"/>
      <c r="BD73" s="119"/>
      <c r="BE73" s="119"/>
      <c r="BF73" s="119"/>
      <c r="BG73" s="119"/>
      <c r="BH73" s="119"/>
      <c r="BI73" s="119"/>
      <c r="BJ73" s="119"/>
      <c r="BK73" s="119"/>
      <c r="BL73" s="119"/>
    </row>
    <row r="74" spans="1:64" x14ac:dyDescent="0.2">
      <c r="A74" s="7"/>
      <c r="B74" s="7">
        <v>2031</v>
      </c>
      <c r="C74" s="7">
        <v>2</v>
      </c>
      <c r="D74" s="7">
        <v>226</v>
      </c>
      <c r="E74" s="123">
        <f>high_SIPA_income!B67</f>
        <v>38287397.2990776</v>
      </c>
      <c r="F74" s="123">
        <f>high_SIPA_income!I67</f>
        <v>172233.36328186499</v>
      </c>
      <c r="G74" s="41">
        <f t="shared" si="10"/>
        <v>38166833.944780298</v>
      </c>
      <c r="H74" s="41"/>
      <c r="I74" s="41"/>
      <c r="J74" s="41">
        <f t="shared" si="9"/>
        <v>145934197.57224908</v>
      </c>
      <c r="K74" s="9"/>
      <c r="L74" s="41"/>
      <c r="M74" s="41">
        <f t="shared" si="8"/>
        <v>432600.55230754381</v>
      </c>
      <c r="N74" s="41"/>
      <c r="O74" s="7"/>
      <c r="P74" s="7"/>
      <c r="Q74" s="41"/>
      <c r="R74" s="41"/>
      <c r="S74" s="41"/>
      <c r="T74" s="7"/>
      <c r="U74" s="7"/>
      <c r="V74" s="41"/>
      <c r="W74" s="41"/>
      <c r="X74" s="41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</row>
    <row r="75" spans="1:64" x14ac:dyDescent="0.2">
      <c r="A75" s="7"/>
      <c r="B75" s="7">
        <v>2031</v>
      </c>
      <c r="C75" s="7">
        <v>3</v>
      </c>
      <c r="D75" s="7">
        <v>227</v>
      </c>
      <c r="E75" s="123">
        <f>high_SIPA_income!B68</f>
        <v>33720510.821095496</v>
      </c>
      <c r="F75" s="123">
        <f>high_SIPA_income!I68</f>
        <v>177346.759570742</v>
      </c>
      <c r="G75" s="41">
        <f t="shared" si="10"/>
        <v>33596368.089395978</v>
      </c>
      <c r="H75" s="41"/>
      <c r="I75" s="41"/>
      <c r="J75" s="41">
        <f t="shared" si="9"/>
        <v>128458625.24414167</v>
      </c>
      <c r="K75" s="9"/>
      <c r="L75" s="41"/>
      <c r="M75" s="41">
        <f t="shared" si="8"/>
        <v>445443.92955214559</v>
      </c>
      <c r="N75" s="41"/>
      <c r="O75" s="7"/>
      <c r="P75" s="7"/>
      <c r="Q75" s="41"/>
      <c r="R75" s="41"/>
      <c r="S75" s="41"/>
      <c r="T75" s="7"/>
      <c r="U75" s="7"/>
      <c r="V75" s="41"/>
      <c r="W75" s="41"/>
      <c r="X75" s="41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</row>
    <row r="76" spans="1:64" x14ac:dyDescent="0.2">
      <c r="A76" s="7"/>
      <c r="B76" s="7">
        <v>2031</v>
      </c>
      <c r="C76" s="7">
        <v>4</v>
      </c>
      <c r="D76" s="7">
        <v>228</v>
      </c>
      <c r="E76" s="123">
        <f>high_SIPA_income!B69</f>
        <v>39061029.1104206</v>
      </c>
      <c r="F76" s="123">
        <f>high_SIPA_income!I69</f>
        <v>176520.87223628501</v>
      </c>
      <c r="G76" s="41">
        <f t="shared" si="10"/>
        <v>38937464.499855198</v>
      </c>
      <c r="H76" s="41"/>
      <c r="I76" s="41"/>
      <c r="J76" s="41">
        <f t="shared" si="9"/>
        <v>148880770.29143825</v>
      </c>
      <c r="K76" s="9"/>
      <c r="L76" s="41"/>
      <c r="M76" s="41">
        <f t="shared" si="8"/>
        <v>443369.53867791523</v>
      </c>
      <c r="N76" s="41"/>
      <c r="O76" s="7"/>
      <c r="P76" s="7"/>
      <c r="Q76" s="41"/>
      <c r="R76" s="41"/>
      <c r="S76" s="41"/>
      <c r="T76" s="7"/>
      <c r="U76" s="7"/>
      <c r="V76" s="41"/>
      <c r="W76" s="41"/>
      <c r="X76" s="41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</row>
    <row r="77" spans="1:64" x14ac:dyDescent="0.2">
      <c r="A77" s="119"/>
      <c r="B77" s="119">
        <v>2032</v>
      </c>
      <c r="C77" s="5">
        <v>1</v>
      </c>
      <c r="D77" s="119">
        <v>229</v>
      </c>
      <c r="E77" s="121">
        <f>high_SIPA_income!B70</f>
        <v>34282148.443425603</v>
      </c>
      <c r="F77" s="121">
        <f>high_SIPA_income!I70</f>
        <v>180661.35593085201</v>
      </c>
      <c r="G77" s="8">
        <f t="shared" si="10"/>
        <v>34155685.494274005</v>
      </c>
      <c r="H77" s="8"/>
      <c r="I77" s="8"/>
      <c r="J77" s="8">
        <f t="shared" si="9"/>
        <v>130597223.81868312</v>
      </c>
      <c r="K77" s="6"/>
      <c r="L77" s="8"/>
      <c r="M77" s="8">
        <f t="shared" si="8"/>
        <v>453769.23998409451</v>
      </c>
      <c r="N77" s="8"/>
      <c r="O77" s="5"/>
      <c r="P77" s="5"/>
      <c r="Q77" s="8"/>
      <c r="R77" s="8"/>
      <c r="S77" s="8"/>
      <c r="T77" s="5"/>
      <c r="U77" s="5"/>
      <c r="V77" s="8"/>
      <c r="W77" s="8"/>
      <c r="X77" s="8"/>
      <c r="Y77" s="119"/>
      <c r="Z77" s="119"/>
      <c r="AA77" s="119"/>
      <c r="AB77" s="119"/>
      <c r="AC77" s="119"/>
      <c r="AD77" s="119"/>
      <c r="AE77" s="119"/>
      <c r="AF77" s="119"/>
      <c r="AG77" s="119"/>
      <c r="AH77" s="119"/>
      <c r="AI77" s="119"/>
      <c r="AJ77" s="119"/>
      <c r="AK77" s="119"/>
      <c r="AL77" s="119"/>
      <c r="AM77" s="119"/>
      <c r="AN77" s="119"/>
      <c r="AO77" s="119"/>
      <c r="AP77" s="119"/>
      <c r="AQ77" s="119"/>
      <c r="AR77" s="119"/>
      <c r="AS77" s="119"/>
      <c r="AT77" s="119"/>
      <c r="AU77" s="119"/>
      <c r="AV77" s="119"/>
      <c r="AW77" s="119"/>
      <c r="AX77" s="119"/>
      <c r="AY77" s="119"/>
      <c r="AZ77" s="119"/>
      <c r="BA77" s="119"/>
      <c r="BB77" s="119"/>
      <c r="BC77" s="119"/>
      <c r="BD77" s="119"/>
      <c r="BE77" s="119"/>
      <c r="BF77" s="119"/>
      <c r="BG77" s="119"/>
      <c r="BH77" s="119"/>
      <c r="BI77" s="119"/>
      <c r="BJ77" s="119"/>
      <c r="BK77" s="119"/>
      <c r="BL77" s="119"/>
    </row>
    <row r="78" spans="1:64" x14ac:dyDescent="0.2">
      <c r="A78" s="7"/>
      <c r="B78" s="7">
        <v>2032</v>
      </c>
      <c r="C78" s="7">
        <v>2</v>
      </c>
      <c r="D78" s="7">
        <v>230</v>
      </c>
      <c r="E78" s="123">
        <f>high_SIPA_income!B71</f>
        <v>39726316.702359602</v>
      </c>
      <c r="F78" s="123">
        <f>high_SIPA_income!I71</f>
        <v>181588.703141834</v>
      </c>
      <c r="G78" s="41">
        <f t="shared" si="10"/>
        <v>39599204.610160321</v>
      </c>
      <c r="H78" s="41"/>
      <c r="I78" s="41"/>
      <c r="J78" s="41">
        <f t="shared" si="9"/>
        <v>151410990.9573302</v>
      </c>
      <c r="K78" s="9"/>
      <c r="L78" s="41"/>
      <c r="M78" s="41">
        <f t="shared" si="8"/>
        <v>456098.46881646162</v>
      </c>
      <c r="N78" s="41"/>
      <c r="O78" s="7"/>
      <c r="P78" s="7"/>
      <c r="Q78" s="41"/>
      <c r="R78" s="41"/>
      <c r="S78" s="41"/>
      <c r="T78" s="7"/>
      <c r="U78" s="7"/>
      <c r="V78" s="41"/>
      <c r="W78" s="41"/>
      <c r="X78" s="41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</row>
    <row r="79" spans="1:64" x14ac:dyDescent="0.2">
      <c r="A79" s="7"/>
      <c r="B79" s="7">
        <v>2032</v>
      </c>
      <c r="C79" s="7">
        <v>3</v>
      </c>
      <c r="D79" s="7">
        <v>231</v>
      </c>
      <c r="E79" s="123">
        <f>high_SIPA_income!B72</f>
        <v>34953861.027016401</v>
      </c>
      <c r="F79" s="123">
        <f>high_SIPA_income!I72</f>
        <v>177581.53556536799</v>
      </c>
      <c r="G79" s="41">
        <f t="shared" si="10"/>
        <v>34829553.952120647</v>
      </c>
      <c r="H79" s="41"/>
      <c r="I79" s="41"/>
      <c r="J79" s="41">
        <f t="shared" si="9"/>
        <v>133173818.27258457</v>
      </c>
      <c r="K79" s="9"/>
      <c r="L79" s="41"/>
      <c r="M79" s="41">
        <f t="shared" si="8"/>
        <v>446033.61916284863</v>
      </c>
      <c r="N79" s="41"/>
      <c r="O79" s="7"/>
      <c r="P79" s="7"/>
      <c r="Q79" s="41"/>
      <c r="R79" s="41"/>
      <c r="S79" s="41"/>
      <c r="T79" s="7"/>
      <c r="U79" s="7"/>
      <c r="V79" s="41"/>
      <c r="W79" s="41"/>
      <c r="X79" s="41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</row>
    <row r="80" spans="1:64" x14ac:dyDescent="0.2">
      <c r="A80" s="7"/>
      <c r="B80" s="7">
        <v>2032</v>
      </c>
      <c r="C80" s="7">
        <v>4</v>
      </c>
      <c r="D80" s="7">
        <v>232</v>
      </c>
      <c r="E80" s="123">
        <f>high_SIPA_income!B73</f>
        <v>40460340.668089502</v>
      </c>
      <c r="F80" s="123">
        <f>high_SIPA_income!I73</f>
        <v>180696.780793921</v>
      </c>
      <c r="G80" s="41">
        <f t="shared" si="10"/>
        <v>40333852.921533756</v>
      </c>
      <c r="H80" s="41"/>
      <c r="I80" s="41"/>
      <c r="J80" s="41">
        <f t="shared" si="9"/>
        <v>154219982.44908458</v>
      </c>
      <c r="K80" s="9"/>
      <c r="L80" s="41"/>
      <c r="M80" s="41">
        <f t="shared" si="8"/>
        <v>453858.21702685242</v>
      </c>
      <c r="N80" s="41"/>
      <c r="O80" s="7"/>
      <c r="P80" s="7"/>
      <c r="Q80" s="41"/>
      <c r="R80" s="41"/>
      <c r="S80" s="41"/>
      <c r="T80" s="7"/>
      <c r="U80" s="7"/>
      <c r="V80" s="41"/>
      <c r="W80" s="41"/>
      <c r="X80" s="41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</row>
    <row r="81" spans="1:64" x14ac:dyDescent="0.2">
      <c r="A81" s="119"/>
      <c r="B81" s="119">
        <v>2033</v>
      </c>
      <c r="C81" s="5">
        <v>1</v>
      </c>
      <c r="D81" s="119">
        <v>233</v>
      </c>
      <c r="E81" s="121">
        <f>high_SIPA_income!B74</f>
        <v>35552258.705375098</v>
      </c>
      <c r="F81" s="121">
        <f>high_SIPA_income!I74</f>
        <v>184524.85321207301</v>
      </c>
      <c r="G81" s="8">
        <f t="shared" si="10"/>
        <v>35423091.308126643</v>
      </c>
      <c r="H81" s="8"/>
      <c r="I81" s="8"/>
      <c r="J81" s="8">
        <f t="shared" si="9"/>
        <v>135443259.79616517</v>
      </c>
      <c r="K81" s="6"/>
      <c r="L81" s="8"/>
      <c r="M81" s="8">
        <f t="shared" si="8"/>
        <v>463473.23127734754</v>
      </c>
      <c r="N81" s="8"/>
      <c r="O81" s="5"/>
      <c r="P81" s="5"/>
      <c r="Q81" s="8"/>
      <c r="R81" s="8"/>
      <c r="S81" s="8"/>
      <c r="T81" s="5"/>
      <c r="U81" s="5"/>
      <c r="V81" s="8"/>
      <c r="W81" s="8"/>
      <c r="X81" s="8"/>
      <c r="Y81" s="119"/>
      <c r="Z81" s="119"/>
      <c r="AA81" s="119"/>
      <c r="AB81" s="119"/>
      <c r="AC81" s="119"/>
      <c r="AD81" s="119"/>
      <c r="AE81" s="119"/>
      <c r="AF81" s="119"/>
      <c r="AG81" s="119"/>
      <c r="AH81" s="119"/>
      <c r="AI81" s="119"/>
      <c r="AJ81" s="119"/>
      <c r="AK81" s="119"/>
      <c r="AL81" s="119"/>
      <c r="AM81" s="119"/>
      <c r="AN81" s="119"/>
      <c r="AO81" s="119"/>
      <c r="AP81" s="119"/>
      <c r="AQ81" s="119"/>
      <c r="AR81" s="119"/>
      <c r="AS81" s="119"/>
      <c r="AT81" s="119"/>
      <c r="AU81" s="119"/>
      <c r="AV81" s="119"/>
      <c r="AW81" s="119"/>
      <c r="AX81" s="119"/>
      <c r="AY81" s="119"/>
      <c r="AZ81" s="119"/>
      <c r="BA81" s="119"/>
      <c r="BB81" s="119"/>
      <c r="BC81" s="119"/>
      <c r="BD81" s="119"/>
      <c r="BE81" s="119"/>
      <c r="BF81" s="119"/>
      <c r="BG81" s="119"/>
      <c r="BH81" s="119"/>
      <c r="BI81" s="119"/>
      <c r="BJ81" s="119"/>
      <c r="BK81" s="119"/>
      <c r="BL81" s="119"/>
    </row>
    <row r="82" spans="1:64" x14ac:dyDescent="0.2">
      <c r="A82" s="7"/>
      <c r="B82" s="7">
        <v>2033</v>
      </c>
      <c r="C82" s="7">
        <v>2</v>
      </c>
      <c r="D82" s="7">
        <v>234</v>
      </c>
      <c r="E82" s="123">
        <f>high_SIPA_income!B75</f>
        <v>41283553.125172898</v>
      </c>
      <c r="F82" s="123">
        <f>high_SIPA_income!I75</f>
        <v>176657.72454248299</v>
      </c>
      <c r="G82" s="41">
        <f t="shared" si="10"/>
        <v>41159892.717993163</v>
      </c>
      <c r="H82" s="41"/>
      <c r="I82" s="41"/>
      <c r="J82" s="41">
        <f t="shared" si="9"/>
        <v>157378417.20512056</v>
      </c>
      <c r="K82" s="9"/>
      <c r="L82" s="41"/>
      <c r="M82" s="41">
        <f t="shared" si="8"/>
        <v>443713.27221546986</v>
      </c>
      <c r="N82" s="41"/>
      <c r="O82" s="7"/>
      <c r="P82" s="7"/>
      <c r="Q82" s="41"/>
      <c r="R82" s="41"/>
      <c r="S82" s="41"/>
      <c r="T82" s="7"/>
      <c r="U82" s="7"/>
      <c r="V82" s="41"/>
      <c r="W82" s="41"/>
      <c r="X82" s="41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</row>
    <row r="83" spans="1:64" x14ac:dyDescent="0.2">
      <c r="A83" s="7"/>
      <c r="B83" s="7">
        <v>2033</v>
      </c>
      <c r="C83" s="7">
        <v>3</v>
      </c>
      <c r="D83" s="7">
        <v>235</v>
      </c>
      <c r="E83" s="123">
        <f>high_SIPA_income!B76</f>
        <v>36222310.623920001</v>
      </c>
      <c r="F83" s="123">
        <f>high_SIPA_income!I76</f>
        <v>187348.111546751</v>
      </c>
      <c r="G83" s="41">
        <f t="shared" si="10"/>
        <v>36091166.945837274</v>
      </c>
      <c r="H83" s="41"/>
      <c r="I83" s="41"/>
      <c r="J83" s="41">
        <f t="shared" si="9"/>
        <v>137997704.90020302</v>
      </c>
      <c r="K83" s="9"/>
      <c r="L83" s="41"/>
      <c r="M83" s="41">
        <f t="shared" si="8"/>
        <v>470564.4422460947</v>
      </c>
      <c r="N83" s="41"/>
      <c r="O83" s="7"/>
      <c r="P83" s="7"/>
      <c r="Q83" s="41"/>
      <c r="R83" s="41"/>
      <c r="S83" s="41"/>
      <c r="T83" s="7"/>
      <c r="U83" s="7"/>
      <c r="V83" s="41"/>
      <c r="W83" s="41"/>
      <c r="X83" s="41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</row>
    <row r="84" spans="1:64" x14ac:dyDescent="0.2">
      <c r="A84" s="7"/>
      <c r="B84" s="7">
        <v>2033</v>
      </c>
      <c r="C84" s="7">
        <v>4</v>
      </c>
      <c r="D84" s="7">
        <v>236</v>
      </c>
      <c r="E84" s="123">
        <f>high_SIPA_income!B77</f>
        <v>42156964.834977701</v>
      </c>
      <c r="F84" s="123">
        <f>high_SIPA_income!I77</f>
        <v>192738.54791428099</v>
      </c>
      <c r="G84" s="41">
        <f t="shared" si="10"/>
        <v>42022047.851437703</v>
      </c>
      <c r="H84" s="41"/>
      <c r="I84" s="41"/>
      <c r="J84" s="41">
        <f t="shared" si="9"/>
        <v>160674942.08229682</v>
      </c>
      <c r="K84" s="9"/>
      <c r="L84" s="41"/>
      <c r="M84" s="41">
        <f t="shared" si="8"/>
        <v>484103.66429540177</v>
      </c>
      <c r="N84" s="41"/>
      <c r="O84" s="7"/>
      <c r="P84" s="7"/>
      <c r="Q84" s="41"/>
      <c r="R84" s="41"/>
      <c r="S84" s="41"/>
      <c r="T84" s="7"/>
      <c r="U84" s="7"/>
      <c r="V84" s="41"/>
      <c r="W84" s="41"/>
      <c r="X84" s="41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</row>
    <row r="85" spans="1:64" x14ac:dyDescent="0.2">
      <c r="A85" s="119"/>
      <c r="B85" s="119">
        <v>2034</v>
      </c>
      <c r="C85" s="5">
        <v>1</v>
      </c>
      <c r="D85" s="119">
        <v>237</v>
      </c>
      <c r="E85" s="121">
        <f>high_SIPA_income!B78</f>
        <v>36943185.729207203</v>
      </c>
      <c r="F85" s="121">
        <f>high_SIPA_income!I78</f>
        <v>187124.017678206</v>
      </c>
      <c r="G85" s="8">
        <f t="shared" si="10"/>
        <v>36812198.916832462</v>
      </c>
      <c r="H85" s="8"/>
      <c r="I85" s="8"/>
      <c r="J85" s="8">
        <f t="shared" si="9"/>
        <v>140754633.13436979</v>
      </c>
      <c r="K85" s="6"/>
      <c r="L85" s="8"/>
      <c r="M85" s="8">
        <f t="shared" si="8"/>
        <v>470001.58305636473</v>
      </c>
      <c r="N85" s="8"/>
      <c r="O85" s="5"/>
      <c r="P85" s="5"/>
      <c r="Q85" s="8"/>
      <c r="R85" s="8"/>
      <c r="S85" s="8"/>
      <c r="T85" s="5"/>
      <c r="U85" s="5"/>
      <c r="V85" s="8"/>
      <c r="W85" s="8"/>
      <c r="X85" s="8"/>
      <c r="Y85" s="119"/>
      <c r="Z85" s="119"/>
      <c r="AA85" s="119"/>
      <c r="AB85" s="119"/>
      <c r="AC85" s="119"/>
      <c r="AD85" s="119"/>
      <c r="AE85" s="119"/>
      <c r="AF85" s="119"/>
      <c r="AG85" s="119"/>
      <c r="AH85" s="119"/>
      <c r="AI85" s="119"/>
      <c r="AJ85" s="119"/>
      <c r="AK85" s="119"/>
      <c r="AL85" s="119"/>
      <c r="AM85" s="119"/>
      <c r="AN85" s="119"/>
      <c r="AO85" s="119"/>
      <c r="AP85" s="119"/>
      <c r="AQ85" s="119"/>
      <c r="AR85" s="119"/>
      <c r="AS85" s="119"/>
      <c r="AT85" s="119"/>
      <c r="AU85" s="119"/>
      <c r="AV85" s="119"/>
      <c r="AW85" s="119"/>
      <c r="AX85" s="119"/>
      <c r="AY85" s="119"/>
      <c r="AZ85" s="119"/>
      <c r="BA85" s="119"/>
      <c r="BB85" s="119"/>
      <c r="BC85" s="119"/>
      <c r="BD85" s="119"/>
      <c r="BE85" s="119"/>
      <c r="BF85" s="119"/>
      <c r="BG85" s="119"/>
      <c r="BH85" s="119"/>
      <c r="BI85" s="119"/>
      <c r="BJ85" s="119"/>
      <c r="BK85" s="119"/>
      <c r="BL85" s="119"/>
    </row>
    <row r="86" spans="1:64" x14ac:dyDescent="0.2">
      <c r="A86" s="7"/>
      <c r="B86" s="7">
        <v>2034</v>
      </c>
      <c r="C86" s="7">
        <v>2</v>
      </c>
      <c r="D86" s="7">
        <v>238</v>
      </c>
      <c r="E86" s="123">
        <f>high_SIPA_income!B79</f>
        <v>42675550.842016503</v>
      </c>
      <c r="F86" s="123">
        <f>high_SIPA_income!I79</f>
        <v>189843.562178027</v>
      </c>
      <c r="G86" s="41">
        <f t="shared" si="10"/>
        <v>42542660.348491885</v>
      </c>
      <c r="H86" s="41"/>
      <c r="I86" s="41"/>
      <c r="J86" s="41">
        <f t="shared" si="9"/>
        <v>162665549.08715364</v>
      </c>
      <c r="K86" s="9"/>
      <c r="L86" s="41"/>
      <c r="M86" s="41">
        <f t="shared" si="8"/>
        <v>476832.2947734794</v>
      </c>
      <c r="N86" s="41"/>
      <c r="O86" s="7"/>
      <c r="P86" s="7"/>
      <c r="Q86" s="41"/>
      <c r="R86" s="41"/>
      <c r="S86" s="41"/>
      <c r="T86" s="7"/>
      <c r="U86" s="7"/>
      <c r="V86" s="41"/>
      <c r="W86" s="41"/>
      <c r="X86" s="41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</row>
    <row r="87" spans="1:64" x14ac:dyDescent="0.2">
      <c r="A87" s="7"/>
      <c r="B87" s="7">
        <v>2034</v>
      </c>
      <c r="C87" s="7">
        <v>3</v>
      </c>
      <c r="D87" s="7">
        <v>239</v>
      </c>
      <c r="E87" s="123">
        <f>high_SIPA_income!B80</f>
        <v>37425136.426631697</v>
      </c>
      <c r="F87" s="123">
        <f>high_SIPA_income!I80</f>
        <v>194671.87189126</v>
      </c>
      <c r="G87" s="41">
        <f t="shared" si="10"/>
        <v>37288866.116307817</v>
      </c>
      <c r="H87" s="41"/>
      <c r="I87" s="41"/>
      <c r="J87" s="41">
        <f t="shared" si="9"/>
        <v>142577211.48512033</v>
      </c>
      <c r="K87" s="9"/>
      <c r="L87" s="41"/>
      <c r="M87" s="41">
        <f t="shared" si="8"/>
        <v>488959.61673280387</v>
      </c>
      <c r="N87" s="41"/>
      <c r="O87" s="7"/>
      <c r="P87" s="7"/>
      <c r="Q87" s="41"/>
      <c r="R87" s="41"/>
      <c r="S87" s="41"/>
      <c r="T87" s="7"/>
      <c r="U87" s="7"/>
      <c r="V87" s="41"/>
      <c r="W87" s="41"/>
      <c r="X87" s="41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</row>
    <row r="88" spans="1:64" x14ac:dyDescent="0.2">
      <c r="A88" s="7"/>
      <c r="B88" s="7">
        <v>2034</v>
      </c>
      <c r="C88" s="7">
        <v>4</v>
      </c>
      <c r="D88" s="7">
        <v>240</v>
      </c>
      <c r="E88" s="123">
        <f>high_SIPA_income!B81</f>
        <v>43660135.370057702</v>
      </c>
      <c r="F88" s="123">
        <f>high_SIPA_income!I81</f>
        <v>190534.24090163899</v>
      </c>
      <c r="G88" s="41">
        <f t="shared" si="10"/>
        <v>43526761.401426554</v>
      </c>
      <c r="H88" s="41"/>
      <c r="I88" s="41"/>
      <c r="J88" s="41">
        <f t="shared" si="9"/>
        <v>166428344.7567606</v>
      </c>
      <c r="K88" s="9"/>
      <c r="L88" s="41"/>
      <c r="M88" s="41">
        <f t="shared" si="8"/>
        <v>478567.08059899125</v>
      </c>
      <c r="N88" s="41"/>
      <c r="O88" s="7"/>
      <c r="P88" s="7"/>
      <c r="Q88" s="41"/>
      <c r="R88" s="41"/>
      <c r="S88" s="41"/>
      <c r="T88" s="7"/>
      <c r="U88" s="7"/>
      <c r="V88" s="41"/>
      <c r="W88" s="41"/>
      <c r="X88" s="41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</row>
    <row r="89" spans="1:64" x14ac:dyDescent="0.2">
      <c r="A89" s="119"/>
      <c r="B89" s="119">
        <v>2035</v>
      </c>
      <c r="C89" s="5">
        <v>1</v>
      </c>
      <c r="D89" s="119">
        <v>241</v>
      </c>
      <c r="E89" s="121">
        <f>high_SIPA_income!B82</f>
        <v>38335398.171703003</v>
      </c>
      <c r="F89" s="121">
        <f>high_SIPA_income!I82</f>
        <v>188297.33041996701</v>
      </c>
      <c r="G89" s="8">
        <f t="shared" si="10"/>
        <v>38203590.040409029</v>
      </c>
      <c r="H89" s="8"/>
      <c r="I89" s="8"/>
      <c r="J89" s="8">
        <f t="shared" si="9"/>
        <v>146074737.68959883</v>
      </c>
      <c r="K89" s="6"/>
      <c r="L89" s="8"/>
      <c r="M89" s="8">
        <f t="shared" si="8"/>
        <v>472948.60638821841</v>
      </c>
      <c r="N89" s="8"/>
      <c r="O89" s="5"/>
      <c r="P89" s="5"/>
      <c r="Q89" s="8"/>
      <c r="R89" s="8"/>
      <c r="S89" s="8"/>
      <c r="T89" s="5"/>
      <c r="U89" s="5"/>
      <c r="V89" s="8"/>
      <c r="W89" s="8"/>
      <c r="X89" s="8"/>
      <c r="Y89" s="119"/>
      <c r="Z89" s="119"/>
      <c r="AA89" s="119"/>
      <c r="AB89" s="119"/>
      <c r="AC89" s="119"/>
      <c r="AD89" s="119"/>
      <c r="AE89" s="119"/>
      <c r="AF89" s="119"/>
      <c r="AG89" s="119"/>
      <c r="AH89" s="119"/>
      <c r="AI89" s="119"/>
      <c r="AJ89" s="119"/>
      <c r="AK89" s="119"/>
      <c r="AL89" s="119"/>
      <c r="AM89" s="119"/>
      <c r="AN89" s="119"/>
      <c r="AO89" s="119"/>
      <c r="AP89" s="119"/>
      <c r="AQ89" s="119"/>
      <c r="AR89" s="119"/>
      <c r="AS89" s="119"/>
      <c r="AT89" s="119"/>
      <c r="AU89" s="119"/>
      <c r="AV89" s="119"/>
      <c r="AW89" s="119"/>
      <c r="AX89" s="119"/>
      <c r="AY89" s="119"/>
      <c r="AZ89" s="119"/>
      <c r="BA89" s="119"/>
      <c r="BB89" s="119"/>
      <c r="BC89" s="119"/>
      <c r="BD89" s="119"/>
      <c r="BE89" s="119"/>
      <c r="BF89" s="119"/>
      <c r="BG89" s="119"/>
      <c r="BH89" s="119"/>
      <c r="BI89" s="119"/>
      <c r="BJ89" s="119"/>
      <c r="BK89" s="119"/>
      <c r="BL89" s="119"/>
    </row>
    <row r="90" spans="1:64" x14ac:dyDescent="0.2">
      <c r="A90" s="7"/>
      <c r="B90" s="7">
        <v>2035</v>
      </c>
      <c r="C90" s="7">
        <v>2</v>
      </c>
      <c r="D90" s="7">
        <v>242</v>
      </c>
      <c r="E90" s="123">
        <f>high_SIPA_income!B83</f>
        <v>44326962.888085701</v>
      </c>
      <c r="F90" s="123">
        <f>high_SIPA_income!I83</f>
        <v>194028.23503377999</v>
      </c>
      <c r="G90" s="41">
        <f t="shared" si="10"/>
        <v>44191143.123562053</v>
      </c>
      <c r="H90" s="41"/>
      <c r="I90" s="41"/>
      <c r="J90" s="41">
        <f t="shared" si="9"/>
        <v>168968665.85443899</v>
      </c>
      <c r="K90" s="9"/>
      <c r="L90" s="41"/>
      <c r="M90" s="41">
        <f t="shared" si="8"/>
        <v>487342.98651246919</v>
      </c>
      <c r="N90" s="41"/>
      <c r="O90" s="7"/>
      <c r="P90" s="7"/>
      <c r="Q90" s="41"/>
      <c r="R90" s="41"/>
      <c r="S90" s="41"/>
      <c r="T90" s="7"/>
      <c r="U90" s="7"/>
      <c r="V90" s="41"/>
      <c r="W90" s="41"/>
      <c r="X90" s="41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</row>
    <row r="91" spans="1:64" x14ac:dyDescent="0.2">
      <c r="A91" s="7"/>
      <c r="B91" s="7">
        <v>2035</v>
      </c>
      <c r="C91" s="7">
        <v>3</v>
      </c>
      <c r="D91" s="7">
        <v>243</v>
      </c>
      <c r="E91" s="123">
        <f>high_SIPA_income!B84</f>
        <v>38991413.300024301</v>
      </c>
      <c r="F91" s="123">
        <f>high_SIPA_income!I84</f>
        <v>195117.69910764901</v>
      </c>
      <c r="G91" s="41">
        <f t="shared" si="10"/>
        <v>38854830.910648949</v>
      </c>
      <c r="H91" s="41"/>
      <c r="I91" s="41"/>
      <c r="J91" s="41">
        <f t="shared" si="9"/>
        <v>148564813.60111451</v>
      </c>
      <c r="K91" s="9"/>
      <c r="L91" s="41"/>
      <c r="M91" s="41">
        <f t="shared" si="8"/>
        <v>490079.40616481996</v>
      </c>
      <c r="N91" s="41"/>
      <c r="O91" s="7"/>
      <c r="P91" s="7"/>
      <c r="Q91" s="41"/>
      <c r="R91" s="41"/>
      <c r="S91" s="41"/>
      <c r="T91" s="7"/>
      <c r="U91" s="7"/>
      <c r="V91" s="41"/>
      <c r="W91" s="41"/>
      <c r="X91" s="41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</row>
    <row r="92" spans="1:64" x14ac:dyDescent="0.2">
      <c r="A92" s="7"/>
      <c r="B92" s="7">
        <v>2035</v>
      </c>
      <c r="C92" s="7">
        <v>4</v>
      </c>
      <c r="D92" s="7">
        <v>244</v>
      </c>
      <c r="E92" s="123">
        <f>high_SIPA_income!B85</f>
        <v>45113180.518205702</v>
      </c>
      <c r="F92" s="123">
        <f>high_SIPA_income!I85</f>
        <v>196357.17603001199</v>
      </c>
      <c r="G92" s="41">
        <f t="shared" si="10"/>
        <v>44975730.494984694</v>
      </c>
      <c r="H92" s="41"/>
      <c r="I92" s="41"/>
      <c r="J92" s="41">
        <f t="shared" si="9"/>
        <v>171968603.67059472</v>
      </c>
      <c r="K92" s="9"/>
      <c r="L92" s="41"/>
      <c r="M92" s="41">
        <f t="shared" si="8"/>
        <v>493192.61484268325</v>
      </c>
      <c r="N92" s="41"/>
      <c r="O92" s="7"/>
      <c r="P92" s="7"/>
      <c r="Q92" s="41"/>
      <c r="R92" s="41"/>
      <c r="S92" s="41"/>
      <c r="T92" s="7"/>
      <c r="U92" s="7"/>
      <c r="V92" s="41"/>
      <c r="W92" s="41"/>
      <c r="X92" s="41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</row>
    <row r="93" spans="1:64" x14ac:dyDescent="0.2">
      <c r="A93" s="119"/>
      <c r="B93" s="119">
        <v>2036</v>
      </c>
      <c r="C93" s="5">
        <v>1</v>
      </c>
      <c r="D93" s="119">
        <v>245</v>
      </c>
      <c r="E93" s="121">
        <f>high_SIPA_income!B86</f>
        <v>39424707.516810298</v>
      </c>
      <c r="F93" s="121">
        <f>high_SIPA_income!I86</f>
        <v>197228.29636285899</v>
      </c>
      <c r="G93" s="8">
        <f t="shared" si="10"/>
        <v>39286647.709356293</v>
      </c>
      <c r="H93" s="8"/>
      <c r="I93" s="8"/>
      <c r="J93" s="8">
        <f t="shared" si="9"/>
        <v>150215902.55726805</v>
      </c>
      <c r="K93" s="6"/>
      <c r="L93" s="8"/>
      <c r="M93" s="8">
        <f t="shared" si="8"/>
        <v>495380.617967834</v>
      </c>
      <c r="N93" s="8"/>
      <c r="O93" s="5"/>
      <c r="P93" s="5"/>
      <c r="Q93" s="8"/>
      <c r="R93" s="8"/>
      <c r="S93" s="8"/>
      <c r="T93" s="5"/>
      <c r="U93" s="5"/>
      <c r="V93" s="8"/>
      <c r="W93" s="8"/>
      <c r="X93" s="8"/>
      <c r="Y93" s="119"/>
      <c r="Z93" s="119"/>
      <c r="AA93" s="119"/>
      <c r="AB93" s="119"/>
      <c r="AC93" s="119"/>
      <c r="AD93" s="119"/>
      <c r="AE93" s="119"/>
      <c r="AF93" s="119"/>
      <c r="AG93" s="119"/>
      <c r="AH93" s="119"/>
      <c r="AI93" s="119"/>
      <c r="AJ93" s="119"/>
      <c r="AK93" s="119"/>
      <c r="AL93" s="119"/>
      <c r="AM93" s="119"/>
      <c r="AN93" s="119"/>
      <c r="AO93" s="119"/>
      <c r="AP93" s="119"/>
      <c r="AQ93" s="119"/>
      <c r="AR93" s="119"/>
      <c r="AS93" s="119"/>
      <c r="AT93" s="119"/>
      <c r="AU93" s="119"/>
      <c r="AV93" s="119"/>
      <c r="AW93" s="119"/>
      <c r="AX93" s="119"/>
      <c r="AY93" s="119"/>
      <c r="AZ93" s="119"/>
      <c r="BA93" s="119"/>
      <c r="BB93" s="119"/>
      <c r="BC93" s="119"/>
      <c r="BD93" s="119"/>
      <c r="BE93" s="119"/>
      <c r="BF93" s="119"/>
      <c r="BG93" s="119"/>
      <c r="BH93" s="119"/>
      <c r="BI93" s="119"/>
      <c r="BJ93" s="119"/>
      <c r="BK93" s="119"/>
      <c r="BL93" s="119"/>
    </row>
    <row r="94" spans="1:64" x14ac:dyDescent="0.2">
      <c r="A94" s="7"/>
      <c r="B94" s="7">
        <v>2036</v>
      </c>
      <c r="C94" s="7">
        <v>2</v>
      </c>
      <c r="D94" s="7">
        <v>246</v>
      </c>
      <c r="E94" s="123">
        <f>high_SIPA_income!B87</f>
        <v>45946310.609630197</v>
      </c>
      <c r="F94" s="123">
        <f>high_SIPA_income!I87</f>
        <v>197130.421885663</v>
      </c>
      <c r="G94" s="41">
        <f t="shared" si="10"/>
        <v>45808319.31431023</v>
      </c>
      <c r="H94" s="41"/>
      <c r="I94" s="41"/>
      <c r="J94" s="41">
        <f t="shared" si="9"/>
        <v>175152079.18317428</v>
      </c>
      <c r="K94" s="9"/>
      <c r="L94" s="41"/>
      <c r="M94" s="41">
        <f t="shared" si="8"/>
        <v>495134.78549911245</v>
      </c>
      <c r="N94" s="41"/>
      <c r="O94" s="7"/>
      <c r="P94" s="7"/>
      <c r="Q94" s="41"/>
      <c r="R94" s="41"/>
      <c r="S94" s="41"/>
      <c r="T94" s="7"/>
      <c r="U94" s="7"/>
      <c r="V94" s="41"/>
      <c r="W94" s="41"/>
      <c r="X94" s="41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</row>
    <row r="95" spans="1:64" x14ac:dyDescent="0.2">
      <c r="A95" s="7"/>
      <c r="B95" s="7">
        <v>2036</v>
      </c>
      <c r="C95" s="7">
        <v>3</v>
      </c>
      <c r="D95" s="7">
        <v>247</v>
      </c>
      <c r="E95" s="123">
        <f>high_SIPA_income!B88</f>
        <v>40204070.290385097</v>
      </c>
      <c r="F95" s="123">
        <f>high_SIPA_income!I88</f>
        <v>198812.123668407</v>
      </c>
      <c r="G95" s="41">
        <f t="shared" si="10"/>
        <v>40064901.803817213</v>
      </c>
      <c r="H95" s="41"/>
      <c r="I95" s="41"/>
      <c r="J95" s="41">
        <f t="shared" si="9"/>
        <v>153191624.54004478</v>
      </c>
      <c r="K95" s="9"/>
      <c r="L95" s="41"/>
      <c r="M95" s="41">
        <f t="shared" si="8"/>
        <v>499358.73552928778</v>
      </c>
      <c r="N95" s="41"/>
      <c r="O95" s="7"/>
      <c r="P95" s="7"/>
      <c r="Q95" s="41"/>
      <c r="R95" s="41"/>
      <c r="S95" s="41"/>
      <c r="T95" s="7"/>
      <c r="U95" s="7"/>
      <c r="V95" s="41"/>
      <c r="W95" s="41"/>
      <c r="X95" s="41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</row>
    <row r="96" spans="1:64" x14ac:dyDescent="0.2">
      <c r="A96" s="7"/>
      <c r="B96" s="7">
        <v>2036</v>
      </c>
      <c r="C96" s="7">
        <v>4</v>
      </c>
      <c r="D96" s="7">
        <v>248</v>
      </c>
      <c r="E96" s="123">
        <f>high_SIPA_income!B89</f>
        <v>46542586.348218597</v>
      </c>
      <c r="F96" s="123">
        <f>high_SIPA_income!I89</f>
        <v>203995.82863706301</v>
      </c>
      <c r="G96" s="41">
        <f t="shared" si="10"/>
        <v>46399789.268172652</v>
      </c>
      <c r="H96" s="41"/>
      <c r="I96" s="41"/>
      <c r="J96" s="41">
        <f t="shared" si="9"/>
        <v>177413615.81547365</v>
      </c>
      <c r="K96" s="9"/>
      <c r="L96" s="41"/>
      <c r="M96" s="41">
        <f t="shared" si="8"/>
        <v>512378.70790693955</v>
      </c>
      <c r="N96" s="41"/>
      <c r="O96" s="7"/>
      <c r="P96" s="7"/>
      <c r="Q96" s="41"/>
      <c r="R96" s="41"/>
      <c r="S96" s="41"/>
      <c r="T96" s="7"/>
      <c r="U96" s="7"/>
      <c r="V96" s="41"/>
      <c r="W96" s="41"/>
      <c r="X96" s="41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</row>
    <row r="97" spans="1:64" x14ac:dyDescent="0.2">
      <c r="A97" s="119"/>
      <c r="B97" s="119">
        <v>2037</v>
      </c>
      <c r="C97" s="5">
        <v>1</v>
      </c>
      <c r="D97" s="119">
        <v>249</v>
      </c>
      <c r="E97" s="121">
        <f>high_SIPA_income!B90</f>
        <v>40929347.255892403</v>
      </c>
      <c r="F97" s="121">
        <f>high_SIPA_income!I90</f>
        <v>210183.53528531201</v>
      </c>
      <c r="G97" s="8">
        <f t="shared" si="10"/>
        <v>40782218.781192683</v>
      </c>
      <c r="H97" s="8"/>
      <c r="I97" s="8"/>
      <c r="J97" s="8">
        <f t="shared" si="9"/>
        <v>155934348.17412177</v>
      </c>
      <c r="K97" s="6"/>
      <c r="L97" s="8"/>
      <c r="M97" s="8">
        <f t="shared" si="8"/>
        <v>527920.44304201275</v>
      </c>
      <c r="N97" s="8"/>
      <c r="O97" s="5"/>
      <c r="P97" s="5"/>
      <c r="Q97" s="8"/>
      <c r="R97" s="8"/>
      <c r="S97" s="8"/>
      <c r="T97" s="5"/>
      <c r="U97" s="5"/>
      <c r="V97" s="8"/>
      <c r="W97" s="8"/>
      <c r="X97" s="8"/>
      <c r="Y97" s="119"/>
      <c r="Z97" s="119"/>
      <c r="AA97" s="119"/>
      <c r="AB97" s="119"/>
      <c r="AC97" s="119"/>
      <c r="AD97" s="119"/>
      <c r="AE97" s="119"/>
      <c r="AF97" s="119"/>
      <c r="AG97" s="119"/>
      <c r="AH97" s="119"/>
      <c r="AI97" s="119"/>
      <c r="AJ97" s="119"/>
      <c r="AK97" s="119"/>
      <c r="AL97" s="119"/>
      <c r="AM97" s="119"/>
      <c r="AN97" s="119"/>
      <c r="AO97" s="119"/>
      <c r="AP97" s="119"/>
      <c r="AQ97" s="119"/>
      <c r="AR97" s="119"/>
      <c r="AS97" s="119"/>
      <c r="AT97" s="119"/>
      <c r="AU97" s="119"/>
      <c r="AV97" s="119"/>
      <c r="AW97" s="119"/>
      <c r="AX97" s="119"/>
      <c r="AY97" s="119"/>
      <c r="AZ97" s="119"/>
      <c r="BA97" s="119"/>
      <c r="BB97" s="119"/>
      <c r="BC97" s="119"/>
      <c r="BD97" s="119"/>
      <c r="BE97" s="119"/>
      <c r="BF97" s="119"/>
      <c r="BG97" s="119"/>
      <c r="BH97" s="119"/>
      <c r="BI97" s="119"/>
      <c r="BJ97" s="119"/>
      <c r="BK97" s="119"/>
      <c r="BL97" s="119"/>
    </row>
    <row r="98" spans="1:64" x14ac:dyDescent="0.2">
      <c r="A98" s="7"/>
      <c r="B98" s="7">
        <v>2037</v>
      </c>
      <c r="C98" s="7">
        <v>2</v>
      </c>
      <c r="D98" s="7">
        <v>250</v>
      </c>
      <c r="E98" s="123">
        <f>high_SIPA_income!B91</f>
        <v>47538138.366325103</v>
      </c>
      <c r="F98" s="123">
        <f>high_SIPA_income!I91</f>
        <v>203989.81396891599</v>
      </c>
      <c r="G98" s="41">
        <f t="shared" si="10"/>
        <v>47395345.496546865</v>
      </c>
      <c r="H98" s="41"/>
      <c r="I98" s="41"/>
      <c r="J98" s="41">
        <f t="shared" si="9"/>
        <v>181220211.34121323</v>
      </c>
      <c r="K98" s="9"/>
      <c r="L98" s="41"/>
      <c r="M98" s="41">
        <f t="shared" si="8"/>
        <v>512363.60079463123</v>
      </c>
      <c r="N98" s="41"/>
      <c r="O98" s="7"/>
      <c r="P98" s="7"/>
      <c r="Q98" s="41"/>
      <c r="R98" s="41"/>
      <c r="S98" s="41"/>
      <c r="T98" s="7"/>
      <c r="U98" s="7"/>
      <c r="V98" s="41"/>
      <c r="W98" s="41"/>
      <c r="X98" s="41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</row>
    <row r="99" spans="1:64" x14ac:dyDescent="0.2">
      <c r="A99" s="7"/>
      <c r="B99" s="7">
        <v>2037</v>
      </c>
      <c r="C99" s="7">
        <v>3</v>
      </c>
      <c r="D99" s="7">
        <v>251</v>
      </c>
      <c r="E99" s="123">
        <f>high_SIPA_income!B92</f>
        <v>41763370.293094203</v>
      </c>
      <c r="F99" s="123">
        <f>high_SIPA_income!I92</f>
        <v>201311.16866900399</v>
      </c>
      <c r="G99" s="41">
        <f t="shared" si="10"/>
        <v>41622452.4750259</v>
      </c>
      <c r="H99" s="41"/>
      <c r="I99" s="41"/>
      <c r="J99" s="41">
        <f t="shared" si="9"/>
        <v>159147054.52697572</v>
      </c>
      <c r="K99" s="9"/>
      <c r="L99" s="41"/>
      <c r="M99" s="41">
        <f t="shared" ref="M99:M112" si="11">F99*2.511711692</f>
        <v>505635.6160761214</v>
      </c>
      <c r="N99" s="41"/>
      <c r="O99" s="7"/>
      <c r="P99" s="7"/>
      <c r="Q99" s="41"/>
      <c r="R99" s="41"/>
      <c r="S99" s="41"/>
      <c r="T99" s="7"/>
      <c r="U99" s="7"/>
      <c r="V99" s="41"/>
      <c r="W99" s="41"/>
      <c r="X99" s="41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</row>
    <row r="100" spans="1:64" x14ac:dyDescent="0.2">
      <c r="A100" s="7"/>
      <c r="B100" s="7">
        <v>2037</v>
      </c>
      <c r="C100" s="7">
        <v>4</v>
      </c>
      <c r="D100" s="7">
        <v>252</v>
      </c>
      <c r="E100" s="123">
        <f>high_SIPA_income!B93</f>
        <v>48655882.986505903</v>
      </c>
      <c r="F100" s="123">
        <f>high_SIPA_income!I93</f>
        <v>195424.67233670101</v>
      </c>
      <c r="G100" s="41">
        <f t="shared" si="10"/>
        <v>48519085.715870209</v>
      </c>
      <c r="H100" s="41"/>
      <c r="I100" s="41"/>
      <c r="J100" s="41">
        <f t="shared" ref="J100:J112" si="12">G100*3.8235866717</f>
        <v>185516929.46627119</v>
      </c>
      <c r="K100" s="9"/>
      <c r="L100" s="41"/>
      <c r="M100" s="41">
        <f t="shared" si="11"/>
        <v>490850.4344133609</v>
      </c>
      <c r="N100" s="41"/>
      <c r="O100" s="7"/>
      <c r="P100" s="7"/>
      <c r="Q100" s="41"/>
      <c r="R100" s="41"/>
      <c r="S100" s="41"/>
      <c r="T100" s="7"/>
      <c r="U100" s="7"/>
      <c r="V100" s="41"/>
      <c r="W100" s="41"/>
      <c r="X100" s="41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</row>
    <row r="101" spans="1:64" x14ac:dyDescent="0.2">
      <c r="A101" s="119"/>
      <c r="B101" s="119">
        <v>2038</v>
      </c>
      <c r="C101" s="5">
        <v>1</v>
      </c>
      <c r="D101" s="119">
        <v>253</v>
      </c>
      <c r="E101" s="121">
        <f>high_SIPA_income!B94</f>
        <v>42665619.323452801</v>
      </c>
      <c r="F101" s="121">
        <f>high_SIPA_income!I94</f>
        <v>199872.495001893</v>
      </c>
      <c r="G101" s="8">
        <f t="shared" si="10"/>
        <v>42525708.576951474</v>
      </c>
      <c r="H101" s="8"/>
      <c r="I101" s="8"/>
      <c r="J101" s="8">
        <f t="shared" si="12"/>
        <v>162600732.51943004</v>
      </c>
      <c r="K101" s="6"/>
      <c r="L101" s="8"/>
      <c r="M101" s="8">
        <f t="shared" si="11"/>
        <v>502022.08260546619</v>
      </c>
      <c r="N101" s="8"/>
      <c r="O101" s="5"/>
      <c r="P101" s="5"/>
      <c r="Q101" s="8"/>
      <c r="R101" s="8"/>
      <c r="S101" s="8"/>
      <c r="T101" s="5"/>
      <c r="U101" s="5"/>
      <c r="V101" s="8"/>
      <c r="W101" s="8"/>
      <c r="X101" s="8"/>
      <c r="Y101" s="119"/>
      <c r="Z101" s="119"/>
      <c r="AA101" s="119"/>
      <c r="AB101" s="119"/>
      <c r="AC101" s="119"/>
      <c r="AD101" s="119"/>
      <c r="AE101" s="119"/>
      <c r="AF101" s="119"/>
      <c r="AG101" s="119"/>
      <c r="AH101" s="119"/>
      <c r="AI101" s="119"/>
      <c r="AJ101" s="119"/>
      <c r="AK101" s="119"/>
      <c r="AL101" s="119"/>
      <c r="AM101" s="119"/>
      <c r="AN101" s="119"/>
      <c r="AO101" s="119"/>
      <c r="AP101" s="119"/>
      <c r="AQ101" s="119"/>
      <c r="AR101" s="119"/>
      <c r="AS101" s="119"/>
      <c r="AT101" s="119"/>
      <c r="AU101" s="119"/>
      <c r="AV101" s="119"/>
      <c r="AW101" s="119"/>
      <c r="AX101" s="119"/>
      <c r="AY101" s="119"/>
      <c r="AZ101" s="119"/>
      <c r="BA101" s="119"/>
      <c r="BB101" s="119"/>
      <c r="BC101" s="119"/>
      <c r="BD101" s="119"/>
      <c r="BE101" s="119"/>
      <c r="BF101" s="119"/>
      <c r="BG101" s="119"/>
      <c r="BH101" s="119"/>
      <c r="BI101" s="119"/>
      <c r="BJ101" s="119"/>
      <c r="BK101" s="119"/>
      <c r="BL101" s="119"/>
    </row>
    <row r="102" spans="1:64" x14ac:dyDescent="0.2">
      <c r="A102" s="7"/>
      <c r="B102" s="7">
        <v>2038</v>
      </c>
      <c r="C102" s="7">
        <v>2</v>
      </c>
      <c r="D102" s="7">
        <v>254</v>
      </c>
      <c r="E102" s="123">
        <f>high_SIPA_income!B95</f>
        <v>49446010.333966099</v>
      </c>
      <c r="F102" s="123">
        <f>high_SIPA_income!I95</f>
        <v>199462.141232155</v>
      </c>
      <c r="G102" s="41">
        <f t="shared" si="10"/>
        <v>49306386.835103594</v>
      </c>
      <c r="H102" s="41"/>
      <c r="I102" s="41"/>
      <c r="J102" s="41">
        <f t="shared" si="12"/>
        <v>188527243.53238645</v>
      </c>
      <c r="K102" s="9"/>
      <c r="L102" s="41"/>
      <c r="M102" s="41">
        <f t="shared" si="11"/>
        <v>500991.39224415901</v>
      </c>
      <c r="N102" s="41"/>
      <c r="O102" s="7"/>
      <c r="P102" s="7"/>
      <c r="Q102" s="41"/>
      <c r="R102" s="41"/>
      <c r="S102" s="41"/>
      <c r="T102" s="7"/>
      <c r="U102" s="7"/>
      <c r="V102" s="41"/>
      <c r="W102" s="41"/>
      <c r="X102" s="41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</row>
    <row r="103" spans="1:64" x14ac:dyDescent="0.2">
      <c r="A103" s="7"/>
      <c r="B103" s="7">
        <v>2038</v>
      </c>
      <c r="C103" s="7">
        <v>3</v>
      </c>
      <c r="D103" s="7">
        <v>255</v>
      </c>
      <c r="E103" s="123">
        <f>high_SIPA_income!B96</f>
        <v>43319208.8885995</v>
      </c>
      <c r="F103" s="123">
        <f>high_SIPA_income!I96</f>
        <v>200970.718580838</v>
      </c>
      <c r="G103" s="41">
        <f t="shared" si="10"/>
        <v>43178529.385592915</v>
      </c>
      <c r="H103" s="41"/>
      <c r="I103" s="41"/>
      <c r="J103" s="41">
        <f t="shared" si="12"/>
        <v>165096849.46235988</v>
      </c>
      <c r="K103" s="9"/>
      <c r="L103" s="41"/>
      <c r="M103" s="41">
        <f t="shared" si="11"/>
        <v>504780.50360913243</v>
      </c>
      <c r="N103" s="41"/>
      <c r="O103" s="7"/>
      <c r="P103" s="7"/>
      <c r="Q103" s="41"/>
      <c r="R103" s="41"/>
      <c r="S103" s="41"/>
      <c r="T103" s="7"/>
      <c r="U103" s="7"/>
      <c r="V103" s="41"/>
      <c r="W103" s="41"/>
      <c r="X103" s="41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</row>
    <row r="104" spans="1:64" x14ac:dyDescent="0.2">
      <c r="A104" s="7"/>
      <c r="B104" s="7">
        <v>2038</v>
      </c>
      <c r="C104" s="7">
        <v>4</v>
      </c>
      <c r="D104" s="7">
        <v>256</v>
      </c>
      <c r="E104" s="123">
        <f>high_SIPA_income!B97</f>
        <v>49911712.952126101</v>
      </c>
      <c r="F104" s="123">
        <f>high_SIPA_income!I97</f>
        <v>207978.74973124801</v>
      </c>
      <c r="G104" s="41">
        <f t="shared" si="10"/>
        <v>49766127.827314228</v>
      </c>
      <c r="H104" s="41"/>
      <c r="I104" s="41"/>
      <c r="J104" s="41">
        <f t="shared" si="12"/>
        <v>190285103.06263718</v>
      </c>
      <c r="K104" s="9"/>
      <c r="L104" s="41"/>
      <c r="M104" s="41">
        <f t="shared" si="11"/>
        <v>522382.65738751751</v>
      </c>
      <c r="N104" s="41"/>
      <c r="O104" s="7"/>
      <c r="P104" s="7"/>
      <c r="Q104" s="41"/>
      <c r="R104" s="41"/>
      <c r="S104" s="41"/>
      <c r="T104" s="7"/>
      <c r="U104" s="7"/>
      <c r="V104" s="41"/>
      <c r="W104" s="41"/>
      <c r="X104" s="41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</row>
    <row r="105" spans="1:64" x14ac:dyDescent="0.2">
      <c r="A105" s="119"/>
      <c r="B105" s="119">
        <v>2039</v>
      </c>
      <c r="C105" s="5">
        <v>1</v>
      </c>
      <c r="D105" s="119">
        <v>257</v>
      </c>
      <c r="E105" s="121">
        <f>high_SIPA_income!B98</f>
        <v>43976627.320622496</v>
      </c>
      <c r="F105" s="121">
        <f>high_SIPA_income!I98</f>
        <v>204358.96339279201</v>
      </c>
      <c r="G105" s="8">
        <f t="shared" ref="G105:G112" si="13">E105-F105*0.7</f>
        <v>43833576.046247542</v>
      </c>
      <c r="H105" s="8"/>
      <c r="I105" s="8"/>
      <c r="J105" s="8">
        <f t="shared" si="12"/>
        <v>167601477.14338049</v>
      </c>
      <c r="K105" s="6"/>
      <c r="L105" s="8"/>
      <c r="M105" s="8">
        <f t="shared" si="11"/>
        <v>513290.79771867569</v>
      </c>
      <c r="N105" s="8"/>
      <c r="O105" s="5"/>
      <c r="P105" s="5"/>
      <c r="Q105" s="8"/>
      <c r="R105" s="8"/>
      <c r="S105" s="8"/>
      <c r="T105" s="5"/>
      <c r="U105" s="5"/>
      <c r="V105" s="8"/>
      <c r="W105" s="8"/>
      <c r="X105" s="8"/>
      <c r="Y105" s="119"/>
      <c r="Z105" s="119"/>
      <c r="AA105" s="119"/>
      <c r="AB105" s="119"/>
      <c r="AC105" s="119"/>
      <c r="AD105" s="119"/>
      <c r="AE105" s="119"/>
      <c r="AF105" s="119"/>
      <c r="AG105" s="119"/>
      <c r="AH105" s="119"/>
      <c r="AI105" s="119"/>
      <c r="AJ105" s="119"/>
      <c r="AK105" s="119"/>
      <c r="AL105" s="119"/>
      <c r="AM105" s="119"/>
      <c r="AN105" s="119"/>
      <c r="AO105" s="119"/>
      <c r="AP105" s="119"/>
      <c r="AQ105" s="119"/>
      <c r="AR105" s="119"/>
      <c r="AS105" s="119"/>
      <c r="AT105" s="119"/>
      <c r="AU105" s="119"/>
      <c r="AV105" s="119"/>
      <c r="AW105" s="119"/>
      <c r="AX105" s="119"/>
      <c r="AY105" s="119"/>
      <c r="AZ105" s="119"/>
      <c r="BA105" s="119"/>
      <c r="BB105" s="119"/>
      <c r="BC105" s="119"/>
      <c r="BD105" s="119"/>
      <c r="BE105" s="119"/>
      <c r="BF105" s="119"/>
      <c r="BG105" s="119"/>
      <c r="BH105" s="119"/>
      <c r="BI105" s="119"/>
      <c r="BJ105" s="119"/>
      <c r="BK105" s="119"/>
      <c r="BL105" s="119"/>
    </row>
    <row r="106" spans="1:64" x14ac:dyDescent="0.2">
      <c r="A106" s="7"/>
      <c r="B106" s="7">
        <v>2039</v>
      </c>
      <c r="C106" s="7">
        <v>2</v>
      </c>
      <c r="D106" s="7">
        <v>258</v>
      </c>
      <c r="E106" s="123">
        <f>high_SIPA_income!B99</f>
        <v>50913364.612689398</v>
      </c>
      <c r="F106" s="123">
        <f>high_SIPA_income!I99</f>
        <v>202941.06372598</v>
      </c>
      <c r="G106" s="41">
        <f t="shared" si="13"/>
        <v>50771305.868081212</v>
      </c>
      <c r="H106" s="41"/>
      <c r="I106" s="41"/>
      <c r="J106" s="41">
        <f t="shared" si="12"/>
        <v>194128488.42199934</v>
      </c>
      <c r="K106" s="9"/>
      <c r="L106" s="41"/>
      <c r="M106" s="41">
        <f t="shared" si="11"/>
        <v>509729.44254746102</v>
      </c>
      <c r="N106" s="41"/>
      <c r="O106" s="7"/>
      <c r="P106" s="7"/>
      <c r="Q106" s="41"/>
      <c r="R106" s="41"/>
      <c r="S106" s="41"/>
      <c r="T106" s="7"/>
      <c r="U106" s="7"/>
      <c r="V106" s="41"/>
      <c r="W106" s="41"/>
      <c r="X106" s="41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</row>
    <row r="107" spans="1:64" x14ac:dyDescent="0.2">
      <c r="A107" s="7"/>
      <c r="B107" s="7">
        <v>2039</v>
      </c>
      <c r="C107" s="7">
        <v>3</v>
      </c>
      <c r="D107" s="7">
        <v>259</v>
      </c>
      <c r="E107" s="123">
        <f>high_SIPA_income!B100</f>
        <v>44785872.403475702</v>
      </c>
      <c r="F107" s="123">
        <f>high_SIPA_income!I100</f>
        <v>199355.40526823601</v>
      </c>
      <c r="G107" s="41">
        <f t="shared" si="13"/>
        <v>44646323.619787939</v>
      </c>
      <c r="H107" s="41"/>
      <c r="I107" s="41"/>
      <c r="J107" s="41">
        <f t="shared" si="12"/>
        <v>170709087.93302608</v>
      </c>
      <c r="K107" s="9"/>
      <c r="L107" s="41"/>
      <c r="M107" s="41">
        <f t="shared" si="11"/>
        <v>500723.30227562675</v>
      </c>
      <c r="N107" s="41"/>
      <c r="O107" s="7"/>
      <c r="P107" s="7"/>
      <c r="Q107" s="41"/>
      <c r="R107" s="41"/>
      <c r="S107" s="41"/>
      <c r="T107" s="7"/>
      <c r="U107" s="7"/>
      <c r="V107" s="41"/>
      <c r="W107" s="41"/>
      <c r="X107" s="41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</row>
    <row r="108" spans="1:64" x14ac:dyDescent="0.2">
      <c r="A108" s="7"/>
      <c r="B108" s="7">
        <v>2039</v>
      </c>
      <c r="C108" s="7">
        <v>4</v>
      </c>
      <c r="D108" s="7">
        <v>260</v>
      </c>
      <c r="E108" s="123">
        <f>high_SIPA_income!B101</f>
        <v>51747848.079977401</v>
      </c>
      <c r="F108" s="123">
        <f>high_SIPA_income!I101</f>
        <v>213276.92684095999</v>
      </c>
      <c r="G108" s="41">
        <f t="shared" si="13"/>
        <v>51598554.231188729</v>
      </c>
      <c r="H108" s="41"/>
      <c r="I108" s="41"/>
      <c r="J108" s="41">
        <f t="shared" si="12"/>
        <v>197291544.23736289</v>
      </c>
      <c r="K108" s="9"/>
      <c r="L108" s="41"/>
      <c r="M108" s="41">
        <f t="shared" si="11"/>
        <v>535690.15078026778</v>
      </c>
      <c r="N108" s="41"/>
      <c r="O108" s="7"/>
      <c r="P108" s="7"/>
      <c r="Q108" s="41"/>
      <c r="R108" s="41"/>
      <c r="S108" s="41"/>
      <c r="T108" s="7"/>
      <c r="U108" s="7"/>
      <c r="V108" s="41"/>
      <c r="W108" s="41"/>
      <c r="X108" s="41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</row>
    <row r="109" spans="1:64" x14ac:dyDescent="0.2">
      <c r="A109" s="119"/>
      <c r="B109" s="119">
        <v>2040</v>
      </c>
      <c r="C109" s="5">
        <v>1</v>
      </c>
      <c r="D109" s="119">
        <v>261</v>
      </c>
      <c r="E109" s="121">
        <f>high_SIPA_income!B102</f>
        <v>45487892.800750896</v>
      </c>
      <c r="F109" s="121">
        <f>high_SIPA_income!I102</f>
        <v>204820.66397223799</v>
      </c>
      <c r="G109" s="8">
        <f t="shared" si="13"/>
        <v>45344518.335970327</v>
      </c>
      <c r="H109" s="8"/>
      <c r="I109" s="8"/>
      <c r="J109" s="8">
        <f t="shared" si="12"/>
        <v>173378695.94407243</v>
      </c>
      <c r="K109" s="6"/>
      <c r="L109" s="8"/>
      <c r="M109" s="8">
        <f t="shared" si="11"/>
        <v>514450.45646227332</v>
      </c>
      <c r="N109" s="8"/>
      <c r="O109" s="5"/>
      <c r="P109" s="5"/>
      <c r="Q109" s="8"/>
      <c r="R109" s="8"/>
      <c r="S109" s="8"/>
      <c r="T109" s="5"/>
      <c r="U109" s="5"/>
      <c r="V109" s="8"/>
      <c r="W109" s="8"/>
      <c r="X109" s="8"/>
      <c r="Y109" s="119"/>
      <c r="Z109" s="119"/>
      <c r="AA109" s="119"/>
      <c r="AB109" s="119"/>
      <c r="AC109" s="119"/>
      <c r="AD109" s="119"/>
      <c r="AE109" s="119"/>
      <c r="AF109" s="119"/>
      <c r="AG109" s="119"/>
      <c r="AH109" s="119"/>
      <c r="AI109" s="119"/>
      <c r="AJ109" s="119"/>
      <c r="AK109" s="119"/>
      <c r="AL109" s="119"/>
      <c r="AM109" s="119"/>
      <c r="AN109" s="119"/>
      <c r="AO109" s="119"/>
      <c r="AP109" s="119"/>
      <c r="AQ109" s="119"/>
      <c r="AR109" s="119"/>
      <c r="AS109" s="119"/>
      <c r="AT109" s="119"/>
      <c r="AU109" s="119"/>
      <c r="AV109" s="119"/>
      <c r="AW109" s="119"/>
      <c r="AX109" s="119"/>
      <c r="AY109" s="119"/>
      <c r="AZ109" s="119"/>
      <c r="BA109" s="119"/>
      <c r="BB109" s="119"/>
      <c r="BC109" s="119"/>
      <c r="BD109" s="119"/>
      <c r="BE109" s="119"/>
      <c r="BF109" s="119"/>
      <c r="BG109" s="119"/>
      <c r="BH109" s="119"/>
      <c r="BI109" s="119"/>
      <c r="BJ109" s="119"/>
      <c r="BK109" s="119"/>
      <c r="BL109" s="119"/>
    </row>
    <row r="110" spans="1:64" x14ac:dyDescent="0.2">
      <c r="A110" s="7"/>
      <c r="B110" s="7">
        <v>2040</v>
      </c>
      <c r="C110" s="7">
        <v>2</v>
      </c>
      <c r="D110" s="7">
        <v>262</v>
      </c>
      <c r="E110" s="123">
        <f>high_SIPA_income!B103</f>
        <v>52486092.142161697</v>
      </c>
      <c r="F110" s="123">
        <f>high_SIPA_income!I103</f>
        <v>221267.24781930001</v>
      </c>
      <c r="G110" s="41">
        <f t="shared" si="13"/>
        <v>52331205.068688184</v>
      </c>
      <c r="H110" s="41"/>
      <c r="I110" s="41"/>
      <c r="J110" s="41">
        <f t="shared" si="12"/>
        <v>200092898.21463564</v>
      </c>
      <c r="K110" s="9"/>
      <c r="L110" s="41"/>
      <c r="M110" s="41">
        <f t="shared" si="11"/>
        <v>555759.53340439731</v>
      </c>
      <c r="N110" s="41"/>
      <c r="O110" s="7"/>
      <c r="P110" s="7"/>
      <c r="Q110" s="41"/>
      <c r="R110" s="41"/>
      <c r="S110" s="41"/>
      <c r="T110" s="7"/>
      <c r="U110" s="7"/>
      <c r="V110" s="41"/>
      <c r="W110" s="41"/>
      <c r="X110" s="41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</row>
    <row r="111" spans="1:64" x14ac:dyDescent="0.2">
      <c r="A111" s="7"/>
      <c r="B111" s="7">
        <v>2040</v>
      </c>
      <c r="C111" s="7">
        <v>3</v>
      </c>
      <c r="D111" s="7">
        <v>263</v>
      </c>
      <c r="E111" s="123">
        <f>high_SIPA_income!B104</f>
        <v>45996495.637261301</v>
      </c>
      <c r="F111" s="123">
        <f>high_SIPA_income!I104</f>
        <v>218385.06309038101</v>
      </c>
      <c r="G111" s="41">
        <f t="shared" si="13"/>
        <v>45843626.093098037</v>
      </c>
      <c r="H111" s="41"/>
      <c r="I111" s="41"/>
      <c r="J111" s="41">
        <f t="shared" si="12"/>
        <v>175287077.711968</v>
      </c>
      <c r="K111" s="9"/>
      <c r="L111" s="41"/>
      <c r="M111" s="41">
        <f t="shared" si="11"/>
        <v>548520.31632226764</v>
      </c>
      <c r="N111" s="41"/>
      <c r="O111" s="7"/>
      <c r="P111" s="7"/>
      <c r="Q111" s="41"/>
      <c r="R111" s="41"/>
      <c r="S111" s="41"/>
      <c r="T111" s="7"/>
      <c r="U111" s="7"/>
      <c r="V111" s="41"/>
      <c r="W111" s="41"/>
      <c r="X111" s="41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</row>
    <row r="112" spans="1:64" x14ac:dyDescent="0.2">
      <c r="A112" s="7"/>
      <c r="B112" s="7">
        <v>2040</v>
      </c>
      <c r="C112" s="7">
        <v>4</v>
      </c>
      <c r="D112" s="7">
        <v>264</v>
      </c>
      <c r="E112" s="123">
        <f>high_SIPA_income!B105</f>
        <v>53061902.258751899</v>
      </c>
      <c r="F112" s="123">
        <f>high_SIPA_income!I105</f>
        <v>226587.24127840201</v>
      </c>
      <c r="G112" s="41">
        <f t="shared" si="13"/>
        <v>52903291.189857021</v>
      </c>
      <c r="H112" s="41"/>
      <c r="I112" s="41"/>
      <c r="J112" s="41">
        <f t="shared" si="12"/>
        <v>202280319.08260134</v>
      </c>
      <c r="K112" s="9"/>
      <c r="L112" s="41"/>
      <c r="M112" s="41">
        <f t="shared" si="11"/>
        <v>569121.82317698735</v>
      </c>
      <c r="N112" s="41"/>
      <c r="O112" s="7"/>
      <c r="P112" s="7"/>
      <c r="Q112" s="41"/>
      <c r="R112" s="41"/>
      <c r="S112" s="41"/>
      <c r="T112" s="7"/>
      <c r="U112" s="7"/>
      <c r="V112" s="41"/>
      <c r="W112" s="41"/>
      <c r="X112" s="41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</row>
    <row r="113" spans="1:64" x14ac:dyDescent="0.2">
      <c r="A113" s="119"/>
      <c r="B113" s="119"/>
      <c r="C113" s="5"/>
      <c r="D113" s="119"/>
      <c r="E113" s="36"/>
      <c r="F113" s="36"/>
      <c r="G113" s="8"/>
      <c r="H113" s="8"/>
      <c r="I113" s="8"/>
      <c r="J113" s="8"/>
      <c r="K113" s="6"/>
      <c r="L113" s="8"/>
      <c r="M113" s="8"/>
      <c r="N113" s="8"/>
      <c r="O113" s="5"/>
      <c r="P113" s="5"/>
      <c r="Q113" s="8"/>
      <c r="R113" s="8"/>
      <c r="S113" s="8"/>
      <c r="T113" s="5"/>
      <c r="U113" s="5"/>
      <c r="V113" s="8"/>
      <c r="W113" s="8"/>
      <c r="X113" s="8"/>
      <c r="Y113" s="119"/>
      <c r="Z113" s="119"/>
      <c r="AA113" s="119"/>
      <c r="AB113" s="119"/>
      <c r="AC113" s="119"/>
      <c r="AD113" s="119"/>
      <c r="AE113" s="119"/>
      <c r="AF113" s="119"/>
      <c r="AG113" s="119"/>
      <c r="AH113" s="119"/>
      <c r="AI113" s="119"/>
      <c r="AJ113" s="119"/>
      <c r="AK113" s="119"/>
      <c r="AL113" s="119"/>
      <c r="AM113" s="119"/>
      <c r="AN113" s="119"/>
      <c r="AO113" s="119"/>
      <c r="AP113" s="119"/>
      <c r="AQ113" s="119"/>
      <c r="AR113" s="119"/>
      <c r="AS113" s="119"/>
      <c r="AT113" s="119"/>
      <c r="AU113" s="119"/>
      <c r="AV113" s="119"/>
      <c r="AW113" s="119"/>
      <c r="AX113" s="119"/>
      <c r="AY113" s="119"/>
      <c r="AZ113" s="119"/>
      <c r="BA113" s="119"/>
      <c r="BB113" s="119"/>
      <c r="BC113" s="119"/>
      <c r="BD113" s="119"/>
      <c r="BE113" s="119"/>
      <c r="BF113" s="119"/>
      <c r="BG113" s="119"/>
      <c r="BH113" s="119"/>
      <c r="BI113" s="119"/>
      <c r="BJ113" s="119"/>
      <c r="BK113" s="119"/>
      <c r="BL113" s="119"/>
    </row>
    <row r="114" spans="1:64" x14ac:dyDescent="0.2">
      <c r="A114" s="7"/>
      <c r="B114" s="7"/>
      <c r="C114" s="7"/>
      <c r="D114" s="7"/>
      <c r="E114" s="43"/>
      <c r="F114" s="43"/>
      <c r="G114" s="41"/>
      <c r="H114" s="41"/>
      <c r="I114" s="41"/>
      <c r="J114" s="41"/>
      <c r="K114" s="9"/>
      <c r="L114" s="41"/>
      <c r="M114" s="41"/>
      <c r="N114" s="41"/>
      <c r="O114" s="7"/>
      <c r="P114" s="7"/>
      <c r="Q114" s="41"/>
      <c r="R114" s="41"/>
      <c r="S114" s="41"/>
      <c r="T114" s="7"/>
      <c r="U114" s="7"/>
      <c r="V114" s="41"/>
      <c r="W114" s="41"/>
      <c r="X114" s="41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</row>
    <row r="115" spans="1:64" x14ac:dyDescent="0.2">
      <c r="A115" s="7"/>
      <c r="B115" s="7"/>
      <c r="C115" s="7"/>
      <c r="D115" s="7"/>
      <c r="E115" s="43"/>
      <c r="F115" s="43"/>
      <c r="G115" s="41"/>
      <c r="H115" s="41"/>
      <c r="I115" s="41"/>
      <c r="J115" s="41"/>
      <c r="K115" s="9"/>
      <c r="L115" s="41"/>
      <c r="M115" s="41"/>
      <c r="N115" s="41"/>
      <c r="O115" s="7"/>
      <c r="P115" s="7"/>
      <c r="Q115" s="41"/>
      <c r="R115" s="41"/>
      <c r="S115" s="41"/>
      <c r="T115" s="7"/>
      <c r="U115" s="7"/>
      <c r="V115" s="41"/>
      <c r="W115" s="41"/>
      <c r="X115" s="41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</row>
    <row r="116" spans="1:64" x14ac:dyDescent="0.2">
      <c r="A116" s="7"/>
      <c r="B116" s="7"/>
      <c r="C116" s="7"/>
      <c r="D116" s="7"/>
      <c r="E116" s="43"/>
      <c r="F116" s="43"/>
      <c r="G116" s="41"/>
      <c r="H116" s="41"/>
      <c r="I116" s="41"/>
      <c r="J116" s="41"/>
      <c r="K116" s="9"/>
      <c r="L116" s="41"/>
      <c r="M116" s="41"/>
      <c r="N116" s="41"/>
      <c r="O116" s="7"/>
      <c r="P116" s="7"/>
      <c r="Q116" s="41"/>
      <c r="R116" s="41"/>
      <c r="S116" s="41"/>
      <c r="T116" s="7"/>
      <c r="U116" s="7"/>
      <c r="V116" s="41"/>
      <c r="W116" s="41"/>
      <c r="X116" s="41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</row>
    <row r="118" spans="1:64" x14ac:dyDescent="0.2">
      <c r="E118" s="32">
        <v>1000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5"/>
  <sheetViews>
    <sheetView topLeftCell="A70" zoomScale="75" zoomScaleNormal="75" workbookViewId="0"/>
  </sheetViews>
  <sheetFormatPr baseColWidth="10" defaultColWidth="11.7109375" defaultRowHeight="12.75" x14ac:dyDescent="0.2"/>
  <cols>
    <col min="1" max="1" width="6.5703125" customWidth="1"/>
    <col min="2" max="2" width="22.7109375" customWidth="1"/>
    <col min="3" max="3" width="12.5703125" customWidth="1"/>
  </cols>
  <sheetData>
    <row r="1" spans="1:3" x14ac:dyDescent="0.2">
      <c r="A1" t="s">
        <v>164</v>
      </c>
      <c r="B1" t="s">
        <v>165</v>
      </c>
      <c r="C1" t="s">
        <v>166</v>
      </c>
    </row>
    <row r="2" spans="1:3" x14ac:dyDescent="0.2">
      <c r="A2">
        <v>49</v>
      </c>
      <c r="B2">
        <v>6414.7890469953099</v>
      </c>
      <c r="C2">
        <v>10914398</v>
      </c>
    </row>
    <row r="3" spans="1:3" x14ac:dyDescent="0.2">
      <c r="A3">
        <v>50</v>
      </c>
      <c r="B3">
        <v>6778.9022518415804</v>
      </c>
      <c r="C3">
        <v>11021763</v>
      </c>
    </row>
    <row r="4" spans="1:3" x14ac:dyDescent="0.2">
      <c r="A4">
        <v>51</v>
      </c>
      <c r="B4">
        <v>7092.0210021706398</v>
      </c>
      <c r="C4">
        <v>11059493</v>
      </c>
    </row>
    <row r="5" spans="1:3" x14ac:dyDescent="0.2">
      <c r="A5">
        <v>52</v>
      </c>
      <c r="B5">
        <v>7113.9816443372702</v>
      </c>
      <c r="C5">
        <v>11048388</v>
      </c>
    </row>
    <row r="6" spans="1:3" x14ac:dyDescent="0.2">
      <c r="A6">
        <v>53</v>
      </c>
      <c r="B6">
        <v>6705.5459972967601</v>
      </c>
      <c r="C6">
        <v>11064497</v>
      </c>
    </row>
    <row r="7" spans="1:3" x14ac:dyDescent="0.2">
      <c r="A7">
        <v>54</v>
      </c>
      <c r="B7">
        <v>6521.1732186580603</v>
      </c>
      <c r="C7">
        <v>11128156</v>
      </c>
    </row>
    <row r="8" spans="1:3" x14ac:dyDescent="0.2">
      <c r="A8">
        <v>55</v>
      </c>
      <c r="B8">
        <v>6554.0196453557301</v>
      </c>
      <c r="C8">
        <v>11235296</v>
      </c>
    </row>
    <row r="9" spans="1:3" x14ac:dyDescent="0.2">
      <c r="A9">
        <v>56</v>
      </c>
      <c r="B9">
        <v>6660.1842529204996</v>
      </c>
      <c r="C9">
        <v>11156745</v>
      </c>
    </row>
    <row r="10" spans="1:3" x14ac:dyDescent="0.2">
      <c r="A10">
        <v>57</v>
      </c>
      <c r="B10">
        <v>6744.0342912967499</v>
      </c>
      <c r="C10">
        <v>11057148</v>
      </c>
    </row>
    <row r="11" spans="1:3" x14ac:dyDescent="0.2">
      <c r="A11">
        <v>58</v>
      </c>
      <c r="B11">
        <v>6741.6617525258698</v>
      </c>
      <c r="C11">
        <v>11247506</v>
      </c>
    </row>
    <row r="12" spans="1:3" x14ac:dyDescent="0.2">
      <c r="A12">
        <v>59</v>
      </c>
      <c r="B12">
        <v>6886.4292106928397</v>
      </c>
      <c r="C12">
        <v>11410134</v>
      </c>
    </row>
    <row r="13" spans="1:3" x14ac:dyDescent="0.2">
      <c r="A13">
        <v>60</v>
      </c>
      <c r="B13">
        <v>6890.5453339577498</v>
      </c>
      <c r="C13">
        <v>11521898</v>
      </c>
    </row>
    <row r="14" spans="1:3" x14ac:dyDescent="0.2">
      <c r="A14">
        <v>61</v>
      </c>
      <c r="B14">
        <v>6808.8492663922098</v>
      </c>
      <c r="C14">
        <v>11482379</v>
      </c>
    </row>
    <row r="15" spans="1:3" x14ac:dyDescent="0.2">
      <c r="A15">
        <v>62</v>
      </c>
      <c r="B15">
        <v>6723.1718064753604</v>
      </c>
      <c r="C15">
        <v>11421402</v>
      </c>
    </row>
    <row r="16" spans="1:3" x14ac:dyDescent="0.2">
      <c r="A16">
        <v>63</v>
      </c>
      <c r="B16">
        <v>6342.5407561381298</v>
      </c>
      <c r="C16">
        <v>11521980</v>
      </c>
    </row>
    <row r="17" spans="1:3" x14ac:dyDescent="0.2">
      <c r="A17">
        <v>64</v>
      </c>
      <c r="B17">
        <v>6004.7550431554</v>
      </c>
      <c r="C17">
        <v>11538154</v>
      </c>
    </row>
    <row r="18" spans="1:3" x14ac:dyDescent="0.2">
      <c r="A18">
        <v>65</v>
      </c>
      <c r="B18">
        <v>5984.6603814234404</v>
      </c>
      <c r="C18">
        <v>11452346</v>
      </c>
    </row>
    <row r="19" spans="1:3" x14ac:dyDescent="0.2">
      <c r="A19">
        <v>66</v>
      </c>
      <c r="B19">
        <v>5957.7182370473902</v>
      </c>
      <c r="C19">
        <v>11487356</v>
      </c>
    </row>
    <row r="20" spans="1:3" x14ac:dyDescent="0.2">
      <c r="A20">
        <v>67</v>
      </c>
      <c r="B20">
        <v>5902.6327097858002</v>
      </c>
      <c r="C20">
        <v>11445931</v>
      </c>
    </row>
    <row r="21" spans="1:3" x14ac:dyDescent="0.2">
      <c r="A21">
        <v>68</v>
      </c>
      <c r="B21">
        <v>5855.1155803566398</v>
      </c>
      <c r="C21">
        <v>11546507</v>
      </c>
    </row>
    <row r="22" spans="1:3" x14ac:dyDescent="0.2">
      <c r="A22">
        <v>69</v>
      </c>
      <c r="B22">
        <v>5905.76889726852</v>
      </c>
      <c r="C22">
        <v>11506452</v>
      </c>
    </row>
    <row r="23" spans="1:3" x14ac:dyDescent="0.2">
      <c r="A23">
        <v>70</v>
      </c>
      <c r="B23">
        <v>5929.7431110960197</v>
      </c>
      <c r="C23">
        <v>11578075</v>
      </c>
    </row>
    <row r="24" spans="1:3" x14ac:dyDescent="0.2">
      <c r="A24">
        <v>71</v>
      </c>
      <c r="B24">
        <v>5976.4023583588996</v>
      </c>
      <c r="C24">
        <v>11571670</v>
      </c>
    </row>
    <row r="25" spans="1:3" x14ac:dyDescent="0.2">
      <c r="A25">
        <v>72</v>
      </c>
      <c r="B25">
        <v>5989.7690141576204</v>
      </c>
      <c r="C25">
        <v>11631336</v>
      </c>
    </row>
    <row r="26" spans="1:3" x14ac:dyDescent="0.2">
      <c r="A26">
        <v>73</v>
      </c>
      <c r="B26">
        <v>6074.1674263638197</v>
      </c>
      <c r="C26">
        <v>11645402</v>
      </c>
    </row>
    <row r="27" spans="1:3" x14ac:dyDescent="0.2">
      <c r="A27">
        <v>74</v>
      </c>
      <c r="B27">
        <v>6108.3576146625101</v>
      </c>
      <c r="C27">
        <v>11654580</v>
      </c>
    </row>
    <row r="28" spans="1:3" x14ac:dyDescent="0.2">
      <c r="A28">
        <v>75</v>
      </c>
      <c r="B28">
        <v>6175.3102400733096</v>
      </c>
      <c r="C28">
        <v>11726547</v>
      </c>
    </row>
    <row r="29" spans="1:3" x14ac:dyDescent="0.2">
      <c r="A29">
        <v>76</v>
      </c>
      <c r="B29">
        <v>6258.2736459001899</v>
      </c>
      <c r="C29">
        <v>11809053</v>
      </c>
    </row>
    <row r="30" spans="1:3" x14ac:dyDescent="0.2">
      <c r="A30">
        <v>77</v>
      </c>
      <c r="B30">
        <v>6271.2039053219096</v>
      </c>
      <c r="C30">
        <v>11839180</v>
      </c>
    </row>
    <row r="31" spans="1:3" x14ac:dyDescent="0.2">
      <c r="A31">
        <v>78</v>
      </c>
      <c r="B31">
        <v>6315.1730823546604</v>
      </c>
      <c r="C31">
        <v>11849452</v>
      </c>
    </row>
    <row r="32" spans="1:3" x14ac:dyDescent="0.2">
      <c r="A32">
        <v>79</v>
      </c>
      <c r="B32">
        <v>6362.66303993765</v>
      </c>
      <c r="C32">
        <v>11918484</v>
      </c>
    </row>
    <row r="33" spans="1:3" x14ac:dyDescent="0.2">
      <c r="A33">
        <v>80</v>
      </c>
      <c r="B33">
        <v>6390.5119439180498</v>
      </c>
      <c r="C33">
        <v>11968139</v>
      </c>
    </row>
    <row r="34" spans="1:3" x14ac:dyDescent="0.2">
      <c r="A34">
        <v>81</v>
      </c>
      <c r="B34">
        <v>6444.4238261981</v>
      </c>
      <c r="C34">
        <v>12037137</v>
      </c>
    </row>
    <row r="35" spans="1:3" x14ac:dyDescent="0.2">
      <c r="A35">
        <v>82</v>
      </c>
      <c r="B35">
        <v>6516.5456438005604</v>
      </c>
      <c r="C35">
        <v>12005220</v>
      </c>
    </row>
    <row r="36" spans="1:3" x14ac:dyDescent="0.2">
      <c r="A36">
        <v>83</v>
      </c>
      <c r="B36">
        <v>6601.5674048453002</v>
      </c>
      <c r="C36">
        <v>12009740</v>
      </c>
    </row>
    <row r="37" spans="1:3" x14ac:dyDescent="0.2">
      <c r="A37">
        <v>84</v>
      </c>
      <c r="B37">
        <v>6684.9352993995599</v>
      </c>
      <c r="C37">
        <v>12052749</v>
      </c>
    </row>
    <row r="38" spans="1:3" x14ac:dyDescent="0.2">
      <c r="A38">
        <v>85</v>
      </c>
      <c r="B38">
        <v>6745.3939530975704</v>
      </c>
      <c r="C38">
        <v>12121766</v>
      </c>
    </row>
    <row r="39" spans="1:3" x14ac:dyDescent="0.2">
      <c r="A39">
        <v>86</v>
      </c>
      <c r="B39">
        <v>6747.2228432868196</v>
      </c>
      <c r="C39">
        <v>12158558</v>
      </c>
    </row>
    <row r="40" spans="1:3" x14ac:dyDescent="0.2">
      <c r="A40">
        <v>87</v>
      </c>
      <c r="B40">
        <v>6766.1601406589998</v>
      </c>
      <c r="C40">
        <v>12184315</v>
      </c>
    </row>
    <row r="41" spans="1:3" x14ac:dyDescent="0.2">
      <c r="A41">
        <v>88</v>
      </c>
      <c r="B41">
        <v>6809.4709886616902</v>
      </c>
      <c r="C41">
        <v>12202204</v>
      </c>
    </row>
    <row r="42" spans="1:3" x14ac:dyDescent="0.2">
      <c r="A42">
        <v>89</v>
      </c>
      <c r="B42">
        <v>6840.0805259048702</v>
      </c>
      <c r="C42">
        <v>12236033</v>
      </c>
    </row>
    <row r="43" spans="1:3" x14ac:dyDescent="0.2">
      <c r="A43">
        <v>90</v>
      </c>
      <c r="B43">
        <v>6852.5340178548104</v>
      </c>
      <c r="C43">
        <v>12312189</v>
      </c>
    </row>
    <row r="44" spans="1:3" x14ac:dyDescent="0.2">
      <c r="A44">
        <v>91</v>
      </c>
      <c r="B44">
        <v>6875.38454446179</v>
      </c>
      <c r="C44">
        <v>12345727</v>
      </c>
    </row>
    <row r="45" spans="1:3" x14ac:dyDescent="0.2">
      <c r="A45">
        <v>92</v>
      </c>
      <c r="B45">
        <v>6947.67471584953</v>
      </c>
      <c r="C45">
        <v>12407975</v>
      </c>
    </row>
    <row r="46" spans="1:3" x14ac:dyDescent="0.2">
      <c r="A46">
        <v>93</v>
      </c>
      <c r="B46">
        <v>6987.3956266442001</v>
      </c>
      <c r="C46">
        <v>12410751</v>
      </c>
    </row>
    <row r="47" spans="1:3" x14ac:dyDescent="0.2">
      <c r="A47">
        <v>94</v>
      </c>
      <c r="B47">
        <v>7025.15815415619</v>
      </c>
      <c r="C47">
        <v>12514564</v>
      </c>
    </row>
    <row r="48" spans="1:3" x14ac:dyDescent="0.2">
      <c r="A48">
        <v>95</v>
      </c>
      <c r="B48">
        <v>7075.2548139561304</v>
      </c>
      <c r="C48">
        <v>12488691</v>
      </c>
    </row>
    <row r="49" spans="1:3" x14ac:dyDescent="0.2">
      <c r="A49">
        <v>96</v>
      </c>
      <c r="B49">
        <v>7088.5344686073404</v>
      </c>
      <c r="C49">
        <v>12524777</v>
      </c>
    </row>
    <row r="50" spans="1:3" x14ac:dyDescent="0.2">
      <c r="A50">
        <v>97</v>
      </c>
      <c r="B50">
        <v>7157.19879359488</v>
      </c>
      <c r="C50">
        <v>12533971</v>
      </c>
    </row>
    <row r="51" spans="1:3" x14ac:dyDescent="0.2">
      <c r="A51">
        <v>98</v>
      </c>
      <c r="B51">
        <v>7176.0902016301097</v>
      </c>
      <c r="C51">
        <v>12589340</v>
      </c>
    </row>
    <row r="52" spans="1:3" x14ac:dyDescent="0.2">
      <c r="A52">
        <v>99</v>
      </c>
      <c r="B52">
        <v>7197.1545172650704</v>
      </c>
      <c r="C52">
        <v>12640705</v>
      </c>
    </row>
    <row r="53" spans="1:3" x14ac:dyDescent="0.2">
      <c r="A53">
        <v>100</v>
      </c>
      <c r="B53">
        <v>7218.7514488525603</v>
      </c>
      <c r="C53">
        <v>12714818</v>
      </c>
    </row>
    <row r="54" spans="1:3" x14ac:dyDescent="0.2">
      <c r="A54">
        <v>101</v>
      </c>
      <c r="B54">
        <v>7270.3675586945101</v>
      </c>
      <c r="C54">
        <v>12791290</v>
      </c>
    </row>
    <row r="55" spans="1:3" x14ac:dyDescent="0.2">
      <c r="A55">
        <v>102</v>
      </c>
      <c r="B55">
        <v>7283.30394738012</v>
      </c>
      <c r="C55">
        <v>12816854</v>
      </c>
    </row>
    <row r="56" spans="1:3" x14ac:dyDescent="0.2">
      <c r="A56">
        <v>103</v>
      </c>
      <c r="B56">
        <v>7329.5511489781502</v>
      </c>
      <c r="C56">
        <v>12838000</v>
      </c>
    </row>
    <row r="57" spans="1:3" x14ac:dyDescent="0.2">
      <c r="A57">
        <v>104</v>
      </c>
      <c r="B57">
        <v>7374.2664048459001</v>
      </c>
      <c r="C57">
        <v>12887656</v>
      </c>
    </row>
    <row r="58" spans="1:3" x14ac:dyDescent="0.2">
      <c r="A58">
        <v>105</v>
      </c>
      <c r="B58">
        <v>7432.4498064376703</v>
      </c>
      <c r="C58">
        <v>12924089</v>
      </c>
    </row>
    <row r="59" spans="1:3" x14ac:dyDescent="0.2">
      <c r="A59">
        <v>106</v>
      </c>
      <c r="B59">
        <v>7450.32391875337</v>
      </c>
      <c r="C59">
        <v>12962921</v>
      </c>
    </row>
    <row r="60" spans="1:3" x14ac:dyDescent="0.2">
      <c r="A60">
        <v>107</v>
      </c>
      <c r="B60">
        <v>7499.1875145607401</v>
      </c>
      <c r="C60">
        <v>13021673</v>
      </c>
    </row>
    <row r="61" spans="1:3" x14ac:dyDescent="0.2">
      <c r="A61">
        <v>108</v>
      </c>
      <c r="B61">
        <v>7550.5992898383201</v>
      </c>
      <c r="C61">
        <v>13026425</v>
      </c>
    </row>
    <row r="62" spans="1:3" x14ac:dyDescent="0.2">
      <c r="A62">
        <v>109</v>
      </c>
      <c r="B62">
        <v>7617.3097626721901</v>
      </c>
      <c r="C62">
        <v>13005863</v>
      </c>
    </row>
    <row r="63" spans="1:3" x14ac:dyDescent="0.2">
      <c r="A63">
        <v>110</v>
      </c>
      <c r="B63">
        <v>7618.8019857702302</v>
      </c>
      <c r="C63">
        <v>13013345</v>
      </c>
    </row>
    <row r="64" spans="1:3" x14ac:dyDescent="0.2">
      <c r="A64">
        <v>111</v>
      </c>
      <c r="B64">
        <v>7643.2321830254295</v>
      </c>
      <c r="C64">
        <v>13032870</v>
      </c>
    </row>
    <row r="65" spans="1:3" x14ac:dyDescent="0.2">
      <c r="A65">
        <v>112</v>
      </c>
      <c r="B65">
        <v>7684.8985200417901</v>
      </c>
      <c r="C65">
        <v>13071719</v>
      </c>
    </row>
    <row r="66" spans="1:3" x14ac:dyDescent="0.2">
      <c r="A66">
        <v>113</v>
      </c>
      <c r="B66">
        <v>7699.3405978252204</v>
      </c>
      <c r="C66">
        <v>13155280</v>
      </c>
    </row>
    <row r="67" spans="1:3" x14ac:dyDescent="0.2">
      <c r="A67">
        <v>114</v>
      </c>
      <c r="B67">
        <v>7741.09717587669</v>
      </c>
      <c r="C67">
        <v>13149238</v>
      </c>
    </row>
    <row r="68" spans="1:3" x14ac:dyDescent="0.2">
      <c r="A68">
        <v>115</v>
      </c>
      <c r="B68">
        <v>7795.8567989753801</v>
      </c>
      <c r="C68">
        <v>13132614</v>
      </c>
    </row>
    <row r="69" spans="1:3" x14ac:dyDescent="0.2">
      <c r="A69">
        <v>116</v>
      </c>
      <c r="B69">
        <v>7781.6519772667798</v>
      </c>
      <c r="C69">
        <v>13245339</v>
      </c>
    </row>
    <row r="70" spans="1:3" x14ac:dyDescent="0.2">
      <c r="A70">
        <v>117</v>
      </c>
      <c r="B70">
        <v>7820.5782046740696</v>
      </c>
      <c r="C70">
        <v>13272423</v>
      </c>
    </row>
    <row r="71" spans="1:3" x14ac:dyDescent="0.2">
      <c r="A71">
        <v>118</v>
      </c>
      <c r="B71">
        <v>7864.7526280460597</v>
      </c>
      <c r="C71">
        <v>13271720</v>
      </c>
    </row>
    <row r="72" spans="1:3" x14ac:dyDescent="0.2">
      <c r="A72">
        <v>119</v>
      </c>
      <c r="B72">
        <v>7930.1043655963504</v>
      </c>
      <c r="C72">
        <v>13265038</v>
      </c>
    </row>
    <row r="73" spans="1:3" x14ac:dyDescent="0.2">
      <c r="A73">
        <v>120</v>
      </c>
      <c r="B73">
        <v>7957.6973617479098</v>
      </c>
      <c r="C73">
        <v>13276567</v>
      </c>
    </row>
    <row r="74" spans="1:3" x14ac:dyDescent="0.2">
      <c r="A74">
        <v>121</v>
      </c>
      <c r="B74">
        <v>8002.7492151753604</v>
      </c>
      <c r="C74">
        <v>13316386</v>
      </c>
    </row>
    <row r="75" spans="1:3" x14ac:dyDescent="0.2">
      <c r="A75">
        <v>122</v>
      </c>
      <c r="B75">
        <v>8008.5896641607396</v>
      </c>
      <c r="C75">
        <v>13370647</v>
      </c>
    </row>
    <row r="76" spans="1:3" x14ac:dyDescent="0.2">
      <c r="A76">
        <v>123</v>
      </c>
      <c r="B76">
        <v>8050.3681503022499</v>
      </c>
      <c r="C76">
        <v>13432856</v>
      </c>
    </row>
    <row r="77" spans="1:3" x14ac:dyDescent="0.2">
      <c r="A77">
        <v>124</v>
      </c>
      <c r="B77">
        <v>8099.6051343382196</v>
      </c>
      <c r="C77">
        <v>13416702</v>
      </c>
    </row>
    <row r="78" spans="1:3" x14ac:dyDescent="0.2">
      <c r="A78">
        <v>125</v>
      </c>
      <c r="B78">
        <v>8099.9549467437901</v>
      </c>
      <c r="C78">
        <v>13423308</v>
      </c>
    </row>
    <row r="79" spans="1:3" x14ac:dyDescent="0.2">
      <c r="A79">
        <v>126</v>
      </c>
      <c r="B79">
        <v>8175.2438811122202</v>
      </c>
      <c r="C79">
        <v>13405704</v>
      </c>
    </row>
    <row r="80" spans="1:3" x14ac:dyDescent="0.2">
      <c r="A80">
        <v>127</v>
      </c>
      <c r="B80">
        <v>8150.4436387974001</v>
      </c>
      <c r="C80">
        <v>13414866</v>
      </c>
    </row>
    <row r="81" spans="1:3" x14ac:dyDescent="0.2">
      <c r="A81">
        <v>128</v>
      </c>
      <c r="B81">
        <v>8208.6822133519308</v>
      </c>
      <c r="C81">
        <v>13425340</v>
      </c>
    </row>
    <row r="82" spans="1:3" x14ac:dyDescent="0.2">
      <c r="A82">
        <v>129</v>
      </c>
      <c r="B82">
        <v>8233.8615598300403</v>
      </c>
      <c r="C82">
        <v>13500387</v>
      </c>
    </row>
    <row r="83" spans="1:3" x14ac:dyDescent="0.2">
      <c r="A83">
        <v>130</v>
      </c>
      <c r="B83">
        <v>8289.1881109033002</v>
      </c>
      <c r="C83">
        <v>13527367</v>
      </c>
    </row>
    <row r="84" spans="1:3" x14ac:dyDescent="0.2">
      <c r="A84">
        <v>131</v>
      </c>
      <c r="B84">
        <v>8309.9680263649207</v>
      </c>
      <c r="C84">
        <v>13535069</v>
      </c>
    </row>
    <row r="85" spans="1:3" x14ac:dyDescent="0.2">
      <c r="A85">
        <v>132</v>
      </c>
      <c r="B85">
        <v>8360.57995177474</v>
      </c>
      <c r="C85">
        <v>13535295</v>
      </c>
    </row>
    <row r="86" spans="1:3" x14ac:dyDescent="0.2">
      <c r="A86">
        <v>133</v>
      </c>
      <c r="B86">
        <v>8372.5612132984807</v>
      </c>
      <c r="C86">
        <v>13584095</v>
      </c>
    </row>
    <row r="87" spans="1:3" x14ac:dyDescent="0.2">
      <c r="A87">
        <v>134</v>
      </c>
      <c r="B87">
        <v>8431.8483380339603</v>
      </c>
      <c r="C87">
        <v>13621582</v>
      </c>
    </row>
    <row r="88" spans="1:3" x14ac:dyDescent="0.2">
      <c r="A88">
        <v>135</v>
      </c>
      <c r="B88">
        <v>8458.7225076113991</v>
      </c>
      <c r="C88">
        <v>13670538</v>
      </c>
    </row>
    <row r="89" spans="1:3" x14ac:dyDescent="0.2">
      <c r="A89">
        <v>136</v>
      </c>
      <c r="B89">
        <v>8493.5870673555692</v>
      </c>
      <c r="C89">
        <v>13696307</v>
      </c>
    </row>
    <row r="90" spans="1:3" x14ac:dyDescent="0.2">
      <c r="A90">
        <v>137</v>
      </c>
      <c r="B90">
        <v>8517.7500354055392</v>
      </c>
      <c r="C90">
        <v>13740136</v>
      </c>
    </row>
    <row r="91" spans="1:3" x14ac:dyDescent="0.2">
      <c r="A91">
        <v>138</v>
      </c>
      <c r="B91">
        <v>8521.0384325106897</v>
      </c>
      <c r="C91">
        <v>13715739</v>
      </c>
    </row>
    <row r="92" spans="1:3" x14ac:dyDescent="0.2">
      <c r="A92">
        <v>139</v>
      </c>
      <c r="B92">
        <v>8573.0275932180793</v>
      </c>
      <c r="C92">
        <v>13717762</v>
      </c>
    </row>
    <row r="93" spans="1:3" x14ac:dyDescent="0.2">
      <c r="A93">
        <v>140</v>
      </c>
      <c r="B93">
        <v>8617.0090168781298</v>
      </c>
      <c r="C93">
        <v>13754077</v>
      </c>
    </row>
    <row r="94" spans="1:3" x14ac:dyDescent="0.2">
      <c r="A94">
        <v>141</v>
      </c>
      <c r="B94">
        <v>8680.9520137901709</v>
      </c>
      <c r="C94">
        <v>13776212</v>
      </c>
    </row>
    <row r="95" spans="1:3" x14ac:dyDescent="0.2">
      <c r="A95">
        <v>142</v>
      </c>
      <c r="B95">
        <v>8706.3819014364799</v>
      </c>
      <c r="C95">
        <v>13807917</v>
      </c>
    </row>
    <row r="96" spans="1:3" x14ac:dyDescent="0.2">
      <c r="A96">
        <v>143</v>
      </c>
      <c r="B96">
        <v>8758.2924398160703</v>
      </c>
      <c r="C96">
        <v>13815304</v>
      </c>
    </row>
    <row r="97" spans="1:3" x14ac:dyDescent="0.2">
      <c r="A97">
        <v>144</v>
      </c>
      <c r="B97">
        <v>8823.7043955458503</v>
      </c>
      <c r="C97">
        <v>13797544</v>
      </c>
    </row>
    <row r="98" spans="1:3" x14ac:dyDescent="0.2">
      <c r="A98">
        <v>145</v>
      </c>
      <c r="B98">
        <v>8832.4997880027095</v>
      </c>
      <c r="C98">
        <v>13816278</v>
      </c>
    </row>
    <row r="99" spans="1:3" x14ac:dyDescent="0.2">
      <c r="A99">
        <v>146</v>
      </c>
      <c r="B99">
        <v>8839.4042648070808</v>
      </c>
      <c r="C99">
        <v>13824098</v>
      </c>
    </row>
    <row r="100" spans="1:3" x14ac:dyDescent="0.2">
      <c r="A100">
        <v>147</v>
      </c>
      <c r="B100">
        <v>8832.7687772906993</v>
      </c>
      <c r="C100">
        <v>13874054</v>
      </c>
    </row>
    <row r="101" spans="1:3" x14ac:dyDescent="0.2">
      <c r="A101">
        <v>148</v>
      </c>
      <c r="B101">
        <v>8840.7735831304199</v>
      </c>
      <c r="C101">
        <v>13882904</v>
      </c>
    </row>
    <row r="102" spans="1:3" x14ac:dyDescent="0.2">
      <c r="A102">
        <v>149</v>
      </c>
      <c r="B102">
        <v>8841.4867858376401</v>
      </c>
      <c r="C102">
        <v>13878875</v>
      </c>
    </row>
    <row r="103" spans="1:3" x14ac:dyDescent="0.2">
      <c r="A103">
        <v>150</v>
      </c>
      <c r="B103">
        <v>8895.3363195317997</v>
      </c>
      <c r="C103">
        <v>13869127</v>
      </c>
    </row>
    <row r="104" spans="1:3" x14ac:dyDescent="0.2">
      <c r="A104">
        <v>151</v>
      </c>
      <c r="B104">
        <v>8927.1967193672208</v>
      </c>
      <c r="C104">
        <v>13921910</v>
      </c>
    </row>
    <row r="105" spans="1:3" x14ac:dyDescent="0.2">
      <c r="A105">
        <v>152</v>
      </c>
      <c r="B105">
        <v>8976.3171474326391</v>
      </c>
      <c r="C105">
        <v>13930707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5"/>
  <sheetViews>
    <sheetView zoomScale="75" zoomScaleNormal="75" workbookViewId="0">
      <selection activeCell="C5" sqref="C5"/>
    </sheetView>
  </sheetViews>
  <sheetFormatPr baseColWidth="10" defaultColWidth="11.85546875" defaultRowHeight="12.75" x14ac:dyDescent="0.2"/>
  <cols>
    <col min="1" max="1" width="6.5703125" customWidth="1"/>
    <col min="2" max="2" width="22.7109375" customWidth="1"/>
    <col min="3" max="3" width="12.5703125" customWidth="1"/>
  </cols>
  <sheetData>
    <row r="1" spans="1:3" x14ac:dyDescent="0.2">
      <c r="A1" t="s">
        <v>164</v>
      </c>
      <c r="B1" t="s">
        <v>165</v>
      </c>
      <c r="C1" t="s">
        <v>166</v>
      </c>
    </row>
    <row r="2" spans="1:3" x14ac:dyDescent="0.2">
      <c r="A2">
        <v>49</v>
      </c>
      <c r="B2" s="135">
        <v>6414.7890469953099</v>
      </c>
      <c r="C2">
        <v>10914398</v>
      </c>
    </row>
    <row r="3" spans="1:3" x14ac:dyDescent="0.2">
      <c r="A3">
        <v>50</v>
      </c>
      <c r="B3" s="135">
        <v>6778.9022518415804</v>
      </c>
      <c r="C3">
        <v>11021763</v>
      </c>
    </row>
    <row r="4" spans="1:3" x14ac:dyDescent="0.2">
      <c r="A4">
        <v>51</v>
      </c>
      <c r="B4" s="135">
        <v>7092.0210021706398</v>
      </c>
      <c r="C4">
        <v>11059493</v>
      </c>
    </row>
    <row r="5" spans="1:3" x14ac:dyDescent="0.2">
      <c r="A5">
        <v>52</v>
      </c>
      <c r="B5" s="135">
        <v>7113.9816443372702</v>
      </c>
      <c r="C5">
        <v>11048388</v>
      </c>
    </row>
    <row r="6" spans="1:3" x14ac:dyDescent="0.2">
      <c r="A6">
        <v>53</v>
      </c>
      <c r="B6" s="135">
        <v>6705.5459972967601</v>
      </c>
      <c r="C6">
        <v>11064497</v>
      </c>
    </row>
    <row r="7" spans="1:3" x14ac:dyDescent="0.2">
      <c r="A7">
        <v>54</v>
      </c>
      <c r="B7" s="135">
        <v>6521.1732186580603</v>
      </c>
      <c r="C7">
        <v>11128156</v>
      </c>
    </row>
    <row r="8" spans="1:3" x14ac:dyDescent="0.2">
      <c r="A8">
        <v>55</v>
      </c>
      <c r="B8" s="135">
        <v>6554.0196453557301</v>
      </c>
      <c r="C8">
        <v>11235296</v>
      </c>
    </row>
    <row r="9" spans="1:3" x14ac:dyDescent="0.2">
      <c r="A9">
        <v>56</v>
      </c>
      <c r="B9" s="135">
        <v>6660.1842529204996</v>
      </c>
      <c r="C9">
        <v>11156745</v>
      </c>
    </row>
    <row r="10" spans="1:3" x14ac:dyDescent="0.2">
      <c r="A10">
        <v>57</v>
      </c>
      <c r="B10" s="135">
        <v>6744.0342912967499</v>
      </c>
      <c r="C10">
        <v>11057148</v>
      </c>
    </row>
    <row r="11" spans="1:3" x14ac:dyDescent="0.2">
      <c r="A11">
        <v>58</v>
      </c>
      <c r="B11" s="135">
        <v>6741.6617525258698</v>
      </c>
      <c r="C11">
        <v>11247506</v>
      </c>
    </row>
    <row r="12" spans="1:3" x14ac:dyDescent="0.2">
      <c r="A12">
        <v>59</v>
      </c>
      <c r="B12" s="135">
        <v>6886.4292106928397</v>
      </c>
      <c r="C12">
        <v>11410134</v>
      </c>
    </row>
    <row r="13" spans="1:3" x14ac:dyDescent="0.2">
      <c r="A13">
        <v>60</v>
      </c>
      <c r="B13" s="135">
        <v>6890.5453339577498</v>
      </c>
      <c r="C13">
        <v>11521898</v>
      </c>
    </row>
    <row r="14" spans="1:3" x14ac:dyDescent="0.2">
      <c r="A14">
        <v>61</v>
      </c>
      <c r="B14" s="135">
        <v>6808.8492663922098</v>
      </c>
      <c r="C14">
        <v>11482379</v>
      </c>
    </row>
    <row r="15" spans="1:3" x14ac:dyDescent="0.2">
      <c r="A15">
        <v>62</v>
      </c>
      <c r="B15" s="135">
        <v>6722.8798885740098</v>
      </c>
      <c r="C15">
        <v>11422089</v>
      </c>
    </row>
    <row r="16" spans="1:3" x14ac:dyDescent="0.2">
      <c r="A16">
        <v>63</v>
      </c>
      <c r="B16" s="135">
        <v>6343.4258394606504</v>
      </c>
      <c r="C16">
        <v>11521794</v>
      </c>
    </row>
    <row r="17" spans="1:3" x14ac:dyDescent="0.2">
      <c r="A17">
        <v>64</v>
      </c>
      <c r="B17" s="135">
        <v>6007.4717209044502</v>
      </c>
      <c r="C17">
        <v>11541231</v>
      </c>
    </row>
    <row r="18" spans="1:3" x14ac:dyDescent="0.2">
      <c r="A18">
        <v>65</v>
      </c>
      <c r="B18" s="135">
        <v>5985.3012361073797</v>
      </c>
      <c r="C18">
        <v>11452454</v>
      </c>
    </row>
    <row r="19" spans="1:3" x14ac:dyDescent="0.2">
      <c r="A19">
        <v>66</v>
      </c>
      <c r="B19" s="135">
        <v>5958.1163570190702</v>
      </c>
      <c r="C19">
        <v>11485377</v>
      </c>
    </row>
    <row r="20" spans="1:3" x14ac:dyDescent="0.2">
      <c r="A20">
        <v>67</v>
      </c>
      <c r="B20" s="135">
        <v>5902.8722335044604</v>
      </c>
      <c r="C20">
        <v>11448803</v>
      </c>
    </row>
    <row r="21" spans="1:3" x14ac:dyDescent="0.2">
      <c r="A21">
        <v>68</v>
      </c>
      <c r="B21" s="135">
        <v>5859.5579769047199</v>
      </c>
      <c r="C21">
        <v>11547846</v>
      </c>
    </row>
    <row r="22" spans="1:3" x14ac:dyDescent="0.2">
      <c r="A22">
        <v>69</v>
      </c>
      <c r="B22" s="135">
        <v>5959.3095259096999</v>
      </c>
      <c r="C22">
        <v>11550904</v>
      </c>
    </row>
    <row r="23" spans="1:3" x14ac:dyDescent="0.2">
      <c r="A23">
        <v>70</v>
      </c>
      <c r="B23" s="135">
        <v>6078.9660271360599</v>
      </c>
      <c r="C23">
        <v>11598921</v>
      </c>
    </row>
    <row r="24" spans="1:3" x14ac:dyDescent="0.2">
      <c r="A24">
        <v>71</v>
      </c>
      <c r="B24" s="135">
        <v>6198.2249635215903</v>
      </c>
      <c r="C24">
        <v>11592267</v>
      </c>
    </row>
    <row r="25" spans="1:3" x14ac:dyDescent="0.2">
      <c r="A25">
        <v>72</v>
      </c>
      <c r="B25" s="135">
        <v>6316.4320442964699</v>
      </c>
      <c r="C25">
        <v>11617863</v>
      </c>
    </row>
    <row r="26" spans="1:3" x14ac:dyDescent="0.2">
      <c r="A26">
        <v>73</v>
      </c>
      <c r="B26" s="135">
        <v>6428.9022303285401</v>
      </c>
      <c r="C26">
        <v>11697314</v>
      </c>
    </row>
    <row r="27" spans="1:3" x14ac:dyDescent="0.2">
      <c r="A27">
        <v>74</v>
      </c>
      <c r="B27" s="135">
        <v>6545.2930048666904</v>
      </c>
      <c r="C27">
        <v>11759702</v>
      </c>
    </row>
    <row r="28" spans="1:3" x14ac:dyDescent="0.2">
      <c r="A28">
        <v>75</v>
      </c>
      <c r="B28" s="135">
        <v>6686.9089720962402</v>
      </c>
      <c r="C28">
        <v>11771132</v>
      </c>
    </row>
    <row r="29" spans="1:3" x14ac:dyDescent="0.2">
      <c r="A29">
        <v>76</v>
      </c>
      <c r="B29" s="135">
        <v>6821.7722627500198</v>
      </c>
      <c r="C29">
        <v>11814454</v>
      </c>
    </row>
    <row r="30" spans="1:3" x14ac:dyDescent="0.2">
      <c r="A30">
        <v>77</v>
      </c>
      <c r="B30" s="135">
        <v>6841.72557359649</v>
      </c>
      <c r="C30">
        <v>11887867</v>
      </c>
    </row>
    <row r="31" spans="1:3" x14ac:dyDescent="0.2">
      <c r="A31">
        <v>78</v>
      </c>
      <c r="B31" s="135">
        <v>6896.59599889326</v>
      </c>
      <c r="C31">
        <v>11977183</v>
      </c>
    </row>
    <row r="32" spans="1:3" x14ac:dyDescent="0.2">
      <c r="A32">
        <v>79</v>
      </c>
      <c r="B32" s="135">
        <v>6959.4869308997304</v>
      </c>
      <c r="C32">
        <v>12003953</v>
      </c>
    </row>
    <row r="33" spans="1:3" x14ac:dyDescent="0.2">
      <c r="A33">
        <v>80</v>
      </c>
      <c r="B33" s="135">
        <v>7024.5183896545204</v>
      </c>
      <c r="C33">
        <v>12074069</v>
      </c>
    </row>
    <row r="34" spans="1:3" x14ac:dyDescent="0.2">
      <c r="A34">
        <v>81</v>
      </c>
      <c r="B34" s="135">
        <v>7061.6289872328798</v>
      </c>
      <c r="C34">
        <v>12165959</v>
      </c>
    </row>
    <row r="35" spans="1:3" x14ac:dyDescent="0.2">
      <c r="A35">
        <v>82</v>
      </c>
      <c r="B35" s="135">
        <v>7107.9108999543396</v>
      </c>
      <c r="C35">
        <v>12168197</v>
      </c>
    </row>
    <row r="36" spans="1:3" x14ac:dyDescent="0.2">
      <c r="A36">
        <v>83</v>
      </c>
      <c r="B36" s="135">
        <v>7175.7737618511901</v>
      </c>
      <c r="C36">
        <v>12208077</v>
      </c>
    </row>
    <row r="37" spans="1:3" x14ac:dyDescent="0.2">
      <c r="A37">
        <v>84</v>
      </c>
      <c r="B37" s="135">
        <v>7243.7435973002403</v>
      </c>
      <c r="C37">
        <v>12268752</v>
      </c>
    </row>
    <row r="38" spans="1:3" x14ac:dyDescent="0.2">
      <c r="A38">
        <v>85</v>
      </c>
      <c r="B38" s="135">
        <v>7325.7273873459899</v>
      </c>
      <c r="C38">
        <v>12242893</v>
      </c>
    </row>
    <row r="39" spans="1:3" x14ac:dyDescent="0.2">
      <c r="A39">
        <v>86</v>
      </c>
      <c r="B39" s="135">
        <v>7363.4327521854002</v>
      </c>
      <c r="C39">
        <v>12283997</v>
      </c>
    </row>
    <row r="40" spans="1:3" x14ac:dyDescent="0.2">
      <c r="A40">
        <v>87</v>
      </c>
      <c r="B40" s="135">
        <v>7392.4212470607999</v>
      </c>
      <c r="C40">
        <v>12422073</v>
      </c>
    </row>
    <row r="41" spans="1:3" x14ac:dyDescent="0.2">
      <c r="A41">
        <v>88</v>
      </c>
      <c r="B41" s="135">
        <v>7458.4209885603505</v>
      </c>
      <c r="C41">
        <v>12447422</v>
      </c>
    </row>
    <row r="42" spans="1:3" x14ac:dyDescent="0.2">
      <c r="A42">
        <v>89</v>
      </c>
      <c r="B42" s="135">
        <v>7504.96739609413</v>
      </c>
      <c r="C42">
        <v>12483923</v>
      </c>
    </row>
    <row r="43" spans="1:3" x14ac:dyDescent="0.2">
      <c r="A43">
        <v>90</v>
      </c>
      <c r="B43" s="135">
        <v>7562.5827898334701</v>
      </c>
      <c r="C43">
        <v>12526419</v>
      </c>
    </row>
    <row r="44" spans="1:3" x14ac:dyDescent="0.2">
      <c r="A44">
        <v>91</v>
      </c>
      <c r="B44" s="135">
        <v>7600.2325994746498</v>
      </c>
      <c r="C44">
        <v>12582659</v>
      </c>
    </row>
    <row r="45" spans="1:3" x14ac:dyDescent="0.2">
      <c r="A45">
        <v>92</v>
      </c>
      <c r="B45" s="135">
        <v>7657.0798748947</v>
      </c>
      <c r="C45">
        <v>12647696</v>
      </c>
    </row>
    <row r="46" spans="1:3" x14ac:dyDescent="0.2">
      <c r="A46">
        <v>93</v>
      </c>
      <c r="B46" s="135">
        <v>7675.8615053932699</v>
      </c>
      <c r="C46">
        <v>12695877</v>
      </c>
    </row>
    <row r="47" spans="1:3" x14ac:dyDescent="0.2">
      <c r="A47">
        <v>94</v>
      </c>
      <c r="B47" s="135">
        <v>7751.2509993671101</v>
      </c>
      <c r="C47">
        <v>12740133</v>
      </c>
    </row>
    <row r="48" spans="1:3" x14ac:dyDescent="0.2">
      <c r="A48">
        <v>95</v>
      </c>
      <c r="B48" s="135">
        <v>7748.5558088900898</v>
      </c>
      <c r="C48">
        <v>12815758</v>
      </c>
    </row>
    <row r="49" spans="1:3" x14ac:dyDescent="0.2">
      <c r="A49">
        <v>96</v>
      </c>
      <c r="B49" s="135">
        <v>7825.0864837417703</v>
      </c>
      <c r="C49">
        <v>12827521</v>
      </c>
    </row>
    <row r="50" spans="1:3" x14ac:dyDescent="0.2">
      <c r="A50">
        <v>97</v>
      </c>
      <c r="B50" s="135">
        <v>7879.6259531199403</v>
      </c>
      <c r="C50">
        <v>12833086</v>
      </c>
    </row>
    <row r="51" spans="1:3" x14ac:dyDescent="0.2">
      <c r="A51">
        <v>98</v>
      </c>
      <c r="B51" s="135">
        <v>7906.4800258209398</v>
      </c>
      <c r="C51">
        <v>12900554</v>
      </c>
    </row>
    <row r="52" spans="1:3" x14ac:dyDescent="0.2">
      <c r="A52">
        <v>99</v>
      </c>
      <c r="B52" s="135">
        <v>8001.8309769156604</v>
      </c>
      <c r="C52">
        <v>12946194</v>
      </c>
    </row>
    <row r="53" spans="1:3" x14ac:dyDescent="0.2">
      <c r="A53">
        <v>100</v>
      </c>
      <c r="B53" s="135">
        <v>8052.1452048771198</v>
      </c>
      <c r="C53">
        <v>12960410</v>
      </c>
    </row>
    <row r="54" spans="1:3" x14ac:dyDescent="0.2">
      <c r="A54">
        <v>101</v>
      </c>
      <c r="B54" s="135">
        <v>8114.4935195482703</v>
      </c>
      <c r="C54">
        <v>13039599</v>
      </c>
    </row>
    <row r="55" spans="1:3" x14ac:dyDescent="0.2">
      <c r="A55">
        <v>102</v>
      </c>
      <c r="B55" s="135">
        <v>8165.9696052123199</v>
      </c>
      <c r="C55">
        <v>13067302</v>
      </c>
    </row>
    <row r="56" spans="1:3" x14ac:dyDescent="0.2">
      <c r="A56">
        <v>103</v>
      </c>
      <c r="B56" s="135">
        <v>8195.1661783960699</v>
      </c>
      <c r="C56">
        <v>13106158</v>
      </c>
    </row>
    <row r="57" spans="1:3" x14ac:dyDescent="0.2">
      <c r="A57">
        <v>104</v>
      </c>
      <c r="B57" s="135">
        <v>8271.2767559306903</v>
      </c>
      <c r="C57">
        <v>13145527</v>
      </c>
    </row>
    <row r="58" spans="1:3" x14ac:dyDescent="0.2">
      <c r="A58">
        <v>105</v>
      </c>
      <c r="B58" s="135">
        <v>8304.6470799354101</v>
      </c>
      <c r="C58">
        <v>13217008</v>
      </c>
    </row>
    <row r="59" spans="1:3" x14ac:dyDescent="0.2">
      <c r="A59">
        <v>106</v>
      </c>
      <c r="B59" s="135">
        <v>8351.9539452170993</v>
      </c>
      <c r="C59">
        <v>13253558</v>
      </c>
    </row>
    <row r="60" spans="1:3" x14ac:dyDescent="0.2">
      <c r="A60">
        <v>107</v>
      </c>
      <c r="B60" s="135">
        <v>8416.4249266568804</v>
      </c>
      <c r="C60">
        <v>13307093</v>
      </c>
    </row>
    <row r="61" spans="1:3" x14ac:dyDescent="0.2">
      <c r="A61">
        <v>108</v>
      </c>
      <c r="B61" s="135">
        <v>8467.7192881700303</v>
      </c>
      <c r="C61">
        <v>13332925</v>
      </c>
    </row>
    <row r="62" spans="1:3" x14ac:dyDescent="0.2">
      <c r="A62">
        <v>109</v>
      </c>
      <c r="B62" s="135">
        <v>8548.9657630740894</v>
      </c>
      <c r="C62">
        <v>13378880</v>
      </c>
    </row>
    <row r="63" spans="1:3" x14ac:dyDescent="0.2">
      <c r="A63">
        <v>110</v>
      </c>
      <c r="B63" s="135">
        <v>8565.6146763072193</v>
      </c>
      <c r="C63">
        <v>13429551</v>
      </c>
    </row>
    <row r="64" spans="1:3" x14ac:dyDescent="0.2">
      <c r="A64">
        <v>111</v>
      </c>
      <c r="B64" s="135">
        <v>8609.1515553021309</v>
      </c>
      <c r="C64">
        <v>13431829</v>
      </c>
    </row>
    <row r="65" spans="1:3" x14ac:dyDescent="0.2">
      <c r="A65">
        <v>112</v>
      </c>
      <c r="B65" s="135">
        <v>8667.1109458262799</v>
      </c>
      <c r="C65">
        <v>13488648</v>
      </c>
    </row>
    <row r="66" spans="1:3" x14ac:dyDescent="0.2">
      <c r="A66">
        <v>113</v>
      </c>
      <c r="B66" s="135">
        <v>8719.1928897729995</v>
      </c>
      <c r="C66">
        <v>13537212</v>
      </c>
    </row>
    <row r="67" spans="1:3" x14ac:dyDescent="0.2">
      <c r="A67">
        <v>114</v>
      </c>
      <c r="B67" s="135">
        <v>8804.44867817667</v>
      </c>
      <c r="C67">
        <v>13590068</v>
      </c>
    </row>
    <row r="68" spans="1:3" x14ac:dyDescent="0.2">
      <c r="A68">
        <v>115</v>
      </c>
      <c r="B68" s="135">
        <v>8870.4082558481696</v>
      </c>
      <c r="C68">
        <v>13628841</v>
      </c>
    </row>
    <row r="69" spans="1:3" x14ac:dyDescent="0.2">
      <c r="A69">
        <v>116</v>
      </c>
      <c r="B69" s="135">
        <v>8886.74708364047</v>
      </c>
      <c r="C69">
        <v>13698224</v>
      </c>
    </row>
    <row r="70" spans="1:3" x14ac:dyDescent="0.2">
      <c r="A70">
        <v>117</v>
      </c>
      <c r="B70" s="135">
        <v>8945.0385298908604</v>
      </c>
      <c r="C70">
        <v>13698120</v>
      </c>
    </row>
    <row r="71" spans="1:3" x14ac:dyDescent="0.2">
      <c r="A71">
        <v>118</v>
      </c>
      <c r="B71" s="135">
        <v>8991.8715454860794</v>
      </c>
      <c r="C71">
        <v>13752482</v>
      </c>
    </row>
    <row r="72" spans="1:3" x14ac:dyDescent="0.2">
      <c r="A72">
        <v>119</v>
      </c>
      <c r="B72" s="135">
        <v>9059.9410882221091</v>
      </c>
      <c r="C72">
        <v>13807786</v>
      </c>
    </row>
    <row r="73" spans="1:3" x14ac:dyDescent="0.2">
      <c r="A73">
        <v>120</v>
      </c>
      <c r="B73" s="135">
        <v>9113.6514317873607</v>
      </c>
      <c r="C73">
        <v>13811200</v>
      </c>
    </row>
    <row r="74" spans="1:3" x14ac:dyDescent="0.2">
      <c r="A74">
        <v>121</v>
      </c>
      <c r="B74" s="135">
        <v>9167.5494391282791</v>
      </c>
      <c r="C74">
        <v>13854606</v>
      </c>
    </row>
    <row r="75" spans="1:3" x14ac:dyDescent="0.2">
      <c r="A75">
        <v>122</v>
      </c>
      <c r="B75" s="135">
        <v>9205.5118174724503</v>
      </c>
      <c r="C75">
        <v>13929570</v>
      </c>
    </row>
    <row r="76" spans="1:3" x14ac:dyDescent="0.2">
      <c r="A76">
        <v>123</v>
      </c>
      <c r="B76" s="135">
        <v>9306.0385204790691</v>
      </c>
      <c r="C76">
        <v>13924466</v>
      </c>
    </row>
    <row r="77" spans="1:3" x14ac:dyDescent="0.2">
      <c r="A77">
        <v>124</v>
      </c>
      <c r="B77" s="135">
        <v>9388.9768869094696</v>
      </c>
      <c r="C77">
        <v>14004148</v>
      </c>
    </row>
    <row r="78" spans="1:3" x14ac:dyDescent="0.2">
      <c r="A78">
        <v>125</v>
      </c>
      <c r="B78" s="135">
        <v>9437.6943104220409</v>
      </c>
      <c r="C78">
        <v>14003020</v>
      </c>
    </row>
    <row r="79" spans="1:3" x14ac:dyDescent="0.2">
      <c r="A79">
        <v>126</v>
      </c>
      <c r="B79" s="135">
        <v>9508.23346604369</v>
      </c>
      <c r="C79">
        <v>13981838</v>
      </c>
    </row>
    <row r="80" spans="1:3" x14ac:dyDescent="0.2">
      <c r="A80">
        <v>127</v>
      </c>
      <c r="B80" s="135">
        <v>9566.4641645871798</v>
      </c>
      <c r="C80">
        <v>14082843</v>
      </c>
    </row>
    <row r="81" spans="1:3" x14ac:dyDescent="0.2">
      <c r="A81">
        <v>128</v>
      </c>
      <c r="B81" s="135">
        <v>9603.3320577684899</v>
      </c>
      <c r="C81">
        <v>14110346</v>
      </c>
    </row>
    <row r="82" spans="1:3" x14ac:dyDescent="0.2">
      <c r="A82">
        <v>129</v>
      </c>
      <c r="B82" s="135">
        <v>9608.8079381614607</v>
      </c>
      <c r="C82">
        <v>14140172</v>
      </c>
    </row>
    <row r="83" spans="1:3" x14ac:dyDescent="0.2">
      <c r="A83">
        <v>130</v>
      </c>
      <c r="B83" s="135">
        <v>9629.9073456727201</v>
      </c>
      <c r="C83">
        <v>14185262</v>
      </c>
    </row>
    <row r="84" spans="1:3" x14ac:dyDescent="0.2">
      <c r="A84">
        <v>131</v>
      </c>
      <c r="B84" s="135">
        <v>9681.1297951338802</v>
      </c>
      <c r="C84">
        <v>14210911</v>
      </c>
    </row>
    <row r="85" spans="1:3" x14ac:dyDescent="0.2">
      <c r="A85">
        <v>132</v>
      </c>
      <c r="B85" s="135">
        <v>9767.2177453770491</v>
      </c>
      <c r="C85">
        <v>14234975</v>
      </c>
    </row>
    <row r="86" spans="1:3" x14ac:dyDescent="0.2">
      <c r="A86">
        <v>133</v>
      </c>
      <c r="B86" s="135">
        <v>9785.9598269227699</v>
      </c>
      <c r="C86">
        <v>14206041</v>
      </c>
    </row>
    <row r="87" spans="1:3" x14ac:dyDescent="0.2">
      <c r="A87">
        <v>134</v>
      </c>
      <c r="B87" s="135">
        <v>9857.6736317356208</v>
      </c>
      <c r="C87">
        <v>14256384</v>
      </c>
    </row>
    <row r="88" spans="1:3" x14ac:dyDescent="0.2">
      <c r="A88">
        <v>135</v>
      </c>
      <c r="B88" s="135">
        <v>9928.4059010596702</v>
      </c>
      <c r="C88">
        <v>14264986</v>
      </c>
    </row>
    <row r="89" spans="1:3" x14ac:dyDescent="0.2">
      <c r="A89">
        <v>136</v>
      </c>
      <c r="B89" s="135">
        <v>9997.9029252331802</v>
      </c>
      <c r="C89">
        <v>14329481</v>
      </c>
    </row>
    <row r="90" spans="1:3" x14ac:dyDescent="0.2">
      <c r="A90">
        <v>137</v>
      </c>
      <c r="B90" s="135">
        <v>10014.1310668324</v>
      </c>
      <c r="C90">
        <v>14356970</v>
      </c>
    </row>
    <row r="91" spans="1:3" x14ac:dyDescent="0.2">
      <c r="A91">
        <v>138</v>
      </c>
      <c r="B91" s="135">
        <v>10068.666041192701</v>
      </c>
      <c r="C91">
        <v>14371680</v>
      </c>
    </row>
    <row r="92" spans="1:3" x14ac:dyDescent="0.2">
      <c r="A92">
        <v>139</v>
      </c>
      <c r="B92" s="135">
        <v>10121.2213691297</v>
      </c>
      <c r="C92">
        <v>14360905</v>
      </c>
    </row>
    <row r="93" spans="1:3" x14ac:dyDescent="0.2">
      <c r="A93">
        <v>140</v>
      </c>
      <c r="B93" s="135">
        <v>10166.9648442995</v>
      </c>
      <c r="C93">
        <v>14453711</v>
      </c>
    </row>
    <row r="94" spans="1:3" x14ac:dyDescent="0.2">
      <c r="A94">
        <v>141</v>
      </c>
      <c r="B94" s="135">
        <v>10261.8481460066</v>
      </c>
      <c r="C94">
        <v>14472293</v>
      </c>
    </row>
    <row r="95" spans="1:3" x14ac:dyDescent="0.2">
      <c r="A95">
        <v>142</v>
      </c>
      <c r="B95" s="135">
        <v>10331.4500682657</v>
      </c>
      <c r="C95">
        <v>14478934</v>
      </c>
    </row>
    <row r="96" spans="1:3" x14ac:dyDescent="0.2">
      <c r="A96">
        <v>143</v>
      </c>
      <c r="B96" s="135">
        <v>10356.0062672841</v>
      </c>
      <c r="C96">
        <v>14516354</v>
      </c>
    </row>
    <row r="97" spans="1:3" x14ac:dyDescent="0.2">
      <c r="A97">
        <v>144</v>
      </c>
      <c r="B97" s="135">
        <v>10385.6283399859</v>
      </c>
      <c r="C97">
        <v>14557818</v>
      </c>
    </row>
    <row r="98" spans="1:3" x14ac:dyDescent="0.2">
      <c r="A98">
        <v>145</v>
      </c>
      <c r="B98" s="135">
        <v>10437.2100140035</v>
      </c>
      <c r="C98">
        <v>14593138</v>
      </c>
    </row>
    <row r="99" spans="1:3" x14ac:dyDescent="0.2">
      <c r="A99">
        <v>146</v>
      </c>
      <c r="B99" s="135">
        <v>10518.137862403901</v>
      </c>
      <c r="C99">
        <v>14547803</v>
      </c>
    </row>
    <row r="100" spans="1:3" x14ac:dyDescent="0.2">
      <c r="A100">
        <v>147</v>
      </c>
      <c r="B100" s="135">
        <v>10547.4063460734</v>
      </c>
      <c r="C100">
        <v>14654401</v>
      </c>
    </row>
    <row r="101" spans="1:3" x14ac:dyDescent="0.2">
      <c r="A101">
        <v>148</v>
      </c>
      <c r="B101" s="135">
        <v>10608.8471702885</v>
      </c>
      <c r="C101">
        <v>14708379</v>
      </c>
    </row>
    <row r="102" spans="1:3" x14ac:dyDescent="0.2">
      <c r="A102">
        <v>149</v>
      </c>
      <c r="B102" s="135">
        <v>10649.741203392299</v>
      </c>
      <c r="C102">
        <v>14723116</v>
      </c>
    </row>
    <row r="103" spans="1:3" x14ac:dyDescent="0.2">
      <c r="A103">
        <v>150</v>
      </c>
      <c r="B103" s="135">
        <v>10699.6152905295</v>
      </c>
      <c r="C103">
        <v>14753801</v>
      </c>
    </row>
    <row r="104" spans="1:3" x14ac:dyDescent="0.2">
      <c r="A104">
        <v>151</v>
      </c>
      <c r="B104" s="135">
        <v>10767.43661148</v>
      </c>
      <c r="C104">
        <v>14765763</v>
      </c>
    </row>
    <row r="105" spans="1:3" x14ac:dyDescent="0.2">
      <c r="A105">
        <v>152</v>
      </c>
      <c r="B105" s="135">
        <v>10820.3297421609</v>
      </c>
      <c r="C105">
        <v>14769297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5"/>
  <sheetViews>
    <sheetView zoomScale="75" zoomScaleNormal="75" workbookViewId="0"/>
  </sheetViews>
  <sheetFormatPr baseColWidth="10" defaultColWidth="11.85546875" defaultRowHeight="12.75" x14ac:dyDescent="0.2"/>
  <cols>
    <col min="1" max="1" width="6.5703125" customWidth="1"/>
    <col min="2" max="2" width="22.7109375" customWidth="1"/>
    <col min="3" max="3" width="12.5703125" customWidth="1"/>
  </cols>
  <sheetData>
    <row r="1" spans="1:3" x14ac:dyDescent="0.2">
      <c r="A1" t="s">
        <v>164</v>
      </c>
      <c r="B1" t="s">
        <v>165</v>
      </c>
      <c r="C1" t="s">
        <v>166</v>
      </c>
    </row>
    <row r="2" spans="1:3" x14ac:dyDescent="0.2">
      <c r="A2">
        <v>49</v>
      </c>
      <c r="B2">
        <v>6414.7890469953099</v>
      </c>
      <c r="C2">
        <v>10914398</v>
      </c>
    </row>
    <row r="3" spans="1:3" x14ac:dyDescent="0.2">
      <c r="A3">
        <v>50</v>
      </c>
      <c r="B3">
        <v>6778.9022518415804</v>
      </c>
      <c r="C3">
        <v>11021763</v>
      </c>
    </row>
    <row r="4" spans="1:3" x14ac:dyDescent="0.2">
      <c r="A4">
        <v>51</v>
      </c>
      <c r="B4">
        <v>7092.0210021706398</v>
      </c>
      <c r="C4">
        <v>11059493</v>
      </c>
    </row>
    <row r="5" spans="1:3" x14ac:dyDescent="0.2">
      <c r="A5">
        <v>52</v>
      </c>
      <c r="B5">
        <v>7113.9816443372702</v>
      </c>
      <c r="C5">
        <v>11048388</v>
      </c>
    </row>
    <row r="6" spans="1:3" x14ac:dyDescent="0.2">
      <c r="A6">
        <v>53</v>
      </c>
      <c r="B6">
        <v>6705.5459972967601</v>
      </c>
      <c r="C6">
        <v>11064497</v>
      </c>
    </row>
    <row r="7" spans="1:3" x14ac:dyDescent="0.2">
      <c r="A7">
        <v>54</v>
      </c>
      <c r="B7">
        <v>6521.1732186580603</v>
      </c>
      <c r="C7">
        <v>11128156</v>
      </c>
    </row>
    <row r="8" spans="1:3" x14ac:dyDescent="0.2">
      <c r="A8">
        <v>55</v>
      </c>
      <c r="B8">
        <v>6554.0196453557301</v>
      </c>
      <c r="C8">
        <v>11235296</v>
      </c>
    </row>
    <row r="9" spans="1:3" x14ac:dyDescent="0.2">
      <c r="A9">
        <v>56</v>
      </c>
      <c r="B9">
        <v>6660.1842529204996</v>
      </c>
      <c r="C9">
        <v>11156745</v>
      </c>
    </row>
    <row r="10" spans="1:3" x14ac:dyDescent="0.2">
      <c r="A10">
        <v>57</v>
      </c>
      <c r="B10">
        <v>6744.0342912967499</v>
      </c>
      <c r="C10">
        <v>11057148</v>
      </c>
    </row>
    <row r="11" spans="1:3" x14ac:dyDescent="0.2">
      <c r="A11">
        <v>58</v>
      </c>
      <c r="B11">
        <v>6741.6617525258698</v>
      </c>
      <c r="C11">
        <v>11247506</v>
      </c>
    </row>
    <row r="12" spans="1:3" x14ac:dyDescent="0.2">
      <c r="A12">
        <v>59</v>
      </c>
      <c r="B12">
        <v>6886.4292106928397</v>
      </c>
      <c r="C12">
        <v>11410134</v>
      </c>
    </row>
    <row r="13" spans="1:3" x14ac:dyDescent="0.2">
      <c r="A13">
        <v>60</v>
      </c>
      <c r="B13">
        <v>6890.5453339577498</v>
      </c>
      <c r="C13">
        <v>11521898</v>
      </c>
    </row>
    <row r="14" spans="1:3" x14ac:dyDescent="0.2">
      <c r="A14">
        <v>61</v>
      </c>
      <c r="B14">
        <v>6808.8492663922098</v>
      </c>
      <c r="C14">
        <v>11482379</v>
      </c>
    </row>
    <row r="15" spans="1:3" x14ac:dyDescent="0.2">
      <c r="A15">
        <v>62</v>
      </c>
      <c r="B15">
        <v>6723.1718064753604</v>
      </c>
      <c r="C15">
        <v>11421402</v>
      </c>
    </row>
    <row r="16" spans="1:3" x14ac:dyDescent="0.2">
      <c r="A16">
        <v>63</v>
      </c>
      <c r="B16">
        <v>6342.5407561381298</v>
      </c>
      <c r="C16">
        <v>11521980</v>
      </c>
    </row>
    <row r="17" spans="1:3" x14ac:dyDescent="0.2">
      <c r="A17">
        <v>64</v>
      </c>
      <c r="B17">
        <v>6004.7550431554</v>
      </c>
      <c r="C17">
        <v>11538154</v>
      </c>
    </row>
    <row r="18" spans="1:3" x14ac:dyDescent="0.2">
      <c r="A18">
        <v>65</v>
      </c>
      <c r="B18">
        <v>5984.6603814234404</v>
      </c>
      <c r="C18">
        <v>11452346</v>
      </c>
    </row>
    <row r="19" spans="1:3" x14ac:dyDescent="0.2">
      <c r="A19">
        <v>66</v>
      </c>
      <c r="B19">
        <v>5957.7182370473902</v>
      </c>
      <c r="C19">
        <v>11487356</v>
      </c>
    </row>
    <row r="20" spans="1:3" x14ac:dyDescent="0.2">
      <c r="A20">
        <v>67</v>
      </c>
      <c r="B20">
        <v>5902.6327097858002</v>
      </c>
      <c r="C20">
        <v>11445931</v>
      </c>
    </row>
    <row r="21" spans="1:3" x14ac:dyDescent="0.2">
      <c r="A21">
        <v>68</v>
      </c>
      <c r="B21">
        <v>5855.1155803566398</v>
      </c>
      <c r="C21">
        <v>11546507</v>
      </c>
    </row>
    <row r="22" spans="1:3" x14ac:dyDescent="0.2">
      <c r="A22">
        <v>69</v>
      </c>
      <c r="B22">
        <v>5889.1545050334698</v>
      </c>
      <c r="C22">
        <v>11515334</v>
      </c>
    </row>
    <row r="23" spans="1:3" x14ac:dyDescent="0.2">
      <c r="A23">
        <v>70</v>
      </c>
      <c r="B23">
        <v>5895.4641844798798</v>
      </c>
      <c r="C23">
        <v>11577895</v>
      </c>
    </row>
    <row r="24" spans="1:3" x14ac:dyDescent="0.2">
      <c r="A24">
        <v>71</v>
      </c>
      <c r="B24">
        <v>5906.9180759127603</v>
      </c>
      <c r="C24">
        <v>11566653</v>
      </c>
    </row>
    <row r="25" spans="1:3" x14ac:dyDescent="0.2">
      <c r="A25">
        <v>72</v>
      </c>
      <c r="B25">
        <v>5914.9433327874603</v>
      </c>
      <c r="C25">
        <v>11616948</v>
      </c>
    </row>
    <row r="26" spans="1:3" x14ac:dyDescent="0.2">
      <c r="A26">
        <v>73</v>
      </c>
      <c r="B26">
        <v>5969.0526963740404</v>
      </c>
      <c r="C26">
        <v>11618526</v>
      </c>
    </row>
    <row r="27" spans="1:3" x14ac:dyDescent="0.2">
      <c r="A27">
        <v>74</v>
      </c>
      <c r="B27">
        <v>5979.3418462792197</v>
      </c>
      <c r="C27">
        <v>11624911</v>
      </c>
    </row>
    <row r="28" spans="1:3" x14ac:dyDescent="0.2">
      <c r="A28">
        <v>75</v>
      </c>
      <c r="B28">
        <v>5986.2927433295999</v>
      </c>
      <c r="C28">
        <v>11711597</v>
      </c>
    </row>
    <row r="29" spans="1:3" x14ac:dyDescent="0.2">
      <c r="A29">
        <v>76</v>
      </c>
      <c r="B29">
        <v>6014.5012504162396</v>
      </c>
      <c r="C29">
        <v>11780722</v>
      </c>
    </row>
    <row r="30" spans="1:3" x14ac:dyDescent="0.2">
      <c r="A30">
        <v>77</v>
      </c>
      <c r="B30">
        <v>6058.13494440868</v>
      </c>
      <c r="C30">
        <v>11768481</v>
      </c>
    </row>
    <row r="31" spans="1:3" x14ac:dyDescent="0.2">
      <c r="A31">
        <v>78</v>
      </c>
      <c r="B31">
        <v>6073.7411742551903</v>
      </c>
      <c r="C31">
        <v>11802809</v>
      </c>
    </row>
    <row r="32" spans="1:3" x14ac:dyDescent="0.2">
      <c r="A32">
        <v>79</v>
      </c>
      <c r="B32">
        <v>6118.2929167659604</v>
      </c>
      <c r="C32">
        <v>11839013</v>
      </c>
    </row>
    <row r="33" spans="1:3" x14ac:dyDescent="0.2">
      <c r="A33">
        <v>80</v>
      </c>
      <c r="B33">
        <v>6149.9833869479198</v>
      </c>
      <c r="C33">
        <v>11820684</v>
      </c>
    </row>
    <row r="34" spans="1:3" x14ac:dyDescent="0.2">
      <c r="A34">
        <v>81</v>
      </c>
      <c r="B34">
        <v>6179.9028499818396</v>
      </c>
      <c r="C34">
        <v>11845061</v>
      </c>
    </row>
    <row r="35" spans="1:3" x14ac:dyDescent="0.2">
      <c r="A35">
        <v>82</v>
      </c>
      <c r="B35">
        <v>6175.6288471743201</v>
      </c>
      <c r="C35">
        <v>11820613</v>
      </c>
    </row>
    <row r="36" spans="1:3" x14ac:dyDescent="0.2">
      <c r="A36">
        <v>83</v>
      </c>
      <c r="B36">
        <v>6237.43675187587</v>
      </c>
      <c r="C36">
        <v>11888105</v>
      </c>
    </row>
    <row r="37" spans="1:3" x14ac:dyDescent="0.2">
      <c r="A37">
        <v>84</v>
      </c>
      <c r="B37">
        <v>6277.0592799012002</v>
      </c>
      <c r="C37">
        <v>11884410</v>
      </c>
    </row>
    <row r="38" spans="1:3" x14ac:dyDescent="0.2">
      <c r="A38">
        <v>85</v>
      </c>
      <c r="B38">
        <v>6307.0054848141699</v>
      </c>
      <c r="C38">
        <v>11915499</v>
      </c>
    </row>
    <row r="39" spans="1:3" x14ac:dyDescent="0.2">
      <c r="A39">
        <v>86</v>
      </c>
      <c r="B39">
        <v>6303.1921203152997</v>
      </c>
      <c r="C39">
        <v>11975566</v>
      </c>
    </row>
    <row r="40" spans="1:3" x14ac:dyDescent="0.2">
      <c r="A40">
        <v>87</v>
      </c>
      <c r="B40">
        <v>6343.2825220124596</v>
      </c>
      <c r="C40">
        <v>12011301</v>
      </c>
    </row>
    <row r="41" spans="1:3" x14ac:dyDescent="0.2">
      <c r="A41">
        <v>88</v>
      </c>
      <c r="B41">
        <v>6375.5597896420504</v>
      </c>
      <c r="C41">
        <v>12028470</v>
      </c>
    </row>
    <row r="42" spans="1:3" x14ac:dyDescent="0.2">
      <c r="A42">
        <v>89</v>
      </c>
      <c r="B42">
        <v>6407.2600358870604</v>
      </c>
      <c r="C42">
        <v>12026102</v>
      </c>
    </row>
    <row r="43" spans="1:3" x14ac:dyDescent="0.2">
      <c r="A43">
        <v>90</v>
      </c>
      <c r="B43">
        <v>6419.5837626089797</v>
      </c>
      <c r="C43">
        <v>12083990</v>
      </c>
    </row>
    <row r="44" spans="1:3" x14ac:dyDescent="0.2">
      <c r="A44">
        <v>91</v>
      </c>
      <c r="B44">
        <v>6436.5862780851503</v>
      </c>
      <c r="C44">
        <v>12165808</v>
      </c>
    </row>
    <row r="45" spans="1:3" x14ac:dyDescent="0.2">
      <c r="A45">
        <v>92</v>
      </c>
      <c r="B45">
        <v>6466.0847210407001</v>
      </c>
      <c r="C45">
        <v>12207453</v>
      </c>
    </row>
    <row r="46" spans="1:3" x14ac:dyDescent="0.2">
      <c r="A46">
        <v>93</v>
      </c>
      <c r="B46">
        <v>6509.7019924262604</v>
      </c>
      <c r="C46">
        <v>12263793</v>
      </c>
    </row>
    <row r="47" spans="1:3" x14ac:dyDescent="0.2">
      <c r="A47">
        <v>94</v>
      </c>
      <c r="B47">
        <v>6542.1484198056496</v>
      </c>
      <c r="C47">
        <v>12244018</v>
      </c>
    </row>
    <row r="48" spans="1:3" x14ac:dyDescent="0.2">
      <c r="A48">
        <v>95</v>
      </c>
      <c r="B48">
        <v>6577.5993357471798</v>
      </c>
      <c r="C48">
        <v>12302860</v>
      </c>
    </row>
    <row r="49" spans="1:3" x14ac:dyDescent="0.2">
      <c r="A49">
        <v>96</v>
      </c>
      <c r="B49">
        <v>6595.0878318066398</v>
      </c>
      <c r="C49">
        <v>12317123</v>
      </c>
    </row>
    <row r="50" spans="1:3" x14ac:dyDescent="0.2">
      <c r="A50">
        <v>97</v>
      </c>
      <c r="B50">
        <v>6612.7903047932004</v>
      </c>
      <c r="C50">
        <v>12308220</v>
      </c>
    </row>
    <row r="51" spans="1:3" x14ac:dyDescent="0.2">
      <c r="A51">
        <v>98</v>
      </c>
      <c r="B51">
        <v>6634.1231365612202</v>
      </c>
      <c r="C51">
        <v>12312665</v>
      </c>
    </row>
    <row r="52" spans="1:3" x14ac:dyDescent="0.2">
      <c r="A52">
        <v>99</v>
      </c>
      <c r="B52">
        <v>6659.6564899498298</v>
      </c>
      <c r="C52">
        <v>12329956</v>
      </c>
    </row>
    <row r="53" spans="1:3" x14ac:dyDescent="0.2">
      <c r="A53">
        <v>100</v>
      </c>
      <c r="B53">
        <v>6654.0267352030096</v>
      </c>
      <c r="C53">
        <v>12373127</v>
      </c>
    </row>
    <row r="54" spans="1:3" x14ac:dyDescent="0.2">
      <c r="A54">
        <v>101</v>
      </c>
      <c r="B54">
        <v>6679.0966601834198</v>
      </c>
      <c r="C54">
        <v>12376402</v>
      </c>
    </row>
    <row r="55" spans="1:3" x14ac:dyDescent="0.2">
      <c r="A55">
        <v>102</v>
      </c>
      <c r="B55">
        <v>6739.6232576000702</v>
      </c>
      <c r="C55">
        <v>12416238</v>
      </c>
    </row>
    <row r="56" spans="1:3" x14ac:dyDescent="0.2">
      <c r="A56">
        <v>103</v>
      </c>
      <c r="B56">
        <v>6798.2498626329098</v>
      </c>
      <c r="C56">
        <v>12444966</v>
      </c>
    </row>
    <row r="57" spans="1:3" x14ac:dyDescent="0.2">
      <c r="A57">
        <v>104</v>
      </c>
      <c r="B57">
        <v>6832.3283890761404</v>
      </c>
      <c r="C57">
        <v>12423882</v>
      </c>
    </row>
    <row r="58" spans="1:3" x14ac:dyDescent="0.2">
      <c r="A58">
        <v>105</v>
      </c>
      <c r="B58">
        <v>6811.3455823007798</v>
      </c>
      <c r="C58">
        <v>12508743</v>
      </c>
    </row>
    <row r="59" spans="1:3" x14ac:dyDescent="0.2">
      <c r="A59">
        <v>106</v>
      </c>
      <c r="B59">
        <v>6815.8246062014996</v>
      </c>
      <c r="C59">
        <v>12514368</v>
      </c>
    </row>
    <row r="60" spans="1:3" x14ac:dyDescent="0.2">
      <c r="A60">
        <v>107</v>
      </c>
      <c r="B60">
        <v>6825.5375125567598</v>
      </c>
      <c r="C60">
        <v>12500918</v>
      </c>
    </row>
    <row r="61" spans="1:3" x14ac:dyDescent="0.2">
      <c r="A61">
        <v>108</v>
      </c>
      <c r="B61">
        <v>6863.4286016283904</v>
      </c>
      <c r="C61">
        <v>12543749</v>
      </c>
    </row>
    <row r="62" spans="1:3" x14ac:dyDescent="0.2">
      <c r="A62">
        <v>109</v>
      </c>
      <c r="B62">
        <v>6894.5376880312197</v>
      </c>
      <c r="C62">
        <v>12603229</v>
      </c>
    </row>
    <row r="63" spans="1:3" x14ac:dyDescent="0.2">
      <c r="A63">
        <v>110</v>
      </c>
      <c r="B63">
        <v>6901.6990693193102</v>
      </c>
      <c r="C63">
        <v>12658872</v>
      </c>
    </row>
    <row r="64" spans="1:3" x14ac:dyDescent="0.2">
      <c r="A64">
        <v>111</v>
      </c>
      <c r="B64">
        <v>6909.8660969625698</v>
      </c>
      <c r="C64">
        <v>12628251</v>
      </c>
    </row>
    <row r="65" spans="1:3" x14ac:dyDescent="0.2">
      <c r="A65">
        <v>112</v>
      </c>
      <c r="B65">
        <v>6950.0493292826604</v>
      </c>
      <c r="C65">
        <v>12718078</v>
      </c>
    </row>
    <row r="66" spans="1:3" x14ac:dyDescent="0.2">
      <c r="A66">
        <v>113</v>
      </c>
      <c r="B66">
        <v>6991.1450155431203</v>
      </c>
      <c r="C66">
        <v>12676968</v>
      </c>
    </row>
    <row r="67" spans="1:3" x14ac:dyDescent="0.2">
      <c r="A67">
        <v>114</v>
      </c>
      <c r="B67">
        <v>6968.6679799902404</v>
      </c>
      <c r="C67">
        <v>12703504</v>
      </c>
    </row>
    <row r="68" spans="1:3" x14ac:dyDescent="0.2">
      <c r="A68">
        <v>115</v>
      </c>
      <c r="B68">
        <v>6995.3853012237896</v>
      </c>
      <c r="C68">
        <v>12694972</v>
      </c>
    </row>
    <row r="69" spans="1:3" x14ac:dyDescent="0.2">
      <c r="A69">
        <v>116</v>
      </c>
      <c r="B69">
        <v>7011.3733799773399</v>
      </c>
      <c r="C69">
        <v>12721786</v>
      </c>
    </row>
    <row r="70" spans="1:3" x14ac:dyDescent="0.2">
      <c r="A70">
        <v>117</v>
      </c>
      <c r="B70">
        <v>7045.9276446982803</v>
      </c>
      <c r="C70">
        <v>12656220</v>
      </c>
    </row>
    <row r="71" spans="1:3" x14ac:dyDescent="0.2">
      <c r="A71">
        <v>118</v>
      </c>
      <c r="B71">
        <v>7054.0263265100002</v>
      </c>
      <c r="C71">
        <v>12684487</v>
      </c>
    </row>
    <row r="72" spans="1:3" x14ac:dyDescent="0.2">
      <c r="A72">
        <v>119</v>
      </c>
      <c r="B72">
        <v>7026.4587099046103</v>
      </c>
      <c r="C72">
        <v>12694395</v>
      </c>
    </row>
    <row r="73" spans="1:3" x14ac:dyDescent="0.2">
      <c r="A73">
        <v>120</v>
      </c>
      <c r="B73">
        <v>7070.5955171248497</v>
      </c>
      <c r="C73">
        <v>12734133</v>
      </c>
    </row>
    <row r="74" spans="1:3" x14ac:dyDescent="0.2">
      <c r="A74">
        <v>121</v>
      </c>
      <c r="B74">
        <v>7085.7560120109601</v>
      </c>
      <c r="C74">
        <v>12689129</v>
      </c>
    </row>
    <row r="75" spans="1:3" x14ac:dyDescent="0.2">
      <c r="A75">
        <v>122</v>
      </c>
      <c r="B75">
        <v>7096.3231177321704</v>
      </c>
      <c r="C75">
        <v>12717783</v>
      </c>
    </row>
    <row r="76" spans="1:3" x14ac:dyDescent="0.2">
      <c r="A76">
        <v>123</v>
      </c>
      <c r="B76">
        <v>7100.63896411306</v>
      </c>
      <c r="C76">
        <v>12735624</v>
      </c>
    </row>
    <row r="77" spans="1:3" x14ac:dyDescent="0.2">
      <c r="A77">
        <v>124</v>
      </c>
      <c r="B77">
        <v>7073.0615322158101</v>
      </c>
      <c r="C77">
        <v>12766195</v>
      </c>
    </row>
    <row r="78" spans="1:3" x14ac:dyDescent="0.2">
      <c r="A78">
        <v>125</v>
      </c>
      <c r="B78">
        <v>7064.6083011768897</v>
      </c>
      <c r="C78">
        <v>12779769</v>
      </c>
    </row>
    <row r="79" spans="1:3" x14ac:dyDescent="0.2">
      <c r="A79">
        <v>126</v>
      </c>
      <c r="B79">
        <v>7099.1889757947501</v>
      </c>
      <c r="C79">
        <v>12797202</v>
      </c>
    </row>
    <row r="80" spans="1:3" x14ac:dyDescent="0.2">
      <c r="A80">
        <v>127</v>
      </c>
      <c r="B80">
        <v>7102.3315994888098</v>
      </c>
      <c r="C80">
        <v>12832073</v>
      </c>
    </row>
    <row r="81" spans="1:3" x14ac:dyDescent="0.2">
      <c r="A81">
        <v>128</v>
      </c>
      <c r="B81">
        <v>7119.2805403866896</v>
      </c>
      <c r="C81">
        <v>12798575</v>
      </c>
    </row>
    <row r="82" spans="1:3" x14ac:dyDescent="0.2">
      <c r="A82">
        <v>129</v>
      </c>
      <c r="B82">
        <v>7133.7682064082701</v>
      </c>
      <c r="C82">
        <v>12861914</v>
      </c>
    </row>
    <row r="83" spans="1:3" x14ac:dyDescent="0.2">
      <c r="A83">
        <v>130</v>
      </c>
      <c r="B83">
        <v>7187.0743231414699</v>
      </c>
      <c r="C83">
        <v>12837796</v>
      </c>
    </row>
    <row r="84" spans="1:3" x14ac:dyDescent="0.2">
      <c r="A84">
        <v>131</v>
      </c>
      <c r="B84">
        <v>7179.16768215721</v>
      </c>
      <c r="C84">
        <v>12850776</v>
      </c>
    </row>
    <row r="85" spans="1:3" x14ac:dyDescent="0.2">
      <c r="A85">
        <v>132</v>
      </c>
      <c r="B85">
        <v>7244.0047252127497</v>
      </c>
      <c r="C85">
        <v>12888200</v>
      </c>
    </row>
    <row r="86" spans="1:3" x14ac:dyDescent="0.2">
      <c r="A86">
        <v>133</v>
      </c>
      <c r="B86">
        <v>7250.05526926739</v>
      </c>
      <c r="C86">
        <v>12864602</v>
      </c>
    </row>
    <row r="87" spans="1:3" x14ac:dyDescent="0.2">
      <c r="A87">
        <v>134</v>
      </c>
      <c r="B87">
        <v>7268.9460342946604</v>
      </c>
      <c r="C87">
        <v>12920958</v>
      </c>
    </row>
    <row r="88" spans="1:3" x14ac:dyDescent="0.2">
      <c r="A88">
        <v>135</v>
      </c>
      <c r="B88">
        <v>7294.2408425548001</v>
      </c>
      <c r="C88">
        <v>12925504</v>
      </c>
    </row>
    <row r="89" spans="1:3" x14ac:dyDescent="0.2">
      <c r="A89">
        <v>136</v>
      </c>
      <c r="B89">
        <v>7301.4874368252604</v>
      </c>
      <c r="C89">
        <v>12858119</v>
      </c>
    </row>
    <row r="90" spans="1:3" x14ac:dyDescent="0.2">
      <c r="A90">
        <v>137</v>
      </c>
      <c r="B90">
        <v>7336.5623754971803</v>
      </c>
      <c r="C90">
        <v>12901093</v>
      </c>
    </row>
    <row r="91" spans="1:3" x14ac:dyDescent="0.2">
      <c r="A91">
        <v>138</v>
      </c>
      <c r="B91">
        <v>7320.9684527129702</v>
      </c>
      <c r="C91">
        <v>12945116</v>
      </c>
    </row>
    <row r="92" spans="1:3" x14ac:dyDescent="0.2">
      <c r="A92">
        <v>139</v>
      </c>
      <c r="B92">
        <v>7340.3284143506598</v>
      </c>
      <c r="C92">
        <v>12964801</v>
      </c>
    </row>
    <row r="93" spans="1:3" x14ac:dyDescent="0.2">
      <c r="A93">
        <v>140</v>
      </c>
      <c r="B93">
        <v>7348.1745536288099</v>
      </c>
      <c r="C93">
        <v>12993930</v>
      </c>
    </row>
    <row r="94" spans="1:3" x14ac:dyDescent="0.2">
      <c r="A94">
        <v>141</v>
      </c>
      <c r="B94">
        <v>7376.1486918215196</v>
      </c>
      <c r="C94">
        <v>13016088</v>
      </c>
    </row>
    <row r="95" spans="1:3" x14ac:dyDescent="0.2">
      <c r="A95">
        <v>142</v>
      </c>
      <c r="B95">
        <v>7397.1881367012902</v>
      </c>
      <c r="C95">
        <v>13037286</v>
      </c>
    </row>
    <row r="96" spans="1:3" x14ac:dyDescent="0.2">
      <c r="A96">
        <v>143</v>
      </c>
      <c r="B96">
        <v>7371.3549673130801</v>
      </c>
      <c r="C96">
        <v>13065748</v>
      </c>
    </row>
    <row r="97" spans="1:3" x14ac:dyDescent="0.2">
      <c r="A97">
        <v>144</v>
      </c>
      <c r="B97">
        <v>7419.7136314940499</v>
      </c>
      <c r="C97">
        <v>13019605</v>
      </c>
    </row>
    <row r="98" spans="1:3" x14ac:dyDescent="0.2">
      <c r="A98">
        <v>145</v>
      </c>
      <c r="B98">
        <v>7458.1894616305199</v>
      </c>
      <c r="C98">
        <v>13047498</v>
      </c>
    </row>
    <row r="99" spans="1:3" x14ac:dyDescent="0.2">
      <c r="A99">
        <v>146</v>
      </c>
      <c r="B99">
        <v>7441.9428337883101</v>
      </c>
      <c r="C99">
        <v>13070513</v>
      </c>
    </row>
    <row r="100" spans="1:3" x14ac:dyDescent="0.2">
      <c r="A100">
        <v>147</v>
      </c>
      <c r="B100">
        <v>7443.5094547592698</v>
      </c>
      <c r="C100">
        <v>13064594</v>
      </c>
    </row>
    <row r="101" spans="1:3" x14ac:dyDescent="0.2">
      <c r="A101">
        <v>148</v>
      </c>
      <c r="B101">
        <v>7422.7476374048701</v>
      </c>
      <c r="C101">
        <v>13041683</v>
      </c>
    </row>
    <row r="102" spans="1:3" x14ac:dyDescent="0.2">
      <c r="A102">
        <v>149</v>
      </c>
      <c r="B102">
        <v>7398.3021868701198</v>
      </c>
      <c r="C102">
        <v>13149796</v>
      </c>
    </row>
    <row r="103" spans="1:3" x14ac:dyDescent="0.2">
      <c r="A103">
        <v>150</v>
      </c>
      <c r="B103">
        <v>7436.7889493000603</v>
      </c>
      <c r="C103">
        <v>13138158</v>
      </c>
    </row>
    <row r="104" spans="1:3" x14ac:dyDescent="0.2">
      <c r="A104">
        <v>151</v>
      </c>
      <c r="B104">
        <v>7465.2528524392501</v>
      </c>
      <c r="C104">
        <v>13138872</v>
      </c>
    </row>
    <row r="105" spans="1:3" x14ac:dyDescent="0.2">
      <c r="A105">
        <v>152</v>
      </c>
      <c r="B105">
        <v>7449.9299703280303</v>
      </c>
      <c r="C105">
        <v>13138679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5"/>
  <sheetViews>
    <sheetView zoomScaleNormal="100" workbookViewId="0">
      <selection activeCell="I14" sqref="I14"/>
    </sheetView>
  </sheetViews>
  <sheetFormatPr baseColWidth="10" defaultColWidth="11.5703125" defaultRowHeight="12.75" x14ac:dyDescent="0.2"/>
  <sheetData>
    <row r="1" spans="1:17" x14ac:dyDescent="0.2">
      <c r="A1" t="s">
        <v>167</v>
      </c>
      <c r="B1" t="s">
        <v>168</v>
      </c>
      <c r="C1" t="s">
        <v>169</v>
      </c>
      <c r="D1" t="s">
        <v>170</v>
      </c>
      <c r="E1" t="s">
        <v>171</v>
      </c>
      <c r="F1" t="s">
        <v>172</v>
      </c>
      <c r="G1" t="s">
        <v>173</v>
      </c>
      <c r="H1" t="s">
        <v>174</v>
      </c>
      <c r="I1" t="s">
        <v>175</v>
      </c>
      <c r="J1" t="s">
        <v>176</v>
      </c>
      <c r="K1" t="s">
        <v>177</v>
      </c>
      <c r="L1" t="s">
        <v>178</v>
      </c>
      <c r="M1" t="s">
        <v>179</v>
      </c>
      <c r="N1" t="s">
        <v>180</v>
      </c>
      <c r="O1" t="s">
        <v>181</v>
      </c>
      <c r="P1" t="s">
        <v>182</v>
      </c>
      <c r="Q1" t="s">
        <v>183</v>
      </c>
    </row>
    <row r="2" spans="1:17" x14ac:dyDescent="0.2">
      <c r="A2">
        <v>49</v>
      </c>
      <c r="B2">
        <v>17715091.297121499</v>
      </c>
      <c r="C2">
        <v>17023151.853301901</v>
      </c>
      <c r="D2">
        <v>17764710.0025356</v>
      </c>
      <c r="E2">
        <v>17069793.433228102</v>
      </c>
      <c r="F2">
        <v>14752676.2681749</v>
      </c>
      <c r="G2">
        <v>2270475.5851269802</v>
      </c>
      <c r="H2">
        <v>14799318.003943801</v>
      </c>
      <c r="I2">
        <v>2270475.4292842899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</row>
    <row r="3" spans="1:17" x14ac:dyDescent="0.2">
      <c r="A3">
        <v>50</v>
      </c>
      <c r="B3">
        <v>20422747.135097399</v>
      </c>
      <c r="C3">
        <v>19622770.703860801</v>
      </c>
      <c r="D3">
        <v>20483176.687965199</v>
      </c>
      <c r="E3">
        <v>19679574.4794841</v>
      </c>
      <c r="F3">
        <v>16969939.802151401</v>
      </c>
      <c r="G3">
        <v>2652830.9017094402</v>
      </c>
      <c r="H3">
        <v>17026743.812685098</v>
      </c>
      <c r="I3">
        <v>2652830.66679896</v>
      </c>
      <c r="J3">
        <v>0</v>
      </c>
      <c r="K3">
        <v>0</v>
      </c>
      <c r="L3">
        <v>3407167.0425107498</v>
      </c>
      <c r="M3">
        <v>3216617.2741645901</v>
      </c>
      <c r="N3">
        <v>3417238.6339333202</v>
      </c>
      <c r="O3">
        <v>3226084.5694013899</v>
      </c>
      <c r="P3">
        <v>0</v>
      </c>
      <c r="Q3">
        <v>0</v>
      </c>
    </row>
    <row r="4" spans="1:17" x14ac:dyDescent="0.2">
      <c r="A4">
        <v>51</v>
      </c>
      <c r="B4">
        <v>19803746.836479299</v>
      </c>
      <c r="C4">
        <v>19026261.304787099</v>
      </c>
      <c r="D4">
        <v>19865434.766803999</v>
      </c>
      <c r="E4">
        <v>19084247.953928798</v>
      </c>
      <c r="F4">
        <v>16392343.747388</v>
      </c>
      <c r="G4">
        <v>2633917.5573990899</v>
      </c>
      <c r="H4">
        <v>16450330.808702201</v>
      </c>
      <c r="I4">
        <v>2633917.14522669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</row>
    <row r="5" spans="1:17" x14ac:dyDescent="0.2">
      <c r="A5">
        <v>52</v>
      </c>
      <c r="B5">
        <v>21428421.3166265</v>
      </c>
      <c r="C5">
        <v>20585938.194182999</v>
      </c>
      <c r="D5">
        <v>21496839.488126598</v>
      </c>
      <c r="E5">
        <v>20650251.268566001</v>
      </c>
      <c r="F5">
        <v>17680837.580416098</v>
      </c>
      <c r="G5">
        <v>2905100.6137669701</v>
      </c>
      <c r="H5">
        <v>17745151.186922099</v>
      </c>
      <c r="I5">
        <v>2905100.0816439399</v>
      </c>
      <c r="J5">
        <v>0</v>
      </c>
      <c r="K5">
        <v>0</v>
      </c>
      <c r="L5">
        <v>3574743.4030934498</v>
      </c>
      <c r="M5">
        <v>3375538.16321027</v>
      </c>
      <c r="N5">
        <v>3586146.4304663199</v>
      </c>
      <c r="O5">
        <v>3386257.0077904798</v>
      </c>
      <c r="P5">
        <v>0</v>
      </c>
      <c r="Q5">
        <v>0</v>
      </c>
    </row>
    <row r="6" spans="1:17" x14ac:dyDescent="0.2">
      <c r="A6">
        <v>53</v>
      </c>
      <c r="B6">
        <v>18797781.912175499</v>
      </c>
      <c r="C6">
        <v>18060319.160448901</v>
      </c>
      <c r="D6">
        <v>18858978.262232099</v>
      </c>
      <c r="E6">
        <v>18117843.715300601</v>
      </c>
      <c r="F6">
        <v>15421057.593069401</v>
      </c>
      <c r="G6">
        <v>2639261.56737951</v>
      </c>
      <c r="H6">
        <v>15478583.0263282</v>
      </c>
      <c r="I6">
        <v>2639260.6889723199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</row>
    <row r="7" spans="1:17" x14ac:dyDescent="0.2">
      <c r="A7">
        <v>54</v>
      </c>
      <c r="B7">
        <v>19382726.663389001</v>
      </c>
      <c r="C7">
        <v>18620395.550517201</v>
      </c>
      <c r="D7">
        <v>19446188.4654123</v>
      </c>
      <c r="E7">
        <v>18680049.628110901</v>
      </c>
      <c r="F7">
        <v>15814107.507456601</v>
      </c>
      <c r="G7">
        <v>2806288.0430606701</v>
      </c>
      <c r="H7">
        <v>15873762.7495753</v>
      </c>
      <c r="I7">
        <v>2806286.8785356199</v>
      </c>
      <c r="J7">
        <v>0</v>
      </c>
      <c r="K7">
        <v>0</v>
      </c>
      <c r="L7">
        <v>3233508.1712693502</v>
      </c>
      <c r="M7">
        <v>3054070.8677643398</v>
      </c>
      <c r="N7">
        <v>3244085.1353817</v>
      </c>
      <c r="O7">
        <v>3064013.21203788</v>
      </c>
      <c r="P7">
        <v>0</v>
      </c>
      <c r="Q7">
        <v>0</v>
      </c>
    </row>
    <row r="8" spans="1:17" x14ac:dyDescent="0.2">
      <c r="A8">
        <v>55</v>
      </c>
      <c r="B8">
        <v>18442736.6628065</v>
      </c>
      <c r="C8">
        <v>17716150.331680302</v>
      </c>
      <c r="D8">
        <v>18504303.192506298</v>
      </c>
      <c r="E8">
        <v>17774022.853574999</v>
      </c>
      <c r="F8">
        <v>14992994.5543718</v>
      </c>
      <c r="G8">
        <v>2723155.7773085102</v>
      </c>
      <c r="H8">
        <v>15050868.3481724</v>
      </c>
      <c r="I8">
        <v>2723154.50540264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</row>
    <row r="9" spans="1:17" x14ac:dyDescent="0.2">
      <c r="A9">
        <v>56</v>
      </c>
      <c r="B9">
        <v>20186956.482786901</v>
      </c>
      <c r="C9">
        <v>19389359.491747599</v>
      </c>
      <c r="D9">
        <v>20255770.524499699</v>
      </c>
      <c r="E9">
        <v>19454044.674243499</v>
      </c>
      <c r="F9">
        <v>16314021.882952999</v>
      </c>
      <c r="G9">
        <v>3075337.60879457</v>
      </c>
      <c r="H9">
        <v>16378708.3495644</v>
      </c>
      <c r="I9">
        <v>3075336.3246790501</v>
      </c>
      <c r="J9">
        <v>37448.292796407703</v>
      </c>
      <c r="K9">
        <v>36324.844012515401</v>
      </c>
      <c r="L9">
        <v>3367077.3291073199</v>
      </c>
      <c r="M9">
        <v>3180782.0919669401</v>
      </c>
      <c r="N9">
        <v>3378546.3330959599</v>
      </c>
      <c r="O9">
        <v>3191562.9536793199</v>
      </c>
      <c r="P9">
        <v>6241.3821327346104</v>
      </c>
      <c r="Q9">
        <v>6054.1406687525696</v>
      </c>
    </row>
    <row r="10" spans="1:17" x14ac:dyDescent="0.2">
      <c r="A10">
        <v>57</v>
      </c>
      <c r="B10">
        <v>19311651.973657001</v>
      </c>
      <c r="C10">
        <v>18548526.856956799</v>
      </c>
      <c r="D10">
        <v>19378703.256028499</v>
      </c>
      <c r="E10">
        <v>18611555.047744598</v>
      </c>
      <c r="F10">
        <v>15547890.3481622</v>
      </c>
      <c r="G10">
        <v>3000636.5087945298</v>
      </c>
      <c r="H10">
        <v>15610919.667529199</v>
      </c>
      <c r="I10">
        <v>3000635.3802154101</v>
      </c>
      <c r="J10">
        <v>68744.484131501405</v>
      </c>
      <c r="K10">
        <v>66682.149607556305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</row>
    <row r="11" spans="1:17" x14ac:dyDescent="0.2">
      <c r="A11">
        <v>58</v>
      </c>
      <c r="B11">
        <v>20639055.8934725</v>
      </c>
      <c r="C11">
        <v>19821653.0060433</v>
      </c>
      <c r="D11">
        <v>20711369.232136201</v>
      </c>
      <c r="E11">
        <v>19889627.528947201</v>
      </c>
      <c r="F11">
        <v>16527188.212595699</v>
      </c>
      <c r="G11">
        <v>3294464.7934475602</v>
      </c>
      <c r="H11">
        <v>16595163.844125601</v>
      </c>
      <c r="I11">
        <v>3294463.6848216099</v>
      </c>
      <c r="J11">
        <v>105406.41037662201</v>
      </c>
      <c r="K11">
        <v>102244.218065323</v>
      </c>
      <c r="L11">
        <v>3442089.4768949598</v>
      </c>
      <c r="M11">
        <v>3252401.9127116101</v>
      </c>
      <c r="N11">
        <v>3454141.6972679999</v>
      </c>
      <c r="O11">
        <v>3263730.9980045902</v>
      </c>
      <c r="P11">
        <v>17567.7350627704</v>
      </c>
      <c r="Q11">
        <v>17040.7030108873</v>
      </c>
    </row>
    <row r="12" spans="1:17" x14ac:dyDescent="0.2">
      <c r="A12">
        <v>59</v>
      </c>
      <c r="B12">
        <v>19826927.3103039</v>
      </c>
      <c r="C12">
        <v>19041077.442823298</v>
      </c>
      <c r="D12">
        <v>19898364.494931102</v>
      </c>
      <c r="E12">
        <v>19108228.3816652</v>
      </c>
      <c r="F12">
        <v>15820742.727614401</v>
      </c>
      <c r="G12">
        <v>3220334.7152088699</v>
      </c>
      <c r="H12">
        <v>15887894.698806399</v>
      </c>
      <c r="I12">
        <v>3220333.6828588201</v>
      </c>
      <c r="J12">
        <v>153068.271140567</v>
      </c>
      <c r="K12">
        <v>148476.22300634999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</row>
    <row r="13" spans="1:17" x14ac:dyDescent="0.2">
      <c r="A13">
        <v>60</v>
      </c>
      <c r="B13">
        <v>21580664.543928999</v>
      </c>
      <c r="C13">
        <v>20723000.4630097</v>
      </c>
      <c r="D13">
        <v>21659293.098367002</v>
      </c>
      <c r="E13">
        <v>20796911.288528401</v>
      </c>
      <c r="F13">
        <v>17147799.309649698</v>
      </c>
      <c r="G13">
        <v>3575201.15335993</v>
      </c>
      <c r="H13">
        <v>17221711.211280901</v>
      </c>
      <c r="I13">
        <v>3575200.07724754</v>
      </c>
      <c r="J13">
        <v>195716.984291222</v>
      </c>
      <c r="K13">
        <v>189845.474762486</v>
      </c>
      <c r="L13">
        <v>3598551.22786</v>
      </c>
      <c r="M13">
        <v>3401144.3736509802</v>
      </c>
      <c r="N13">
        <v>3611655.9841576498</v>
      </c>
      <c r="O13">
        <v>3413462.8427059501</v>
      </c>
      <c r="P13">
        <v>32619.497381870398</v>
      </c>
      <c r="Q13">
        <v>31640.9124604143</v>
      </c>
    </row>
    <row r="14" spans="1:17" x14ac:dyDescent="0.2">
      <c r="A14">
        <v>61</v>
      </c>
      <c r="B14">
        <v>20100422.516874701</v>
      </c>
      <c r="C14">
        <v>19301582.161776099</v>
      </c>
      <c r="D14">
        <v>20174391.262789998</v>
      </c>
      <c r="E14">
        <v>19371112.768721402</v>
      </c>
      <c r="F14">
        <v>15860389.767376101</v>
      </c>
      <c r="G14">
        <v>3441192.3944000402</v>
      </c>
      <c r="H14">
        <v>15929921.3075417</v>
      </c>
      <c r="I14">
        <v>3441191.4611796602</v>
      </c>
      <c r="J14">
        <v>199621.10106806</v>
      </c>
      <c r="K14">
        <v>193632.46803601799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</row>
    <row r="15" spans="1:17" x14ac:dyDescent="0.2">
      <c r="A15">
        <v>62</v>
      </c>
      <c r="B15">
        <v>19939314.326696701</v>
      </c>
      <c r="C15">
        <v>19146318.321461301</v>
      </c>
      <c r="D15">
        <v>20014710.249996599</v>
      </c>
      <c r="E15">
        <v>19217190.475493301</v>
      </c>
      <c r="F15">
        <v>15686021.719117699</v>
      </c>
      <c r="G15">
        <v>3460296.60234361</v>
      </c>
      <c r="H15">
        <v>15756894.778277</v>
      </c>
      <c r="I15">
        <v>3460295.6972163599</v>
      </c>
      <c r="J15">
        <v>217761.89858089099</v>
      </c>
      <c r="K15">
        <v>211229.041623464</v>
      </c>
      <c r="L15">
        <v>3325892.9782878398</v>
      </c>
      <c r="M15">
        <v>3143444.1879111398</v>
      </c>
      <c r="N15">
        <v>3338458.9630453</v>
      </c>
      <c r="O15">
        <v>3155256.2119297199</v>
      </c>
      <c r="P15">
        <v>36293.649763481902</v>
      </c>
      <c r="Q15">
        <v>35204.840270577399</v>
      </c>
    </row>
    <row r="16" spans="1:17" x14ac:dyDescent="0.2">
      <c r="A16">
        <v>63</v>
      </c>
      <c r="B16">
        <v>18978789.1256258</v>
      </c>
      <c r="C16">
        <v>18225099.839887001</v>
      </c>
      <c r="D16">
        <v>19050994.916072201</v>
      </c>
      <c r="E16">
        <v>18292973.2702277</v>
      </c>
      <c r="F16">
        <v>14886773.575623401</v>
      </c>
      <c r="G16">
        <v>3338326.2642635698</v>
      </c>
      <c r="H16">
        <v>14954647.814745201</v>
      </c>
      <c r="I16">
        <v>3338325.4554824699</v>
      </c>
      <c r="J16">
        <v>235047.12322417201</v>
      </c>
      <c r="K16">
        <v>227995.70952744599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</row>
    <row r="17" spans="1:17" x14ac:dyDescent="0.2">
      <c r="A17">
        <v>64</v>
      </c>
      <c r="B17">
        <v>17424739.668331299</v>
      </c>
      <c r="C17">
        <v>16734619.5702958</v>
      </c>
      <c r="D17">
        <v>17490439.390068699</v>
      </c>
      <c r="E17">
        <v>16796377.297509801</v>
      </c>
      <c r="F17">
        <v>13624338.888912801</v>
      </c>
      <c r="G17">
        <v>3110280.6813830701</v>
      </c>
      <c r="H17">
        <v>13686097.3083655</v>
      </c>
      <c r="I17">
        <v>3110279.9891443201</v>
      </c>
      <c r="J17">
        <v>240391.32203706901</v>
      </c>
      <c r="K17">
        <v>233179.582375956</v>
      </c>
      <c r="L17">
        <v>2907687.7431596699</v>
      </c>
      <c r="M17">
        <v>2749598.6767831799</v>
      </c>
      <c r="N17">
        <v>2918637.6947933501</v>
      </c>
      <c r="O17">
        <v>2759891.6293435898</v>
      </c>
      <c r="P17">
        <v>40065.220339511397</v>
      </c>
      <c r="Q17">
        <v>38863.2637293261</v>
      </c>
    </row>
    <row r="18" spans="1:17" x14ac:dyDescent="0.2">
      <c r="A18">
        <v>65</v>
      </c>
      <c r="B18">
        <v>17281706.777987599</v>
      </c>
      <c r="C18">
        <v>16596418.525833201</v>
      </c>
      <c r="D18">
        <v>17349305.224057399</v>
      </c>
      <c r="E18">
        <v>16659961.054203499</v>
      </c>
      <c r="F18">
        <v>13494386.620799899</v>
      </c>
      <c r="G18">
        <v>3102031.9050332899</v>
      </c>
      <c r="H18">
        <v>13557929.8159605</v>
      </c>
      <c r="I18">
        <v>3102031.2382430299</v>
      </c>
      <c r="J18">
        <v>195752.530770185</v>
      </c>
      <c r="K18">
        <v>189879.95484707999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</row>
    <row r="19" spans="1:17" x14ac:dyDescent="0.2">
      <c r="A19">
        <v>66</v>
      </c>
      <c r="B19">
        <v>17450609.327946901</v>
      </c>
      <c r="C19">
        <v>16757694.9440173</v>
      </c>
      <c r="D19">
        <v>17521550.764070701</v>
      </c>
      <c r="E19">
        <v>16824379.883012999</v>
      </c>
      <c r="F19">
        <v>13622848.7617536</v>
      </c>
      <c r="G19">
        <v>3134846.1822636402</v>
      </c>
      <c r="H19">
        <v>13689534.356660901</v>
      </c>
      <c r="I19">
        <v>3134845.5263521401</v>
      </c>
      <c r="J19">
        <v>198608.842111893</v>
      </c>
      <c r="K19">
        <v>192650.576848536</v>
      </c>
      <c r="L19">
        <v>2911815.2930513099</v>
      </c>
      <c r="M19">
        <v>2754475.3579074498</v>
      </c>
      <c r="N19">
        <v>2923638.8637952399</v>
      </c>
      <c r="O19">
        <v>2765589.5124766501</v>
      </c>
      <c r="P19">
        <v>33101.473685315403</v>
      </c>
      <c r="Q19">
        <v>32108.429474756002</v>
      </c>
    </row>
    <row r="20" spans="1:17" x14ac:dyDescent="0.2">
      <c r="A20">
        <v>67</v>
      </c>
      <c r="B20">
        <v>17840697.540212601</v>
      </c>
      <c r="C20">
        <v>17130847.202065699</v>
      </c>
      <c r="D20">
        <v>17915628.817319099</v>
      </c>
      <c r="E20">
        <v>17201282.591356099</v>
      </c>
      <c r="F20">
        <v>13914618.065431699</v>
      </c>
      <c r="G20">
        <v>3216229.1366339899</v>
      </c>
      <c r="H20">
        <v>13985054.1273892</v>
      </c>
      <c r="I20">
        <v>3216228.4639669</v>
      </c>
      <c r="J20">
        <v>189574.584468079</v>
      </c>
      <c r="K20">
        <v>183887.34693403699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</row>
    <row r="21" spans="1:17" x14ac:dyDescent="0.2">
      <c r="A21">
        <v>68</v>
      </c>
      <c r="B21">
        <v>17637786.099752899</v>
      </c>
      <c r="C21">
        <v>16934721.3891025</v>
      </c>
      <c r="D21">
        <v>17713060.107261699</v>
      </c>
      <c r="E21">
        <v>17005478.945173599</v>
      </c>
      <c r="F21">
        <v>13753157.856799601</v>
      </c>
      <c r="G21">
        <v>3181563.53230291</v>
      </c>
      <c r="H21">
        <v>13823916.073355099</v>
      </c>
      <c r="I21">
        <v>3181562.8718185099</v>
      </c>
      <c r="J21">
        <v>196235.25189871801</v>
      </c>
      <c r="K21">
        <v>190348.194341756</v>
      </c>
      <c r="L21">
        <v>2943026.9156479901</v>
      </c>
      <c r="M21">
        <v>2782270.2308895001</v>
      </c>
      <c r="N21">
        <v>2955572.5816180399</v>
      </c>
      <c r="O21">
        <v>2794063.1549668</v>
      </c>
      <c r="P21">
        <v>32705.875316452901</v>
      </c>
      <c r="Q21">
        <v>31724.6990569593</v>
      </c>
    </row>
    <row r="22" spans="1:17" x14ac:dyDescent="0.2">
      <c r="A22">
        <v>69</v>
      </c>
      <c r="B22">
        <v>17452930.044859499</v>
      </c>
      <c r="C22">
        <v>16756688.5572953</v>
      </c>
      <c r="D22">
        <v>17527762.0453749</v>
      </c>
      <c r="E22">
        <v>16827030.627079401</v>
      </c>
      <c r="F22">
        <v>13587681.882222099</v>
      </c>
      <c r="G22">
        <v>3169006.67507324</v>
      </c>
      <c r="H22">
        <v>13658024.595254401</v>
      </c>
      <c r="I22">
        <v>3169006.0318249902</v>
      </c>
      <c r="J22">
        <v>217358.08709325999</v>
      </c>
      <c r="K22">
        <v>210837.34448046199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</row>
    <row r="23" spans="1:17" x14ac:dyDescent="0.2">
      <c r="A23">
        <v>70</v>
      </c>
      <c r="B23">
        <v>17566691.3982375</v>
      </c>
      <c r="C23">
        <v>16864373.767296299</v>
      </c>
      <c r="D23">
        <v>17643511.880874299</v>
      </c>
      <c r="E23">
        <v>16936585.010239299</v>
      </c>
      <c r="F23">
        <v>13602167.833240099</v>
      </c>
      <c r="G23">
        <v>3262205.9340562099</v>
      </c>
      <c r="H23">
        <v>13674379.7212437</v>
      </c>
      <c r="I23">
        <v>3262205.2889956101</v>
      </c>
      <c r="J23">
        <v>243349.65667922</v>
      </c>
      <c r="K23">
        <v>236049.166978844</v>
      </c>
      <c r="L23">
        <v>2930405.2706604502</v>
      </c>
      <c r="M23">
        <v>2765600.9951239699</v>
      </c>
      <c r="N23">
        <v>2943208.6825297801</v>
      </c>
      <c r="O23">
        <v>2777636.2003909298</v>
      </c>
      <c r="P23">
        <v>40558.276113203399</v>
      </c>
      <c r="Q23">
        <v>39341.527829807303</v>
      </c>
    </row>
    <row r="24" spans="1:17" x14ac:dyDescent="0.2">
      <c r="A24">
        <v>71</v>
      </c>
      <c r="B24">
        <v>17392067.167752501</v>
      </c>
      <c r="C24">
        <v>16695376.9805253</v>
      </c>
      <c r="D24">
        <v>17469215.1563996</v>
      </c>
      <c r="E24">
        <v>16767896.079843201</v>
      </c>
      <c r="F24">
        <v>13418149.3833865</v>
      </c>
      <c r="G24">
        <v>3277227.5971388002</v>
      </c>
      <c r="H24">
        <v>13490669.103707399</v>
      </c>
      <c r="I24">
        <v>3277226.9761357899</v>
      </c>
      <c r="J24">
        <v>265808.16032122</v>
      </c>
      <c r="K24">
        <v>257833.91551158301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</row>
    <row r="25" spans="1:17" x14ac:dyDescent="0.2">
      <c r="A25">
        <v>72</v>
      </c>
      <c r="B25">
        <v>17721541.626102999</v>
      </c>
      <c r="C25">
        <v>17010349.613678299</v>
      </c>
      <c r="D25">
        <v>17801821.225794699</v>
      </c>
      <c r="E25">
        <v>17085811.9406377</v>
      </c>
      <c r="F25">
        <v>13639622.939309699</v>
      </c>
      <c r="G25">
        <v>3370726.67436866</v>
      </c>
      <c r="H25">
        <v>13715085.8961838</v>
      </c>
      <c r="I25">
        <v>3370726.0444539101</v>
      </c>
      <c r="J25">
        <v>293114.57253235299</v>
      </c>
      <c r="K25">
        <v>284321.13535638299</v>
      </c>
      <c r="L25">
        <v>2956400.0228753798</v>
      </c>
      <c r="M25">
        <v>2789712.7656023898</v>
      </c>
      <c r="N25">
        <v>2969779.8680809401</v>
      </c>
      <c r="O25">
        <v>2802289.8183087199</v>
      </c>
      <c r="P25">
        <v>48852.428755392197</v>
      </c>
      <c r="Q25">
        <v>47386.855892730498</v>
      </c>
    </row>
    <row r="26" spans="1:17" x14ac:dyDescent="0.2">
      <c r="A26">
        <v>73</v>
      </c>
      <c r="B26">
        <v>18867118.179572701</v>
      </c>
      <c r="C26">
        <v>18107416.900773101</v>
      </c>
      <c r="D26">
        <v>18954622.9758587</v>
      </c>
      <c r="E26">
        <v>18189670.8850879</v>
      </c>
      <c r="F26">
        <v>14468614.6599169</v>
      </c>
      <c r="G26">
        <v>3638802.2408561599</v>
      </c>
      <c r="H26">
        <v>14550869.3123987</v>
      </c>
      <c r="I26">
        <v>3638801.5726891598</v>
      </c>
      <c r="J26">
        <v>335637.64535016997</v>
      </c>
      <c r="K26">
        <v>325568.515989665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</row>
    <row r="27" spans="1:17" x14ac:dyDescent="0.2">
      <c r="A27">
        <v>74</v>
      </c>
      <c r="B27">
        <v>18791834.311946999</v>
      </c>
      <c r="C27">
        <v>18033060.118525501</v>
      </c>
      <c r="D27">
        <v>18879293.934585601</v>
      </c>
      <c r="E27">
        <v>18115271.642959598</v>
      </c>
      <c r="F27">
        <v>14349932.179829899</v>
      </c>
      <c r="G27">
        <v>3683127.93869555</v>
      </c>
      <c r="H27">
        <v>14432144.3608613</v>
      </c>
      <c r="I27">
        <v>3683127.28209827</v>
      </c>
      <c r="J27">
        <v>346101.43930067302</v>
      </c>
      <c r="K27">
        <v>335718.39612165297</v>
      </c>
      <c r="L27">
        <v>3134098.4506329801</v>
      </c>
      <c r="M27">
        <v>2956755.6375514199</v>
      </c>
      <c r="N27">
        <v>3148674.9620574699</v>
      </c>
      <c r="O27">
        <v>2970457.55643787</v>
      </c>
      <c r="P27">
        <v>57683.573216778801</v>
      </c>
      <c r="Q27">
        <v>55953.066020275503</v>
      </c>
    </row>
    <row r="28" spans="1:17" x14ac:dyDescent="0.2">
      <c r="A28">
        <v>75</v>
      </c>
      <c r="B28">
        <v>18960511.276294298</v>
      </c>
      <c r="C28">
        <v>18193170.311905999</v>
      </c>
      <c r="D28">
        <v>19049495.042004</v>
      </c>
      <c r="E28">
        <v>18276814.528814301</v>
      </c>
      <c r="F28">
        <v>14435371.178305101</v>
      </c>
      <c r="G28">
        <v>3757799.1336008599</v>
      </c>
      <c r="H28">
        <v>14519016.0460437</v>
      </c>
      <c r="I28">
        <v>3757798.4827705999</v>
      </c>
      <c r="J28">
        <v>374052.49424066301</v>
      </c>
      <c r="K28">
        <v>362830.91941344301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</row>
    <row r="29" spans="1:17" x14ac:dyDescent="0.2">
      <c r="A29">
        <v>76</v>
      </c>
      <c r="B29">
        <v>19212419.7101992</v>
      </c>
      <c r="C29">
        <v>18433588.291358501</v>
      </c>
      <c r="D29">
        <v>19303989.0855297</v>
      </c>
      <c r="E29">
        <v>18519662.976733498</v>
      </c>
      <c r="F29">
        <v>14578755.686251501</v>
      </c>
      <c r="G29">
        <v>3854832.6051070201</v>
      </c>
      <c r="H29">
        <v>14664831.0310484</v>
      </c>
      <c r="I29">
        <v>3854831.9456850602</v>
      </c>
      <c r="J29">
        <v>404303.736648191</v>
      </c>
      <c r="K29">
        <v>392174.62454874499</v>
      </c>
      <c r="L29">
        <v>3203371.8957226598</v>
      </c>
      <c r="M29">
        <v>3021561.6723451102</v>
      </c>
      <c r="N29">
        <v>3218633.3647607798</v>
      </c>
      <c r="O29">
        <v>3035907.4513946399</v>
      </c>
      <c r="P29">
        <v>67383.956108031794</v>
      </c>
      <c r="Q29">
        <v>65362.4374247909</v>
      </c>
    </row>
    <row r="30" spans="1:17" x14ac:dyDescent="0.2">
      <c r="A30">
        <v>77</v>
      </c>
      <c r="B30">
        <v>19431759.049718801</v>
      </c>
      <c r="C30">
        <v>18642544.3865976</v>
      </c>
      <c r="D30">
        <v>19526182.365150198</v>
      </c>
      <c r="E30">
        <v>18731301.771657899</v>
      </c>
      <c r="F30">
        <v>14740373.1287982</v>
      </c>
      <c r="G30">
        <v>3902171.2577993199</v>
      </c>
      <c r="H30">
        <v>14829131.1756186</v>
      </c>
      <c r="I30">
        <v>3902170.5960393199</v>
      </c>
      <c r="J30">
        <v>421502.707087674</v>
      </c>
      <c r="K30">
        <v>408857.62587504397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</row>
    <row r="31" spans="1:17" x14ac:dyDescent="0.2">
      <c r="A31">
        <v>78</v>
      </c>
      <c r="B31">
        <v>19733999.035000801</v>
      </c>
      <c r="C31">
        <v>18931088.7602139</v>
      </c>
      <c r="D31">
        <v>19831881.464575201</v>
      </c>
      <c r="E31">
        <v>19023097.705488801</v>
      </c>
      <c r="F31">
        <v>14932085.5434456</v>
      </c>
      <c r="G31">
        <v>3999003.21676833</v>
      </c>
      <c r="H31">
        <v>15024095.1564811</v>
      </c>
      <c r="I31">
        <v>3999002.5490077101</v>
      </c>
      <c r="J31">
        <v>448827.53302098199</v>
      </c>
      <c r="K31">
        <v>435362.70703035197</v>
      </c>
      <c r="L31">
        <v>3291679.1876332201</v>
      </c>
      <c r="M31">
        <v>3104657.2801148798</v>
      </c>
      <c r="N31">
        <v>3307992.8304124498</v>
      </c>
      <c r="O31">
        <v>3119992.10246041</v>
      </c>
      <c r="P31">
        <v>74804.588836830299</v>
      </c>
      <c r="Q31">
        <v>72560.451171725406</v>
      </c>
    </row>
    <row r="32" spans="1:17" x14ac:dyDescent="0.2">
      <c r="A32">
        <v>79</v>
      </c>
      <c r="B32">
        <v>19941289.0979366</v>
      </c>
      <c r="C32">
        <v>19129188.5487126</v>
      </c>
      <c r="D32">
        <v>20041364.931217</v>
      </c>
      <c r="E32">
        <v>19223259.2888018</v>
      </c>
      <c r="F32">
        <v>15052974.712920099</v>
      </c>
      <c r="G32">
        <v>4076213.8357925601</v>
      </c>
      <c r="H32">
        <v>15147046.1265598</v>
      </c>
      <c r="I32">
        <v>4076213.1622420698</v>
      </c>
      <c r="J32">
        <v>485488.29851974099</v>
      </c>
      <c r="K32">
        <v>470923.64956414897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</row>
    <row r="33" spans="1:17" x14ac:dyDescent="0.2">
      <c r="A33">
        <v>80</v>
      </c>
      <c r="B33">
        <v>20260177.8434726</v>
      </c>
      <c r="C33">
        <v>19433685.262738202</v>
      </c>
      <c r="D33">
        <v>20363025.037453</v>
      </c>
      <c r="E33">
        <v>19530361.0757933</v>
      </c>
      <c r="F33">
        <v>15258606.432219701</v>
      </c>
      <c r="G33">
        <v>4175078.8305184902</v>
      </c>
      <c r="H33">
        <v>15355282.924282899</v>
      </c>
      <c r="I33">
        <v>4175078.15151041</v>
      </c>
      <c r="J33">
        <v>517351.84798363398</v>
      </c>
      <c r="K33">
        <v>501831.292544125</v>
      </c>
      <c r="L33">
        <v>3378967.96185011</v>
      </c>
      <c r="M33">
        <v>3186558.5866173902</v>
      </c>
      <c r="N33">
        <v>3396109.0634556301</v>
      </c>
      <c r="O33">
        <v>3202671.2202438801</v>
      </c>
      <c r="P33">
        <v>86225.307997272394</v>
      </c>
      <c r="Q33">
        <v>83638.548757354205</v>
      </c>
    </row>
    <row r="34" spans="1:17" x14ac:dyDescent="0.2">
      <c r="A34">
        <v>81</v>
      </c>
      <c r="B34">
        <v>20463984.563508298</v>
      </c>
      <c r="C34">
        <v>19627911.848098699</v>
      </c>
      <c r="D34">
        <v>20568471.668317001</v>
      </c>
      <c r="E34">
        <v>19726129.173063301</v>
      </c>
      <c r="F34">
        <v>15357866.1350608</v>
      </c>
      <c r="G34">
        <v>4270045.71303799</v>
      </c>
      <c r="H34">
        <v>15456084.143777</v>
      </c>
      <c r="I34">
        <v>4270045.0292863697</v>
      </c>
      <c r="J34">
        <v>538596.41162432695</v>
      </c>
      <c r="K34">
        <v>522438.519275598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</row>
    <row r="35" spans="1:17" x14ac:dyDescent="0.2">
      <c r="A35">
        <v>82</v>
      </c>
      <c r="B35">
        <v>20557190.615814898</v>
      </c>
      <c r="C35">
        <v>19716326.177227501</v>
      </c>
      <c r="D35">
        <v>20661910.665504701</v>
      </c>
      <c r="E35">
        <v>19814762.467074201</v>
      </c>
      <c r="F35">
        <v>15381369.382472999</v>
      </c>
      <c r="G35">
        <v>4334956.7947544996</v>
      </c>
      <c r="H35">
        <v>15479806.3676848</v>
      </c>
      <c r="I35">
        <v>4334956.0993893696</v>
      </c>
      <c r="J35">
        <v>549725.53832040296</v>
      </c>
      <c r="K35">
        <v>533233.77217079105</v>
      </c>
      <c r="L35">
        <v>3427617.9613157599</v>
      </c>
      <c r="M35">
        <v>3231933.54851788</v>
      </c>
      <c r="N35">
        <v>3445071.20419638</v>
      </c>
      <c r="O35">
        <v>3248339.8837147201</v>
      </c>
      <c r="P35">
        <v>91620.923053400504</v>
      </c>
      <c r="Q35">
        <v>88872.295361798402</v>
      </c>
    </row>
    <row r="36" spans="1:17" x14ac:dyDescent="0.2">
      <c r="A36">
        <v>83</v>
      </c>
      <c r="B36">
        <v>20810459.286494698</v>
      </c>
      <c r="C36">
        <v>19957314.3086458</v>
      </c>
      <c r="D36">
        <v>20917305.8084841</v>
      </c>
      <c r="E36">
        <v>20057749.477934599</v>
      </c>
      <c r="F36">
        <v>15515205.6333897</v>
      </c>
      <c r="G36">
        <v>4442108.6752561796</v>
      </c>
      <c r="H36">
        <v>15615641.5102219</v>
      </c>
      <c r="I36">
        <v>4442107.9677127097</v>
      </c>
      <c r="J36">
        <v>584620.43685332104</v>
      </c>
      <c r="K36">
        <v>567081.82374772104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</row>
    <row r="37" spans="1:17" x14ac:dyDescent="0.2">
      <c r="A37">
        <v>84</v>
      </c>
      <c r="B37">
        <v>21015104.2907211</v>
      </c>
      <c r="C37">
        <v>20151796.013980798</v>
      </c>
      <c r="D37">
        <v>21123600.308573801</v>
      </c>
      <c r="E37">
        <v>20253781.706025399</v>
      </c>
      <c r="F37">
        <v>15609907.244881099</v>
      </c>
      <c r="G37">
        <v>4541888.76909969</v>
      </c>
      <c r="H37">
        <v>15711893.6497507</v>
      </c>
      <c r="I37">
        <v>4541888.0562746804</v>
      </c>
      <c r="J37">
        <v>596365.60392610903</v>
      </c>
      <c r="K37">
        <v>578474.63580832595</v>
      </c>
      <c r="L37">
        <v>3502042.7611312801</v>
      </c>
      <c r="M37">
        <v>3301271.7205821499</v>
      </c>
      <c r="N37">
        <v>3520125.33064273</v>
      </c>
      <c r="O37">
        <v>3318269.6267006602</v>
      </c>
      <c r="P37">
        <v>99394.267321018197</v>
      </c>
      <c r="Q37">
        <v>96412.439301387698</v>
      </c>
    </row>
    <row r="38" spans="1:17" x14ac:dyDescent="0.2">
      <c r="A38">
        <v>85</v>
      </c>
      <c r="B38">
        <v>21286828.729294602</v>
      </c>
      <c r="C38">
        <v>20410648.428524502</v>
      </c>
      <c r="D38">
        <v>21398311.550391302</v>
      </c>
      <c r="E38">
        <v>20515444.842713501</v>
      </c>
      <c r="F38">
        <v>15751012.4959416</v>
      </c>
      <c r="G38">
        <v>4659635.9325829502</v>
      </c>
      <c r="H38">
        <v>15855809.628426701</v>
      </c>
      <c r="I38">
        <v>4659635.2142867502</v>
      </c>
      <c r="J38">
        <v>606986.73317370506</v>
      </c>
      <c r="K38">
        <v>588777.13117849396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</row>
    <row r="39" spans="1:17" x14ac:dyDescent="0.2">
      <c r="A39">
        <v>86</v>
      </c>
      <c r="B39">
        <v>21544097.9473546</v>
      </c>
      <c r="C39">
        <v>20655303.576833501</v>
      </c>
      <c r="D39">
        <v>21656601.482275698</v>
      </c>
      <c r="E39">
        <v>20761059.4775309</v>
      </c>
      <c r="F39">
        <v>15895064.4088943</v>
      </c>
      <c r="G39">
        <v>4760239.1679392802</v>
      </c>
      <c r="H39">
        <v>16000821.016274501</v>
      </c>
      <c r="I39">
        <v>4760238.46125641</v>
      </c>
      <c r="J39">
        <v>629788.05199779395</v>
      </c>
      <c r="K39">
        <v>610894.41043785994</v>
      </c>
      <c r="L39">
        <v>3590037.8554589599</v>
      </c>
      <c r="M39">
        <v>3383653.0341099901</v>
      </c>
      <c r="N39">
        <v>3608788.9016819</v>
      </c>
      <c r="O39">
        <v>3401279.31238181</v>
      </c>
      <c r="P39">
        <v>104964.675332966</v>
      </c>
      <c r="Q39">
        <v>101815.735072977</v>
      </c>
    </row>
    <row r="40" spans="1:17" x14ac:dyDescent="0.2">
      <c r="A40">
        <v>87</v>
      </c>
      <c r="B40">
        <v>21796973.8346023</v>
      </c>
      <c r="C40">
        <v>20896441.927469101</v>
      </c>
      <c r="D40">
        <v>21911227.799729899</v>
      </c>
      <c r="E40">
        <v>21003843.252186399</v>
      </c>
      <c r="F40">
        <v>16062703.208058201</v>
      </c>
      <c r="G40">
        <v>4833738.7194108302</v>
      </c>
      <c r="H40">
        <v>16170105.243171699</v>
      </c>
      <c r="I40">
        <v>4833738.0090146903</v>
      </c>
      <c r="J40">
        <v>655324.70402167097</v>
      </c>
      <c r="K40">
        <v>635664.962901021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</row>
    <row r="41" spans="1:17" x14ac:dyDescent="0.2">
      <c r="A41">
        <v>88</v>
      </c>
      <c r="B41">
        <v>22043354.9964302</v>
      </c>
      <c r="C41">
        <v>21131243.747006699</v>
      </c>
      <c r="D41">
        <v>22159999.028724</v>
      </c>
      <c r="E41">
        <v>21240891.7500691</v>
      </c>
      <c r="F41">
        <v>16213985.8520349</v>
      </c>
      <c r="G41">
        <v>4917257.8949718196</v>
      </c>
      <c r="H41">
        <v>16323634.5658744</v>
      </c>
      <c r="I41">
        <v>4917257.1841947204</v>
      </c>
      <c r="J41">
        <v>734531.64709867898</v>
      </c>
      <c r="K41">
        <v>712495.69768571795</v>
      </c>
      <c r="L41">
        <v>3672876.6658755899</v>
      </c>
      <c r="M41">
        <v>3461764.9294068799</v>
      </c>
      <c r="N41">
        <v>3692317.8011703398</v>
      </c>
      <c r="O41">
        <v>3480040.1832602001</v>
      </c>
      <c r="P41">
        <v>122421.941183113</v>
      </c>
      <c r="Q41">
        <v>118749.28294762</v>
      </c>
    </row>
    <row r="42" spans="1:17" x14ac:dyDescent="0.2">
      <c r="A42">
        <v>89</v>
      </c>
      <c r="B42">
        <v>22306538.296265598</v>
      </c>
      <c r="C42">
        <v>21382086.954460301</v>
      </c>
      <c r="D42">
        <v>22423723.614500601</v>
      </c>
      <c r="E42">
        <v>21492243.786038999</v>
      </c>
      <c r="F42">
        <v>16364072.2816412</v>
      </c>
      <c r="G42">
        <v>5018014.6728190696</v>
      </c>
      <c r="H42">
        <v>16474229.8297868</v>
      </c>
      <c r="I42">
        <v>5018013.95625214</v>
      </c>
      <c r="J42">
        <v>808276.059782258</v>
      </c>
      <c r="K42">
        <v>784027.77798878995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</row>
    <row r="43" spans="1:17" x14ac:dyDescent="0.2">
      <c r="A43">
        <v>90</v>
      </c>
      <c r="B43">
        <v>22507789.389712598</v>
      </c>
      <c r="C43">
        <v>21574587.6979784</v>
      </c>
      <c r="D43">
        <v>22626038.6578083</v>
      </c>
      <c r="E43">
        <v>21685744.658073999</v>
      </c>
      <c r="F43">
        <v>16418690.746793799</v>
      </c>
      <c r="G43">
        <v>5155896.9511846099</v>
      </c>
      <c r="H43">
        <v>16529848.402314199</v>
      </c>
      <c r="I43">
        <v>5155896.2557597496</v>
      </c>
      <c r="J43">
        <v>892994.28972242901</v>
      </c>
      <c r="K43">
        <v>866204.46103075705</v>
      </c>
      <c r="L43">
        <v>3750769.6570207998</v>
      </c>
      <c r="M43">
        <v>3535919.3448208701</v>
      </c>
      <c r="N43">
        <v>3770478.3378888099</v>
      </c>
      <c r="O43">
        <v>3554446.1311156</v>
      </c>
      <c r="P43">
        <v>148832.38162040501</v>
      </c>
      <c r="Q43">
        <v>144367.41017179299</v>
      </c>
    </row>
    <row r="44" spans="1:17" x14ac:dyDescent="0.2">
      <c r="A44">
        <v>91</v>
      </c>
      <c r="B44">
        <v>22763782.037076</v>
      </c>
      <c r="C44">
        <v>21818554.862076599</v>
      </c>
      <c r="D44">
        <v>22882679.804778598</v>
      </c>
      <c r="E44">
        <v>21930321.429315299</v>
      </c>
      <c r="F44">
        <v>16563972.4320285</v>
      </c>
      <c r="G44">
        <v>5254582.4300481798</v>
      </c>
      <c r="H44">
        <v>16675739.699418301</v>
      </c>
      <c r="I44">
        <v>5254581.7298970204</v>
      </c>
      <c r="J44">
        <v>972291.17144343199</v>
      </c>
      <c r="K44">
        <v>943122.43630012998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</row>
    <row r="45" spans="1:17" x14ac:dyDescent="0.2">
      <c r="A45">
        <v>92</v>
      </c>
      <c r="B45">
        <v>22975211.328310098</v>
      </c>
      <c r="C45">
        <v>22019895.920752902</v>
      </c>
      <c r="D45">
        <v>23095622.6511386</v>
      </c>
      <c r="E45">
        <v>22133085.2332028</v>
      </c>
      <c r="F45">
        <v>16696683.932242</v>
      </c>
      <c r="G45">
        <v>5323211.9885108899</v>
      </c>
      <c r="H45">
        <v>16809873.943527099</v>
      </c>
      <c r="I45">
        <v>5323211.28967572</v>
      </c>
      <c r="J45">
        <v>1055874.2869128301</v>
      </c>
      <c r="K45">
        <v>1024198.05830544</v>
      </c>
      <c r="L45">
        <v>3828392.6576954699</v>
      </c>
      <c r="M45">
        <v>3609614.2715461501</v>
      </c>
      <c r="N45">
        <v>3848461.6847255901</v>
      </c>
      <c r="O45">
        <v>3628479.7881713999</v>
      </c>
      <c r="P45">
        <v>175979.047818805</v>
      </c>
      <c r="Q45">
        <v>170699.67638424001</v>
      </c>
    </row>
    <row r="46" spans="1:17" x14ac:dyDescent="0.2">
      <c r="A46">
        <v>93</v>
      </c>
      <c r="B46">
        <v>23159183.283691499</v>
      </c>
      <c r="C46">
        <v>22195389.4323898</v>
      </c>
      <c r="D46">
        <v>23280503.869455598</v>
      </c>
      <c r="E46">
        <v>22309433.455461401</v>
      </c>
      <c r="F46">
        <v>16830900.856501501</v>
      </c>
      <c r="G46">
        <v>5364488.5758883404</v>
      </c>
      <c r="H46">
        <v>16944945.573571201</v>
      </c>
      <c r="I46">
        <v>5364487.8818901703</v>
      </c>
      <c r="J46">
        <v>1169867.21298051</v>
      </c>
      <c r="K46">
        <v>1134771.1965911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</row>
    <row r="47" spans="1:17" x14ac:dyDescent="0.2">
      <c r="A47">
        <v>94</v>
      </c>
      <c r="B47">
        <v>23310610.609314099</v>
      </c>
      <c r="C47">
        <v>22338712.2705734</v>
      </c>
      <c r="D47">
        <v>23432959.9812687</v>
      </c>
      <c r="E47">
        <v>22453723.356433701</v>
      </c>
      <c r="F47">
        <v>16919414.488970201</v>
      </c>
      <c r="G47">
        <v>5419297.7816031901</v>
      </c>
      <c r="H47">
        <v>17034426.250452001</v>
      </c>
      <c r="I47">
        <v>5419297.1059817402</v>
      </c>
      <c r="J47">
        <v>1260098.79783474</v>
      </c>
      <c r="K47">
        <v>1222295.8338997001</v>
      </c>
      <c r="L47">
        <v>3884441.9246145599</v>
      </c>
      <c r="M47">
        <v>3663390.7649478898</v>
      </c>
      <c r="N47">
        <v>3904833.9611146101</v>
      </c>
      <c r="O47">
        <v>3682559.91214205</v>
      </c>
      <c r="P47">
        <v>210016.46630579</v>
      </c>
      <c r="Q47">
        <v>203715.97231661601</v>
      </c>
    </row>
    <row r="48" spans="1:17" x14ac:dyDescent="0.2">
      <c r="A48">
        <v>95</v>
      </c>
      <c r="B48">
        <v>23432377.280393299</v>
      </c>
      <c r="C48">
        <v>22454467.569346499</v>
      </c>
      <c r="D48">
        <v>23554449.065518301</v>
      </c>
      <c r="E48">
        <v>22569217.726807401</v>
      </c>
      <c r="F48">
        <v>16973771.437277898</v>
      </c>
      <c r="G48">
        <v>5480696.1320686303</v>
      </c>
      <c r="H48">
        <v>17088522.275092602</v>
      </c>
      <c r="I48">
        <v>5480695.4517147504</v>
      </c>
      <c r="J48">
        <v>1310620.03445324</v>
      </c>
      <c r="K48">
        <v>1271301.4334196399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</row>
    <row r="49" spans="1:17" x14ac:dyDescent="0.2">
      <c r="A49">
        <v>96</v>
      </c>
      <c r="B49">
        <v>23635301.2548602</v>
      </c>
      <c r="C49">
        <v>22646747.941031199</v>
      </c>
      <c r="D49">
        <v>23759343.6677811</v>
      </c>
      <c r="E49">
        <v>22763350.664732501</v>
      </c>
      <c r="F49">
        <v>17070753.351276301</v>
      </c>
      <c r="G49">
        <v>5575994.58975494</v>
      </c>
      <c r="H49">
        <v>17187356.738486499</v>
      </c>
      <c r="I49">
        <v>5575993.9262460005</v>
      </c>
      <c r="J49">
        <v>1348621.53800623</v>
      </c>
      <c r="K49">
        <v>1308162.89186604</v>
      </c>
      <c r="L49">
        <v>3938095.4823203199</v>
      </c>
      <c r="M49">
        <v>3714287.2802706799</v>
      </c>
      <c r="N49">
        <v>3958769.7241113302</v>
      </c>
      <c r="O49">
        <v>3733721.8466514</v>
      </c>
      <c r="P49">
        <v>224770.25633437201</v>
      </c>
      <c r="Q49">
        <v>218027.14864434101</v>
      </c>
    </row>
    <row r="50" spans="1:17" x14ac:dyDescent="0.2">
      <c r="A50">
        <v>97</v>
      </c>
      <c r="B50">
        <v>23761616.0941131</v>
      </c>
      <c r="C50">
        <v>22767721.4139449</v>
      </c>
      <c r="D50">
        <v>23883320.5365423</v>
      </c>
      <c r="E50">
        <v>22882126.448842902</v>
      </c>
      <c r="F50">
        <v>17106740.7928323</v>
      </c>
      <c r="G50">
        <v>5660980.6211125897</v>
      </c>
      <c r="H50">
        <v>17221146.492042899</v>
      </c>
      <c r="I50">
        <v>5660979.95679993</v>
      </c>
      <c r="J50">
        <v>1432634.9366069001</v>
      </c>
      <c r="K50">
        <v>1389655.8885086901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</row>
    <row r="51" spans="1:17" x14ac:dyDescent="0.2">
      <c r="A51">
        <v>98</v>
      </c>
      <c r="B51">
        <v>23841187.562000599</v>
      </c>
      <c r="C51">
        <v>22842862.773061801</v>
      </c>
      <c r="D51">
        <v>23964384.826360501</v>
      </c>
      <c r="E51">
        <v>22958671.175985102</v>
      </c>
      <c r="F51">
        <v>17143934.6044732</v>
      </c>
      <c r="G51">
        <v>5698928.1685885703</v>
      </c>
      <c r="H51">
        <v>17259743.672510602</v>
      </c>
      <c r="I51">
        <v>5698927.50347446</v>
      </c>
      <c r="J51">
        <v>1486197.5409253701</v>
      </c>
      <c r="K51">
        <v>1441611.61469761</v>
      </c>
      <c r="L51">
        <v>3972098.41301416</v>
      </c>
      <c r="M51">
        <v>3746853.8113264199</v>
      </c>
      <c r="N51">
        <v>3992631.8177878</v>
      </c>
      <c r="O51">
        <v>3766155.9927956201</v>
      </c>
      <c r="P51">
        <v>247699.590154228</v>
      </c>
      <c r="Q51">
        <v>240268.60244960099</v>
      </c>
    </row>
    <row r="52" spans="1:17" x14ac:dyDescent="0.2">
      <c r="A52">
        <v>99</v>
      </c>
      <c r="B52">
        <v>24006208.880623899</v>
      </c>
      <c r="C52">
        <v>22999055.437180899</v>
      </c>
      <c r="D52">
        <v>24131216.397188298</v>
      </c>
      <c r="E52">
        <v>23116565.481896002</v>
      </c>
      <c r="F52">
        <v>17259316.395111401</v>
      </c>
      <c r="G52">
        <v>5739739.0420695096</v>
      </c>
      <c r="H52">
        <v>17376827.0880123</v>
      </c>
      <c r="I52">
        <v>5739738.39388368</v>
      </c>
      <c r="J52">
        <v>1551161.1287070401</v>
      </c>
      <c r="K52">
        <v>1504626.29484583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</row>
    <row r="53" spans="1:17" x14ac:dyDescent="0.2">
      <c r="A53">
        <v>100</v>
      </c>
      <c r="B53">
        <v>24222958.067968398</v>
      </c>
      <c r="C53">
        <v>23205650.131103698</v>
      </c>
      <c r="D53">
        <v>24349429.415578902</v>
      </c>
      <c r="E53">
        <v>23324535.874608599</v>
      </c>
      <c r="F53">
        <v>17441101.401687101</v>
      </c>
      <c r="G53">
        <v>5764548.7294165902</v>
      </c>
      <c r="H53">
        <v>17559987.760046002</v>
      </c>
      <c r="I53">
        <v>5764548.1145626102</v>
      </c>
      <c r="J53">
        <v>1647750.5481465501</v>
      </c>
      <c r="K53">
        <v>1598318.0317021499</v>
      </c>
      <c r="L53">
        <v>4034975.6966086901</v>
      </c>
      <c r="M53">
        <v>3806328.3544290299</v>
      </c>
      <c r="N53">
        <v>4056054.72914503</v>
      </c>
      <c r="O53">
        <v>3826143.42824808</v>
      </c>
      <c r="P53">
        <v>274625.09135775798</v>
      </c>
      <c r="Q53">
        <v>266386.338617025</v>
      </c>
    </row>
    <row r="54" spans="1:17" x14ac:dyDescent="0.2">
      <c r="A54">
        <v>101</v>
      </c>
      <c r="B54">
        <v>24354114.6434776</v>
      </c>
      <c r="C54">
        <v>23330156.581886102</v>
      </c>
      <c r="D54">
        <v>24482636.156457301</v>
      </c>
      <c r="E54">
        <v>23450969.483687401</v>
      </c>
      <c r="F54">
        <v>17549471.871862002</v>
      </c>
      <c r="G54">
        <v>5780684.7100240896</v>
      </c>
      <c r="H54">
        <v>17670285.400293201</v>
      </c>
      <c r="I54">
        <v>5780684.0833941996</v>
      </c>
      <c r="J54">
        <v>1708079.8096865099</v>
      </c>
      <c r="K54">
        <v>1656837.4153959099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</row>
    <row r="55" spans="1:17" x14ac:dyDescent="0.2">
      <c r="A55">
        <v>102</v>
      </c>
      <c r="B55">
        <v>24543218.985297602</v>
      </c>
      <c r="C55">
        <v>23509892.401125699</v>
      </c>
      <c r="D55">
        <v>24672645.728188999</v>
      </c>
      <c r="E55">
        <v>23631555.2001906</v>
      </c>
      <c r="F55">
        <v>17639126.860955901</v>
      </c>
      <c r="G55">
        <v>5870765.5401697997</v>
      </c>
      <c r="H55">
        <v>17760790.285539199</v>
      </c>
      <c r="I55">
        <v>5870764.9146514796</v>
      </c>
      <c r="J55">
        <v>1799458.32060399</v>
      </c>
      <c r="K55">
        <v>1745474.57098587</v>
      </c>
      <c r="L55">
        <v>4087529.29584774</v>
      </c>
      <c r="M55">
        <v>3856178.6453907001</v>
      </c>
      <c r="N55">
        <v>4109100.7141216602</v>
      </c>
      <c r="O55">
        <v>3876456.9854042102</v>
      </c>
      <c r="P55">
        <v>299909.72010066599</v>
      </c>
      <c r="Q55">
        <v>290912.428497646</v>
      </c>
    </row>
    <row r="56" spans="1:17" x14ac:dyDescent="0.2">
      <c r="A56">
        <v>103</v>
      </c>
      <c r="B56">
        <v>24661232.156469099</v>
      </c>
      <c r="C56">
        <v>23621780.3395271</v>
      </c>
      <c r="D56">
        <v>24789429.620689798</v>
      </c>
      <c r="E56">
        <v>23742287.8350816</v>
      </c>
      <c r="F56">
        <v>17714535.154642198</v>
      </c>
      <c r="G56">
        <v>5907245.1848848602</v>
      </c>
      <c r="H56">
        <v>17835043.276454799</v>
      </c>
      <c r="I56">
        <v>5907244.5586267598</v>
      </c>
      <c r="J56">
        <v>1868123.3123693699</v>
      </c>
      <c r="K56">
        <v>1812079.61299829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</row>
    <row r="57" spans="1:17" x14ac:dyDescent="0.2">
      <c r="A57">
        <v>104</v>
      </c>
      <c r="B57">
        <v>24796889.813506</v>
      </c>
      <c r="C57">
        <v>23750110.4583533</v>
      </c>
      <c r="D57">
        <v>24926280.633152898</v>
      </c>
      <c r="E57">
        <v>23871739.7100803</v>
      </c>
      <c r="F57">
        <v>17796945.467006098</v>
      </c>
      <c r="G57">
        <v>5953164.9913472198</v>
      </c>
      <c r="H57">
        <v>17918575.341551699</v>
      </c>
      <c r="I57">
        <v>5953164.3685286297</v>
      </c>
      <c r="J57">
        <v>1958027.9803096501</v>
      </c>
      <c r="K57">
        <v>1899287.14090036</v>
      </c>
      <c r="L57">
        <v>4127887.6755924299</v>
      </c>
      <c r="M57">
        <v>3893990.6915330202</v>
      </c>
      <c r="N57">
        <v>4149453.1457567899</v>
      </c>
      <c r="O57">
        <v>3914263.8681044499</v>
      </c>
      <c r="P57">
        <v>326337.99671827501</v>
      </c>
      <c r="Q57">
        <v>316547.85681672703</v>
      </c>
    </row>
    <row r="58" spans="1:17" x14ac:dyDescent="0.2">
      <c r="A58">
        <v>105</v>
      </c>
      <c r="B58">
        <v>24895836.903232399</v>
      </c>
      <c r="C58">
        <v>23844456.476373799</v>
      </c>
      <c r="D58">
        <v>25025589.423394099</v>
      </c>
      <c r="E58">
        <v>23966425.728481598</v>
      </c>
      <c r="F58">
        <v>17839189.955627099</v>
      </c>
      <c r="G58">
        <v>6005266.5207466204</v>
      </c>
      <c r="H58">
        <v>17961159.8312844</v>
      </c>
      <c r="I58">
        <v>6005265.8971972102</v>
      </c>
      <c r="J58">
        <v>2047630.19892191</v>
      </c>
      <c r="K58">
        <v>1986201.29295425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</row>
    <row r="59" spans="1:17" x14ac:dyDescent="0.2">
      <c r="A59">
        <v>106</v>
      </c>
      <c r="B59">
        <v>25041147.5294431</v>
      </c>
      <c r="C59">
        <v>23983017.5440933</v>
      </c>
      <c r="D59">
        <v>25170413.766552102</v>
      </c>
      <c r="E59">
        <v>24104529.6923532</v>
      </c>
      <c r="F59">
        <v>17937740.063971899</v>
      </c>
      <c r="G59">
        <v>6045277.4801214701</v>
      </c>
      <c r="H59">
        <v>18059252.836283799</v>
      </c>
      <c r="I59">
        <v>6045276.8560693804</v>
      </c>
      <c r="J59">
        <v>2121586.7949241898</v>
      </c>
      <c r="K59">
        <v>2057939.1910764701</v>
      </c>
      <c r="L59">
        <v>4167659.6883296599</v>
      </c>
      <c r="M59">
        <v>3931823.5393906999</v>
      </c>
      <c r="N59">
        <v>4189204.39546793</v>
      </c>
      <c r="O59">
        <v>3952077.2095406102</v>
      </c>
      <c r="P59">
        <v>353597.79915403202</v>
      </c>
      <c r="Q59">
        <v>342989.86517941102</v>
      </c>
    </row>
    <row r="60" spans="1:17" x14ac:dyDescent="0.2">
      <c r="A60">
        <v>107</v>
      </c>
      <c r="B60">
        <v>25184147.485617101</v>
      </c>
      <c r="C60">
        <v>24118775.106362801</v>
      </c>
      <c r="D60">
        <v>25314451.147903599</v>
      </c>
      <c r="E60">
        <v>24241262.436462998</v>
      </c>
      <c r="F60">
        <v>17991591.997114498</v>
      </c>
      <c r="G60">
        <v>6127183.1092482796</v>
      </c>
      <c r="H60">
        <v>18114079.941969998</v>
      </c>
      <c r="I60">
        <v>6127182.4944930999</v>
      </c>
      <c r="J60">
        <v>2195172.89725486</v>
      </c>
      <c r="K60">
        <v>2129317.71033721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</row>
    <row r="61" spans="1:17" x14ac:dyDescent="0.2">
      <c r="A61">
        <v>108</v>
      </c>
      <c r="B61">
        <v>25278962.7190695</v>
      </c>
      <c r="C61">
        <v>24208898.327123199</v>
      </c>
      <c r="D61">
        <v>25409792.218893901</v>
      </c>
      <c r="E61">
        <v>24331879.946877599</v>
      </c>
      <c r="F61">
        <v>18047304.598357201</v>
      </c>
      <c r="G61">
        <v>6161593.7287659897</v>
      </c>
      <c r="H61">
        <v>18170286.827780701</v>
      </c>
      <c r="I61">
        <v>6161593.1190969096</v>
      </c>
      <c r="J61">
        <v>2276597.2448859802</v>
      </c>
      <c r="K61">
        <v>2208299.3275394002</v>
      </c>
      <c r="L61">
        <v>4206875.9899849202</v>
      </c>
      <c r="M61">
        <v>3969263.5743820602</v>
      </c>
      <c r="N61">
        <v>4228681.2417144403</v>
      </c>
      <c r="O61">
        <v>3989762.3211674001</v>
      </c>
      <c r="P61">
        <v>379432.874147664</v>
      </c>
      <c r="Q61">
        <v>368049.88792323403</v>
      </c>
    </row>
    <row r="62" spans="1:17" x14ac:dyDescent="0.2">
      <c r="A62">
        <v>109</v>
      </c>
      <c r="B62">
        <v>25403878.302157499</v>
      </c>
      <c r="C62">
        <v>24327646.995393898</v>
      </c>
      <c r="D62">
        <v>25534525.319667298</v>
      </c>
      <c r="E62">
        <v>24450457.084004998</v>
      </c>
      <c r="F62">
        <v>18120161.240090199</v>
      </c>
      <c r="G62">
        <v>6207485.7553036697</v>
      </c>
      <c r="H62">
        <v>18242971.937495101</v>
      </c>
      <c r="I62">
        <v>6207485.1465098904</v>
      </c>
      <c r="J62">
        <v>2371256.2944609001</v>
      </c>
      <c r="K62">
        <v>2300118.60562708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</row>
    <row r="63" spans="1:17" x14ac:dyDescent="0.2">
      <c r="A63">
        <v>110</v>
      </c>
      <c r="B63">
        <v>25681289.381333899</v>
      </c>
      <c r="C63">
        <v>24591680.197232999</v>
      </c>
      <c r="D63">
        <v>25813554.214969799</v>
      </c>
      <c r="E63">
        <v>24716011.034930699</v>
      </c>
      <c r="F63">
        <v>18305064.704812001</v>
      </c>
      <c r="G63">
        <v>6286615.4924209798</v>
      </c>
      <c r="H63">
        <v>18429396.161399301</v>
      </c>
      <c r="I63">
        <v>6286614.8735313797</v>
      </c>
      <c r="J63">
        <v>2453367.9969516499</v>
      </c>
      <c r="K63">
        <v>2379766.9570431001</v>
      </c>
      <c r="L63">
        <v>4273221.3375081997</v>
      </c>
      <c r="M63">
        <v>4032126.7486684602</v>
      </c>
      <c r="N63">
        <v>4295265.81227729</v>
      </c>
      <c r="O63">
        <v>4052850.3692535702</v>
      </c>
      <c r="P63">
        <v>408894.66615860799</v>
      </c>
      <c r="Q63">
        <v>396627.82617384999</v>
      </c>
    </row>
    <row r="64" spans="1:17" x14ac:dyDescent="0.2">
      <c r="A64">
        <v>111</v>
      </c>
      <c r="B64">
        <v>25806538.182902101</v>
      </c>
      <c r="C64">
        <v>24710282.592584699</v>
      </c>
      <c r="D64">
        <v>25938821.3400722</v>
      </c>
      <c r="E64">
        <v>24834630.656576101</v>
      </c>
      <c r="F64">
        <v>18417254.538471501</v>
      </c>
      <c r="G64">
        <v>6293028.0541131599</v>
      </c>
      <c r="H64">
        <v>18541603.207125999</v>
      </c>
      <c r="I64">
        <v>6293027.4494500598</v>
      </c>
      <c r="J64">
        <v>2502326.9525399399</v>
      </c>
      <c r="K64">
        <v>2427257.1439637402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</row>
    <row r="65" spans="1:17" x14ac:dyDescent="0.2">
      <c r="A65">
        <v>112</v>
      </c>
      <c r="B65">
        <v>25902428.333415799</v>
      </c>
      <c r="C65">
        <v>24801129.608852301</v>
      </c>
      <c r="D65">
        <v>26034868.6207949</v>
      </c>
      <c r="E65">
        <v>24925625.377405901</v>
      </c>
      <c r="F65">
        <v>18497718.593396399</v>
      </c>
      <c r="G65">
        <v>6303411.01545591</v>
      </c>
      <c r="H65">
        <v>18622214.961570401</v>
      </c>
      <c r="I65">
        <v>6303410.4158356003</v>
      </c>
      <c r="J65">
        <v>2560930.1268724799</v>
      </c>
      <c r="K65">
        <v>2484102.2230663099</v>
      </c>
      <c r="L65">
        <v>4309716.6403983198</v>
      </c>
      <c r="M65">
        <v>4066901.2586954501</v>
      </c>
      <c r="N65">
        <v>4331790.3582269801</v>
      </c>
      <c r="O65">
        <v>4087651.9771998599</v>
      </c>
      <c r="P65">
        <v>426821.68781208002</v>
      </c>
      <c r="Q65">
        <v>414017.03717771801</v>
      </c>
    </row>
    <row r="66" spans="1:17" x14ac:dyDescent="0.2">
      <c r="A66">
        <v>113</v>
      </c>
      <c r="B66">
        <v>26034833.2603065</v>
      </c>
      <c r="C66">
        <v>24926707.580044001</v>
      </c>
      <c r="D66">
        <v>26167363.660992</v>
      </c>
      <c r="E66">
        <v>25051288.101398502</v>
      </c>
      <c r="F66">
        <v>18583165.477649398</v>
      </c>
      <c r="G66">
        <v>6343542.1023945203</v>
      </c>
      <c r="H66">
        <v>18707746.596111201</v>
      </c>
      <c r="I66">
        <v>6343541.5052872803</v>
      </c>
      <c r="J66">
        <v>2662539.25381624</v>
      </c>
      <c r="K66">
        <v>2582663.07620175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</row>
    <row r="67" spans="1:17" x14ac:dyDescent="0.2">
      <c r="A67">
        <v>114</v>
      </c>
      <c r="B67">
        <v>26071989.152717799</v>
      </c>
      <c r="C67">
        <v>24961941.3435486</v>
      </c>
      <c r="D67">
        <v>26205394.096416</v>
      </c>
      <c r="E67">
        <v>25087343.941112701</v>
      </c>
      <c r="F67">
        <v>18602175.1237715</v>
      </c>
      <c r="G67">
        <v>6359766.2197771799</v>
      </c>
      <c r="H67">
        <v>18727578.2761942</v>
      </c>
      <c r="I67">
        <v>6359765.6649185903</v>
      </c>
      <c r="J67">
        <v>2723393.19371751</v>
      </c>
      <c r="K67">
        <v>2641691.3979059798</v>
      </c>
      <c r="L67">
        <v>4337756.2173889996</v>
      </c>
      <c r="M67">
        <v>4093783.87703051</v>
      </c>
      <c r="N67">
        <v>4359990.7205032101</v>
      </c>
      <c r="O67">
        <v>4114685.73757052</v>
      </c>
      <c r="P67">
        <v>453898.86561958498</v>
      </c>
      <c r="Q67">
        <v>440281.89965099702</v>
      </c>
    </row>
    <row r="68" spans="1:17" x14ac:dyDescent="0.2">
      <c r="A68">
        <v>115</v>
      </c>
      <c r="B68">
        <v>26215885.8043782</v>
      </c>
      <c r="C68">
        <v>25098925.4755929</v>
      </c>
      <c r="D68">
        <v>26349731.2081386</v>
      </c>
      <c r="E68">
        <v>25224742.107818101</v>
      </c>
      <c r="F68">
        <v>18741158.957563501</v>
      </c>
      <c r="G68">
        <v>6357766.5180294402</v>
      </c>
      <c r="H68">
        <v>18866976.145273801</v>
      </c>
      <c r="I68">
        <v>6357765.9625442801</v>
      </c>
      <c r="J68">
        <v>2786399.25736165</v>
      </c>
      <c r="K68">
        <v>2702807.2796407999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</row>
    <row r="69" spans="1:17" x14ac:dyDescent="0.2">
      <c r="A69">
        <v>116</v>
      </c>
      <c r="B69">
        <v>26311676.014848001</v>
      </c>
      <c r="C69">
        <v>25190674.3781882</v>
      </c>
      <c r="D69">
        <v>26446148.2769759</v>
      </c>
      <c r="E69">
        <v>25317080.259638902</v>
      </c>
      <c r="F69">
        <v>18817003.792113099</v>
      </c>
      <c r="G69">
        <v>6373670.5860750703</v>
      </c>
      <c r="H69">
        <v>18943410.241659101</v>
      </c>
      <c r="I69">
        <v>6373670.0179797402</v>
      </c>
      <c r="J69">
        <v>2830209.9698123401</v>
      </c>
      <c r="K69">
        <v>2745303.67071797</v>
      </c>
      <c r="L69">
        <v>4377381.24565796</v>
      </c>
      <c r="M69">
        <v>4131414.2871427899</v>
      </c>
      <c r="N69">
        <v>4399793.6359861</v>
      </c>
      <c r="O69">
        <v>4152483.36491202</v>
      </c>
      <c r="P69">
        <v>471701.66163539002</v>
      </c>
      <c r="Q69">
        <v>457550.61178632802</v>
      </c>
    </row>
    <row r="70" spans="1:17" x14ac:dyDescent="0.2">
      <c r="A70">
        <v>117</v>
      </c>
      <c r="B70">
        <v>26509765.163226299</v>
      </c>
      <c r="C70">
        <v>25379865.755807001</v>
      </c>
      <c r="D70">
        <v>26644713.7349131</v>
      </c>
      <c r="E70">
        <v>25506719.3704344</v>
      </c>
      <c r="F70">
        <v>18985327.108320501</v>
      </c>
      <c r="G70">
        <v>6394538.6474865498</v>
      </c>
      <c r="H70">
        <v>19112181.2916799</v>
      </c>
      <c r="I70">
        <v>6394538.0787545098</v>
      </c>
      <c r="J70">
        <v>2852717.6126502901</v>
      </c>
      <c r="K70">
        <v>2767136.08427078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</row>
    <row r="71" spans="1:17" x14ac:dyDescent="0.2">
      <c r="A71">
        <v>118</v>
      </c>
      <c r="B71">
        <v>26644249.289166801</v>
      </c>
      <c r="C71">
        <v>25506750.448721401</v>
      </c>
      <c r="D71">
        <v>26779253.192681901</v>
      </c>
      <c r="E71">
        <v>25633656.077452902</v>
      </c>
      <c r="F71">
        <v>19076076.0092838</v>
      </c>
      <c r="G71">
        <v>6430674.4394376101</v>
      </c>
      <c r="H71">
        <v>19202982.130651001</v>
      </c>
      <c r="I71">
        <v>6430673.9468018999</v>
      </c>
      <c r="J71">
        <v>2837322.9850769099</v>
      </c>
      <c r="K71">
        <v>2752203.2955246102</v>
      </c>
      <c r="L71">
        <v>4432315.5499962596</v>
      </c>
      <c r="M71">
        <v>4183005.3334032302</v>
      </c>
      <c r="N71">
        <v>4454816.5479982998</v>
      </c>
      <c r="O71">
        <v>4204157.7055891901</v>
      </c>
      <c r="P71">
        <v>472887.16417948599</v>
      </c>
      <c r="Q71">
        <v>458700.549254101</v>
      </c>
    </row>
    <row r="72" spans="1:17" x14ac:dyDescent="0.2">
      <c r="A72">
        <v>119</v>
      </c>
      <c r="B72">
        <v>26896885.108172201</v>
      </c>
      <c r="C72">
        <v>25747520.987423498</v>
      </c>
      <c r="D72">
        <v>27031945.262887798</v>
      </c>
      <c r="E72">
        <v>25874479.494445201</v>
      </c>
      <c r="F72">
        <v>19262681.716437101</v>
      </c>
      <c r="G72">
        <v>6484839.2709863503</v>
      </c>
      <c r="H72">
        <v>19389640.689560801</v>
      </c>
      <c r="I72">
        <v>6484838.8048843304</v>
      </c>
      <c r="J72">
        <v>2918636.8212544098</v>
      </c>
      <c r="K72">
        <v>2831077.7166167698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</row>
    <row r="73" spans="1:17" x14ac:dyDescent="0.2">
      <c r="A73">
        <v>120</v>
      </c>
      <c r="B73">
        <v>27075320.135464799</v>
      </c>
      <c r="C73">
        <v>25917511.413187299</v>
      </c>
      <c r="D73">
        <v>27211048.462668099</v>
      </c>
      <c r="E73">
        <v>26045097.996765502</v>
      </c>
      <c r="F73">
        <v>19389808.8961122</v>
      </c>
      <c r="G73">
        <v>6527702.5170751298</v>
      </c>
      <c r="H73">
        <v>19517395.944366299</v>
      </c>
      <c r="I73">
        <v>6527702.0523991203</v>
      </c>
      <c r="J73">
        <v>2979773.92343126</v>
      </c>
      <c r="K73">
        <v>2890380.7057283302</v>
      </c>
      <c r="L73">
        <v>4503788.95588776</v>
      </c>
      <c r="M73">
        <v>4250706.0306434296</v>
      </c>
      <c r="N73">
        <v>4526410.6905647498</v>
      </c>
      <c r="O73">
        <v>4271972.7411066499</v>
      </c>
      <c r="P73">
        <v>496628.98723854398</v>
      </c>
      <c r="Q73">
        <v>481730.117621388</v>
      </c>
    </row>
    <row r="74" spans="1:17" x14ac:dyDescent="0.2">
      <c r="A74">
        <v>121</v>
      </c>
      <c r="B74">
        <v>27155230.625769701</v>
      </c>
      <c r="C74">
        <v>25994078.991947901</v>
      </c>
      <c r="D74">
        <v>27288080.081207301</v>
      </c>
      <c r="E74">
        <v>26118959.438175499</v>
      </c>
      <c r="F74">
        <v>19421015.778223399</v>
      </c>
      <c r="G74">
        <v>6573063.2137244502</v>
      </c>
      <c r="H74">
        <v>19545896.689640202</v>
      </c>
      <c r="I74">
        <v>6573062.7485353099</v>
      </c>
      <c r="J74">
        <v>3036347.2839250001</v>
      </c>
      <c r="K74">
        <v>2945256.8654072499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</row>
    <row r="75" spans="1:17" x14ac:dyDescent="0.2">
      <c r="A75">
        <v>122</v>
      </c>
      <c r="B75">
        <v>27341991.218389999</v>
      </c>
      <c r="C75">
        <v>26172215.711872999</v>
      </c>
      <c r="D75">
        <v>27473516.8726005</v>
      </c>
      <c r="E75">
        <v>26295851.787101701</v>
      </c>
      <c r="F75">
        <v>19560153.607701</v>
      </c>
      <c r="G75">
        <v>6612062.10417201</v>
      </c>
      <c r="H75">
        <v>19683790.1486306</v>
      </c>
      <c r="I75">
        <v>6612061.6384710399</v>
      </c>
      <c r="J75">
        <v>3123365.9355945801</v>
      </c>
      <c r="K75">
        <v>3029664.9575267499</v>
      </c>
      <c r="L75">
        <v>4548299.6245975504</v>
      </c>
      <c r="M75">
        <v>4293139.7589839101</v>
      </c>
      <c r="N75">
        <v>4570220.9145317096</v>
      </c>
      <c r="O75">
        <v>4313748.05640902</v>
      </c>
      <c r="P75">
        <v>520560.98926576402</v>
      </c>
      <c r="Q75">
        <v>504944.15958779101</v>
      </c>
    </row>
    <row r="76" spans="1:17" x14ac:dyDescent="0.2">
      <c r="A76">
        <v>123</v>
      </c>
      <c r="B76">
        <v>27458403.326346099</v>
      </c>
      <c r="C76">
        <v>26282272.377091601</v>
      </c>
      <c r="D76">
        <v>27588222.002312001</v>
      </c>
      <c r="E76">
        <v>26404303.894919299</v>
      </c>
      <c r="F76">
        <v>19581884.949618001</v>
      </c>
      <c r="G76">
        <v>6700387.4274736596</v>
      </c>
      <c r="H76">
        <v>19703916.933657099</v>
      </c>
      <c r="I76">
        <v>6700386.9612621702</v>
      </c>
      <c r="J76">
        <v>3205223.1168461498</v>
      </c>
      <c r="K76">
        <v>3109066.4233407602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</row>
    <row r="77" spans="1:17" x14ac:dyDescent="0.2">
      <c r="A77">
        <v>124</v>
      </c>
      <c r="B77">
        <v>27562595.728158802</v>
      </c>
      <c r="C77">
        <v>26380614.5324811</v>
      </c>
      <c r="D77">
        <v>27693051.401229199</v>
      </c>
      <c r="E77">
        <v>26503244.8297305</v>
      </c>
      <c r="F77">
        <v>19631083.0987483</v>
      </c>
      <c r="G77">
        <v>6749531.4337328197</v>
      </c>
      <c r="H77">
        <v>19753713.8627184</v>
      </c>
      <c r="I77">
        <v>6749530.9670121102</v>
      </c>
      <c r="J77">
        <v>3246582.7169838902</v>
      </c>
      <c r="K77">
        <v>3149185.2354743802</v>
      </c>
      <c r="L77">
        <v>4585438.5225300901</v>
      </c>
      <c r="M77">
        <v>4328705.1928952504</v>
      </c>
      <c r="N77">
        <v>4607181.4830352999</v>
      </c>
      <c r="O77">
        <v>4349145.8656602995</v>
      </c>
      <c r="P77">
        <v>541097.11949731596</v>
      </c>
      <c r="Q77">
        <v>524864.20591239596</v>
      </c>
    </row>
    <row r="78" spans="1:17" x14ac:dyDescent="0.2">
      <c r="A78">
        <v>125</v>
      </c>
      <c r="B78">
        <v>27786699.769660901</v>
      </c>
      <c r="C78">
        <v>26593835.7775</v>
      </c>
      <c r="D78">
        <v>27915569.7862176</v>
      </c>
      <c r="E78">
        <v>26714975.559764501</v>
      </c>
      <c r="F78">
        <v>19730079.425553799</v>
      </c>
      <c r="G78">
        <v>6863756.3519462403</v>
      </c>
      <c r="H78">
        <v>19851219.678702999</v>
      </c>
      <c r="I78">
        <v>6863755.8810614701</v>
      </c>
      <c r="J78">
        <v>3316144.3499090001</v>
      </c>
      <c r="K78">
        <v>3216660.0194117301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</row>
    <row r="79" spans="1:17" x14ac:dyDescent="0.2">
      <c r="A79">
        <v>126</v>
      </c>
      <c r="B79">
        <v>28049074.9629713</v>
      </c>
      <c r="C79">
        <v>26843808.0148619</v>
      </c>
      <c r="D79">
        <v>28177881.094434101</v>
      </c>
      <c r="E79">
        <v>26964887.7472708</v>
      </c>
      <c r="F79">
        <v>19947052.291180599</v>
      </c>
      <c r="G79">
        <v>6896755.7236813698</v>
      </c>
      <c r="H79">
        <v>20068132.494984802</v>
      </c>
      <c r="I79">
        <v>6896755.2522859899</v>
      </c>
      <c r="J79">
        <v>3402838.5032950998</v>
      </c>
      <c r="K79">
        <v>3300753.3481962499</v>
      </c>
      <c r="L79">
        <v>4665743.3738824204</v>
      </c>
      <c r="M79">
        <v>4404763.0394224804</v>
      </c>
      <c r="N79">
        <v>4687211.4115435602</v>
      </c>
      <c r="O79">
        <v>4424945.34716863</v>
      </c>
      <c r="P79">
        <v>567139.75054918404</v>
      </c>
      <c r="Q79">
        <v>550125.55803270801</v>
      </c>
    </row>
    <row r="80" spans="1:17" x14ac:dyDescent="0.2">
      <c r="A80">
        <v>127</v>
      </c>
      <c r="B80">
        <v>28192461.216919702</v>
      </c>
      <c r="C80">
        <v>26979709.284423999</v>
      </c>
      <c r="D80">
        <v>28320598.563654002</v>
      </c>
      <c r="E80">
        <v>27100160.3620908</v>
      </c>
      <c r="F80">
        <v>20027356.797210399</v>
      </c>
      <c r="G80">
        <v>6952352.4872136796</v>
      </c>
      <c r="H80">
        <v>20147808.185104899</v>
      </c>
      <c r="I80">
        <v>6952352.1769858301</v>
      </c>
      <c r="J80">
        <v>3432653.6177530098</v>
      </c>
      <c r="K80">
        <v>3329674.0092204199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</row>
    <row r="81" spans="1:17" x14ac:dyDescent="0.2">
      <c r="A81">
        <v>128</v>
      </c>
      <c r="B81">
        <v>28255901.487344701</v>
      </c>
      <c r="C81">
        <v>27040189.885649201</v>
      </c>
      <c r="D81">
        <v>28384644.268038802</v>
      </c>
      <c r="E81">
        <v>27161210.073360901</v>
      </c>
      <c r="F81">
        <v>20090508.955048598</v>
      </c>
      <c r="G81">
        <v>6949680.9306006003</v>
      </c>
      <c r="H81">
        <v>20211529.453322101</v>
      </c>
      <c r="I81">
        <v>6949680.6200387804</v>
      </c>
      <c r="J81">
        <v>3503006.86263802</v>
      </c>
      <c r="K81">
        <v>3397916.6567588798</v>
      </c>
      <c r="L81">
        <v>4699873.4068241399</v>
      </c>
      <c r="M81">
        <v>4437169.5249293</v>
      </c>
      <c r="N81">
        <v>4721330.8869148698</v>
      </c>
      <c r="O81">
        <v>4457341.9669915903</v>
      </c>
      <c r="P81">
        <v>583834.47710633802</v>
      </c>
      <c r="Q81">
        <v>566319.44279314799</v>
      </c>
    </row>
    <row r="82" spans="1:17" x14ac:dyDescent="0.2">
      <c r="A82">
        <v>129</v>
      </c>
      <c r="B82">
        <v>28507709.452543698</v>
      </c>
      <c r="C82">
        <v>27280115.131433401</v>
      </c>
      <c r="D82">
        <v>28635530.643206801</v>
      </c>
      <c r="E82">
        <v>27400269.0266333</v>
      </c>
      <c r="F82">
        <v>20256770.637036301</v>
      </c>
      <c r="G82">
        <v>7023344.4943971699</v>
      </c>
      <c r="H82">
        <v>20376924.843131099</v>
      </c>
      <c r="I82">
        <v>7023344.1835021898</v>
      </c>
      <c r="J82">
        <v>3583304.69961436</v>
      </c>
      <c r="K82">
        <v>3475805.55862593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</row>
    <row r="83" spans="1:17" x14ac:dyDescent="0.2">
      <c r="A83">
        <v>130</v>
      </c>
      <c r="B83">
        <v>28634295.027394701</v>
      </c>
      <c r="C83">
        <v>27400596.495155301</v>
      </c>
      <c r="D83">
        <v>28759509.811543401</v>
      </c>
      <c r="E83">
        <v>27518300.370343801</v>
      </c>
      <c r="F83">
        <v>20356055.201748598</v>
      </c>
      <c r="G83">
        <v>7044541.2934066802</v>
      </c>
      <c r="H83">
        <v>20473759.388164401</v>
      </c>
      <c r="I83">
        <v>7044540.9821793903</v>
      </c>
      <c r="J83">
        <v>3622790.8911862201</v>
      </c>
      <c r="K83">
        <v>3514107.1644506301</v>
      </c>
      <c r="L83">
        <v>4763275.9189920397</v>
      </c>
      <c r="M83">
        <v>4497614.2185964799</v>
      </c>
      <c r="N83">
        <v>4784145.4004084403</v>
      </c>
      <c r="O83">
        <v>4517234.4886883004</v>
      </c>
      <c r="P83">
        <v>603798.48186437006</v>
      </c>
      <c r="Q83">
        <v>585684.52740843897</v>
      </c>
    </row>
    <row r="84" spans="1:17" x14ac:dyDescent="0.2">
      <c r="A84">
        <v>131</v>
      </c>
      <c r="B84">
        <v>28700900.006244499</v>
      </c>
      <c r="C84">
        <v>27464798.1751494</v>
      </c>
      <c r="D84">
        <v>28824553.722566601</v>
      </c>
      <c r="E84">
        <v>27581034.648687702</v>
      </c>
      <c r="F84">
        <v>20389690.3119554</v>
      </c>
      <c r="G84">
        <v>7075107.8631940102</v>
      </c>
      <c r="H84">
        <v>20505927.1021084</v>
      </c>
      <c r="I84">
        <v>7075107.5465793097</v>
      </c>
      <c r="J84">
        <v>3683189.2386967</v>
      </c>
      <c r="K84">
        <v>3572693.5615357999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</row>
    <row r="85" spans="1:17" x14ac:dyDescent="0.2">
      <c r="A85">
        <v>132</v>
      </c>
      <c r="B85">
        <v>28798978.642967701</v>
      </c>
      <c r="C85">
        <v>27558638.245503601</v>
      </c>
      <c r="D85">
        <v>28922206.046498898</v>
      </c>
      <c r="E85">
        <v>27674474.594934098</v>
      </c>
      <c r="F85">
        <v>20486791.823759101</v>
      </c>
      <c r="G85">
        <v>7071846.4217445198</v>
      </c>
      <c r="H85">
        <v>20602628.490140401</v>
      </c>
      <c r="I85">
        <v>7071846.1047937898</v>
      </c>
      <c r="J85">
        <v>3749564.7659348999</v>
      </c>
      <c r="K85">
        <v>3637077.8229568498</v>
      </c>
      <c r="L85">
        <v>4791996.9941773498</v>
      </c>
      <c r="M85">
        <v>4525466.19695519</v>
      </c>
      <c r="N85">
        <v>4812535.3540054504</v>
      </c>
      <c r="O85">
        <v>4544775.06845327</v>
      </c>
      <c r="P85">
        <v>624927.46098914999</v>
      </c>
      <c r="Q85">
        <v>606179.63715947606</v>
      </c>
    </row>
    <row r="86" spans="1:17" x14ac:dyDescent="0.2">
      <c r="A86">
        <v>133</v>
      </c>
      <c r="B86">
        <v>29020686.845729899</v>
      </c>
      <c r="C86">
        <v>27770774.518504102</v>
      </c>
      <c r="D86">
        <v>29143804.033756401</v>
      </c>
      <c r="E86">
        <v>27886507.268099502</v>
      </c>
      <c r="F86">
        <v>20686423.682723999</v>
      </c>
      <c r="G86">
        <v>7084350.8357800599</v>
      </c>
      <c r="H86">
        <v>20802156.752049301</v>
      </c>
      <c r="I86">
        <v>7084350.5160501497</v>
      </c>
      <c r="J86">
        <v>3784107.56294647</v>
      </c>
      <c r="K86">
        <v>3670584.3360580802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</row>
    <row r="87" spans="1:17" x14ac:dyDescent="0.2">
      <c r="A87">
        <v>134</v>
      </c>
      <c r="B87">
        <v>29149903.205446701</v>
      </c>
      <c r="C87">
        <v>27894590.140516099</v>
      </c>
      <c r="D87">
        <v>29272781.734079398</v>
      </c>
      <c r="E87">
        <v>28010098.553013802</v>
      </c>
      <c r="F87">
        <v>20771821.109755699</v>
      </c>
      <c r="G87">
        <v>7122769.0307604102</v>
      </c>
      <c r="H87">
        <v>20887329.8423202</v>
      </c>
      <c r="I87">
        <v>7122768.7106935401</v>
      </c>
      <c r="J87">
        <v>3855900.2005778002</v>
      </c>
      <c r="K87">
        <v>3740223.1945604598</v>
      </c>
      <c r="L87">
        <v>4850589.8635665402</v>
      </c>
      <c r="M87">
        <v>4581110.2213272396</v>
      </c>
      <c r="N87">
        <v>4871070.0785483997</v>
      </c>
      <c r="O87">
        <v>4600364.4155057799</v>
      </c>
      <c r="P87">
        <v>642650.03342963301</v>
      </c>
      <c r="Q87">
        <v>623370.532426744</v>
      </c>
    </row>
    <row r="88" spans="1:17" x14ac:dyDescent="0.2">
      <c r="A88">
        <v>135</v>
      </c>
      <c r="B88">
        <v>29314921.089557901</v>
      </c>
      <c r="C88">
        <v>28051353.2346019</v>
      </c>
      <c r="D88">
        <v>29437672.272097401</v>
      </c>
      <c r="E88">
        <v>28166741.944497801</v>
      </c>
      <c r="F88">
        <v>20813037.437665999</v>
      </c>
      <c r="G88">
        <v>7238315.7969358703</v>
      </c>
      <c r="H88">
        <v>20928426.467964899</v>
      </c>
      <c r="I88">
        <v>7238315.47653287</v>
      </c>
      <c r="J88">
        <v>3935776.3740256801</v>
      </c>
      <c r="K88">
        <v>3817703.0828049099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</row>
    <row r="89" spans="1:17" x14ac:dyDescent="0.2">
      <c r="A89">
        <v>136</v>
      </c>
      <c r="B89">
        <v>29540627.720789202</v>
      </c>
      <c r="C89">
        <v>28266106.741022602</v>
      </c>
      <c r="D89">
        <v>29662637.212835599</v>
      </c>
      <c r="E89">
        <v>28380798.264533602</v>
      </c>
      <c r="F89">
        <v>20944539.497887202</v>
      </c>
      <c r="G89">
        <v>7321567.2431354001</v>
      </c>
      <c r="H89">
        <v>21059231.343452699</v>
      </c>
      <c r="I89">
        <v>7321566.9210809199</v>
      </c>
      <c r="J89">
        <v>4026586.9036136898</v>
      </c>
      <c r="K89">
        <v>3905789.2965052798</v>
      </c>
      <c r="L89">
        <v>4914666.8712389199</v>
      </c>
      <c r="M89">
        <v>4641925.6731265802</v>
      </c>
      <c r="N89">
        <v>4935002.2477479596</v>
      </c>
      <c r="O89">
        <v>4661043.7249909397</v>
      </c>
      <c r="P89">
        <v>671097.81726894795</v>
      </c>
      <c r="Q89">
        <v>650964.88275087997</v>
      </c>
    </row>
    <row r="90" spans="1:17" x14ac:dyDescent="0.2">
      <c r="A90">
        <v>137</v>
      </c>
      <c r="B90">
        <v>29709714.5653148</v>
      </c>
      <c r="C90">
        <v>28427459.537351701</v>
      </c>
      <c r="D90">
        <v>29832062.009741198</v>
      </c>
      <c r="E90">
        <v>28542470.307783201</v>
      </c>
      <c r="F90">
        <v>21081088.621337101</v>
      </c>
      <c r="G90">
        <v>7346370.9160146601</v>
      </c>
      <c r="H90">
        <v>21196099.7173541</v>
      </c>
      <c r="I90">
        <v>7346370.5904291002</v>
      </c>
      <c r="J90">
        <v>4076771.6292327</v>
      </c>
      <c r="K90">
        <v>3954468.48035572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</row>
    <row r="91" spans="1:17" x14ac:dyDescent="0.2">
      <c r="A91">
        <v>138</v>
      </c>
      <c r="B91">
        <v>29929983.487431899</v>
      </c>
      <c r="C91">
        <v>28638253.774070501</v>
      </c>
      <c r="D91">
        <v>30052478.607294898</v>
      </c>
      <c r="E91">
        <v>28753403.3717173</v>
      </c>
      <c r="F91">
        <v>21251413.102639802</v>
      </c>
      <c r="G91">
        <v>7386840.67143068</v>
      </c>
      <c r="H91">
        <v>21366563.026210502</v>
      </c>
      <c r="I91">
        <v>7386840.3455067603</v>
      </c>
      <c r="J91">
        <v>4150200.55766202</v>
      </c>
      <c r="K91">
        <v>4025694.5409321599</v>
      </c>
      <c r="L91">
        <v>4978744.2586171804</v>
      </c>
      <c r="M91">
        <v>4702442.7382996297</v>
      </c>
      <c r="N91">
        <v>4999160.8539446099</v>
      </c>
      <c r="O91">
        <v>4721636.9754450899</v>
      </c>
      <c r="P91">
        <v>691700.09294366895</v>
      </c>
      <c r="Q91">
        <v>670949.09015535901</v>
      </c>
    </row>
    <row r="92" spans="1:17" x14ac:dyDescent="0.2">
      <c r="A92">
        <v>139</v>
      </c>
      <c r="B92">
        <v>30043012.5272226</v>
      </c>
      <c r="C92">
        <v>28746492.131373402</v>
      </c>
      <c r="D92">
        <v>30163811.083697699</v>
      </c>
      <c r="E92">
        <v>28860046.963769801</v>
      </c>
      <c r="F92">
        <v>21354699.652835801</v>
      </c>
      <c r="G92">
        <v>7391792.4785375502</v>
      </c>
      <c r="H92">
        <v>21468254.811493699</v>
      </c>
      <c r="I92">
        <v>7391792.1522760699</v>
      </c>
      <c r="J92">
        <v>4240821.3363605803</v>
      </c>
      <c r="K92">
        <v>4113596.6962697599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</row>
    <row r="93" spans="1:17" x14ac:dyDescent="0.2">
      <c r="A93">
        <v>140</v>
      </c>
      <c r="B93">
        <v>30194115.6177889</v>
      </c>
      <c r="C93">
        <v>28890969.4037464</v>
      </c>
      <c r="D93">
        <v>30314819.533944901</v>
      </c>
      <c r="E93">
        <v>29004435.278566599</v>
      </c>
      <c r="F93">
        <v>21506488.925346401</v>
      </c>
      <c r="G93">
        <v>7384480.4784000097</v>
      </c>
      <c r="H93">
        <v>21619955.1561433</v>
      </c>
      <c r="I93">
        <v>7384480.1224232903</v>
      </c>
      <c r="J93">
        <v>4307571.0009952299</v>
      </c>
      <c r="K93">
        <v>4178343.8709653802</v>
      </c>
      <c r="L93">
        <v>5024418.3253145805</v>
      </c>
      <c r="M93">
        <v>4746683.9077499602</v>
      </c>
      <c r="N93">
        <v>5044536.3882259699</v>
      </c>
      <c r="O93">
        <v>4765597.5298810601</v>
      </c>
      <c r="P93">
        <v>717928.50016587204</v>
      </c>
      <c r="Q93">
        <v>696390.64516089601</v>
      </c>
    </row>
    <row r="94" spans="1:17" x14ac:dyDescent="0.2">
      <c r="A94">
        <v>141</v>
      </c>
      <c r="B94">
        <v>30371843.868064199</v>
      </c>
      <c r="C94">
        <v>29060565.325163901</v>
      </c>
      <c r="D94">
        <v>30492600.7764275</v>
      </c>
      <c r="E94">
        <v>29174081.016972698</v>
      </c>
      <c r="F94">
        <v>21633161.500056099</v>
      </c>
      <c r="G94">
        <v>7427403.8251078203</v>
      </c>
      <c r="H94">
        <v>21746677.5482077</v>
      </c>
      <c r="I94">
        <v>7427403.4687649496</v>
      </c>
      <c r="J94">
        <v>4345020.4050651304</v>
      </c>
      <c r="K94">
        <v>4214669.7929131798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</row>
    <row r="95" spans="1:17" x14ac:dyDescent="0.2">
      <c r="A95">
        <v>142</v>
      </c>
      <c r="B95">
        <v>30576044.412308101</v>
      </c>
      <c r="C95">
        <v>29255238.427961901</v>
      </c>
      <c r="D95">
        <v>30696415.194376599</v>
      </c>
      <c r="E95">
        <v>29368391.165356599</v>
      </c>
      <c r="F95">
        <v>21789925.281836499</v>
      </c>
      <c r="G95">
        <v>7465313.1461253501</v>
      </c>
      <c r="H95">
        <v>21903078.355689999</v>
      </c>
      <c r="I95">
        <v>7465312.8096666904</v>
      </c>
      <c r="J95">
        <v>4366893.93285379</v>
      </c>
      <c r="K95">
        <v>4235887.1148681799</v>
      </c>
      <c r="L95">
        <v>5087957.7233478799</v>
      </c>
      <c r="M95">
        <v>4806683.0155780297</v>
      </c>
      <c r="N95">
        <v>5108020.2654391602</v>
      </c>
      <c r="O95">
        <v>4825543.9820269998</v>
      </c>
      <c r="P95">
        <v>727815.65547563299</v>
      </c>
      <c r="Q95">
        <v>705981.18581136398</v>
      </c>
    </row>
    <row r="96" spans="1:17" x14ac:dyDescent="0.2">
      <c r="A96">
        <v>143</v>
      </c>
      <c r="B96">
        <v>30667180.000936199</v>
      </c>
      <c r="C96">
        <v>29343900.762255698</v>
      </c>
      <c r="D96">
        <v>30786981.532716099</v>
      </c>
      <c r="E96">
        <v>29456518.408672102</v>
      </c>
      <c r="F96">
        <v>21862677.106308602</v>
      </c>
      <c r="G96">
        <v>7481223.6559471097</v>
      </c>
      <c r="H96">
        <v>21975295.089527398</v>
      </c>
      <c r="I96">
        <v>7481223.3191447305</v>
      </c>
      <c r="J96">
        <v>4466683.4156897701</v>
      </c>
      <c r="K96">
        <v>4332682.9132190803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</row>
    <row r="97" spans="1:17" x14ac:dyDescent="0.2">
      <c r="A97">
        <v>144</v>
      </c>
      <c r="B97">
        <v>30694539.1109013</v>
      </c>
      <c r="C97">
        <v>29370052.785163101</v>
      </c>
      <c r="D97">
        <v>30812760.55373</v>
      </c>
      <c r="E97">
        <v>29481185.324568499</v>
      </c>
      <c r="F97">
        <v>21905363.9534791</v>
      </c>
      <c r="G97">
        <v>7464688.8316839496</v>
      </c>
      <c r="H97">
        <v>22016496.830029801</v>
      </c>
      <c r="I97">
        <v>7464688.4945386704</v>
      </c>
      <c r="J97">
        <v>4515265.4249347001</v>
      </c>
      <c r="K97">
        <v>4379807.4621866597</v>
      </c>
      <c r="L97">
        <v>5105240.5699353898</v>
      </c>
      <c r="M97">
        <v>4823065.6051517697</v>
      </c>
      <c r="N97">
        <v>5124944.9208937902</v>
      </c>
      <c r="O97">
        <v>4841589.87637382</v>
      </c>
      <c r="P97">
        <v>752544.23748911696</v>
      </c>
      <c r="Q97">
        <v>729967.91036444297</v>
      </c>
    </row>
    <row r="98" spans="1:17" x14ac:dyDescent="0.2">
      <c r="A98">
        <v>145</v>
      </c>
      <c r="B98">
        <v>30934889.834904902</v>
      </c>
      <c r="C98">
        <v>29600246.345796201</v>
      </c>
      <c r="D98">
        <v>31052630.749210499</v>
      </c>
      <c r="E98">
        <v>29710927.192802399</v>
      </c>
      <c r="F98">
        <v>22182062.0426616</v>
      </c>
      <c r="G98">
        <v>7418184.3031345904</v>
      </c>
      <c r="H98">
        <v>22292743.227155201</v>
      </c>
      <c r="I98">
        <v>7418183.9656472197</v>
      </c>
      <c r="J98">
        <v>4641221.1591833001</v>
      </c>
      <c r="K98">
        <v>4501984.5244078096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</row>
    <row r="99" spans="1:17" x14ac:dyDescent="0.2">
      <c r="A99">
        <v>146</v>
      </c>
      <c r="B99">
        <v>31234963.5769853</v>
      </c>
      <c r="C99">
        <v>29887262.766085099</v>
      </c>
      <c r="D99">
        <v>31351660.870658699</v>
      </c>
      <c r="E99">
        <v>29996962.614133898</v>
      </c>
      <c r="F99">
        <v>22445333.558231499</v>
      </c>
      <c r="G99">
        <v>7441929.2078536702</v>
      </c>
      <c r="H99">
        <v>22555033.7441089</v>
      </c>
      <c r="I99">
        <v>7441928.8700250201</v>
      </c>
      <c r="J99">
        <v>4703699.7232281296</v>
      </c>
      <c r="K99">
        <v>4562588.7315312903</v>
      </c>
      <c r="L99">
        <v>5195264.5050384104</v>
      </c>
      <c r="M99">
        <v>4908255.0344283096</v>
      </c>
      <c r="N99">
        <v>5214714.8327066302</v>
      </c>
      <c r="O99">
        <v>4926540.74523036</v>
      </c>
      <c r="P99">
        <v>783949.95387135504</v>
      </c>
      <c r="Q99">
        <v>760431.45525521506</v>
      </c>
    </row>
    <row r="100" spans="1:17" x14ac:dyDescent="0.2">
      <c r="A100">
        <v>147</v>
      </c>
      <c r="B100">
        <v>31394686.391589802</v>
      </c>
      <c r="C100">
        <v>30039395.180219699</v>
      </c>
      <c r="D100">
        <v>31509357.110319398</v>
      </c>
      <c r="E100">
        <v>30147190.052247901</v>
      </c>
      <c r="F100">
        <v>22563994.891761601</v>
      </c>
      <c r="G100">
        <v>7475400.2884581303</v>
      </c>
      <c r="H100">
        <v>22671790.101958901</v>
      </c>
      <c r="I100">
        <v>7475399.9502889998</v>
      </c>
      <c r="J100">
        <v>4744721.0238122297</v>
      </c>
      <c r="K100">
        <v>4602379.3930978598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</row>
    <row r="101" spans="1:17" x14ac:dyDescent="0.2">
      <c r="A101">
        <v>148</v>
      </c>
      <c r="B101">
        <v>31529276.6239243</v>
      </c>
      <c r="C101">
        <v>30168107.376993101</v>
      </c>
      <c r="D101">
        <v>31644235.996151701</v>
      </c>
      <c r="E101">
        <v>30276173.5877252</v>
      </c>
      <c r="F101">
        <v>22679033.557156298</v>
      </c>
      <c r="G101">
        <v>7489073.8198367702</v>
      </c>
      <c r="H101">
        <v>22787100.1063972</v>
      </c>
      <c r="I101">
        <v>7489073.4813279603</v>
      </c>
      <c r="J101">
        <v>4834681.06225798</v>
      </c>
      <c r="K101">
        <v>4689640.6303902399</v>
      </c>
      <c r="L101">
        <v>5244276.01567428</v>
      </c>
      <c r="M101">
        <v>4955018.0086484002</v>
      </c>
      <c r="N101">
        <v>5263436.6913360097</v>
      </c>
      <c r="O101">
        <v>4973032.0018672198</v>
      </c>
      <c r="P101">
        <v>805780.17704299605</v>
      </c>
      <c r="Q101">
        <v>781606.77173170599</v>
      </c>
    </row>
    <row r="102" spans="1:17" x14ac:dyDescent="0.2">
      <c r="A102">
        <v>149</v>
      </c>
      <c r="B102">
        <v>31719087.3292141</v>
      </c>
      <c r="C102">
        <v>30349217.739422701</v>
      </c>
      <c r="D102">
        <v>31832593.735545699</v>
      </c>
      <c r="E102">
        <v>30455918.1666185</v>
      </c>
      <c r="F102">
        <v>22820190.720049899</v>
      </c>
      <c r="G102">
        <v>7529027.0193728302</v>
      </c>
      <c r="H102">
        <v>22926891.486093398</v>
      </c>
      <c r="I102">
        <v>7529026.6805251297</v>
      </c>
      <c r="J102">
        <v>4936396.4251379296</v>
      </c>
      <c r="K102">
        <v>4788304.5323837902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</row>
    <row r="103" spans="1:17" x14ac:dyDescent="0.2">
      <c r="A103">
        <v>150</v>
      </c>
      <c r="B103">
        <v>31920923.048205599</v>
      </c>
      <c r="C103">
        <v>30541875.1985466</v>
      </c>
      <c r="D103">
        <v>32033919.995469201</v>
      </c>
      <c r="E103">
        <v>30648096.787493698</v>
      </c>
      <c r="F103">
        <v>22987817.480719101</v>
      </c>
      <c r="G103">
        <v>7554057.7178274402</v>
      </c>
      <c r="H103">
        <v>23094039.4088521</v>
      </c>
      <c r="I103">
        <v>7554057.3786416398</v>
      </c>
      <c r="J103">
        <v>4971752.6397317601</v>
      </c>
      <c r="K103">
        <v>4822600.06053981</v>
      </c>
      <c r="L103">
        <v>5308836.58987597</v>
      </c>
      <c r="M103">
        <v>5016341.9661105499</v>
      </c>
      <c r="N103">
        <v>5327670.2049375204</v>
      </c>
      <c r="O103">
        <v>5034048.9560020603</v>
      </c>
      <c r="P103">
        <v>828625.43995529297</v>
      </c>
      <c r="Q103">
        <v>803766.67675663403</v>
      </c>
    </row>
    <row r="104" spans="1:17" x14ac:dyDescent="0.2">
      <c r="A104">
        <v>151</v>
      </c>
      <c r="B104">
        <v>32132695.062993798</v>
      </c>
      <c r="C104">
        <v>30744061.272385601</v>
      </c>
      <c r="D104">
        <v>32244818.228415001</v>
      </c>
      <c r="E104">
        <v>30849461.510834899</v>
      </c>
      <c r="F104">
        <v>23163360.2489319</v>
      </c>
      <c r="G104">
        <v>7580701.02345376</v>
      </c>
      <c r="H104">
        <v>23268760.8269042</v>
      </c>
      <c r="I104">
        <v>7580700.6839306504</v>
      </c>
      <c r="J104">
        <v>5055473.9012794597</v>
      </c>
      <c r="K104">
        <v>4903809.6842410704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</row>
    <row r="105" spans="1:17" x14ac:dyDescent="0.2">
      <c r="A105">
        <v>152</v>
      </c>
      <c r="B105">
        <v>32452478.038677402</v>
      </c>
      <c r="C105">
        <v>31049044.662723701</v>
      </c>
      <c r="D105">
        <v>32563951.809852801</v>
      </c>
      <c r="E105">
        <v>31153834.482786398</v>
      </c>
      <c r="F105">
        <v>23476544.524066702</v>
      </c>
      <c r="G105">
        <v>7572500.1386569804</v>
      </c>
      <c r="H105">
        <v>23581334.6693707</v>
      </c>
      <c r="I105">
        <v>7572499.8134156996</v>
      </c>
      <c r="J105">
        <v>5163197.7144451598</v>
      </c>
      <c r="K105">
        <v>5008301.7830118099</v>
      </c>
      <c r="L105">
        <v>5397339.6286343299</v>
      </c>
      <c r="M105">
        <v>5100506.2526333798</v>
      </c>
      <c r="N105">
        <v>5415919.3839645898</v>
      </c>
      <c r="O105">
        <v>5117975.0196827697</v>
      </c>
      <c r="P105">
        <v>860532.95240752702</v>
      </c>
      <c r="Q105">
        <v>834716.96383530099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5"/>
  <sheetViews>
    <sheetView zoomScaleNormal="100" workbookViewId="0">
      <selection activeCell="E19" sqref="E19"/>
    </sheetView>
  </sheetViews>
  <sheetFormatPr baseColWidth="10" defaultColWidth="11.5703125" defaultRowHeight="12.75" x14ac:dyDescent="0.2"/>
  <sheetData>
    <row r="1" spans="1:17" x14ac:dyDescent="0.2">
      <c r="A1" t="s">
        <v>167</v>
      </c>
      <c r="B1" t="s">
        <v>168</v>
      </c>
      <c r="C1" t="s">
        <v>169</v>
      </c>
      <c r="D1" t="s">
        <v>170</v>
      </c>
      <c r="E1" t="s">
        <v>171</v>
      </c>
      <c r="F1" t="s">
        <v>172</v>
      </c>
      <c r="G1" t="s">
        <v>173</v>
      </c>
      <c r="H1" t="s">
        <v>174</v>
      </c>
      <c r="I1" t="s">
        <v>175</v>
      </c>
      <c r="J1" t="s">
        <v>176</v>
      </c>
      <c r="K1" t="s">
        <v>177</v>
      </c>
      <c r="L1" t="s">
        <v>178</v>
      </c>
      <c r="M1" t="s">
        <v>179</v>
      </c>
      <c r="N1" t="s">
        <v>180</v>
      </c>
      <c r="O1" t="s">
        <v>181</v>
      </c>
      <c r="P1" t="s">
        <v>182</v>
      </c>
      <c r="Q1" t="s">
        <v>183</v>
      </c>
    </row>
    <row r="2" spans="1:17" x14ac:dyDescent="0.2">
      <c r="A2">
        <v>49</v>
      </c>
      <c r="B2">
        <v>17715091.297121499</v>
      </c>
      <c r="C2">
        <v>17023151.853301901</v>
      </c>
      <c r="D2">
        <v>17764710.0025356</v>
      </c>
      <c r="E2">
        <v>17069793.433228102</v>
      </c>
      <c r="F2">
        <v>14752676.2681749</v>
      </c>
      <c r="G2">
        <v>2270475.5851269802</v>
      </c>
      <c r="H2">
        <v>14799318.003943801</v>
      </c>
      <c r="I2">
        <v>2270475.4292842899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</row>
    <row r="3" spans="1:17" x14ac:dyDescent="0.2">
      <c r="A3">
        <v>50</v>
      </c>
      <c r="B3">
        <v>20422747.135097399</v>
      </c>
      <c r="C3">
        <v>19622770.703860801</v>
      </c>
      <c r="D3">
        <v>20483176.687965199</v>
      </c>
      <c r="E3">
        <v>19679574.4794841</v>
      </c>
      <c r="F3">
        <v>16969939.802151401</v>
      </c>
      <c r="G3">
        <v>2652830.9017094402</v>
      </c>
      <c r="H3">
        <v>17026743.812685098</v>
      </c>
      <c r="I3">
        <v>2652830.66679896</v>
      </c>
      <c r="J3">
        <v>0</v>
      </c>
      <c r="K3">
        <v>0</v>
      </c>
      <c r="L3">
        <v>3407167.0425107498</v>
      </c>
      <c r="M3">
        <v>3216617.2741645901</v>
      </c>
      <c r="N3">
        <v>3417238.6339333202</v>
      </c>
      <c r="O3">
        <v>3226084.5694013899</v>
      </c>
      <c r="P3">
        <v>0</v>
      </c>
      <c r="Q3">
        <v>0</v>
      </c>
    </row>
    <row r="4" spans="1:17" x14ac:dyDescent="0.2">
      <c r="A4">
        <v>51</v>
      </c>
      <c r="B4">
        <v>19803746.836479299</v>
      </c>
      <c r="C4">
        <v>19026261.304787099</v>
      </c>
      <c r="D4">
        <v>19865434.766803999</v>
      </c>
      <c r="E4">
        <v>19084247.953928798</v>
      </c>
      <c r="F4">
        <v>16392343.747388</v>
      </c>
      <c r="G4">
        <v>2633917.5573990899</v>
      </c>
      <c r="H4">
        <v>16450330.808702201</v>
      </c>
      <c r="I4">
        <v>2633917.14522669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</row>
    <row r="5" spans="1:17" x14ac:dyDescent="0.2">
      <c r="A5">
        <v>52</v>
      </c>
      <c r="B5">
        <v>21421804.3950487</v>
      </c>
      <c r="C5">
        <v>20579647.3943859</v>
      </c>
      <c r="D5">
        <v>21490198.907926802</v>
      </c>
      <c r="E5">
        <v>20643938.2296663</v>
      </c>
      <c r="F5">
        <v>17675547.0541494</v>
      </c>
      <c r="G5">
        <v>2904100.3402364398</v>
      </c>
      <c r="H5">
        <v>17739838.421394199</v>
      </c>
      <c r="I5">
        <v>2904099.8082720898</v>
      </c>
      <c r="J5">
        <v>0</v>
      </c>
      <c r="K5">
        <v>0</v>
      </c>
      <c r="L5">
        <v>3573630.5623123702</v>
      </c>
      <c r="M5">
        <v>3374490.1388548301</v>
      </c>
      <c r="N5">
        <v>3585029.6465819399</v>
      </c>
      <c r="O5">
        <v>3385205.2769183</v>
      </c>
      <c r="P5">
        <v>0</v>
      </c>
      <c r="Q5">
        <v>0</v>
      </c>
    </row>
    <row r="6" spans="1:17" x14ac:dyDescent="0.2">
      <c r="A6">
        <v>53</v>
      </c>
      <c r="B6">
        <v>18798652.8327858</v>
      </c>
      <c r="C6">
        <v>18061142.432745501</v>
      </c>
      <c r="D6">
        <v>18859852.8843766</v>
      </c>
      <c r="E6">
        <v>18118670.467038698</v>
      </c>
      <c r="F6">
        <v>15421738.1156897</v>
      </c>
      <c r="G6">
        <v>2639404.3170557702</v>
      </c>
      <c r="H6">
        <v>15479267.028441699</v>
      </c>
      <c r="I6">
        <v>2639403.43859703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</row>
    <row r="7" spans="1:17" x14ac:dyDescent="0.2">
      <c r="A7">
        <v>54</v>
      </c>
      <c r="B7">
        <v>19381974.186819099</v>
      </c>
      <c r="C7">
        <v>18619675.727424201</v>
      </c>
      <c r="D7">
        <v>19445433.701004401</v>
      </c>
      <c r="E7">
        <v>18679327.654450901</v>
      </c>
      <c r="F7">
        <v>15813499.9733172</v>
      </c>
      <c r="G7">
        <v>2806175.7541070702</v>
      </c>
      <c r="H7">
        <v>15873153.0648346</v>
      </c>
      <c r="I7">
        <v>2806174.5896163201</v>
      </c>
      <c r="J7">
        <v>0</v>
      </c>
      <c r="K7">
        <v>0</v>
      </c>
      <c r="L7">
        <v>3233380.8180670999</v>
      </c>
      <c r="M7">
        <v>3053950.95306359</v>
      </c>
      <c r="N7">
        <v>3243957.4008732499</v>
      </c>
      <c r="O7">
        <v>3063892.9389093998</v>
      </c>
      <c r="P7">
        <v>0</v>
      </c>
      <c r="Q7">
        <v>0</v>
      </c>
    </row>
    <row r="8" spans="1:17" x14ac:dyDescent="0.2">
      <c r="A8">
        <v>55</v>
      </c>
      <c r="B8">
        <v>18442149.606422901</v>
      </c>
      <c r="C8">
        <v>17715594.091830701</v>
      </c>
      <c r="D8">
        <v>18503713.210198801</v>
      </c>
      <c r="E8">
        <v>17773463.863357902</v>
      </c>
      <c r="F8">
        <v>14992578.649956901</v>
      </c>
      <c r="G8">
        <v>2723015.4418737902</v>
      </c>
      <c r="H8">
        <v>15050449.693343701</v>
      </c>
      <c r="I8">
        <v>2723014.17001417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</row>
    <row r="9" spans="1:17" x14ac:dyDescent="0.2">
      <c r="A9">
        <v>56</v>
      </c>
      <c r="B9">
        <v>20185806.916536</v>
      </c>
      <c r="C9">
        <v>19388269.003878001</v>
      </c>
      <c r="D9">
        <v>20254615.8512826</v>
      </c>
      <c r="E9">
        <v>19452949.385827199</v>
      </c>
      <c r="F9">
        <v>16313172.1017792</v>
      </c>
      <c r="G9">
        <v>3075096.9020988098</v>
      </c>
      <c r="H9">
        <v>16377853.7677538</v>
      </c>
      <c r="I9">
        <v>3075095.6180733098</v>
      </c>
      <c r="J9">
        <v>37448.292796407703</v>
      </c>
      <c r="K9">
        <v>36324.844012515401</v>
      </c>
      <c r="L9">
        <v>3366884.53916742</v>
      </c>
      <c r="M9">
        <v>3180600.4417352001</v>
      </c>
      <c r="N9">
        <v>3378352.6919952701</v>
      </c>
      <c r="O9">
        <v>3191380.5033566202</v>
      </c>
      <c r="P9">
        <v>6241.3821327346104</v>
      </c>
      <c r="Q9">
        <v>6054.1406687525696</v>
      </c>
    </row>
    <row r="10" spans="1:17" x14ac:dyDescent="0.2">
      <c r="A10">
        <v>57</v>
      </c>
      <c r="B10">
        <v>19310128.056226399</v>
      </c>
      <c r="C10">
        <v>18547080.611161102</v>
      </c>
      <c r="D10">
        <v>19377172.7510706</v>
      </c>
      <c r="E10">
        <v>18610102.609675098</v>
      </c>
      <c r="F10">
        <v>15546749.7675483</v>
      </c>
      <c r="G10">
        <v>3000330.8436127999</v>
      </c>
      <c r="H10">
        <v>15609772.8945239</v>
      </c>
      <c r="I10">
        <v>3000329.7151512098</v>
      </c>
      <c r="J10">
        <v>68744.484131501405</v>
      </c>
      <c r="K10">
        <v>66682.149607556305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</row>
    <row r="11" spans="1:17" x14ac:dyDescent="0.2">
      <c r="A11">
        <v>58</v>
      </c>
      <c r="B11">
        <v>20637448.024145801</v>
      </c>
      <c r="C11">
        <v>19820127.203089099</v>
      </c>
      <c r="D11">
        <v>20709754.396226399</v>
      </c>
      <c r="E11">
        <v>19888095.1774069</v>
      </c>
      <c r="F11">
        <v>16525990.848297499</v>
      </c>
      <c r="G11">
        <v>3294136.3547915998</v>
      </c>
      <c r="H11">
        <v>16593959.9311161</v>
      </c>
      <c r="I11">
        <v>3294135.2462907899</v>
      </c>
      <c r="J11">
        <v>105406.41037662201</v>
      </c>
      <c r="K11">
        <v>102244.218065323</v>
      </c>
      <c r="L11">
        <v>3441819.6847755602</v>
      </c>
      <c r="M11">
        <v>3252147.7370511801</v>
      </c>
      <c r="N11">
        <v>3453870.7440517601</v>
      </c>
      <c r="O11">
        <v>3263475.7309133699</v>
      </c>
      <c r="P11">
        <v>17567.7350627704</v>
      </c>
      <c r="Q11">
        <v>17040.7030108873</v>
      </c>
    </row>
    <row r="12" spans="1:17" x14ac:dyDescent="0.2">
      <c r="A12">
        <v>59</v>
      </c>
      <c r="B12">
        <v>19825398.8001488</v>
      </c>
      <c r="C12">
        <v>19039630.042442098</v>
      </c>
      <c r="D12">
        <v>19896829.3534218</v>
      </c>
      <c r="E12">
        <v>19106774.747813001</v>
      </c>
      <c r="F12">
        <v>15819611.019110899</v>
      </c>
      <c r="G12">
        <v>3220019.0233311499</v>
      </c>
      <c r="H12">
        <v>15886756.7567122</v>
      </c>
      <c r="I12">
        <v>3220017.9911007499</v>
      </c>
      <c r="J12">
        <v>153068.271140567</v>
      </c>
      <c r="K12">
        <v>148476.22300634999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</row>
    <row r="13" spans="1:17" x14ac:dyDescent="0.2">
      <c r="A13">
        <v>60</v>
      </c>
      <c r="B13">
        <v>21579027.026770301</v>
      </c>
      <c r="C13">
        <v>20721447.1079004</v>
      </c>
      <c r="D13">
        <v>21657648.394075502</v>
      </c>
      <c r="E13">
        <v>20795351.177516401</v>
      </c>
      <c r="F13">
        <v>17146587.903000101</v>
      </c>
      <c r="G13">
        <v>3574859.2049003202</v>
      </c>
      <c r="H13">
        <v>17220493.048598699</v>
      </c>
      <c r="I13">
        <v>3574858.1289176899</v>
      </c>
      <c r="J13">
        <v>195716.984291222</v>
      </c>
      <c r="K13">
        <v>189845.474762486</v>
      </c>
      <c r="L13">
        <v>3598276.5375584001</v>
      </c>
      <c r="M13">
        <v>3400885.5801570201</v>
      </c>
      <c r="N13">
        <v>3611380.0960009499</v>
      </c>
      <c r="O13">
        <v>3413202.9232284301</v>
      </c>
      <c r="P13">
        <v>32619.497381870398</v>
      </c>
      <c r="Q13">
        <v>31640.9124604143</v>
      </c>
    </row>
    <row r="14" spans="1:17" x14ac:dyDescent="0.2">
      <c r="A14">
        <v>61</v>
      </c>
      <c r="B14">
        <v>20098919.1155256</v>
      </c>
      <c r="C14">
        <v>19300155.856824301</v>
      </c>
      <c r="D14">
        <v>20172881.22473</v>
      </c>
      <c r="E14">
        <v>19369680.225263201</v>
      </c>
      <c r="F14">
        <v>15859284.007607101</v>
      </c>
      <c r="G14">
        <v>3440871.84921727</v>
      </c>
      <c r="H14">
        <v>15928809.309146199</v>
      </c>
      <c r="I14">
        <v>3440870.9161169399</v>
      </c>
      <c r="J14">
        <v>199621.10106806</v>
      </c>
      <c r="K14">
        <v>193632.46803601799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</row>
    <row r="15" spans="1:17" x14ac:dyDescent="0.2">
      <c r="A15">
        <v>62</v>
      </c>
      <c r="B15">
        <v>19937847.571021199</v>
      </c>
      <c r="C15">
        <v>19144926.816682599</v>
      </c>
      <c r="D15">
        <v>20013236.9648825</v>
      </c>
      <c r="E15">
        <v>19215792.833044</v>
      </c>
      <c r="F15">
        <v>15684947.272661701</v>
      </c>
      <c r="G15">
        <v>3459979.5440209601</v>
      </c>
      <c r="H15">
        <v>15755814.194032799</v>
      </c>
      <c r="I15">
        <v>3459978.6390112201</v>
      </c>
      <c r="J15">
        <v>217761.89858089099</v>
      </c>
      <c r="K15">
        <v>211229.041623464</v>
      </c>
      <c r="L15">
        <v>3325646.9194814302</v>
      </c>
      <c r="M15">
        <v>3143212.3615887202</v>
      </c>
      <c r="N15">
        <v>3338211.8159994101</v>
      </c>
      <c r="O15">
        <v>3155023.3626624001</v>
      </c>
      <c r="P15">
        <v>36293.649763481902</v>
      </c>
      <c r="Q15">
        <v>35204.840270577399</v>
      </c>
    </row>
    <row r="16" spans="1:17" x14ac:dyDescent="0.2">
      <c r="A16">
        <v>63</v>
      </c>
      <c r="B16">
        <v>18977563.7835612</v>
      </c>
      <c r="C16">
        <v>18223940.223310199</v>
      </c>
      <c r="D16">
        <v>19049763.422166701</v>
      </c>
      <c r="E16">
        <v>18291807.8709222</v>
      </c>
      <c r="F16">
        <v>14885915.253296001</v>
      </c>
      <c r="G16">
        <v>3338024.9700142201</v>
      </c>
      <c r="H16">
        <v>14953783.709577899</v>
      </c>
      <c r="I16">
        <v>3338024.16134426</v>
      </c>
      <c r="J16">
        <v>235047.12322417201</v>
      </c>
      <c r="K16">
        <v>227995.70952744599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</row>
    <row r="17" spans="1:17" x14ac:dyDescent="0.2">
      <c r="A17">
        <v>64</v>
      </c>
      <c r="B17">
        <v>17423773.4640265</v>
      </c>
      <c r="C17">
        <v>16733707.5096328</v>
      </c>
      <c r="D17">
        <v>17489467.647106901</v>
      </c>
      <c r="E17">
        <v>16795460.030510701</v>
      </c>
      <c r="F17">
        <v>13623702.440859299</v>
      </c>
      <c r="G17">
        <v>3110005.0687734601</v>
      </c>
      <c r="H17">
        <v>13685455.653875001</v>
      </c>
      <c r="I17">
        <v>3110004.37663566</v>
      </c>
      <c r="J17">
        <v>240391.32203706901</v>
      </c>
      <c r="K17">
        <v>233179.582375956</v>
      </c>
      <c r="L17">
        <v>2907526.5990648698</v>
      </c>
      <c r="M17">
        <v>2749446.6772416998</v>
      </c>
      <c r="N17">
        <v>2918475.6275893101</v>
      </c>
      <c r="O17">
        <v>2759738.7620796901</v>
      </c>
      <c r="P17">
        <v>40065.220339511397</v>
      </c>
      <c r="Q17">
        <v>38863.2637293261</v>
      </c>
    </row>
    <row r="18" spans="1:17" x14ac:dyDescent="0.2">
      <c r="A18">
        <v>65</v>
      </c>
      <c r="B18">
        <v>17280765.6898348</v>
      </c>
      <c r="C18">
        <v>16595530.2051764</v>
      </c>
      <c r="D18">
        <v>17348358.693918802</v>
      </c>
      <c r="E18">
        <v>16659067.618081599</v>
      </c>
      <c r="F18">
        <v>13493771.2856359</v>
      </c>
      <c r="G18">
        <v>3101758.9195405398</v>
      </c>
      <c r="H18">
        <v>13557309.365232199</v>
      </c>
      <c r="I18">
        <v>3101758.2528494201</v>
      </c>
      <c r="J18">
        <v>195752.530770185</v>
      </c>
      <c r="K18">
        <v>189879.95484707999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</row>
    <row r="19" spans="1:17" x14ac:dyDescent="0.2">
      <c r="A19">
        <v>66</v>
      </c>
      <c r="B19">
        <v>17449672.0176416</v>
      </c>
      <c r="C19">
        <v>16756810.1645122</v>
      </c>
      <c r="D19">
        <v>17520608.053850599</v>
      </c>
      <c r="E19">
        <v>16823490.0275895</v>
      </c>
      <c r="F19">
        <v>13622238.811443301</v>
      </c>
      <c r="G19">
        <v>3134571.35306883</v>
      </c>
      <c r="H19">
        <v>13688919.330333799</v>
      </c>
      <c r="I19">
        <v>3134570.6972556999</v>
      </c>
      <c r="J19">
        <v>198608.842111893</v>
      </c>
      <c r="K19">
        <v>192650.576848536</v>
      </c>
      <c r="L19">
        <v>2911658.9774104301</v>
      </c>
      <c r="M19">
        <v>2754327.9065421498</v>
      </c>
      <c r="N19">
        <v>2923481.6481688302</v>
      </c>
      <c r="O19">
        <v>2765441.2151251999</v>
      </c>
      <c r="P19">
        <v>33101.473685315403</v>
      </c>
      <c r="Q19">
        <v>32108.429474756002</v>
      </c>
    </row>
    <row r="20" spans="1:17" x14ac:dyDescent="0.2">
      <c r="A20">
        <v>67</v>
      </c>
      <c r="B20">
        <v>17828873.0300886</v>
      </c>
      <c r="C20">
        <v>17119451.4613631</v>
      </c>
      <c r="D20">
        <v>17903798.820140898</v>
      </c>
      <c r="E20">
        <v>17189881.692823999</v>
      </c>
      <c r="F20">
        <v>13903502.225022299</v>
      </c>
      <c r="G20">
        <v>3215949.2363408799</v>
      </c>
      <c r="H20">
        <v>13973933.1290527</v>
      </c>
      <c r="I20">
        <v>3215948.5637713</v>
      </c>
      <c r="J20">
        <v>189574.584468079</v>
      </c>
      <c r="K20">
        <v>183887.34693403699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</row>
    <row r="21" spans="1:17" x14ac:dyDescent="0.2">
      <c r="A21">
        <v>68</v>
      </c>
      <c r="B21">
        <v>17607873.920510702</v>
      </c>
      <c r="C21">
        <v>16906333.393153399</v>
      </c>
      <c r="D21">
        <v>17683142.557788201</v>
      </c>
      <c r="E21">
        <v>16977085.901208598</v>
      </c>
      <c r="F21">
        <v>13725044.368341099</v>
      </c>
      <c r="G21">
        <v>3181289.0248123598</v>
      </c>
      <c r="H21">
        <v>13795797.5367849</v>
      </c>
      <c r="I21">
        <v>3181288.3644237099</v>
      </c>
      <c r="J21">
        <v>196235.25189871801</v>
      </c>
      <c r="K21">
        <v>190348.194341756</v>
      </c>
      <c r="L21">
        <v>2938048.8347969898</v>
      </c>
      <c r="M21">
        <v>2778581.2705997298</v>
      </c>
      <c r="N21">
        <v>2950593.6057287599</v>
      </c>
      <c r="O21">
        <v>2790373.3533413</v>
      </c>
      <c r="P21">
        <v>32705.875316452901</v>
      </c>
      <c r="Q21">
        <v>31724.6990569593</v>
      </c>
    </row>
    <row r="22" spans="1:17" x14ac:dyDescent="0.2">
      <c r="A22">
        <v>69</v>
      </c>
      <c r="B22">
        <v>17422856.6287908</v>
      </c>
      <c r="C22">
        <v>16728377.4224099</v>
      </c>
      <c r="D22">
        <v>17497678.977849402</v>
      </c>
      <c r="E22">
        <v>16798710.419826001</v>
      </c>
      <c r="F22">
        <v>13559660.2632138</v>
      </c>
      <c r="G22">
        <v>3168717.1591961398</v>
      </c>
      <c r="H22">
        <v>13629993.903784901</v>
      </c>
      <c r="I22">
        <v>3168716.5160411298</v>
      </c>
      <c r="J22">
        <v>217358.08709325999</v>
      </c>
      <c r="K22">
        <v>210837.34448046199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</row>
    <row r="23" spans="1:17" x14ac:dyDescent="0.2">
      <c r="A23">
        <v>70</v>
      </c>
      <c r="B23">
        <v>17533916.019958802</v>
      </c>
      <c r="C23">
        <v>16833546.816495601</v>
      </c>
      <c r="D23">
        <v>17610713.2762964</v>
      </c>
      <c r="E23">
        <v>16905736.226718798</v>
      </c>
      <c r="F23">
        <v>13571771.292187501</v>
      </c>
      <c r="G23">
        <v>3261775.5243081502</v>
      </c>
      <c r="H23">
        <v>13643961.347377799</v>
      </c>
      <c r="I23">
        <v>3261774.8793410198</v>
      </c>
      <c r="J23">
        <v>244532.804456988</v>
      </c>
      <c r="K23">
        <v>237196.82032327799</v>
      </c>
      <c r="L23">
        <v>2924943.2517309799</v>
      </c>
      <c r="M23">
        <v>2760912.2575745801</v>
      </c>
      <c r="N23">
        <v>2937742.79255069</v>
      </c>
      <c r="O23">
        <v>2772943.8240551502</v>
      </c>
      <c r="P23">
        <v>40755.467409498</v>
      </c>
      <c r="Q23">
        <v>39532.803387213004</v>
      </c>
    </row>
    <row r="24" spans="1:17" x14ac:dyDescent="0.2">
      <c r="A24">
        <v>71</v>
      </c>
      <c r="B24">
        <v>17341359.6971667</v>
      </c>
      <c r="C24">
        <v>16647482.2121292</v>
      </c>
      <c r="D24">
        <v>17418405.3972896</v>
      </c>
      <c r="E24">
        <v>16719905.160243601</v>
      </c>
      <c r="F24">
        <v>13371999.270093201</v>
      </c>
      <c r="G24">
        <v>3275482.9420360099</v>
      </c>
      <c r="H24">
        <v>13444422.8386306</v>
      </c>
      <c r="I24">
        <v>3275482.32161299</v>
      </c>
      <c r="J24">
        <v>265356.12579958298</v>
      </c>
      <c r="K24">
        <v>257395.44202559601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</row>
    <row r="25" spans="1:17" x14ac:dyDescent="0.2">
      <c r="A25">
        <v>72</v>
      </c>
      <c r="B25">
        <v>17649597.2947031</v>
      </c>
      <c r="C25">
        <v>16942027.917582199</v>
      </c>
      <c r="D25">
        <v>17729657.2109708</v>
      </c>
      <c r="E25">
        <v>17017283.8586188</v>
      </c>
      <c r="F25">
        <v>13574765.059368299</v>
      </c>
      <c r="G25">
        <v>3367262.8582138899</v>
      </c>
      <c r="H25">
        <v>13650021.6290123</v>
      </c>
      <c r="I25">
        <v>3367262.2296064799</v>
      </c>
      <c r="J25">
        <v>291976.48066224001</v>
      </c>
      <c r="K25">
        <v>283217.18624237197</v>
      </c>
      <c r="L25">
        <v>2943757.4270926798</v>
      </c>
      <c r="M25">
        <v>2778037.7782029598</v>
      </c>
      <c r="N25">
        <v>2957100.6790495398</v>
      </c>
      <c r="O25">
        <v>2790580.4332591998</v>
      </c>
      <c r="P25">
        <v>48662.746777040004</v>
      </c>
      <c r="Q25">
        <v>47202.8643737288</v>
      </c>
    </row>
    <row r="26" spans="1:17" x14ac:dyDescent="0.2">
      <c r="A26">
        <v>73</v>
      </c>
      <c r="B26">
        <v>18770854.236458499</v>
      </c>
      <c r="C26">
        <v>18015592.958938502</v>
      </c>
      <c r="D26">
        <v>18857975.258619498</v>
      </c>
      <c r="E26">
        <v>18097486.318917301</v>
      </c>
      <c r="F26">
        <v>14390522.188567599</v>
      </c>
      <c r="G26">
        <v>3625070.7703709002</v>
      </c>
      <c r="H26">
        <v>14472416.2146034</v>
      </c>
      <c r="I26">
        <v>3625070.1043138802</v>
      </c>
      <c r="J26">
        <v>333733.23840167403</v>
      </c>
      <c r="K26">
        <v>323721.241249624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</row>
    <row r="27" spans="1:17" x14ac:dyDescent="0.2">
      <c r="A27">
        <v>74</v>
      </c>
      <c r="B27">
        <v>18673565.250194602</v>
      </c>
      <c r="C27">
        <v>17920179.663127501</v>
      </c>
      <c r="D27">
        <v>18760522.8292077</v>
      </c>
      <c r="E27">
        <v>18001919.389614802</v>
      </c>
      <c r="F27">
        <v>14251306.509512899</v>
      </c>
      <c r="G27">
        <v>3668873.1536145699</v>
      </c>
      <c r="H27">
        <v>14333046.889778901</v>
      </c>
      <c r="I27">
        <v>3668872.4998359699</v>
      </c>
      <c r="J27">
        <v>343559.64756132301</v>
      </c>
      <c r="K27">
        <v>333252.85813448299</v>
      </c>
      <c r="L27">
        <v>3113905.1524401498</v>
      </c>
      <c r="M27">
        <v>2937829.5974040399</v>
      </c>
      <c r="N27">
        <v>3128398.0117464098</v>
      </c>
      <c r="O27">
        <v>2951452.8833072898</v>
      </c>
      <c r="P27">
        <v>57259.941260220497</v>
      </c>
      <c r="Q27">
        <v>55542.143022413897</v>
      </c>
    </row>
    <row r="28" spans="1:17" x14ac:dyDescent="0.2">
      <c r="A28">
        <v>75</v>
      </c>
      <c r="B28">
        <v>18822891.490728602</v>
      </c>
      <c r="C28">
        <v>18061741.945347201</v>
      </c>
      <c r="D28">
        <v>18911234.982248899</v>
      </c>
      <c r="E28">
        <v>18144784.428559601</v>
      </c>
      <c r="F28">
        <v>14319772.258366801</v>
      </c>
      <c r="G28">
        <v>3741969.6869803802</v>
      </c>
      <c r="H28">
        <v>14402815.388896</v>
      </c>
      <c r="I28">
        <v>3741969.03966359</v>
      </c>
      <c r="J28">
        <v>374561.30121733999</v>
      </c>
      <c r="K28">
        <v>363324.46218081901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</row>
    <row r="29" spans="1:17" x14ac:dyDescent="0.2">
      <c r="A29">
        <v>76</v>
      </c>
      <c r="B29">
        <v>19051380.330890398</v>
      </c>
      <c r="C29">
        <v>18279707.478290599</v>
      </c>
      <c r="D29">
        <v>19141980.4598989</v>
      </c>
      <c r="E29">
        <v>18364871.197668198</v>
      </c>
      <c r="F29">
        <v>14456928.7872847</v>
      </c>
      <c r="G29">
        <v>3822778.6910059098</v>
      </c>
      <c r="H29">
        <v>14542093.1618091</v>
      </c>
      <c r="I29">
        <v>3822778.0358591499</v>
      </c>
      <c r="J29">
        <v>386669.97199841897</v>
      </c>
      <c r="K29">
        <v>375069.87283846701</v>
      </c>
      <c r="L29">
        <v>3176518.8355593001</v>
      </c>
      <c r="M29">
        <v>2996341.9896058301</v>
      </c>
      <c r="N29">
        <v>3191618.7858035602</v>
      </c>
      <c r="O29">
        <v>3010535.94100108</v>
      </c>
      <c r="P29">
        <v>64444.995333069899</v>
      </c>
      <c r="Q29">
        <v>62511.645473077799</v>
      </c>
    </row>
    <row r="30" spans="1:17" x14ac:dyDescent="0.2">
      <c r="A30">
        <v>77</v>
      </c>
      <c r="B30">
        <v>19241009.137428001</v>
      </c>
      <c r="C30">
        <v>18459839.002742</v>
      </c>
      <c r="D30">
        <v>19334502.839756001</v>
      </c>
      <c r="E30">
        <v>18547722.678441402</v>
      </c>
      <c r="F30">
        <v>14561924.6373077</v>
      </c>
      <c r="G30">
        <v>3897914.36543433</v>
      </c>
      <c r="H30">
        <v>14649808.9697675</v>
      </c>
      <c r="I30">
        <v>3897913.70867392</v>
      </c>
      <c r="J30">
        <v>410012.86200984201</v>
      </c>
      <c r="K30">
        <v>397712.47614954697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</row>
    <row r="31" spans="1:17" x14ac:dyDescent="0.2">
      <c r="A31">
        <v>78</v>
      </c>
      <c r="B31">
        <v>19535949.554488402</v>
      </c>
      <c r="C31">
        <v>18741314.504130501</v>
      </c>
      <c r="D31">
        <v>19632162.0706589</v>
      </c>
      <c r="E31">
        <v>18831752.663272198</v>
      </c>
      <c r="F31">
        <v>14758668.738194101</v>
      </c>
      <c r="G31">
        <v>3982645.7659363798</v>
      </c>
      <c r="H31">
        <v>14849107.5593495</v>
      </c>
      <c r="I31">
        <v>3982645.10392268</v>
      </c>
      <c r="J31">
        <v>441849.73328282201</v>
      </c>
      <c r="K31">
        <v>428594.24128433701</v>
      </c>
      <c r="L31">
        <v>3257003.69919487</v>
      </c>
      <c r="M31">
        <v>3071835.4618207999</v>
      </c>
      <c r="N31">
        <v>3273038.8337944699</v>
      </c>
      <c r="O31">
        <v>3086908.4864935102</v>
      </c>
      <c r="P31">
        <v>73641.622213803596</v>
      </c>
      <c r="Q31">
        <v>71432.373547389507</v>
      </c>
    </row>
    <row r="32" spans="1:17" x14ac:dyDescent="0.2">
      <c r="A32">
        <v>79</v>
      </c>
      <c r="B32">
        <v>19757395.279319599</v>
      </c>
      <c r="C32">
        <v>18952522.4885998</v>
      </c>
      <c r="D32">
        <v>19855447.6280316</v>
      </c>
      <c r="E32">
        <v>19044690.0781058</v>
      </c>
      <c r="F32">
        <v>14893334.797843</v>
      </c>
      <c r="G32">
        <v>4059187.6907568201</v>
      </c>
      <c r="H32">
        <v>14985503.054401699</v>
      </c>
      <c r="I32">
        <v>4059187.0237040902</v>
      </c>
      <c r="J32">
        <v>474150.404985898</v>
      </c>
      <c r="K32">
        <v>459925.89283632103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</row>
    <row r="33" spans="1:17" x14ac:dyDescent="0.2">
      <c r="A33">
        <v>80</v>
      </c>
      <c r="B33">
        <v>20011318.766922299</v>
      </c>
      <c r="C33">
        <v>19194824.684975099</v>
      </c>
      <c r="D33">
        <v>20111482.296240099</v>
      </c>
      <c r="E33">
        <v>19288973.6111403</v>
      </c>
      <c r="F33">
        <v>15036414.721374599</v>
      </c>
      <c r="G33">
        <v>4158409.9636004702</v>
      </c>
      <c r="H33">
        <v>15130564.317439601</v>
      </c>
      <c r="I33">
        <v>4158409.2937006499</v>
      </c>
      <c r="J33">
        <v>507002.89740467101</v>
      </c>
      <c r="K33">
        <v>491792.81048253097</v>
      </c>
      <c r="L33">
        <v>3336483.6554521001</v>
      </c>
      <c r="M33">
        <v>3146477.6249783202</v>
      </c>
      <c r="N33">
        <v>3353176.7274671998</v>
      </c>
      <c r="O33">
        <v>3162169.1108098901</v>
      </c>
      <c r="P33">
        <v>84500.482900778501</v>
      </c>
      <c r="Q33">
        <v>81965.468413755196</v>
      </c>
    </row>
    <row r="34" spans="1:17" x14ac:dyDescent="0.2">
      <c r="A34">
        <v>81</v>
      </c>
      <c r="B34">
        <v>20199143.556660801</v>
      </c>
      <c r="C34">
        <v>19373349.2376398</v>
      </c>
      <c r="D34">
        <v>20300807.4101687</v>
      </c>
      <c r="E34">
        <v>19468908.591366999</v>
      </c>
      <c r="F34">
        <v>15127502.3688458</v>
      </c>
      <c r="G34">
        <v>4245846.8687939597</v>
      </c>
      <c r="H34">
        <v>15223062.39646</v>
      </c>
      <c r="I34">
        <v>4245846.1949069602</v>
      </c>
      <c r="J34">
        <v>516348.32388676301</v>
      </c>
      <c r="K34">
        <v>500857.87417015998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</row>
    <row r="35" spans="1:17" x14ac:dyDescent="0.2">
      <c r="A35">
        <v>82</v>
      </c>
      <c r="B35">
        <v>20305461.9736096</v>
      </c>
      <c r="C35">
        <v>19474511.744295102</v>
      </c>
      <c r="D35">
        <v>20406977.302225001</v>
      </c>
      <c r="E35">
        <v>19569931.4615</v>
      </c>
      <c r="F35">
        <v>15188342.909913801</v>
      </c>
      <c r="G35">
        <v>4286168.8343813</v>
      </c>
      <c r="H35">
        <v>15283763.304343401</v>
      </c>
      <c r="I35">
        <v>4286168.1571565401</v>
      </c>
      <c r="J35">
        <v>518617.88603131898</v>
      </c>
      <c r="K35">
        <v>503059.34945038002</v>
      </c>
      <c r="L35">
        <v>3386297.4956505098</v>
      </c>
      <c r="M35">
        <v>3193187.10489889</v>
      </c>
      <c r="N35">
        <v>3403215.8852258502</v>
      </c>
      <c r="O35">
        <v>3209090.6642443901</v>
      </c>
      <c r="P35">
        <v>86436.314338553202</v>
      </c>
      <c r="Q35">
        <v>83843.224908396602</v>
      </c>
    </row>
    <row r="36" spans="1:17" x14ac:dyDescent="0.2">
      <c r="A36">
        <v>83</v>
      </c>
      <c r="B36">
        <v>20491817.972861301</v>
      </c>
      <c r="C36">
        <v>19651574.542167701</v>
      </c>
      <c r="D36">
        <v>20595760.443882398</v>
      </c>
      <c r="E36">
        <v>19749275.7414423</v>
      </c>
      <c r="F36">
        <v>15303940.785082599</v>
      </c>
      <c r="G36">
        <v>4347633.7570851203</v>
      </c>
      <c r="H36">
        <v>15401642.6728466</v>
      </c>
      <c r="I36">
        <v>4347633.0685957596</v>
      </c>
      <c r="J36">
        <v>544219.80014363094</v>
      </c>
      <c r="K36">
        <v>527893.20613932202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</row>
    <row r="37" spans="1:17" x14ac:dyDescent="0.2">
      <c r="A37">
        <v>84</v>
      </c>
      <c r="B37">
        <v>20630806.6604602</v>
      </c>
      <c r="C37">
        <v>19784160.376205899</v>
      </c>
      <c r="D37">
        <v>20735710.797604199</v>
      </c>
      <c r="E37">
        <v>19882765.360507801</v>
      </c>
      <c r="F37">
        <v>15348097.5792732</v>
      </c>
      <c r="G37">
        <v>4436062.7969326796</v>
      </c>
      <c r="H37">
        <v>15446703.256532799</v>
      </c>
      <c r="I37">
        <v>4436062.1039750297</v>
      </c>
      <c r="J37">
        <v>563247.78828404704</v>
      </c>
      <c r="K37">
        <v>546350.35463552503</v>
      </c>
      <c r="L37">
        <v>3439858.1583380201</v>
      </c>
      <c r="M37">
        <v>3243016.74937191</v>
      </c>
      <c r="N37">
        <v>3457341.3115830501</v>
      </c>
      <c r="O37">
        <v>3259451.18971786</v>
      </c>
      <c r="P37">
        <v>93874.6313806744</v>
      </c>
      <c r="Q37">
        <v>91058.392439254196</v>
      </c>
    </row>
    <row r="38" spans="1:17" x14ac:dyDescent="0.2">
      <c r="A38">
        <v>85</v>
      </c>
      <c r="B38">
        <v>20881986.896646801</v>
      </c>
      <c r="C38">
        <v>20023785.298516098</v>
      </c>
      <c r="D38">
        <v>20988677.138944801</v>
      </c>
      <c r="E38">
        <v>20124070.108830199</v>
      </c>
      <c r="F38">
        <v>15472206.4771097</v>
      </c>
      <c r="G38">
        <v>4551578.8214063998</v>
      </c>
      <c r="H38">
        <v>15572491.985019499</v>
      </c>
      <c r="I38">
        <v>4551578.1238106703</v>
      </c>
      <c r="J38">
        <v>585015.365267716</v>
      </c>
      <c r="K38">
        <v>567464.90430968395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</row>
    <row r="39" spans="1:17" x14ac:dyDescent="0.2">
      <c r="A39">
        <v>86</v>
      </c>
      <c r="B39">
        <v>21040966.4836592</v>
      </c>
      <c r="C39">
        <v>20174480.278400499</v>
      </c>
      <c r="D39">
        <v>21149114.455262199</v>
      </c>
      <c r="E39">
        <v>20276135.3350848</v>
      </c>
      <c r="F39">
        <v>15569767.488724699</v>
      </c>
      <c r="G39">
        <v>4604712.7896757796</v>
      </c>
      <c r="H39">
        <v>15671423.230854699</v>
      </c>
      <c r="I39">
        <v>4604712.1042301496</v>
      </c>
      <c r="J39">
        <v>603481.93722542096</v>
      </c>
      <c r="K39">
        <v>585377.47910865804</v>
      </c>
      <c r="L39">
        <v>3506583.7109155101</v>
      </c>
      <c r="M39">
        <v>3305177.7991668498</v>
      </c>
      <c r="N39">
        <v>3524607.6571361399</v>
      </c>
      <c r="O39">
        <v>3322120.5882029198</v>
      </c>
      <c r="P39">
        <v>100580.32287090299</v>
      </c>
      <c r="Q39">
        <v>97562.913184776306</v>
      </c>
    </row>
    <row r="40" spans="1:17" x14ac:dyDescent="0.2">
      <c r="A40">
        <v>87</v>
      </c>
      <c r="B40">
        <v>21294037.615672398</v>
      </c>
      <c r="C40">
        <v>20415199.291133299</v>
      </c>
      <c r="D40">
        <v>21404980.260737199</v>
      </c>
      <c r="E40">
        <v>20519480.837352999</v>
      </c>
      <c r="F40">
        <v>15741743.4717458</v>
      </c>
      <c r="G40">
        <v>4673455.8193875197</v>
      </c>
      <c r="H40">
        <v>15846025.7068858</v>
      </c>
      <c r="I40">
        <v>4673455.1304672696</v>
      </c>
      <c r="J40">
        <v>633909.51627573802</v>
      </c>
      <c r="K40">
        <v>614892.230787465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</row>
    <row r="41" spans="1:17" x14ac:dyDescent="0.2">
      <c r="A41">
        <v>88</v>
      </c>
      <c r="B41">
        <v>21515306.692922801</v>
      </c>
      <c r="C41">
        <v>20626248.114905201</v>
      </c>
      <c r="D41">
        <v>21628251.0936165</v>
      </c>
      <c r="E41">
        <v>20732411.2894485</v>
      </c>
      <c r="F41">
        <v>15879473.342684999</v>
      </c>
      <c r="G41">
        <v>4746774.7722201897</v>
      </c>
      <c r="H41">
        <v>15985637.2058213</v>
      </c>
      <c r="I41">
        <v>4746774.0836272603</v>
      </c>
      <c r="J41">
        <v>705253.15629732795</v>
      </c>
      <c r="K41">
        <v>684095.561608408</v>
      </c>
      <c r="L41">
        <v>3587102.5915077501</v>
      </c>
      <c r="M41">
        <v>3381400.6109835799</v>
      </c>
      <c r="N41">
        <v>3605925.8494055099</v>
      </c>
      <c r="O41">
        <v>3399095.0258096899</v>
      </c>
      <c r="P41">
        <v>117542.192716221</v>
      </c>
      <c r="Q41">
        <v>114015.92693473501</v>
      </c>
    </row>
    <row r="42" spans="1:17" x14ac:dyDescent="0.2">
      <c r="A42">
        <v>89</v>
      </c>
      <c r="B42">
        <v>21737931.929911401</v>
      </c>
      <c r="C42">
        <v>20838286.0784068</v>
      </c>
      <c r="D42">
        <v>21853360.798025999</v>
      </c>
      <c r="E42">
        <v>20946784.622141</v>
      </c>
      <c r="F42">
        <v>15937203.867265901</v>
      </c>
      <c r="G42">
        <v>4901082.2111408897</v>
      </c>
      <c r="H42">
        <v>16045703.104562899</v>
      </c>
      <c r="I42">
        <v>4901081.5175780999</v>
      </c>
      <c r="J42">
        <v>773034.50903430302</v>
      </c>
      <c r="K42">
        <v>749843.47376327403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</row>
    <row r="43" spans="1:17" x14ac:dyDescent="0.2">
      <c r="A43">
        <v>90</v>
      </c>
      <c r="B43">
        <v>21966787.555846199</v>
      </c>
      <c r="C43">
        <v>21056028.309091002</v>
      </c>
      <c r="D43">
        <v>22084116.988538198</v>
      </c>
      <c r="E43">
        <v>21166313.362091001</v>
      </c>
      <c r="F43">
        <v>16080723.8133242</v>
      </c>
      <c r="G43">
        <v>4975304.4957668604</v>
      </c>
      <c r="H43">
        <v>16191009.5385582</v>
      </c>
      <c r="I43">
        <v>4975303.8235328104</v>
      </c>
      <c r="J43">
        <v>858831.63266931905</v>
      </c>
      <c r="K43">
        <v>833066.68368924002</v>
      </c>
      <c r="L43">
        <v>3661358.3650588002</v>
      </c>
      <c r="M43">
        <v>3451573.2216591798</v>
      </c>
      <c r="N43">
        <v>3680912.4524701498</v>
      </c>
      <c r="O43">
        <v>3469954.6518505001</v>
      </c>
      <c r="P43">
        <v>143138.60544488701</v>
      </c>
      <c r="Q43">
        <v>138844.44728153999</v>
      </c>
    </row>
    <row r="44" spans="1:17" x14ac:dyDescent="0.2">
      <c r="A44">
        <v>91</v>
      </c>
      <c r="B44">
        <v>22258738.880340502</v>
      </c>
      <c r="C44">
        <v>21334823.4474205</v>
      </c>
      <c r="D44">
        <v>22377589.5911212</v>
      </c>
      <c r="E44">
        <v>21446537.559985399</v>
      </c>
      <c r="F44">
        <v>16234961.8404736</v>
      </c>
      <c r="G44">
        <v>5099861.6069469498</v>
      </c>
      <c r="H44">
        <v>16346676.6256127</v>
      </c>
      <c r="I44">
        <v>5099860.9343726104</v>
      </c>
      <c r="J44">
        <v>901535.49621989299</v>
      </c>
      <c r="K44">
        <v>874489.43133329705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</row>
    <row r="45" spans="1:17" x14ac:dyDescent="0.2">
      <c r="A45">
        <v>92</v>
      </c>
      <c r="B45">
        <v>22469888.274127901</v>
      </c>
      <c r="C45">
        <v>21536848.648409199</v>
      </c>
      <c r="D45">
        <v>22590245.352066901</v>
      </c>
      <c r="E45">
        <v>21649978.7389226</v>
      </c>
      <c r="F45">
        <v>16411811.8036297</v>
      </c>
      <c r="G45">
        <v>5125036.8447794896</v>
      </c>
      <c r="H45">
        <v>16524942.564512501</v>
      </c>
      <c r="I45">
        <v>5125036.1744101802</v>
      </c>
      <c r="J45">
        <v>994880.60741972004</v>
      </c>
      <c r="K45">
        <v>965034.18919712806</v>
      </c>
      <c r="L45">
        <v>3744207.7977318699</v>
      </c>
      <c r="M45">
        <v>3530044.8942686198</v>
      </c>
      <c r="N45">
        <v>3764266.32441865</v>
      </c>
      <c r="O45">
        <v>3548900.5020380602</v>
      </c>
      <c r="P45">
        <v>165813.43456995301</v>
      </c>
      <c r="Q45">
        <v>160839.03153285501</v>
      </c>
    </row>
    <row r="46" spans="1:17" x14ac:dyDescent="0.2">
      <c r="A46">
        <v>93</v>
      </c>
      <c r="B46">
        <v>22596351.557097599</v>
      </c>
      <c r="C46">
        <v>21657982.878465101</v>
      </c>
      <c r="D46">
        <v>22718060.765985601</v>
      </c>
      <c r="E46">
        <v>21772383.964990102</v>
      </c>
      <c r="F46">
        <v>16475224.8953461</v>
      </c>
      <c r="G46">
        <v>5182757.98311905</v>
      </c>
      <c r="H46">
        <v>16589626.647531601</v>
      </c>
      <c r="I46">
        <v>5182757.3174584899</v>
      </c>
      <c r="J46">
        <v>1067429.31905317</v>
      </c>
      <c r="K46">
        <v>1035406.43948157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</row>
    <row r="47" spans="1:17" x14ac:dyDescent="0.2">
      <c r="A47">
        <v>94</v>
      </c>
      <c r="B47">
        <v>22725597.498585001</v>
      </c>
      <c r="C47">
        <v>21781225.985646099</v>
      </c>
      <c r="D47">
        <v>22849548.208697401</v>
      </c>
      <c r="E47">
        <v>21897735.082895301</v>
      </c>
      <c r="F47">
        <v>16556342.2887851</v>
      </c>
      <c r="G47">
        <v>5224883.6968610696</v>
      </c>
      <c r="H47">
        <v>16672852.030476499</v>
      </c>
      <c r="I47">
        <v>5224883.0524188196</v>
      </c>
      <c r="J47">
        <v>1162359.3911186999</v>
      </c>
      <c r="K47">
        <v>1127488.60938514</v>
      </c>
      <c r="L47">
        <v>3786827.1537889899</v>
      </c>
      <c r="M47">
        <v>3571023.2290981798</v>
      </c>
      <c r="N47">
        <v>3807484.7951452299</v>
      </c>
      <c r="O47">
        <v>3590442.0063129701</v>
      </c>
      <c r="P47">
        <v>193726.56518645099</v>
      </c>
      <c r="Q47">
        <v>187914.76823085701</v>
      </c>
    </row>
    <row r="48" spans="1:17" x14ac:dyDescent="0.2">
      <c r="A48">
        <v>95</v>
      </c>
      <c r="B48">
        <v>22811462.7677885</v>
      </c>
      <c r="C48">
        <v>21863153.6433504</v>
      </c>
      <c r="D48">
        <v>22936383.608121902</v>
      </c>
      <c r="E48">
        <v>21980574.657052699</v>
      </c>
      <c r="F48">
        <v>16610233.028437199</v>
      </c>
      <c r="G48">
        <v>5252920.6149131795</v>
      </c>
      <c r="H48">
        <v>16727654.6889318</v>
      </c>
      <c r="I48">
        <v>5252919.9681208497</v>
      </c>
      <c r="J48">
        <v>1231995.2226048801</v>
      </c>
      <c r="K48">
        <v>1195035.36592673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</row>
    <row r="49" spans="1:17" x14ac:dyDescent="0.2">
      <c r="A49">
        <v>96</v>
      </c>
      <c r="B49">
        <v>23013335.080423299</v>
      </c>
      <c r="C49">
        <v>22054311.2519022</v>
      </c>
      <c r="D49">
        <v>23139231.736041401</v>
      </c>
      <c r="E49">
        <v>22172649.526617698</v>
      </c>
      <c r="F49">
        <v>16716062.3310181</v>
      </c>
      <c r="G49">
        <v>5338248.9208840895</v>
      </c>
      <c r="H49">
        <v>16834401.236032099</v>
      </c>
      <c r="I49">
        <v>5338248.2905856296</v>
      </c>
      <c r="J49">
        <v>1269114.6315011999</v>
      </c>
      <c r="K49">
        <v>1231041.19255616</v>
      </c>
      <c r="L49">
        <v>3832715.53779164</v>
      </c>
      <c r="M49">
        <v>3614071.2048872402</v>
      </c>
      <c r="N49">
        <v>3853697.5013936898</v>
      </c>
      <c r="O49">
        <v>3633794.8466314101</v>
      </c>
      <c r="P49">
        <v>211519.10525019901</v>
      </c>
      <c r="Q49">
        <v>205173.532092693</v>
      </c>
    </row>
    <row r="50" spans="1:17" x14ac:dyDescent="0.2">
      <c r="A50">
        <v>97</v>
      </c>
      <c r="B50">
        <v>23156630.516714599</v>
      </c>
      <c r="C50">
        <v>22190478.342936199</v>
      </c>
      <c r="D50">
        <v>23283482.727816701</v>
      </c>
      <c r="E50">
        <v>22309714.833934899</v>
      </c>
      <c r="F50">
        <v>16787583.787236098</v>
      </c>
      <c r="G50">
        <v>5402894.5557000702</v>
      </c>
      <c r="H50">
        <v>16906820.909341101</v>
      </c>
      <c r="I50">
        <v>5402893.92459381</v>
      </c>
      <c r="J50">
        <v>1367850.4214786601</v>
      </c>
      <c r="K50">
        <v>1326814.9088343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</row>
    <row r="51" spans="1:17" x14ac:dyDescent="0.2">
      <c r="A51">
        <v>98</v>
      </c>
      <c r="B51">
        <v>23178986.628168698</v>
      </c>
      <c r="C51">
        <v>22211694.0940581</v>
      </c>
      <c r="D51">
        <v>23304682.078816101</v>
      </c>
      <c r="E51">
        <v>22329843.224374998</v>
      </c>
      <c r="F51">
        <v>16784064.830526698</v>
      </c>
      <c r="G51">
        <v>5427629.2635313701</v>
      </c>
      <c r="H51">
        <v>16902214.592755198</v>
      </c>
      <c r="I51">
        <v>5427628.6316197095</v>
      </c>
      <c r="J51">
        <v>1396279.5245878401</v>
      </c>
      <c r="K51">
        <v>1354391.13885021</v>
      </c>
      <c r="L51">
        <v>3863159.1107779299</v>
      </c>
      <c r="M51">
        <v>3643893.5147357602</v>
      </c>
      <c r="N51">
        <v>3884107.5381390699</v>
      </c>
      <c r="O51">
        <v>3663585.3414458199</v>
      </c>
      <c r="P51">
        <v>232713.25409797399</v>
      </c>
      <c r="Q51">
        <v>225731.85647503499</v>
      </c>
    </row>
    <row r="52" spans="1:17" x14ac:dyDescent="0.2">
      <c r="A52">
        <v>99</v>
      </c>
      <c r="B52">
        <v>23297822.973255001</v>
      </c>
      <c r="C52">
        <v>22324341.538683601</v>
      </c>
      <c r="D52">
        <v>23424884.594599999</v>
      </c>
      <c r="E52">
        <v>22443778.265726201</v>
      </c>
      <c r="F52">
        <v>16823866.732680298</v>
      </c>
      <c r="G52">
        <v>5500474.8060033796</v>
      </c>
      <c r="H52">
        <v>16943304.075056098</v>
      </c>
      <c r="I52">
        <v>5500474.1906700898</v>
      </c>
      <c r="J52">
        <v>1473448.3236565599</v>
      </c>
      <c r="K52">
        <v>1429244.87394686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</row>
    <row r="53" spans="1:17" x14ac:dyDescent="0.2">
      <c r="A53">
        <v>100</v>
      </c>
      <c r="B53">
        <v>23459797.472839199</v>
      </c>
      <c r="C53">
        <v>22478896.200214099</v>
      </c>
      <c r="D53">
        <v>23588052.149258099</v>
      </c>
      <c r="E53">
        <v>22599454.307613399</v>
      </c>
      <c r="F53">
        <v>16947651.3109647</v>
      </c>
      <c r="G53">
        <v>5531244.8892494496</v>
      </c>
      <c r="H53">
        <v>17068210.0010354</v>
      </c>
      <c r="I53">
        <v>5531244.30657796</v>
      </c>
      <c r="J53">
        <v>1557575.184479</v>
      </c>
      <c r="K53">
        <v>1510847.9289446301</v>
      </c>
      <c r="L53">
        <v>3908141.2172825299</v>
      </c>
      <c r="M53">
        <v>3686448.0357778701</v>
      </c>
      <c r="N53">
        <v>3929516.7682398502</v>
      </c>
      <c r="O53">
        <v>3706541.3598136101</v>
      </c>
      <c r="P53">
        <v>259595.864079833</v>
      </c>
      <c r="Q53">
        <v>251807.988157438</v>
      </c>
    </row>
    <row r="54" spans="1:17" x14ac:dyDescent="0.2">
      <c r="A54">
        <v>101</v>
      </c>
      <c r="B54">
        <v>23623948.2767541</v>
      </c>
      <c r="C54">
        <v>22635056.421257298</v>
      </c>
      <c r="D54">
        <v>23752749.735629901</v>
      </c>
      <c r="E54">
        <v>22756128.5022076</v>
      </c>
      <c r="F54">
        <v>17031382.179293901</v>
      </c>
      <c r="G54">
        <v>5603674.2419634499</v>
      </c>
      <c r="H54">
        <v>17152454.856491599</v>
      </c>
      <c r="I54">
        <v>5603673.6457159203</v>
      </c>
      <c r="J54">
        <v>1644651.79764262</v>
      </c>
      <c r="K54">
        <v>1595312.24371334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</row>
    <row r="55" spans="1:17" x14ac:dyDescent="0.2">
      <c r="A55">
        <v>102</v>
      </c>
      <c r="B55">
        <v>23754604.940095998</v>
      </c>
      <c r="C55">
        <v>22759591.6503167</v>
      </c>
      <c r="D55">
        <v>23884471.936474301</v>
      </c>
      <c r="E55">
        <v>22881664.8077516</v>
      </c>
      <c r="F55">
        <v>17123687.9833402</v>
      </c>
      <c r="G55">
        <v>5635903.6669764398</v>
      </c>
      <c r="H55">
        <v>17245761.735951301</v>
      </c>
      <c r="I55">
        <v>5635903.07180038</v>
      </c>
      <c r="J55">
        <v>1700426.8852983499</v>
      </c>
      <c r="K55">
        <v>1649414.0787394</v>
      </c>
      <c r="L55">
        <v>3957961.27453533</v>
      </c>
      <c r="M55">
        <v>3734005.8866546499</v>
      </c>
      <c r="N55">
        <v>3979605.4513854999</v>
      </c>
      <c r="O55">
        <v>3754352.1168836602</v>
      </c>
      <c r="P55">
        <v>283404.48088305799</v>
      </c>
      <c r="Q55">
        <v>274902.346456567</v>
      </c>
    </row>
    <row r="56" spans="1:17" x14ac:dyDescent="0.2">
      <c r="A56">
        <v>103</v>
      </c>
      <c r="B56">
        <v>23932807.536854599</v>
      </c>
      <c r="C56">
        <v>22928532.3534621</v>
      </c>
      <c r="D56">
        <v>24063735.7913303</v>
      </c>
      <c r="E56">
        <v>23051603.091234699</v>
      </c>
      <c r="F56">
        <v>17223736.068468101</v>
      </c>
      <c r="G56">
        <v>5704796.2849940704</v>
      </c>
      <c r="H56">
        <v>17346807.4021798</v>
      </c>
      <c r="I56">
        <v>5704795.6890549604</v>
      </c>
      <c r="J56">
        <v>1761101.2889871199</v>
      </c>
      <c r="K56">
        <v>1708268.25031751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</row>
    <row r="57" spans="1:17" x14ac:dyDescent="0.2">
      <c r="A57">
        <v>104</v>
      </c>
      <c r="B57">
        <v>24123998.101417899</v>
      </c>
      <c r="C57">
        <v>23110502.8528504</v>
      </c>
      <c r="D57">
        <v>24253959.977298699</v>
      </c>
      <c r="E57">
        <v>23232665.192338102</v>
      </c>
      <c r="F57">
        <v>17266325.048980601</v>
      </c>
      <c r="G57">
        <v>5844177.8038698304</v>
      </c>
      <c r="H57">
        <v>17388487.981051099</v>
      </c>
      <c r="I57">
        <v>5844177.2112870105</v>
      </c>
      <c r="J57">
        <v>1859259.1091175501</v>
      </c>
      <c r="K57">
        <v>1803481.3358440199</v>
      </c>
      <c r="L57">
        <v>4015264.7941947998</v>
      </c>
      <c r="M57">
        <v>3787302.8184537101</v>
      </c>
      <c r="N57">
        <v>4036924.78346567</v>
      </c>
      <c r="O57">
        <v>3807663.9140909999</v>
      </c>
      <c r="P57">
        <v>309876.51818625798</v>
      </c>
      <c r="Q57">
        <v>300580.22264067002</v>
      </c>
    </row>
    <row r="58" spans="1:17" x14ac:dyDescent="0.2">
      <c r="A58">
        <v>105</v>
      </c>
      <c r="B58">
        <v>24225210.952475999</v>
      </c>
      <c r="C58">
        <v>23206665.198955499</v>
      </c>
      <c r="D58">
        <v>24356242.9406223</v>
      </c>
      <c r="E58">
        <v>23329833.4414078</v>
      </c>
      <c r="F58">
        <v>17365100.2960627</v>
      </c>
      <c r="G58">
        <v>5841564.9028928299</v>
      </c>
      <c r="H58">
        <v>17488269.135073502</v>
      </c>
      <c r="I58">
        <v>5841564.3063343503</v>
      </c>
      <c r="J58">
        <v>1903400.7788645199</v>
      </c>
      <c r="K58">
        <v>1846298.7554985899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</row>
    <row r="59" spans="1:17" x14ac:dyDescent="0.2">
      <c r="A59">
        <v>106</v>
      </c>
      <c r="B59">
        <v>24318630.1634253</v>
      </c>
      <c r="C59">
        <v>23296416.833748002</v>
      </c>
      <c r="D59">
        <v>24449477.032971799</v>
      </c>
      <c r="E59">
        <v>23419411.062607799</v>
      </c>
      <c r="F59">
        <v>17417770.7108954</v>
      </c>
      <c r="G59">
        <v>5878646.1228525704</v>
      </c>
      <c r="H59">
        <v>17540765.536768101</v>
      </c>
      <c r="I59">
        <v>5878645.52583976</v>
      </c>
      <c r="J59">
        <v>1982489.7097126599</v>
      </c>
      <c r="K59">
        <v>1923015.01842128</v>
      </c>
      <c r="L59">
        <v>4047556.0366186402</v>
      </c>
      <c r="M59">
        <v>3818303.2204428399</v>
      </c>
      <c r="N59">
        <v>4069363.5240051402</v>
      </c>
      <c r="O59">
        <v>3838802.96601074</v>
      </c>
      <c r="P59">
        <v>330414.95161877602</v>
      </c>
      <c r="Q59">
        <v>320502.50307021302</v>
      </c>
    </row>
    <row r="60" spans="1:17" x14ac:dyDescent="0.2">
      <c r="A60">
        <v>107</v>
      </c>
      <c r="B60">
        <v>24517179.256250899</v>
      </c>
      <c r="C60">
        <v>23485359.501697499</v>
      </c>
      <c r="D60">
        <v>24646377.394094199</v>
      </c>
      <c r="E60">
        <v>23606803.921482399</v>
      </c>
      <c r="F60">
        <v>17520683.019778401</v>
      </c>
      <c r="G60">
        <v>5964676.4819191601</v>
      </c>
      <c r="H60">
        <v>17642128.037668701</v>
      </c>
      <c r="I60">
        <v>5964675.8838137398</v>
      </c>
      <c r="J60">
        <v>2008927.61716763</v>
      </c>
      <c r="K60">
        <v>1948659.7886526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</row>
    <row r="61" spans="1:17" x14ac:dyDescent="0.2">
      <c r="A61">
        <v>108</v>
      </c>
      <c r="B61">
        <v>24525150.0527592</v>
      </c>
      <c r="C61">
        <v>23493503.1406647</v>
      </c>
      <c r="D61">
        <v>24654637.156212501</v>
      </c>
      <c r="E61">
        <v>23615219.187172201</v>
      </c>
      <c r="F61">
        <v>17513117.008875899</v>
      </c>
      <c r="G61">
        <v>5980386.1317887995</v>
      </c>
      <c r="H61">
        <v>17634833.648174699</v>
      </c>
      <c r="I61">
        <v>5980385.5389975403</v>
      </c>
      <c r="J61">
        <v>2075689.3679657199</v>
      </c>
      <c r="K61">
        <v>2013418.68692675</v>
      </c>
      <c r="L61">
        <v>4081547.8540233299</v>
      </c>
      <c r="M61">
        <v>3850482.74683289</v>
      </c>
      <c r="N61">
        <v>4103128.7133331699</v>
      </c>
      <c r="O61">
        <v>3870769.4629558502</v>
      </c>
      <c r="P61">
        <v>345948.22799428599</v>
      </c>
      <c r="Q61">
        <v>335569.781154458</v>
      </c>
    </row>
    <row r="62" spans="1:17" x14ac:dyDescent="0.2">
      <c r="A62">
        <v>109</v>
      </c>
      <c r="B62">
        <v>24668770.0311823</v>
      </c>
      <c r="C62">
        <v>23630094.1021423</v>
      </c>
      <c r="D62">
        <v>24798634.8284407</v>
      </c>
      <c r="E62">
        <v>23752164.8917224</v>
      </c>
      <c r="F62">
        <v>17605668.069189198</v>
      </c>
      <c r="G62">
        <v>6024426.0329531301</v>
      </c>
      <c r="H62">
        <v>17727739.4503778</v>
      </c>
      <c r="I62">
        <v>6024425.4413446896</v>
      </c>
      <c r="J62">
        <v>2145967.86855932</v>
      </c>
      <c r="K62">
        <v>2081588.83250254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</row>
    <row r="63" spans="1:17" x14ac:dyDescent="0.2">
      <c r="A63">
        <v>110</v>
      </c>
      <c r="B63">
        <v>24769008.1427707</v>
      </c>
      <c r="C63">
        <v>23725866.4242974</v>
      </c>
      <c r="D63">
        <v>24899327.685959399</v>
      </c>
      <c r="E63">
        <v>23848363.476178098</v>
      </c>
      <c r="F63">
        <v>17709336.281719498</v>
      </c>
      <c r="G63">
        <v>6016530.1425779304</v>
      </c>
      <c r="H63">
        <v>17831833.933472201</v>
      </c>
      <c r="I63">
        <v>6016529.5427058702</v>
      </c>
      <c r="J63">
        <v>2202590.10870677</v>
      </c>
      <c r="K63">
        <v>2136512.4054455599</v>
      </c>
      <c r="L63">
        <v>4122359.44987108</v>
      </c>
      <c r="M63">
        <v>3889395.6532106502</v>
      </c>
      <c r="N63">
        <v>4144078.7853109199</v>
      </c>
      <c r="O63">
        <v>3909812.5377318901</v>
      </c>
      <c r="P63">
        <v>367098.35145112802</v>
      </c>
      <c r="Q63">
        <v>356085.40090759401</v>
      </c>
    </row>
    <row r="64" spans="1:17" x14ac:dyDescent="0.2">
      <c r="A64">
        <v>111</v>
      </c>
      <c r="B64">
        <v>24909949.939083301</v>
      </c>
      <c r="C64">
        <v>23859404.241707198</v>
      </c>
      <c r="D64">
        <v>25039836.938676398</v>
      </c>
      <c r="E64">
        <v>23981493.3996526</v>
      </c>
      <c r="F64">
        <v>17819298.554487899</v>
      </c>
      <c r="G64">
        <v>6040105.6872192603</v>
      </c>
      <c r="H64">
        <v>17941388.3126725</v>
      </c>
      <c r="I64">
        <v>6040105.0869801296</v>
      </c>
      <c r="J64">
        <v>2238598.1180757</v>
      </c>
      <c r="K64">
        <v>2171440.17453343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</row>
    <row r="65" spans="1:17" x14ac:dyDescent="0.2">
      <c r="A65">
        <v>112</v>
      </c>
      <c r="B65">
        <v>25042348.0593311</v>
      </c>
      <c r="C65">
        <v>23985300.8427414</v>
      </c>
      <c r="D65">
        <v>25173271.474553201</v>
      </c>
      <c r="E65">
        <v>24108364.259585701</v>
      </c>
      <c r="F65">
        <v>17912685.312561501</v>
      </c>
      <c r="G65">
        <v>6072615.5301798601</v>
      </c>
      <c r="H65">
        <v>18035749.330011498</v>
      </c>
      <c r="I65">
        <v>6072614.9295741804</v>
      </c>
      <c r="J65">
        <v>2285011.60663414</v>
      </c>
      <c r="K65">
        <v>2216461.2584351101</v>
      </c>
      <c r="L65">
        <v>4167320.30784661</v>
      </c>
      <c r="M65">
        <v>3932001.9011266502</v>
      </c>
      <c r="N65">
        <v>4189140.0626062499</v>
      </c>
      <c r="O65">
        <v>3952513.18067584</v>
      </c>
      <c r="P65">
        <v>380835.26777235599</v>
      </c>
      <c r="Q65">
        <v>369410.20973918599</v>
      </c>
    </row>
    <row r="66" spans="1:17" x14ac:dyDescent="0.2">
      <c r="A66">
        <v>113</v>
      </c>
      <c r="B66">
        <v>25173948.7577077</v>
      </c>
      <c r="C66">
        <v>24110955.384156901</v>
      </c>
      <c r="D66">
        <v>25303343.183996901</v>
      </c>
      <c r="E66">
        <v>24232581.548701499</v>
      </c>
      <c r="F66">
        <v>18014448.8295567</v>
      </c>
      <c r="G66">
        <v>6096506.5546002099</v>
      </c>
      <c r="H66">
        <v>18136075.5919494</v>
      </c>
      <c r="I66">
        <v>6096505.9567521103</v>
      </c>
      <c r="J66">
        <v>2321827.0195247899</v>
      </c>
      <c r="K66">
        <v>2252172.2089390401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</row>
    <row r="67" spans="1:17" x14ac:dyDescent="0.2">
      <c r="A67">
        <v>114</v>
      </c>
      <c r="B67">
        <v>25263942.469791099</v>
      </c>
      <c r="C67">
        <v>24196666.948341601</v>
      </c>
      <c r="D67">
        <v>25394214.682425</v>
      </c>
      <c r="E67">
        <v>24319118.064982999</v>
      </c>
      <c r="F67">
        <v>18067030.8320047</v>
      </c>
      <c r="G67">
        <v>6129636.1163368998</v>
      </c>
      <c r="H67">
        <v>18189482.490906902</v>
      </c>
      <c r="I67">
        <v>6129635.5740761701</v>
      </c>
      <c r="J67">
        <v>2372742.8656075001</v>
      </c>
      <c r="K67">
        <v>2301560.5796392802</v>
      </c>
      <c r="L67">
        <v>4205155.4533403097</v>
      </c>
      <c r="M67">
        <v>3968113.57834358</v>
      </c>
      <c r="N67">
        <v>4226866.6442341702</v>
      </c>
      <c r="O67">
        <v>3988522.7444353099</v>
      </c>
      <c r="P67">
        <v>395457.14426791802</v>
      </c>
      <c r="Q67">
        <v>383593.42993987998</v>
      </c>
    </row>
    <row r="68" spans="1:17" x14ac:dyDescent="0.2">
      <c r="A68">
        <v>115</v>
      </c>
      <c r="B68">
        <v>25413774.2475283</v>
      </c>
      <c r="C68">
        <v>24338679.289129999</v>
      </c>
      <c r="D68">
        <v>25543366.7071256</v>
      </c>
      <c r="E68">
        <v>24460491.988050699</v>
      </c>
      <c r="F68">
        <v>18178128.544532701</v>
      </c>
      <c r="G68">
        <v>6160550.7445972804</v>
      </c>
      <c r="H68">
        <v>18299941.786043301</v>
      </c>
      <c r="I68">
        <v>6160550.2020073999</v>
      </c>
      <c r="J68">
        <v>2428827.02757644</v>
      </c>
      <c r="K68">
        <v>2355962.2167491498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</row>
    <row r="69" spans="1:17" x14ac:dyDescent="0.2">
      <c r="A69">
        <v>116</v>
      </c>
      <c r="B69">
        <v>25580514.941862799</v>
      </c>
      <c r="C69">
        <v>24497816.203042999</v>
      </c>
      <c r="D69">
        <v>25707844.0861574</v>
      </c>
      <c r="E69">
        <v>24617501.383186501</v>
      </c>
      <c r="F69">
        <v>18257838.6058033</v>
      </c>
      <c r="G69">
        <v>6239977.5972397504</v>
      </c>
      <c r="H69">
        <v>18377524.340560399</v>
      </c>
      <c r="I69">
        <v>6239977.0426261202</v>
      </c>
      <c r="J69">
        <v>2524366.1361771398</v>
      </c>
      <c r="K69">
        <v>2448635.1520918198</v>
      </c>
      <c r="L69">
        <v>4256000.4073561504</v>
      </c>
      <c r="M69">
        <v>4016109.2851325502</v>
      </c>
      <c r="N69">
        <v>4277221.1839773403</v>
      </c>
      <c r="O69">
        <v>4036059.4197513699</v>
      </c>
      <c r="P69">
        <v>420727.68936285598</v>
      </c>
      <c r="Q69">
        <v>408105.85868196998</v>
      </c>
    </row>
    <row r="70" spans="1:17" x14ac:dyDescent="0.2">
      <c r="A70">
        <v>117</v>
      </c>
      <c r="B70">
        <v>25735713.273069698</v>
      </c>
      <c r="C70">
        <v>24645506.110121202</v>
      </c>
      <c r="D70">
        <v>25862868.800701499</v>
      </c>
      <c r="E70">
        <v>24765028.0880532</v>
      </c>
      <c r="F70">
        <v>18358886.1208691</v>
      </c>
      <c r="G70">
        <v>6286619.9892520299</v>
      </c>
      <c r="H70">
        <v>18478408.653750099</v>
      </c>
      <c r="I70">
        <v>6286619.43430313</v>
      </c>
      <c r="J70">
        <v>2587391.0778389098</v>
      </c>
      <c r="K70">
        <v>2509769.3455037498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</row>
    <row r="71" spans="1:17" x14ac:dyDescent="0.2">
      <c r="A71">
        <v>118</v>
      </c>
      <c r="B71">
        <v>25857398.1915498</v>
      </c>
      <c r="C71">
        <v>24760854.485639401</v>
      </c>
      <c r="D71">
        <v>25984986.011167001</v>
      </c>
      <c r="E71">
        <v>24880782.815492999</v>
      </c>
      <c r="F71">
        <v>18460885.051969901</v>
      </c>
      <c r="G71">
        <v>6299969.4336695299</v>
      </c>
      <c r="H71">
        <v>18580813.959945802</v>
      </c>
      <c r="I71">
        <v>6299968.85554724</v>
      </c>
      <c r="J71">
        <v>2660804.95986555</v>
      </c>
      <c r="K71">
        <v>2580980.81106959</v>
      </c>
      <c r="L71">
        <v>4302636.3996243197</v>
      </c>
      <c r="M71">
        <v>4060564.2180326302</v>
      </c>
      <c r="N71">
        <v>4323900.2878962299</v>
      </c>
      <c r="O71">
        <v>4080554.8807499902</v>
      </c>
      <c r="P71">
        <v>443467.49331092602</v>
      </c>
      <c r="Q71">
        <v>430163.46851159801</v>
      </c>
    </row>
    <row r="72" spans="1:17" x14ac:dyDescent="0.2">
      <c r="A72">
        <v>119</v>
      </c>
      <c r="B72">
        <v>26029759.3268626</v>
      </c>
      <c r="C72">
        <v>24924525.128067899</v>
      </c>
      <c r="D72">
        <v>26158453.698593199</v>
      </c>
      <c r="E72">
        <v>25045493.614339098</v>
      </c>
      <c r="F72">
        <v>18630249.608198501</v>
      </c>
      <c r="G72">
        <v>6294275.5198694002</v>
      </c>
      <c r="H72">
        <v>18751218.673840102</v>
      </c>
      <c r="I72">
        <v>6294274.9404989602</v>
      </c>
      <c r="J72">
        <v>2764949.9452508101</v>
      </c>
      <c r="K72">
        <v>2682001.4468932902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</row>
    <row r="73" spans="1:17" x14ac:dyDescent="0.2">
      <c r="A73">
        <v>120</v>
      </c>
      <c r="B73">
        <v>26149479.8060522</v>
      </c>
      <c r="C73">
        <v>25038641.454340201</v>
      </c>
      <c r="D73">
        <v>26278467.1170903</v>
      </c>
      <c r="E73">
        <v>25159885.301081199</v>
      </c>
      <c r="F73">
        <v>18738852.692541599</v>
      </c>
      <c r="G73">
        <v>6299788.7617986202</v>
      </c>
      <c r="H73">
        <v>18860097.119360399</v>
      </c>
      <c r="I73">
        <v>6299788.1817208296</v>
      </c>
      <c r="J73">
        <v>2853836.2640664899</v>
      </c>
      <c r="K73">
        <v>2768221.1761444998</v>
      </c>
      <c r="L73">
        <v>4350172.7282299399</v>
      </c>
      <c r="M73">
        <v>4105709.58916177</v>
      </c>
      <c r="N73">
        <v>4371669.8641769197</v>
      </c>
      <c r="O73">
        <v>4125920.0566276298</v>
      </c>
      <c r="P73">
        <v>475639.377344415</v>
      </c>
      <c r="Q73">
        <v>461370.19602408301</v>
      </c>
    </row>
    <row r="74" spans="1:17" x14ac:dyDescent="0.2">
      <c r="A74">
        <v>121</v>
      </c>
      <c r="B74">
        <v>26196226.555519</v>
      </c>
      <c r="C74">
        <v>25083300.904991601</v>
      </c>
      <c r="D74">
        <v>26325171.583705701</v>
      </c>
      <c r="E74">
        <v>25204505.003318299</v>
      </c>
      <c r="F74">
        <v>18743330.4658526</v>
      </c>
      <c r="G74">
        <v>6339970.4391390104</v>
      </c>
      <c r="H74">
        <v>18864535.144604899</v>
      </c>
      <c r="I74">
        <v>6339969.8587133503</v>
      </c>
      <c r="J74">
        <v>2928224.4104411001</v>
      </c>
      <c r="K74">
        <v>2840377.6781278602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</row>
    <row r="75" spans="1:17" x14ac:dyDescent="0.2">
      <c r="A75">
        <v>122</v>
      </c>
      <c r="B75">
        <v>26299333.238766599</v>
      </c>
      <c r="C75">
        <v>25182383.9730956</v>
      </c>
      <c r="D75">
        <v>26428564.925864201</v>
      </c>
      <c r="E75">
        <v>25303857.5289688</v>
      </c>
      <c r="F75">
        <v>18830598.516303301</v>
      </c>
      <c r="G75">
        <v>6351785.4567923304</v>
      </c>
      <c r="H75">
        <v>18952072.652949501</v>
      </c>
      <c r="I75">
        <v>6351784.8760193</v>
      </c>
      <c r="J75">
        <v>3026247.9688881501</v>
      </c>
      <c r="K75">
        <v>2935460.5298215002</v>
      </c>
      <c r="L75">
        <v>4374907.6056051403</v>
      </c>
      <c r="M75">
        <v>4129685.0354412799</v>
      </c>
      <c r="N75">
        <v>4396445.4701216603</v>
      </c>
      <c r="O75">
        <v>4149933.8050629701</v>
      </c>
      <c r="P75">
        <v>504374.66148135799</v>
      </c>
      <c r="Q75">
        <v>489243.42163691699</v>
      </c>
    </row>
    <row r="76" spans="1:17" x14ac:dyDescent="0.2">
      <c r="A76">
        <v>123</v>
      </c>
      <c r="B76">
        <v>26349727.024273202</v>
      </c>
      <c r="C76">
        <v>25230507.5289088</v>
      </c>
      <c r="D76">
        <v>26478689.3316973</v>
      </c>
      <c r="E76">
        <v>25351728.0064108</v>
      </c>
      <c r="F76">
        <v>18897213.221502598</v>
      </c>
      <c r="G76">
        <v>6333294.3074062401</v>
      </c>
      <c r="H76">
        <v>19018434.2801245</v>
      </c>
      <c r="I76">
        <v>6333293.7262863098</v>
      </c>
      <c r="J76">
        <v>3091610.9440980698</v>
      </c>
      <c r="K76">
        <v>2998862.6157751302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</row>
    <row r="77" spans="1:17" x14ac:dyDescent="0.2">
      <c r="A77">
        <v>124</v>
      </c>
      <c r="B77">
        <v>26452261.905640598</v>
      </c>
      <c r="C77">
        <v>25327429.979202598</v>
      </c>
      <c r="D77">
        <v>26580167.826065201</v>
      </c>
      <c r="E77">
        <v>25447657.450486101</v>
      </c>
      <c r="F77">
        <v>18950162.910855498</v>
      </c>
      <c r="G77">
        <v>6377267.0683470704</v>
      </c>
      <c r="H77">
        <v>19070390.9636054</v>
      </c>
      <c r="I77">
        <v>6377266.4868807197</v>
      </c>
      <c r="J77">
        <v>3150092.3794141002</v>
      </c>
      <c r="K77">
        <v>3055589.6080316799</v>
      </c>
      <c r="L77">
        <v>4400347.2323815096</v>
      </c>
      <c r="M77">
        <v>4154195.9993534898</v>
      </c>
      <c r="N77">
        <v>4421664.1599140503</v>
      </c>
      <c r="O77">
        <v>4174237.0920028202</v>
      </c>
      <c r="P77">
        <v>525015.39656901802</v>
      </c>
      <c r="Q77">
        <v>509264.93467194698</v>
      </c>
    </row>
    <row r="78" spans="1:17" x14ac:dyDescent="0.2">
      <c r="A78">
        <v>125</v>
      </c>
      <c r="B78">
        <v>26601003.5963028</v>
      </c>
      <c r="C78">
        <v>25469614.470675498</v>
      </c>
      <c r="D78">
        <v>26727798.285870999</v>
      </c>
      <c r="E78">
        <v>25588797.382518299</v>
      </c>
      <c r="F78">
        <v>19062597.542224001</v>
      </c>
      <c r="G78">
        <v>6407016.9284515297</v>
      </c>
      <c r="H78">
        <v>19181781.0413321</v>
      </c>
      <c r="I78">
        <v>6407016.3411862496</v>
      </c>
      <c r="J78">
        <v>3215387.1982913502</v>
      </c>
      <c r="K78">
        <v>3118925.5823426102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</row>
    <row r="79" spans="1:17" x14ac:dyDescent="0.2">
      <c r="A79">
        <v>126</v>
      </c>
      <c r="B79">
        <v>26818416.386385601</v>
      </c>
      <c r="C79">
        <v>25676753.7718205</v>
      </c>
      <c r="D79">
        <v>26944993.2489198</v>
      </c>
      <c r="E79">
        <v>25795731.9238193</v>
      </c>
      <c r="F79">
        <v>19199878.5389583</v>
      </c>
      <c r="G79">
        <v>6476875.2328622397</v>
      </c>
      <c r="H79">
        <v>19318857.278570998</v>
      </c>
      <c r="I79">
        <v>6476874.6452482697</v>
      </c>
      <c r="J79">
        <v>3266113.3988488498</v>
      </c>
      <c r="K79">
        <v>3168129.9968833802</v>
      </c>
      <c r="L79">
        <v>4461258.1772583798</v>
      </c>
      <c r="M79">
        <v>4212022.3723200103</v>
      </c>
      <c r="N79">
        <v>4482353.5942794401</v>
      </c>
      <c r="O79">
        <v>4231855.2823975999</v>
      </c>
      <c r="P79">
        <v>544352.23314147501</v>
      </c>
      <c r="Q79">
        <v>528021.66614722996</v>
      </c>
    </row>
    <row r="80" spans="1:17" x14ac:dyDescent="0.2">
      <c r="A80">
        <v>127</v>
      </c>
      <c r="B80">
        <v>26905318.0271671</v>
      </c>
      <c r="C80">
        <v>25759229.278702401</v>
      </c>
      <c r="D80">
        <v>27029528.775538001</v>
      </c>
      <c r="E80">
        <v>25875983.355346899</v>
      </c>
      <c r="F80">
        <v>19235531.674027599</v>
      </c>
      <c r="G80">
        <v>6523697.6046747798</v>
      </c>
      <c r="H80">
        <v>19352286.338634301</v>
      </c>
      <c r="I80">
        <v>6523697.0167126004</v>
      </c>
      <c r="J80">
        <v>3272623.4278568602</v>
      </c>
      <c r="K80">
        <v>3174444.7250211602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</row>
    <row r="81" spans="1:17" x14ac:dyDescent="0.2">
      <c r="A81">
        <v>128</v>
      </c>
      <c r="B81">
        <v>27003804.495661199</v>
      </c>
      <c r="C81">
        <v>25852984.1198113</v>
      </c>
      <c r="D81">
        <v>27127371.537645299</v>
      </c>
      <c r="E81">
        <v>25969133.110070702</v>
      </c>
      <c r="F81">
        <v>19282549.518891402</v>
      </c>
      <c r="G81">
        <v>6570434.6009198297</v>
      </c>
      <c r="H81">
        <v>19398699.097460799</v>
      </c>
      <c r="I81">
        <v>6570434.0126099205</v>
      </c>
      <c r="J81">
        <v>3324076.85813272</v>
      </c>
      <c r="K81">
        <v>3224354.5523887398</v>
      </c>
      <c r="L81">
        <v>4492073.8271859102</v>
      </c>
      <c r="M81">
        <v>4241297.3490248602</v>
      </c>
      <c r="N81">
        <v>4512667.6197851002</v>
      </c>
      <c r="O81">
        <v>4260659.1727747703</v>
      </c>
      <c r="P81">
        <v>554012.80968878698</v>
      </c>
      <c r="Q81">
        <v>537392.42539812298</v>
      </c>
    </row>
    <row r="82" spans="1:17" x14ac:dyDescent="0.2">
      <c r="A82">
        <v>129</v>
      </c>
      <c r="B82">
        <v>27166639.2217106</v>
      </c>
      <c r="C82">
        <v>26008578.069444999</v>
      </c>
      <c r="D82">
        <v>27289440.897983301</v>
      </c>
      <c r="E82">
        <v>26124007.613557398</v>
      </c>
      <c r="F82">
        <v>19375993.649748299</v>
      </c>
      <c r="G82">
        <v>6632584.4196966998</v>
      </c>
      <c r="H82">
        <v>19491423.782517899</v>
      </c>
      <c r="I82">
        <v>6632583.8310395395</v>
      </c>
      <c r="J82">
        <v>3383102.2393520698</v>
      </c>
      <c r="K82">
        <v>3281609.1721715098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</row>
    <row r="83" spans="1:17" x14ac:dyDescent="0.2">
      <c r="A83">
        <v>130</v>
      </c>
      <c r="B83">
        <v>27301158.0173577</v>
      </c>
      <c r="C83">
        <v>26137082.7513372</v>
      </c>
      <c r="D83">
        <v>27422950.718006998</v>
      </c>
      <c r="E83">
        <v>26251563.855988599</v>
      </c>
      <c r="F83">
        <v>19447132.235148601</v>
      </c>
      <c r="G83">
        <v>6689950.5161885098</v>
      </c>
      <c r="H83">
        <v>19561613.928475</v>
      </c>
      <c r="I83">
        <v>6689949.9275135696</v>
      </c>
      <c r="J83">
        <v>3445779.31308932</v>
      </c>
      <c r="K83">
        <v>3342405.9336966402</v>
      </c>
      <c r="L83">
        <v>4541110.6150650904</v>
      </c>
      <c r="M83">
        <v>4287873.90696334</v>
      </c>
      <c r="N83">
        <v>4561408.6832657</v>
      </c>
      <c r="O83">
        <v>4306958.0551380003</v>
      </c>
      <c r="P83">
        <v>574296.55218155298</v>
      </c>
      <c r="Q83">
        <v>557067.655616106</v>
      </c>
    </row>
    <row r="84" spans="1:17" x14ac:dyDescent="0.2">
      <c r="A84">
        <v>131</v>
      </c>
      <c r="B84">
        <v>27436125.648356602</v>
      </c>
      <c r="C84">
        <v>26265321.3960189</v>
      </c>
      <c r="D84">
        <v>27557872.9681173</v>
      </c>
      <c r="E84">
        <v>26379759.840263199</v>
      </c>
      <c r="F84">
        <v>19523459.943468701</v>
      </c>
      <c r="G84">
        <v>6741861.45255013</v>
      </c>
      <c r="H84">
        <v>19637898.856427599</v>
      </c>
      <c r="I84">
        <v>6741860.9838356199</v>
      </c>
      <c r="J84">
        <v>3492608.8019217299</v>
      </c>
      <c r="K84">
        <v>3387830.5378640802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</row>
    <row r="85" spans="1:17" x14ac:dyDescent="0.2">
      <c r="A85">
        <v>132</v>
      </c>
      <c r="B85">
        <v>27509305.546676401</v>
      </c>
      <c r="C85">
        <v>26335267.2442283</v>
      </c>
      <c r="D85">
        <v>27630311.306931201</v>
      </c>
      <c r="E85">
        <v>26449008.620168701</v>
      </c>
      <c r="F85">
        <v>19565526.152256701</v>
      </c>
      <c r="G85">
        <v>6769741.0919715902</v>
      </c>
      <c r="H85">
        <v>19679267.971824601</v>
      </c>
      <c r="I85">
        <v>6769740.6483440604</v>
      </c>
      <c r="J85">
        <v>3525447.6148462598</v>
      </c>
      <c r="K85">
        <v>3419684.1864008699</v>
      </c>
      <c r="L85">
        <v>4575603.6753273103</v>
      </c>
      <c r="M85">
        <v>4320748.1674315399</v>
      </c>
      <c r="N85">
        <v>4595770.5859550396</v>
      </c>
      <c r="O85">
        <v>4339708.7655953802</v>
      </c>
      <c r="P85">
        <v>587574.60247437702</v>
      </c>
      <c r="Q85">
        <v>569947.36440014595</v>
      </c>
    </row>
    <row r="86" spans="1:17" x14ac:dyDescent="0.2">
      <c r="A86">
        <v>133</v>
      </c>
      <c r="B86">
        <v>27691037.691444501</v>
      </c>
      <c r="C86">
        <v>26509010.079904102</v>
      </c>
      <c r="D86">
        <v>27811802.664389201</v>
      </c>
      <c r="E86">
        <v>26622525.080964699</v>
      </c>
      <c r="F86">
        <v>19703426.921154302</v>
      </c>
      <c r="G86">
        <v>6805583.1587498598</v>
      </c>
      <c r="H86">
        <v>19816942.3661022</v>
      </c>
      <c r="I86">
        <v>6805582.7148625096</v>
      </c>
      <c r="J86">
        <v>3597357.4216421</v>
      </c>
      <c r="K86">
        <v>3489436.69899284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</row>
    <row r="87" spans="1:17" x14ac:dyDescent="0.2">
      <c r="A87">
        <v>134</v>
      </c>
      <c r="B87">
        <v>27791213.159654699</v>
      </c>
      <c r="C87">
        <v>26604468.9152622</v>
      </c>
      <c r="D87">
        <v>27911437.473548401</v>
      </c>
      <c r="E87">
        <v>26717475.694433901</v>
      </c>
      <c r="F87">
        <v>19739305.571450099</v>
      </c>
      <c r="G87">
        <v>6865163.3438121602</v>
      </c>
      <c r="H87">
        <v>19852312.794768501</v>
      </c>
      <c r="I87">
        <v>6865162.8996653603</v>
      </c>
      <c r="J87">
        <v>3660514.3917119098</v>
      </c>
      <c r="K87">
        <v>3550698.9599605598</v>
      </c>
      <c r="L87">
        <v>4622409.5162348105</v>
      </c>
      <c r="M87">
        <v>4365475.3258524798</v>
      </c>
      <c r="N87">
        <v>4642446.1792085096</v>
      </c>
      <c r="O87">
        <v>4384314.9309557201</v>
      </c>
      <c r="P87">
        <v>610085.73195198597</v>
      </c>
      <c r="Q87">
        <v>591783.15999342594</v>
      </c>
    </row>
    <row r="88" spans="1:17" x14ac:dyDescent="0.2">
      <c r="A88">
        <v>135</v>
      </c>
      <c r="B88">
        <v>27913920.696085598</v>
      </c>
      <c r="C88">
        <v>26722348.333155502</v>
      </c>
      <c r="D88">
        <v>28033309.460372198</v>
      </c>
      <c r="E88">
        <v>26834569.812008802</v>
      </c>
      <c r="F88">
        <v>19860166.785749599</v>
      </c>
      <c r="G88">
        <v>6862181.5474058697</v>
      </c>
      <c r="H88">
        <v>19972388.709008802</v>
      </c>
      <c r="I88">
        <v>6862181.1029999703</v>
      </c>
      <c r="J88">
        <v>3710358.3375060498</v>
      </c>
      <c r="K88">
        <v>3599047.5873808698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</row>
    <row r="89" spans="1:17" x14ac:dyDescent="0.2">
      <c r="A89">
        <v>136</v>
      </c>
      <c r="B89">
        <v>28030516.516574301</v>
      </c>
      <c r="C89">
        <v>26833751.563464001</v>
      </c>
      <c r="D89">
        <v>28148319.743646499</v>
      </c>
      <c r="E89">
        <v>26944482.6350304</v>
      </c>
      <c r="F89">
        <v>19931446.823383</v>
      </c>
      <c r="G89">
        <v>6902304.7400809899</v>
      </c>
      <c r="H89">
        <v>20042178.341214798</v>
      </c>
      <c r="I89">
        <v>6902304.2938156202</v>
      </c>
      <c r="J89">
        <v>3774654.0143716298</v>
      </c>
      <c r="K89">
        <v>3661414.3939404902</v>
      </c>
      <c r="L89">
        <v>4661689.1448291102</v>
      </c>
      <c r="M89">
        <v>4402933.09283421</v>
      </c>
      <c r="N89">
        <v>4681322.3135465598</v>
      </c>
      <c r="O89">
        <v>4421393.4193369197</v>
      </c>
      <c r="P89">
        <v>629109.00239527202</v>
      </c>
      <c r="Q89">
        <v>610235.73232341395</v>
      </c>
    </row>
    <row r="90" spans="1:17" x14ac:dyDescent="0.2">
      <c r="A90">
        <v>137</v>
      </c>
      <c r="B90">
        <v>28176864.755227499</v>
      </c>
      <c r="C90">
        <v>26974091.728598401</v>
      </c>
      <c r="D90">
        <v>28294262.5441733</v>
      </c>
      <c r="E90">
        <v>27084441.686023701</v>
      </c>
      <c r="F90">
        <v>20042724.9493329</v>
      </c>
      <c r="G90">
        <v>6931366.7792655202</v>
      </c>
      <c r="H90">
        <v>20153075.362062301</v>
      </c>
      <c r="I90">
        <v>6931366.3239614302</v>
      </c>
      <c r="J90">
        <v>3855110.5491345702</v>
      </c>
      <c r="K90">
        <v>3739457.2326605301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</row>
    <row r="91" spans="1:17" x14ac:dyDescent="0.2">
      <c r="A91">
        <v>138</v>
      </c>
      <c r="B91">
        <v>28287336.8789667</v>
      </c>
      <c r="C91">
        <v>27080111.2282045</v>
      </c>
      <c r="D91">
        <v>28404290.0635936</v>
      </c>
      <c r="E91">
        <v>27190044.5387724</v>
      </c>
      <c r="F91">
        <v>20189098.667684902</v>
      </c>
      <c r="G91">
        <v>6891012.5605196198</v>
      </c>
      <c r="H91">
        <v>20299032.433821</v>
      </c>
      <c r="I91">
        <v>6891012.1049514599</v>
      </c>
      <c r="J91">
        <v>3927797.4167097299</v>
      </c>
      <c r="K91">
        <v>3809963.4942084402</v>
      </c>
      <c r="L91">
        <v>4704625.3185543399</v>
      </c>
      <c r="M91">
        <v>4443978.8119157404</v>
      </c>
      <c r="N91">
        <v>4724117.0402862402</v>
      </c>
      <c r="O91">
        <v>4462305.6509312196</v>
      </c>
      <c r="P91">
        <v>654632.90278495604</v>
      </c>
      <c r="Q91">
        <v>634993.91570140701</v>
      </c>
    </row>
    <row r="92" spans="1:17" x14ac:dyDescent="0.2">
      <c r="A92">
        <v>139</v>
      </c>
      <c r="B92">
        <v>28398149.609099999</v>
      </c>
      <c r="C92">
        <v>27186297.338294499</v>
      </c>
      <c r="D92">
        <v>28513053.201581899</v>
      </c>
      <c r="E92">
        <v>27294306.352558799</v>
      </c>
      <c r="F92">
        <v>20269508.7592467</v>
      </c>
      <c r="G92">
        <v>6916788.5790477404</v>
      </c>
      <c r="H92">
        <v>20377518.2324326</v>
      </c>
      <c r="I92">
        <v>6916788.1201262204</v>
      </c>
      <c r="J92">
        <v>3992572.9819356101</v>
      </c>
      <c r="K92">
        <v>3872795.7924775402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</row>
    <row r="93" spans="1:17" x14ac:dyDescent="0.2">
      <c r="A93">
        <v>140</v>
      </c>
      <c r="B93">
        <v>28569151.423239801</v>
      </c>
      <c r="C93">
        <v>27350144.520903502</v>
      </c>
      <c r="D93">
        <v>28682834.718479101</v>
      </c>
      <c r="E93">
        <v>27457006.455550302</v>
      </c>
      <c r="F93">
        <v>20430571.364953101</v>
      </c>
      <c r="G93">
        <v>6919573.1559503702</v>
      </c>
      <c r="H93">
        <v>20537433.7587866</v>
      </c>
      <c r="I93">
        <v>6919572.6967636999</v>
      </c>
      <c r="J93">
        <v>4120687.6875456301</v>
      </c>
      <c r="K93">
        <v>3997067.05691926</v>
      </c>
      <c r="L93">
        <v>4752345.3764952598</v>
      </c>
      <c r="M93">
        <v>4489833.4717860604</v>
      </c>
      <c r="N93">
        <v>4771292.5280283904</v>
      </c>
      <c r="O93">
        <v>4507648.4722934198</v>
      </c>
      <c r="P93">
        <v>686781.28125760495</v>
      </c>
      <c r="Q93">
        <v>666177.84281987697</v>
      </c>
    </row>
    <row r="94" spans="1:17" x14ac:dyDescent="0.2">
      <c r="A94">
        <v>141</v>
      </c>
      <c r="B94">
        <v>28548459.1969385</v>
      </c>
      <c r="C94">
        <v>27331244.134653099</v>
      </c>
      <c r="D94">
        <v>28660037.913430698</v>
      </c>
      <c r="E94">
        <v>27436126.7218461</v>
      </c>
      <c r="F94">
        <v>20389558.95499</v>
      </c>
      <c r="G94">
        <v>6941685.1796631804</v>
      </c>
      <c r="H94">
        <v>20494441.995931499</v>
      </c>
      <c r="I94">
        <v>6941684.7259146003</v>
      </c>
      <c r="J94">
        <v>4184320.1617447301</v>
      </c>
      <c r="K94">
        <v>4058790.5568923899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</row>
    <row r="95" spans="1:17" x14ac:dyDescent="0.2">
      <c r="A95">
        <v>142</v>
      </c>
      <c r="B95">
        <v>28679417.110864799</v>
      </c>
      <c r="C95">
        <v>27456539.2435987</v>
      </c>
      <c r="D95">
        <v>28791418.377475802</v>
      </c>
      <c r="E95">
        <v>27561818.7190389</v>
      </c>
      <c r="F95">
        <v>20544464.793747101</v>
      </c>
      <c r="G95">
        <v>6912074.4498516796</v>
      </c>
      <c r="H95">
        <v>20649744.723196998</v>
      </c>
      <c r="I95">
        <v>6912073.9958419604</v>
      </c>
      <c r="J95">
        <v>4271633.2477659099</v>
      </c>
      <c r="K95">
        <v>4143484.2503329399</v>
      </c>
      <c r="L95">
        <v>4772168.64589254</v>
      </c>
      <c r="M95">
        <v>4509583.5467273099</v>
      </c>
      <c r="N95">
        <v>4790835.2195521602</v>
      </c>
      <c r="O95">
        <v>4527134.80942473</v>
      </c>
      <c r="P95">
        <v>711938.874627652</v>
      </c>
      <c r="Q95">
        <v>690580.70838882204</v>
      </c>
    </row>
    <row r="96" spans="1:17" x14ac:dyDescent="0.2">
      <c r="A96">
        <v>143</v>
      </c>
      <c r="B96">
        <v>28787240.500426501</v>
      </c>
      <c r="C96">
        <v>27559510.944785301</v>
      </c>
      <c r="D96">
        <v>28897726.846830402</v>
      </c>
      <c r="E96">
        <v>27663363.131101999</v>
      </c>
      <c r="F96">
        <v>20579521.232970301</v>
      </c>
      <c r="G96">
        <v>6979989.7118149698</v>
      </c>
      <c r="H96">
        <v>20683373.8728939</v>
      </c>
      <c r="I96">
        <v>6979989.2582080597</v>
      </c>
      <c r="J96">
        <v>4334639.6777168401</v>
      </c>
      <c r="K96">
        <v>4204600.4873853298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</row>
    <row r="97" spans="1:17" x14ac:dyDescent="0.2">
      <c r="A97">
        <v>144</v>
      </c>
      <c r="B97">
        <v>28911520.2448477</v>
      </c>
      <c r="C97">
        <v>27677660.545765501</v>
      </c>
      <c r="D97">
        <v>29020983.193513799</v>
      </c>
      <c r="E97">
        <v>27780550.906232402</v>
      </c>
      <c r="F97">
        <v>20645679.377124</v>
      </c>
      <c r="G97">
        <v>7031981.1686414601</v>
      </c>
      <c r="H97">
        <v>20748570.193536099</v>
      </c>
      <c r="I97">
        <v>7031980.7126962896</v>
      </c>
      <c r="J97">
        <v>4343771.33883637</v>
      </c>
      <c r="K97">
        <v>4213458.1986712702</v>
      </c>
      <c r="L97">
        <v>4810715.2004644498</v>
      </c>
      <c r="M97">
        <v>4546126.4752005301</v>
      </c>
      <c r="N97">
        <v>4828958.1721784398</v>
      </c>
      <c r="O97">
        <v>4563279.5179756302</v>
      </c>
      <c r="P97">
        <v>723961.88980606105</v>
      </c>
      <c r="Q97">
        <v>702243.03311187902</v>
      </c>
    </row>
    <row r="98" spans="1:17" x14ac:dyDescent="0.2">
      <c r="A98">
        <v>145</v>
      </c>
      <c r="B98">
        <v>29130822.117998999</v>
      </c>
      <c r="C98">
        <v>27888380.6062112</v>
      </c>
      <c r="D98">
        <v>29239225.983959101</v>
      </c>
      <c r="E98">
        <v>27990275.3159847</v>
      </c>
      <c r="F98">
        <v>20815566.072939899</v>
      </c>
      <c r="G98">
        <v>7072814.5332712596</v>
      </c>
      <c r="H98">
        <v>20917461.201004501</v>
      </c>
      <c r="I98">
        <v>7072814.11498015</v>
      </c>
      <c r="J98">
        <v>4456042.5755685801</v>
      </c>
      <c r="K98">
        <v>4322361.2983015198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</row>
    <row r="99" spans="1:17" x14ac:dyDescent="0.2">
      <c r="A99">
        <v>146</v>
      </c>
      <c r="B99">
        <v>29215300.327163801</v>
      </c>
      <c r="C99">
        <v>27969830.5656299</v>
      </c>
      <c r="D99">
        <v>29319256.134575799</v>
      </c>
      <c r="E99">
        <v>28067544.097555701</v>
      </c>
      <c r="F99">
        <v>20927835.218153</v>
      </c>
      <c r="G99">
        <v>7041995.3474768698</v>
      </c>
      <c r="H99">
        <v>21025549.1686089</v>
      </c>
      <c r="I99">
        <v>7041994.9289468499</v>
      </c>
      <c r="J99">
        <v>4521805.4786395198</v>
      </c>
      <c r="K99">
        <v>4386151.3142803302</v>
      </c>
      <c r="L99">
        <v>4861090.8992750403</v>
      </c>
      <c r="M99">
        <v>4594197.9074366204</v>
      </c>
      <c r="N99">
        <v>4878415.9935881402</v>
      </c>
      <c r="O99">
        <v>4610488.1871218896</v>
      </c>
      <c r="P99">
        <v>753634.24643992004</v>
      </c>
      <c r="Q99">
        <v>731025.21904672205</v>
      </c>
    </row>
    <row r="100" spans="1:17" x14ac:dyDescent="0.2">
      <c r="A100">
        <v>147</v>
      </c>
      <c r="B100">
        <v>29254206.846956801</v>
      </c>
      <c r="C100">
        <v>28006427.747454099</v>
      </c>
      <c r="D100">
        <v>29356704.072997302</v>
      </c>
      <c r="E100">
        <v>28102770.146907501</v>
      </c>
      <c r="F100">
        <v>20970964.206354301</v>
      </c>
      <c r="G100">
        <v>7035463.54109981</v>
      </c>
      <c r="H100">
        <v>21067307.025900699</v>
      </c>
      <c r="I100">
        <v>7035463.1210067701</v>
      </c>
      <c r="J100">
        <v>4565264.7654590597</v>
      </c>
      <c r="K100">
        <v>4428306.8224952901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</row>
    <row r="101" spans="1:17" x14ac:dyDescent="0.2">
      <c r="A101">
        <v>148</v>
      </c>
      <c r="B101">
        <v>29391943.8965922</v>
      </c>
      <c r="C101">
        <v>28137668.407014199</v>
      </c>
      <c r="D101">
        <v>29492735.409923401</v>
      </c>
      <c r="E101">
        <v>28232406.142793499</v>
      </c>
      <c r="F101">
        <v>21078858.181989301</v>
      </c>
      <c r="G101">
        <v>7058810.22502496</v>
      </c>
      <c r="H101">
        <v>21173596.340674799</v>
      </c>
      <c r="I101">
        <v>7058809.80211874</v>
      </c>
      <c r="J101">
        <v>4647763.9686152404</v>
      </c>
      <c r="K101">
        <v>4508331.0495567899</v>
      </c>
      <c r="L101">
        <v>4888367.1437158901</v>
      </c>
      <c r="M101">
        <v>4619711.0567722702</v>
      </c>
      <c r="N101">
        <v>4905164.6145987399</v>
      </c>
      <c r="O101">
        <v>4635506.9151570201</v>
      </c>
      <c r="P101">
        <v>774627.32810253999</v>
      </c>
      <c r="Q101">
        <v>751388.50825946406</v>
      </c>
    </row>
    <row r="102" spans="1:17" x14ac:dyDescent="0.2">
      <c r="A102">
        <v>149</v>
      </c>
      <c r="B102">
        <v>29535592.806364201</v>
      </c>
      <c r="C102">
        <v>28275276.128577001</v>
      </c>
      <c r="D102">
        <v>29636136.350633901</v>
      </c>
      <c r="E102">
        <v>28369780.769868098</v>
      </c>
      <c r="F102">
        <v>21232496.299187198</v>
      </c>
      <c r="G102">
        <v>7042779.8293897295</v>
      </c>
      <c r="H102">
        <v>21327001.330638301</v>
      </c>
      <c r="I102">
        <v>7042779.4392298097</v>
      </c>
      <c r="J102">
        <v>4671874.0047251303</v>
      </c>
      <c r="K102">
        <v>4531717.7845833702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</row>
    <row r="103" spans="1:17" x14ac:dyDescent="0.2">
      <c r="A103">
        <v>150</v>
      </c>
      <c r="B103">
        <v>29612876.740949899</v>
      </c>
      <c r="C103">
        <v>28349070.089140601</v>
      </c>
      <c r="D103">
        <v>29712378.484926298</v>
      </c>
      <c r="E103">
        <v>28442596.660413101</v>
      </c>
      <c r="F103">
        <v>21286326.9425124</v>
      </c>
      <c r="G103">
        <v>7062743.1466282299</v>
      </c>
      <c r="H103">
        <v>21379853.922184199</v>
      </c>
      <c r="I103">
        <v>7062742.7382289898</v>
      </c>
      <c r="J103">
        <v>4711513.4983003503</v>
      </c>
      <c r="K103">
        <v>4570168.0933513399</v>
      </c>
      <c r="L103">
        <v>4926364.0735168401</v>
      </c>
      <c r="M103">
        <v>4656111.0702321297</v>
      </c>
      <c r="N103">
        <v>4942946.7989197699</v>
      </c>
      <c r="O103">
        <v>4671705.2651217002</v>
      </c>
      <c r="P103">
        <v>785252.24971672497</v>
      </c>
      <c r="Q103">
        <v>761694.68222522398</v>
      </c>
    </row>
    <row r="104" spans="1:17" x14ac:dyDescent="0.2">
      <c r="A104">
        <v>151</v>
      </c>
      <c r="B104">
        <v>29734080.0895379</v>
      </c>
      <c r="C104">
        <v>28465418.853824198</v>
      </c>
      <c r="D104">
        <v>29832051.720487598</v>
      </c>
      <c r="E104">
        <v>28557507.6891982</v>
      </c>
      <c r="F104">
        <v>21367121.825057998</v>
      </c>
      <c r="G104">
        <v>7098297.0287661701</v>
      </c>
      <c r="H104">
        <v>21459211.063304201</v>
      </c>
      <c r="I104">
        <v>7098296.6258939402</v>
      </c>
      <c r="J104">
        <v>4823526.3954817103</v>
      </c>
      <c r="K104">
        <v>4678820.6036172602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</row>
    <row r="105" spans="1:17" x14ac:dyDescent="0.2">
      <c r="A105">
        <v>152</v>
      </c>
      <c r="B105">
        <v>30070902.6486178</v>
      </c>
      <c r="C105">
        <v>28787504.0368645</v>
      </c>
      <c r="D105">
        <v>30168808.0530685</v>
      </c>
      <c r="E105">
        <v>28879530.616789501</v>
      </c>
      <c r="F105">
        <v>21678410.197104499</v>
      </c>
      <c r="G105">
        <v>7109093.83975993</v>
      </c>
      <c r="H105">
        <v>21770437.180129301</v>
      </c>
      <c r="I105">
        <v>7109093.4366602004</v>
      </c>
      <c r="J105">
        <v>4907982.3548977701</v>
      </c>
      <c r="K105">
        <v>4760742.8842508402</v>
      </c>
      <c r="L105">
        <v>5002466.1876458703</v>
      </c>
      <c r="M105">
        <v>4728535.7614187803</v>
      </c>
      <c r="N105">
        <v>5018782.9571361197</v>
      </c>
      <c r="O105">
        <v>4743879.9850050099</v>
      </c>
      <c r="P105">
        <v>817997.05914962897</v>
      </c>
      <c r="Q105">
        <v>793457.14737513999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5"/>
  <sheetViews>
    <sheetView zoomScaleNormal="100" workbookViewId="0">
      <selection activeCell="C5" sqref="C5"/>
    </sheetView>
  </sheetViews>
  <sheetFormatPr baseColWidth="10" defaultColWidth="11.5703125" defaultRowHeight="12.75" x14ac:dyDescent="0.2"/>
  <sheetData>
    <row r="1" spans="1:17" x14ac:dyDescent="0.2">
      <c r="A1" t="s">
        <v>167</v>
      </c>
      <c r="B1" t="s">
        <v>168</v>
      </c>
      <c r="C1" t="s">
        <v>169</v>
      </c>
      <c r="D1" t="s">
        <v>170</v>
      </c>
      <c r="E1" t="s">
        <v>171</v>
      </c>
      <c r="F1" t="s">
        <v>172</v>
      </c>
      <c r="G1" t="s">
        <v>173</v>
      </c>
      <c r="H1" t="s">
        <v>174</v>
      </c>
      <c r="I1" t="s">
        <v>175</v>
      </c>
      <c r="J1" t="s">
        <v>176</v>
      </c>
      <c r="K1" t="s">
        <v>177</v>
      </c>
      <c r="L1" t="s">
        <v>178</v>
      </c>
      <c r="M1" t="s">
        <v>179</v>
      </c>
      <c r="N1" t="s">
        <v>180</v>
      </c>
      <c r="O1" t="s">
        <v>181</v>
      </c>
      <c r="P1" t="s">
        <v>182</v>
      </c>
      <c r="Q1" t="s">
        <v>183</v>
      </c>
    </row>
    <row r="2" spans="1:17" x14ac:dyDescent="0.2">
      <c r="A2">
        <v>49</v>
      </c>
      <c r="B2">
        <v>17715091.297121499</v>
      </c>
      <c r="C2">
        <v>17023151.853301901</v>
      </c>
      <c r="D2">
        <v>17764710.0025356</v>
      </c>
      <c r="E2">
        <v>17069793.433228102</v>
      </c>
      <c r="F2">
        <v>14752676.2681749</v>
      </c>
      <c r="G2">
        <v>2270475.5851269802</v>
      </c>
      <c r="H2">
        <v>14799318.003943801</v>
      </c>
      <c r="I2">
        <v>2270475.4292842899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</row>
    <row r="3" spans="1:17" x14ac:dyDescent="0.2">
      <c r="A3">
        <v>50</v>
      </c>
      <c r="B3">
        <v>20422747.135097399</v>
      </c>
      <c r="C3">
        <v>19622770.703860801</v>
      </c>
      <c r="D3">
        <v>20483176.687965199</v>
      </c>
      <c r="E3">
        <v>19679574.4794841</v>
      </c>
      <c r="F3">
        <v>16969939.802151401</v>
      </c>
      <c r="G3">
        <v>2652830.9017094402</v>
      </c>
      <c r="H3">
        <v>17026743.812685098</v>
      </c>
      <c r="I3">
        <v>2652830.66679896</v>
      </c>
      <c r="J3">
        <v>0</v>
      </c>
      <c r="K3">
        <v>0</v>
      </c>
      <c r="L3">
        <v>3407167.0425107498</v>
      </c>
      <c r="M3">
        <v>3216617.2741645901</v>
      </c>
      <c r="N3">
        <v>3417238.6339333202</v>
      </c>
      <c r="O3">
        <v>3226084.5694013899</v>
      </c>
      <c r="P3">
        <v>0</v>
      </c>
      <c r="Q3">
        <v>0</v>
      </c>
    </row>
    <row r="4" spans="1:17" x14ac:dyDescent="0.2">
      <c r="A4">
        <v>51</v>
      </c>
      <c r="B4">
        <v>19803746.836479299</v>
      </c>
      <c r="C4">
        <v>19026261.304787099</v>
      </c>
      <c r="D4">
        <v>19865434.766803999</v>
      </c>
      <c r="E4">
        <v>19084247.953928798</v>
      </c>
      <c r="F4">
        <v>16392343.747388</v>
      </c>
      <c r="G4">
        <v>2633917.5573990899</v>
      </c>
      <c r="H4">
        <v>16450330.808702201</v>
      </c>
      <c r="I4">
        <v>2633917.14522669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</row>
    <row r="5" spans="1:17" x14ac:dyDescent="0.2">
      <c r="A5">
        <v>52</v>
      </c>
      <c r="B5">
        <v>21421804.3950487</v>
      </c>
      <c r="C5">
        <v>20579647.3943859</v>
      </c>
      <c r="D5">
        <v>21490198.907926802</v>
      </c>
      <c r="E5">
        <v>20643938.2296663</v>
      </c>
      <c r="F5">
        <v>17675547.0541494</v>
      </c>
      <c r="G5">
        <v>2904100.3402364398</v>
      </c>
      <c r="H5">
        <v>17739838.421394199</v>
      </c>
      <c r="I5">
        <v>2904099.8082720898</v>
      </c>
      <c r="J5">
        <v>0</v>
      </c>
      <c r="K5">
        <v>0</v>
      </c>
      <c r="L5">
        <v>3573630.5623123702</v>
      </c>
      <c r="M5">
        <v>3374490.1388548301</v>
      </c>
      <c r="N5">
        <v>3585029.6465819399</v>
      </c>
      <c r="O5">
        <v>3385205.2769183</v>
      </c>
      <c r="P5">
        <v>0</v>
      </c>
      <c r="Q5">
        <v>0</v>
      </c>
    </row>
    <row r="6" spans="1:17" x14ac:dyDescent="0.2">
      <c r="A6">
        <v>53</v>
      </c>
      <c r="B6">
        <v>18798652.8327858</v>
      </c>
      <c r="C6">
        <v>18061142.432745501</v>
      </c>
      <c r="D6">
        <v>18859852.8843766</v>
      </c>
      <c r="E6">
        <v>18118670.467038698</v>
      </c>
      <c r="F6">
        <v>15421738.1156897</v>
      </c>
      <c r="G6">
        <v>2639404.3170557702</v>
      </c>
      <c r="H6">
        <v>15479267.028441699</v>
      </c>
      <c r="I6">
        <v>2639403.43859703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</row>
    <row r="7" spans="1:17" x14ac:dyDescent="0.2">
      <c r="A7">
        <v>54</v>
      </c>
      <c r="B7">
        <v>19381974.186819099</v>
      </c>
      <c r="C7">
        <v>18619675.727424201</v>
      </c>
      <c r="D7">
        <v>19445433.701004401</v>
      </c>
      <c r="E7">
        <v>18679327.654450901</v>
      </c>
      <c r="F7">
        <v>15813499.9733172</v>
      </c>
      <c r="G7">
        <v>2806175.7541070702</v>
      </c>
      <c r="H7">
        <v>15873153.0648346</v>
      </c>
      <c r="I7">
        <v>2806174.5896163201</v>
      </c>
      <c r="J7">
        <v>0</v>
      </c>
      <c r="K7">
        <v>0</v>
      </c>
      <c r="L7">
        <v>3233380.8180670999</v>
      </c>
      <c r="M7">
        <v>3053950.95306359</v>
      </c>
      <c r="N7">
        <v>3243957.4008732499</v>
      </c>
      <c r="O7">
        <v>3063892.9389093998</v>
      </c>
      <c r="P7">
        <v>0</v>
      </c>
      <c r="Q7">
        <v>0</v>
      </c>
    </row>
    <row r="8" spans="1:17" x14ac:dyDescent="0.2">
      <c r="A8">
        <v>55</v>
      </c>
      <c r="B8">
        <v>18442149.606422901</v>
      </c>
      <c r="C8">
        <v>17715594.091830701</v>
      </c>
      <c r="D8">
        <v>18503713.210198801</v>
      </c>
      <c r="E8">
        <v>17773463.863357902</v>
      </c>
      <c r="F8">
        <v>14992578.649956901</v>
      </c>
      <c r="G8">
        <v>2723015.4418737902</v>
      </c>
      <c r="H8">
        <v>15050449.693343701</v>
      </c>
      <c r="I8">
        <v>2723014.17001417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</row>
    <row r="9" spans="1:17" x14ac:dyDescent="0.2">
      <c r="A9">
        <v>56</v>
      </c>
      <c r="B9">
        <v>20185806.916536</v>
      </c>
      <c r="C9">
        <v>19388269.003878001</v>
      </c>
      <c r="D9">
        <v>20254615.8512826</v>
      </c>
      <c r="E9">
        <v>19452949.385827199</v>
      </c>
      <c r="F9">
        <v>16313172.1017792</v>
      </c>
      <c r="G9">
        <v>3075096.9020988098</v>
      </c>
      <c r="H9">
        <v>16377853.7677538</v>
      </c>
      <c r="I9">
        <v>3075095.6180733098</v>
      </c>
      <c r="J9">
        <v>37448.292796407703</v>
      </c>
      <c r="K9">
        <v>36324.844012515401</v>
      </c>
      <c r="L9">
        <v>3366884.53916742</v>
      </c>
      <c r="M9">
        <v>3180600.4417352001</v>
      </c>
      <c r="N9">
        <v>3378352.6919952701</v>
      </c>
      <c r="O9">
        <v>3191380.5033566202</v>
      </c>
      <c r="P9">
        <v>6241.3821327346104</v>
      </c>
      <c r="Q9">
        <v>6054.1406687525696</v>
      </c>
    </row>
    <row r="10" spans="1:17" x14ac:dyDescent="0.2">
      <c r="A10">
        <v>57</v>
      </c>
      <c r="B10">
        <v>19310128.056226399</v>
      </c>
      <c r="C10">
        <v>18547080.611161102</v>
      </c>
      <c r="D10">
        <v>19377172.7510706</v>
      </c>
      <c r="E10">
        <v>18610102.609675098</v>
      </c>
      <c r="F10">
        <v>15546749.7675483</v>
      </c>
      <c r="G10">
        <v>3000330.8436127999</v>
      </c>
      <c r="H10">
        <v>15609772.8945239</v>
      </c>
      <c r="I10">
        <v>3000329.7151512098</v>
      </c>
      <c r="J10">
        <v>68744.484131501405</v>
      </c>
      <c r="K10">
        <v>66682.149607556305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</row>
    <row r="11" spans="1:17" x14ac:dyDescent="0.2">
      <c r="A11">
        <v>58</v>
      </c>
      <c r="B11">
        <v>20637448.024145801</v>
      </c>
      <c r="C11">
        <v>19820127.203089099</v>
      </c>
      <c r="D11">
        <v>20709754.396226399</v>
      </c>
      <c r="E11">
        <v>19888095.1774069</v>
      </c>
      <c r="F11">
        <v>16525990.848297499</v>
      </c>
      <c r="G11">
        <v>3294136.3547915998</v>
      </c>
      <c r="H11">
        <v>16593959.9311161</v>
      </c>
      <c r="I11">
        <v>3294135.2462907899</v>
      </c>
      <c r="J11">
        <v>105406.41037662201</v>
      </c>
      <c r="K11">
        <v>102244.218065323</v>
      </c>
      <c r="L11">
        <v>3441819.6847755602</v>
      </c>
      <c r="M11">
        <v>3252147.7370511801</v>
      </c>
      <c r="N11">
        <v>3453870.7440517601</v>
      </c>
      <c r="O11">
        <v>3263475.7309133699</v>
      </c>
      <c r="P11">
        <v>17567.7350627704</v>
      </c>
      <c r="Q11">
        <v>17040.7030108873</v>
      </c>
    </row>
    <row r="12" spans="1:17" x14ac:dyDescent="0.2">
      <c r="A12">
        <v>59</v>
      </c>
      <c r="B12">
        <v>19825398.8001488</v>
      </c>
      <c r="C12">
        <v>19039630.042442098</v>
      </c>
      <c r="D12">
        <v>19896829.3534219</v>
      </c>
      <c r="E12">
        <v>19106774.747813001</v>
      </c>
      <c r="F12">
        <v>15819611.019110899</v>
      </c>
      <c r="G12">
        <v>3220019.0233311602</v>
      </c>
      <c r="H12">
        <v>15886756.7567122</v>
      </c>
      <c r="I12">
        <v>3220017.9911007602</v>
      </c>
      <c r="J12">
        <v>153068.271140567</v>
      </c>
      <c r="K12">
        <v>148476.22300634999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</row>
    <row r="13" spans="1:17" x14ac:dyDescent="0.2">
      <c r="A13">
        <v>60</v>
      </c>
      <c r="B13">
        <v>21574666.8488876</v>
      </c>
      <c r="C13">
        <v>20717307.5268283</v>
      </c>
      <c r="D13">
        <v>21653269.815823801</v>
      </c>
      <c r="E13">
        <v>20791194.300101198</v>
      </c>
      <c r="F13">
        <v>17143264.807075098</v>
      </c>
      <c r="G13">
        <v>3574042.7197531899</v>
      </c>
      <c r="H13">
        <v>17217152.6560646</v>
      </c>
      <c r="I13">
        <v>3574041.6440366101</v>
      </c>
      <c r="J13">
        <v>195716.984291222</v>
      </c>
      <c r="K13">
        <v>189845.474762486</v>
      </c>
      <c r="L13">
        <v>3597544.1130367499</v>
      </c>
      <c r="M13">
        <v>3400195.7936764602</v>
      </c>
      <c r="N13">
        <v>3610644.60475181</v>
      </c>
      <c r="O13">
        <v>3412510.2540244702</v>
      </c>
      <c r="P13">
        <v>32619.497381870398</v>
      </c>
      <c r="Q13">
        <v>31640.9124604143</v>
      </c>
    </row>
    <row r="14" spans="1:17" x14ac:dyDescent="0.2">
      <c r="A14">
        <v>61</v>
      </c>
      <c r="B14">
        <v>20326700.825355001</v>
      </c>
      <c r="C14">
        <v>19516252.489433002</v>
      </c>
      <c r="D14">
        <v>20401597.918795701</v>
      </c>
      <c r="E14">
        <v>19586655.7456722</v>
      </c>
      <c r="F14">
        <v>16024549.1246514</v>
      </c>
      <c r="G14">
        <v>3491703.3647815799</v>
      </c>
      <c r="H14">
        <v>16094953.326796301</v>
      </c>
      <c r="I14">
        <v>3491702.4188758498</v>
      </c>
      <c r="J14">
        <v>199621.10106806</v>
      </c>
      <c r="K14">
        <v>193632.46803601799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</row>
    <row r="15" spans="1:17" x14ac:dyDescent="0.2">
      <c r="A15">
        <v>62</v>
      </c>
      <c r="B15">
        <v>20159258.618151501</v>
      </c>
      <c r="C15">
        <v>19354978.094241299</v>
      </c>
      <c r="D15">
        <v>20235562.8531744</v>
      </c>
      <c r="E15">
        <v>19426704.063872501</v>
      </c>
      <c r="F15">
        <v>15845075.5776102</v>
      </c>
      <c r="G15">
        <v>3509902.5166310901</v>
      </c>
      <c r="H15">
        <v>15916802.464756601</v>
      </c>
      <c r="I15">
        <v>3509901.59911593</v>
      </c>
      <c r="J15">
        <v>217761.89858089099</v>
      </c>
      <c r="K15">
        <v>211229.041623464</v>
      </c>
      <c r="L15">
        <v>3361276.5773671302</v>
      </c>
      <c r="M15">
        <v>3176569.5387932998</v>
      </c>
      <c r="N15">
        <v>3373993.9478691202</v>
      </c>
      <c r="O15">
        <v>3188523.8654113002</v>
      </c>
      <c r="P15">
        <v>36293.649763481902</v>
      </c>
      <c r="Q15">
        <v>35204.840270577399</v>
      </c>
    </row>
    <row r="16" spans="1:17" x14ac:dyDescent="0.2">
      <c r="A16">
        <v>63</v>
      </c>
      <c r="B16">
        <v>19172491.720350299</v>
      </c>
      <c r="C16">
        <v>18408593.528720099</v>
      </c>
      <c r="D16">
        <v>19245553.898216099</v>
      </c>
      <c r="E16">
        <v>18477271.9630652</v>
      </c>
      <c r="F16">
        <v>15021753.981375899</v>
      </c>
      <c r="G16">
        <v>3386839.54734415</v>
      </c>
      <c r="H16">
        <v>15090433.2362181</v>
      </c>
      <c r="I16">
        <v>3386838.7268470898</v>
      </c>
      <c r="J16">
        <v>235047.12322417201</v>
      </c>
      <c r="K16">
        <v>227995.70952744599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</row>
    <row r="17" spans="1:17" x14ac:dyDescent="0.2">
      <c r="A17">
        <v>64</v>
      </c>
      <c r="B17">
        <v>17566021.154290799</v>
      </c>
      <c r="C17">
        <v>16867930.3443438</v>
      </c>
      <c r="D17">
        <v>17632490.368387502</v>
      </c>
      <c r="E17">
        <v>16930411.394221399</v>
      </c>
      <c r="F17">
        <v>13717295.116139401</v>
      </c>
      <c r="G17">
        <v>3150635.2282044399</v>
      </c>
      <c r="H17">
        <v>13779776.8688972</v>
      </c>
      <c r="I17">
        <v>3150634.52532415</v>
      </c>
      <c r="J17">
        <v>240391.32203706901</v>
      </c>
      <c r="K17">
        <v>233179.582375956</v>
      </c>
      <c r="L17">
        <v>2930405.9284928599</v>
      </c>
      <c r="M17">
        <v>2770438.3855070798</v>
      </c>
      <c r="N17">
        <v>2941484.12882576</v>
      </c>
      <c r="O17">
        <v>2780851.8924398101</v>
      </c>
      <c r="P17">
        <v>40065.220339511397</v>
      </c>
      <c r="Q17">
        <v>38863.2637293261</v>
      </c>
    </row>
    <row r="18" spans="1:17" x14ac:dyDescent="0.2">
      <c r="A18">
        <v>65</v>
      </c>
      <c r="B18">
        <v>17417980.474762399</v>
      </c>
      <c r="C18">
        <v>16724978.094937</v>
      </c>
      <c r="D18">
        <v>17486334.684250101</v>
      </c>
      <c r="E18">
        <v>16789231.040768601</v>
      </c>
      <c r="F18">
        <v>13583123.712321199</v>
      </c>
      <c r="G18">
        <v>3141854.3826158401</v>
      </c>
      <c r="H18">
        <v>13647377.335398801</v>
      </c>
      <c r="I18">
        <v>3141853.7053697901</v>
      </c>
      <c r="J18">
        <v>194215.01613657799</v>
      </c>
      <c r="K18">
        <v>188388.56565248099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</row>
    <row r="19" spans="1:17" x14ac:dyDescent="0.2">
      <c r="A19">
        <v>66</v>
      </c>
      <c r="B19">
        <v>17587974.416919</v>
      </c>
      <c r="C19">
        <v>16887307.092439499</v>
      </c>
      <c r="D19">
        <v>17659669.315915</v>
      </c>
      <c r="E19">
        <v>16954700.2863832</v>
      </c>
      <c r="F19">
        <v>13712535.1268543</v>
      </c>
      <c r="G19">
        <v>3174771.9655851698</v>
      </c>
      <c r="H19">
        <v>13779928.987075901</v>
      </c>
      <c r="I19">
        <v>3174771.2993073398</v>
      </c>
      <c r="J19">
        <v>197068.26415119</v>
      </c>
      <c r="K19">
        <v>191156.21622665401</v>
      </c>
      <c r="L19">
        <v>2933883.5978154</v>
      </c>
      <c r="M19">
        <v>2774704.7756230501</v>
      </c>
      <c r="N19">
        <v>2945832.7456777599</v>
      </c>
      <c r="O19">
        <v>2785936.9732696102</v>
      </c>
      <c r="P19">
        <v>32844.710691865002</v>
      </c>
      <c r="Q19">
        <v>31859.369371109002</v>
      </c>
    </row>
    <row r="20" spans="1:17" x14ac:dyDescent="0.2">
      <c r="A20">
        <v>67</v>
      </c>
      <c r="B20">
        <v>17968085.503519699</v>
      </c>
      <c r="C20">
        <v>17250789.586567301</v>
      </c>
      <c r="D20">
        <v>18043782.4017957</v>
      </c>
      <c r="E20">
        <v>17321944.659601901</v>
      </c>
      <c r="F20">
        <v>13994042.561847599</v>
      </c>
      <c r="G20">
        <v>3256747.02471973</v>
      </c>
      <c r="H20">
        <v>14065198.3181863</v>
      </c>
      <c r="I20">
        <v>3256746.3414156698</v>
      </c>
      <c r="J20">
        <v>188011.226216134</v>
      </c>
      <c r="K20">
        <v>182370.88942965001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</row>
    <row r="21" spans="1:17" x14ac:dyDescent="0.2">
      <c r="A21">
        <v>68</v>
      </c>
      <c r="B21">
        <v>17743602.589189298</v>
      </c>
      <c r="C21">
        <v>17034351.914174899</v>
      </c>
      <c r="D21">
        <v>17819626.371831302</v>
      </c>
      <c r="E21">
        <v>17105814.258719001</v>
      </c>
      <c r="F21">
        <v>13812682.682657899</v>
      </c>
      <c r="G21">
        <v>3221669.2315169401</v>
      </c>
      <c r="H21">
        <v>13884145.698130799</v>
      </c>
      <c r="I21">
        <v>3221668.5605882299</v>
      </c>
      <c r="J21">
        <v>194696.72479204001</v>
      </c>
      <c r="K21">
        <v>188855.82304827901</v>
      </c>
      <c r="L21">
        <v>2959844.5573573899</v>
      </c>
      <c r="M21">
        <v>2798573.3136103698</v>
      </c>
      <c r="N21">
        <v>2972515.1858226601</v>
      </c>
      <c r="O21">
        <v>2810483.7028560401</v>
      </c>
      <c r="P21">
        <v>32449.4541320067</v>
      </c>
      <c r="Q21">
        <v>31475.970508046499</v>
      </c>
    </row>
    <row r="22" spans="1:17" x14ac:dyDescent="0.2">
      <c r="A22">
        <v>69</v>
      </c>
      <c r="B22">
        <v>17559459.920790099</v>
      </c>
      <c r="C22">
        <v>16857316.8568229</v>
      </c>
      <c r="D22">
        <v>17635045.712055601</v>
      </c>
      <c r="E22">
        <v>16928367.4897638</v>
      </c>
      <c r="F22">
        <v>13646863.1185745</v>
      </c>
      <c r="G22">
        <v>3210453.7382483599</v>
      </c>
      <c r="H22">
        <v>13717914.4049355</v>
      </c>
      <c r="I22">
        <v>3210453.0848283502</v>
      </c>
      <c r="J22">
        <v>214032.311837649</v>
      </c>
      <c r="K22">
        <v>207611.34248252001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</row>
    <row r="23" spans="1:17" x14ac:dyDescent="0.2">
      <c r="A23">
        <v>70</v>
      </c>
      <c r="B23">
        <v>17594301.215599999</v>
      </c>
      <c r="C23">
        <v>16889701.728983998</v>
      </c>
      <c r="D23">
        <v>17672189.690334801</v>
      </c>
      <c r="E23">
        <v>16962916.8843504</v>
      </c>
      <c r="F23">
        <v>13583034.6324482</v>
      </c>
      <c r="G23">
        <v>3306667.0965358601</v>
      </c>
      <c r="H23">
        <v>13656250.4430745</v>
      </c>
      <c r="I23">
        <v>3306666.4412759198</v>
      </c>
      <c r="J23">
        <v>238481.14840347201</v>
      </c>
      <c r="K23">
        <v>231326.713951368</v>
      </c>
      <c r="L23">
        <v>2934227.7401902298</v>
      </c>
      <c r="M23">
        <v>2768742.1957281101</v>
      </c>
      <c r="N23">
        <v>2947209.15071618</v>
      </c>
      <c r="O23">
        <v>2780944.7201450099</v>
      </c>
      <c r="P23">
        <v>39746.858067245303</v>
      </c>
      <c r="Q23">
        <v>38554.452325227998</v>
      </c>
    </row>
    <row r="24" spans="1:17" x14ac:dyDescent="0.2">
      <c r="A24">
        <v>71</v>
      </c>
      <c r="B24">
        <v>17510660.355896</v>
      </c>
      <c r="C24">
        <v>16807024.4168659</v>
      </c>
      <c r="D24">
        <v>17589171.413171999</v>
      </c>
      <c r="E24">
        <v>16880824.800668899</v>
      </c>
      <c r="F24">
        <v>13455790.155399101</v>
      </c>
      <c r="G24">
        <v>3351234.2614668398</v>
      </c>
      <c r="H24">
        <v>13529591.1672455</v>
      </c>
      <c r="I24">
        <v>3351233.63342347</v>
      </c>
      <c r="J24">
        <v>263045.215011828</v>
      </c>
      <c r="K24">
        <v>255153.858561473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</row>
    <row r="25" spans="1:17" x14ac:dyDescent="0.2">
      <c r="A25">
        <v>72</v>
      </c>
      <c r="B25">
        <v>17933839.7404426</v>
      </c>
      <c r="C25">
        <v>17212028.070077501</v>
      </c>
      <c r="D25">
        <v>18014919.835101899</v>
      </c>
      <c r="E25">
        <v>17288243.3488141</v>
      </c>
      <c r="F25">
        <v>13724128.6140256</v>
      </c>
      <c r="G25">
        <v>3487899.4560519001</v>
      </c>
      <c r="H25">
        <v>13800344.5337363</v>
      </c>
      <c r="I25">
        <v>3487898.8150777901</v>
      </c>
      <c r="J25">
        <v>289255.14930884301</v>
      </c>
      <c r="K25">
        <v>280577.49482957798</v>
      </c>
      <c r="L25">
        <v>2990178.0155270798</v>
      </c>
      <c r="M25">
        <v>2820981.5109005002</v>
      </c>
      <c r="N25">
        <v>3003691.3628208102</v>
      </c>
      <c r="O25">
        <v>2833684.0559941302</v>
      </c>
      <c r="P25">
        <v>48209.191551473901</v>
      </c>
      <c r="Q25">
        <v>46762.915804929697</v>
      </c>
    </row>
    <row r="26" spans="1:17" x14ac:dyDescent="0.2">
      <c r="A26">
        <v>73</v>
      </c>
      <c r="B26">
        <v>19139092.6927105</v>
      </c>
      <c r="C26">
        <v>18366579.598981202</v>
      </c>
      <c r="D26">
        <v>19228172.086873699</v>
      </c>
      <c r="E26">
        <v>18450314.218535598</v>
      </c>
      <c r="F26">
        <v>14629921.829059901</v>
      </c>
      <c r="G26">
        <v>3736657.76992126</v>
      </c>
      <c r="H26">
        <v>14713657.130984001</v>
      </c>
      <c r="I26">
        <v>3736657.0875515598</v>
      </c>
      <c r="J26">
        <v>335599.81694067002</v>
      </c>
      <c r="K26">
        <v>325531.82243245002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</row>
    <row r="27" spans="1:17" x14ac:dyDescent="0.2">
      <c r="A27">
        <v>74</v>
      </c>
      <c r="B27">
        <v>19144522.693893299</v>
      </c>
      <c r="C27">
        <v>18370218.071681499</v>
      </c>
      <c r="D27">
        <v>19235041.405781101</v>
      </c>
      <c r="E27">
        <v>18455305.650128402</v>
      </c>
      <c r="F27">
        <v>14582330.682076</v>
      </c>
      <c r="G27">
        <v>3787887.3896055901</v>
      </c>
      <c r="H27">
        <v>14667418.9347002</v>
      </c>
      <c r="I27">
        <v>3787886.7154282001</v>
      </c>
      <c r="J27">
        <v>350493.73839774402</v>
      </c>
      <c r="K27">
        <v>339978.92624581198</v>
      </c>
      <c r="L27">
        <v>3192598.6915200101</v>
      </c>
      <c r="M27">
        <v>3011537.1494845701</v>
      </c>
      <c r="N27">
        <v>3207685.14159925</v>
      </c>
      <c r="O27">
        <v>3025718.41113583</v>
      </c>
      <c r="P27">
        <v>58415.623066290696</v>
      </c>
      <c r="Q27">
        <v>56663.154374301899</v>
      </c>
    </row>
    <row r="28" spans="1:17" x14ac:dyDescent="0.2">
      <c r="A28">
        <v>75</v>
      </c>
      <c r="B28">
        <v>19324176.2425364</v>
      </c>
      <c r="C28">
        <v>18541882.013388801</v>
      </c>
      <c r="D28">
        <v>19415848.963606399</v>
      </c>
      <c r="E28">
        <v>18628054.504999999</v>
      </c>
      <c r="F28">
        <v>14671515.463176399</v>
      </c>
      <c r="G28">
        <v>3870366.5502124601</v>
      </c>
      <c r="H28">
        <v>14757688.6254761</v>
      </c>
      <c r="I28">
        <v>3870365.8795239301</v>
      </c>
      <c r="J28">
        <v>388890.909263712</v>
      </c>
      <c r="K28">
        <v>377224.18198580103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</row>
    <row r="29" spans="1:17" x14ac:dyDescent="0.2">
      <c r="A29">
        <v>76</v>
      </c>
      <c r="B29">
        <v>19672718.193041898</v>
      </c>
      <c r="C29">
        <v>18874639.478661601</v>
      </c>
      <c r="D29">
        <v>19767667.241868202</v>
      </c>
      <c r="E29">
        <v>18963891.719891399</v>
      </c>
      <c r="F29">
        <v>14867520.2915689</v>
      </c>
      <c r="G29">
        <v>4007119.1870927</v>
      </c>
      <c r="H29">
        <v>14956773.2147124</v>
      </c>
      <c r="I29">
        <v>4007118.5051790099</v>
      </c>
      <c r="J29">
        <v>413105.99419680802</v>
      </c>
      <c r="K29">
        <v>400712.814370904</v>
      </c>
      <c r="L29">
        <v>3280459.5849526902</v>
      </c>
      <c r="M29">
        <v>3094139.4826907902</v>
      </c>
      <c r="N29">
        <v>3296284.4504189799</v>
      </c>
      <c r="O29">
        <v>3109015.1470800699</v>
      </c>
      <c r="P29">
        <v>68850.999032801396</v>
      </c>
      <c r="Q29">
        <v>66785.469061817406</v>
      </c>
    </row>
    <row r="30" spans="1:17" x14ac:dyDescent="0.2">
      <c r="A30">
        <v>77</v>
      </c>
      <c r="B30">
        <v>20018325.693071902</v>
      </c>
      <c r="C30">
        <v>19204286.5772199</v>
      </c>
      <c r="D30">
        <v>20117014.6531322</v>
      </c>
      <c r="E30">
        <v>19297054.336591002</v>
      </c>
      <c r="F30">
        <v>15060409.870448099</v>
      </c>
      <c r="G30">
        <v>4143876.70677179</v>
      </c>
      <c r="H30">
        <v>15153178.3173622</v>
      </c>
      <c r="I30">
        <v>4143876.01922885</v>
      </c>
      <c r="J30">
        <v>447702.80421499402</v>
      </c>
      <c r="K30">
        <v>434271.72008854401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</row>
    <row r="31" spans="1:17" x14ac:dyDescent="0.2">
      <c r="A31">
        <v>78</v>
      </c>
      <c r="B31">
        <v>20432549.9523235</v>
      </c>
      <c r="C31">
        <v>19599544.144523799</v>
      </c>
      <c r="D31">
        <v>20534030.688536402</v>
      </c>
      <c r="E31">
        <v>19694936.175707102</v>
      </c>
      <c r="F31">
        <v>15328209.556412401</v>
      </c>
      <c r="G31">
        <v>4271334.5881114202</v>
      </c>
      <c r="H31">
        <v>15423602.2840956</v>
      </c>
      <c r="I31">
        <v>4271333.8916114597</v>
      </c>
      <c r="J31">
        <v>474780.25368765002</v>
      </c>
      <c r="K31">
        <v>460536.84607702098</v>
      </c>
      <c r="L31">
        <v>3407446.5733527602</v>
      </c>
      <c r="M31">
        <v>3213579.2330720099</v>
      </c>
      <c r="N31">
        <v>3424360.05405901</v>
      </c>
      <c r="O31">
        <v>3229478.2038493301</v>
      </c>
      <c r="P31">
        <v>79130.042281275106</v>
      </c>
      <c r="Q31">
        <v>76756.141012836801</v>
      </c>
    </row>
    <row r="32" spans="1:17" x14ac:dyDescent="0.2">
      <c r="A32">
        <v>79</v>
      </c>
      <c r="B32">
        <v>20757425.368687101</v>
      </c>
      <c r="C32">
        <v>19909107.380215801</v>
      </c>
      <c r="D32">
        <v>20862161.979795601</v>
      </c>
      <c r="E32">
        <v>20007561.215065401</v>
      </c>
      <c r="F32">
        <v>15489128.387001799</v>
      </c>
      <c r="G32">
        <v>4419978.993214</v>
      </c>
      <c r="H32">
        <v>15587582.9242422</v>
      </c>
      <c r="I32">
        <v>4419978.2908232398</v>
      </c>
      <c r="J32">
        <v>502791.02284055698</v>
      </c>
      <c r="K32">
        <v>487707.29215534002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</row>
    <row r="33" spans="1:17" x14ac:dyDescent="0.2">
      <c r="A33">
        <v>80</v>
      </c>
      <c r="B33">
        <v>21086692.104435399</v>
      </c>
      <c r="C33">
        <v>20223094.384351902</v>
      </c>
      <c r="D33">
        <v>21194056.9955712</v>
      </c>
      <c r="E33">
        <v>20324018.817912102</v>
      </c>
      <c r="F33">
        <v>15649413.2206209</v>
      </c>
      <c r="G33">
        <v>4573681.1637309901</v>
      </c>
      <c r="H33">
        <v>15750338.359859399</v>
      </c>
      <c r="I33">
        <v>4573680.4580527795</v>
      </c>
      <c r="J33">
        <v>530450.25694955699</v>
      </c>
      <c r="K33">
        <v>514536.74924107001</v>
      </c>
      <c r="L33">
        <v>3514063.86973943</v>
      </c>
      <c r="M33">
        <v>3313080.7042684299</v>
      </c>
      <c r="N33">
        <v>3531958.2728529498</v>
      </c>
      <c r="O33">
        <v>3329901.74791758</v>
      </c>
      <c r="P33">
        <v>88408.376158259402</v>
      </c>
      <c r="Q33">
        <v>85756.124873511697</v>
      </c>
    </row>
    <row r="34" spans="1:17" x14ac:dyDescent="0.2">
      <c r="A34">
        <v>81</v>
      </c>
      <c r="B34">
        <v>21337829.779880699</v>
      </c>
      <c r="C34">
        <v>20462013.5441566</v>
      </c>
      <c r="D34">
        <v>21447317.0296253</v>
      </c>
      <c r="E34">
        <v>20564933.0051037</v>
      </c>
      <c r="F34">
        <v>15771345.316994101</v>
      </c>
      <c r="G34">
        <v>4690668.2271625297</v>
      </c>
      <c r="H34">
        <v>15874265.488677699</v>
      </c>
      <c r="I34">
        <v>4690667.5164259896</v>
      </c>
      <c r="J34">
        <v>531478.33229426504</v>
      </c>
      <c r="K34">
        <v>515533.98232543701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</row>
    <row r="35" spans="1:17" x14ac:dyDescent="0.2">
      <c r="A35">
        <v>82</v>
      </c>
      <c r="B35">
        <v>21484238.269641001</v>
      </c>
      <c r="C35">
        <v>20600670.246106599</v>
      </c>
      <c r="D35">
        <v>21595572.1373659</v>
      </c>
      <c r="E35">
        <v>20705325.5356884</v>
      </c>
      <c r="F35">
        <v>15851133.6169718</v>
      </c>
      <c r="G35">
        <v>4749536.6291348804</v>
      </c>
      <c r="H35">
        <v>15955789.6210905</v>
      </c>
      <c r="I35">
        <v>4749535.9145978298</v>
      </c>
      <c r="J35">
        <v>551484.57313457096</v>
      </c>
      <c r="K35">
        <v>534940.03594053397</v>
      </c>
      <c r="L35">
        <v>3581804.8844373198</v>
      </c>
      <c r="M35">
        <v>3376935.0248926398</v>
      </c>
      <c r="N35">
        <v>3600360.7868454298</v>
      </c>
      <c r="O35">
        <v>3394377.88173316</v>
      </c>
      <c r="P35">
        <v>91914.095522428499</v>
      </c>
      <c r="Q35">
        <v>89156.672656755603</v>
      </c>
    </row>
    <row r="36" spans="1:17" x14ac:dyDescent="0.2">
      <c r="A36">
        <v>83</v>
      </c>
      <c r="B36">
        <v>21705413.982994098</v>
      </c>
      <c r="C36">
        <v>20810984.908315599</v>
      </c>
      <c r="D36">
        <v>21818888.5553382</v>
      </c>
      <c r="E36">
        <v>20917652.4703761</v>
      </c>
      <c r="F36">
        <v>15953950.1773923</v>
      </c>
      <c r="G36">
        <v>4857034.7309233798</v>
      </c>
      <c r="H36">
        <v>16060618.466136901</v>
      </c>
      <c r="I36">
        <v>4857034.0042391801</v>
      </c>
      <c r="J36">
        <v>583727.22212477005</v>
      </c>
      <c r="K36">
        <v>566215.40546102705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</row>
    <row r="37" spans="1:17" x14ac:dyDescent="0.2">
      <c r="A37">
        <v>84</v>
      </c>
      <c r="B37">
        <v>21876982.501385801</v>
      </c>
      <c r="C37">
        <v>20973803.226002</v>
      </c>
      <c r="D37">
        <v>21991604.7039335</v>
      </c>
      <c r="E37">
        <v>21081549.568191599</v>
      </c>
      <c r="F37">
        <v>16014906.2750772</v>
      </c>
      <c r="G37">
        <v>4958896.9509247905</v>
      </c>
      <c r="H37">
        <v>16122653.339698199</v>
      </c>
      <c r="I37">
        <v>4958896.2284933897</v>
      </c>
      <c r="J37">
        <v>609866.82703362405</v>
      </c>
      <c r="K37">
        <v>591570.82222261501</v>
      </c>
      <c r="L37">
        <v>3645039.7427920201</v>
      </c>
      <c r="M37">
        <v>3435653.06294228</v>
      </c>
      <c r="N37">
        <v>3664143.70417315</v>
      </c>
      <c r="O37">
        <v>3453611.09902133</v>
      </c>
      <c r="P37">
        <v>101644.47117227101</v>
      </c>
      <c r="Q37">
        <v>98595.137037102599</v>
      </c>
    </row>
    <row r="38" spans="1:17" x14ac:dyDescent="0.2">
      <c r="A38">
        <v>85</v>
      </c>
      <c r="B38">
        <v>22139805.115307499</v>
      </c>
      <c r="C38">
        <v>21224577.550525799</v>
      </c>
      <c r="D38">
        <v>22256788.701981898</v>
      </c>
      <c r="E38">
        <v>21334543.604208</v>
      </c>
      <c r="F38">
        <v>16159921.212709799</v>
      </c>
      <c r="G38">
        <v>5064656.337816</v>
      </c>
      <c r="H38">
        <v>16269887.993934801</v>
      </c>
      <c r="I38">
        <v>5064655.6102731302</v>
      </c>
      <c r="J38">
        <v>637514.24571911199</v>
      </c>
      <c r="K38">
        <v>618388.81834753905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</row>
    <row r="39" spans="1:17" x14ac:dyDescent="0.2">
      <c r="A39">
        <v>86</v>
      </c>
      <c r="B39">
        <v>22377970.529386301</v>
      </c>
      <c r="C39">
        <v>21450606.323766999</v>
      </c>
      <c r="D39">
        <v>22498197.907335699</v>
      </c>
      <c r="E39">
        <v>21563621.5495684</v>
      </c>
      <c r="F39">
        <v>16320043.5097444</v>
      </c>
      <c r="G39">
        <v>5130562.8140225597</v>
      </c>
      <c r="H39">
        <v>16433059.450521801</v>
      </c>
      <c r="I39">
        <v>5130562.0990465498</v>
      </c>
      <c r="J39">
        <v>641303.00231503195</v>
      </c>
      <c r="K39">
        <v>622063.91224558104</v>
      </c>
      <c r="L39">
        <v>3728181.7016334999</v>
      </c>
      <c r="M39">
        <v>3513316.2151159798</v>
      </c>
      <c r="N39">
        <v>3748219.8622365901</v>
      </c>
      <c r="O39">
        <v>3532152.0846460098</v>
      </c>
      <c r="P39">
        <v>106883.83371917201</v>
      </c>
      <c r="Q39">
        <v>103677.31870759701</v>
      </c>
    </row>
    <row r="40" spans="1:17" x14ac:dyDescent="0.2">
      <c r="A40">
        <v>87</v>
      </c>
      <c r="B40">
        <v>22639917.686698701</v>
      </c>
      <c r="C40">
        <v>21699713.006055102</v>
      </c>
      <c r="D40">
        <v>22763171.376602199</v>
      </c>
      <c r="E40">
        <v>21815572.9755706</v>
      </c>
      <c r="F40">
        <v>16495421.679958999</v>
      </c>
      <c r="G40">
        <v>5204291.3260961296</v>
      </c>
      <c r="H40">
        <v>16611282.360532399</v>
      </c>
      <c r="I40">
        <v>5204290.61503819</v>
      </c>
      <c r="J40">
        <v>671709.24395505397</v>
      </c>
      <c r="K40">
        <v>651557.96663640195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</row>
    <row r="41" spans="1:17" x14ac:dyDescent="0.2">
      <c r="A41">
        <v>88</v>
      </c>
      <c r="B41">
        <v>22869426.070519399</v>
      </c>
      <c r="C41">
        <v>21918404.753052101</v>
      </c>
      <c r="D41">
        <v>22995307.767110799</v>
      </c>
      <c r="E41">
        <v>22036735.056830801</v>
      </c>
      <c r="F41">
        <v>16629416.0404713</v>
      </c>
      <c r="G41">
        <v>5288988.7125807796</v>
      </c>
      <c r="H41">
        <v>16747747.0551503</v>
      </c>
      <c r="I41">
        <v>5288988.0016804598</v>
      </c>
      <c r="J41">
        <v>748663.96869457304</v>
      </c>
      <c r="K41">
        <v>726204.04963373498</v>
      </c>
      <c r="L41">
        <v>3809380.41540631</v>
      </c>
      <c r="M41">
        <v>3589757.7684212402</v>
      </c>
      <c r="N41">
        <v>3830360.9657216701</v>
      </c>
      <c r="O41">
        <v>3609479.7886479599</v>
      </c>
      <c r="P41">
        <v>124777.32811576199</v>
      </c>
      <c r="Q41">
        <v>121034.00827228899</v>
      </c>
    </row>
    <row r="42" spans="1:17" x14ac:dyDescent="0.2">
      <c r="A42">
        <v>89</v>
      </c>
      <c r="B42">
        <v>23173089.9634315</v>
      </c>
      <c r="C42">
        <v>22207687.491060499</v>
      </c>
      <c r="D42">
        <v>23301210.315772701</v>
      </c>
      <c r="E42">
        <v>22328122.141781799</v>
      </c>
      <c r="F42">
        <v>16826934.3784515</v>
      </c>
      <c r="G42">
        <v>5380753.1126089403</v>
      </c>
      <c r="H42">
        <v>16947369.729302801</v>
      </c>
      <c r="I42">
        <v>5380752.4124789098</v>
      </c>
      <c r="J42">
        <v>825815.24754797004</v>
      </c>
      <c r="K42">
        <v>801040.790121531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</row>
    <row r="43" spans="1:17" x14ac:dyDescent="0.2">
      <c r="A43">
        <v>90</v>
      </c>
      <c r="B43">
        <v>23420881.263344299</v>
      </c>
      <c r="C43">
        <v>22443304.664536498</v>
      </c>
      <c r="D43">
        <v>23550450.704801898</v>
      </c>
      <c r="E43">
        <v>22565101.467733599</v>
      </c>
      <c r="F43">
        <v>16984470.0232886</v>
      </c>
      <c r="G43">
        <v>5458834.6412479104</v>
      </c>
      <c r="H43">
        <v>17106267.5228917</v>
      </c>
      <c r="I43">
        <v>5458833.9448419204</v>
      </c>
      <c r="J43">
        <v>913106.59168042103</v>
      </c>
      <c r="K43">
        <v>885713.39393000805</v>
      </c>
      <c r="L43">
        <v>3901054.3487841501</v>
      </c>
      <c r="M43">
        <v>3676565.2683443301</v>
      </c>
      <c r="N43">
        <v>3922649.5266559701</v>
      </c>
      <c r="O43">
        <v>3696865.0760983801</v>
      </c>
      <c r="P43">
        <v>152184.43194673699</v>
      </c>
      <c r="Q43">
        <v>147618.89898833499</v>
      </c>
    </row>
    <row r="44" spans="1:17" x14ac:dyDescent="0.2">
      <c r="A44">
        <v>91</v>
      </c>
      <c r="B44">
        <v>23710350.896830201</v>
      </c>
      <c r="C44">
        <v>22719500.9039101</v>
      </c>
      <c r="D44">
        <v>23842395.390904799</v>
      </c>
      <c r="E44">
        <v>22843624.266932201</v>
      </c>
      <c r="F44">
        <v>17178788.334119301</v>
      </c>
      <c r="G44">
        <v>5540712.5697908197</v>
      </c>
      <c r="H44">
        <v>17302912.379599102</v>
      </c>
      <c r="I44">
        <v>5540711.88733311</v>
      </c>
      <c r="J44">
        <v>968999.50223682402</v>
      </c>
      <c r="K44">
        <v>939929.51716971898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</row>
    <row r="45" spans="1:17" x14ac:dyDescent="0.2">
      <c r="A45">
        <v>92</v>
      </c>
      <c r="B45">
        <v>23960726.0092117</v>
      </c>
      <c r="C45">
        <v>22957641.3289872</v>
      </c>
      <c r="D45">
        <v>24093899.573619299</v>
      </c>
      <c r="E45">
        <v>23082826.0207862</v>
      </c>
      <c r="F45">
        <v>17324768.5899572</v>
      </c>
      <c r="G45">
        <v>5632872.7390300604</v>
      </c>
      <c r="H45">
        <v>17449953.967613101</v>
      </c>
      <c r="I45">
        <v>5632872.05317304</v>
      </c>
      <c r="J45">
        <v>1058520.45537948</v>
      </c>
      <c r="K45">
        <v>1026764.8417181</v>
      </c>
      <c r="L45">
        <v>3990875.22806824</v>
      </c>
      <c r="M45">
        <v>3761556.5696356702</v>
      </c>
      <c r="N45">
        <v>4013071.0954084801</v>
      </c>
      <c r="O45">
        <v>3782421.0284116198</v>
      </c>
      <c r="P45">
        <v>176420.07589658001</v>
      </c>
      <c r="Q45">
        <v>171127.47361968301</v>
      </c>
    </row>
    <row r="46" spans="1:17" x14ac:dyDescent="0.2">
      <c r="A46">
        <v>93</v>
      </c>
      <c r="B46">
        <v>24137948.294319499</v>
      </c>
      <c r="C46">
        <v>23127532.824171498</v>
      </c>
      <c r="D46">
        <v>24272460.0337102</v>
      </c>
      <c r="E46">
        <v>23253975.403190099</v>
      </c>
      <c r="F46">
        <v>17414452.530779801</v>
      </c>
      <c r="G46">
        <v>5713080.2933916999</v>
      </c>
      <c r="H46">
        <v>17540895.790893599</v>
      </c>
      <c r="I46">
        <v>5713079.61229653</v>
      </c>
      <c r="J46">
        <v>1175680.0240422401</v>
      </c>
      <c r="K46">
        <v>1140409.62332098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</row>
    <row r="47" spans="1:17" x14ac:dyDescent="0.2">
      <c r="A47">
        <v>94</v>
      </c>
      <c r="B47">
        <v>24326226.1719012</v>
      </c>
      <c r="C47">
        <v>23305224.232655201</v>
      </c>
      <c r="D47">
        <v>24461843.925654799</v>
      </c>
      <c r="E47">
        <v>23432706.4682291</v>
      </c>
      <c r="F47">
        <v>17489491.973621301</v>
      </c>
      <c r="G47">
        <v>5815732.2590338998</v>
      </c>
      <c r="H47">
        <v>17616974.870136</v>
      </c>
      <c r="I47">
        <v>5815731.5980931101</v>
      </c>
      <c r="J47">
        <v>1257464.3800921</v>
      </c>
      <c r="K47">
        <v>1219740.4486893399</v>
      </c>
      <c r="L47">
        <v>4049323.6243366902</v>
      </c>
      <c r="M47">
        <v>3817108.5337948599</v>
      </c>
      <c r="N47">
        <v>4071926.8575944798</v>
      </c>
      <c r="O47">
        <v>3838355.91778831</v>
      </c>
      <c r="P47">
        <v>209577.39668201699</v>
      </c>
      <c r="Q47">
        <v>203290.074781556</v>
      </c>
    </row>
    <row r="48" spans="1:17" x14ac:dyDescent="0.2">
      <c r="A48">
        <v>95</v>
      </c>
      <c r="B48">
        <v>24479442.026500799</v>
      </c>
      <c r="C48">
        <v>23450750.256427702</v>
      </c>
      <c r="D48">
        <v>24615319.006775498</v>
      </c>
      <c r="E48">
        <v>23578476.167416502</v>
      </c>
      <c r="F48">
        <v>17563324.668828499</v>
      </c>
      <c r="G48">
        <v>5887425.5875991499</v>
      </c>
      <c r="H48">
        <v>17691051.2434453</v>
      </c>
      <c r="I48">
        <v>5887424.9239712805</v>
      </c>
      <c r="J48">
        <v>1309995.2470627199</v>
      </c>
      <c r="K48">
        <v>1270695.3896508301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</row>
    <row r="49" spans="1:17" x14ac:dyDescent="0.2">
      <c r="A49">
        <v>96</v>
      </c>
      <c r="B49">
        <v>24663605.5324945</v>
      </c>
      <c r="C49">
        <v>23625065.324436899</v>
      </c>
      <c r="D49">
        <v>24801437.532036498</v>
      </c>
      <c r="E49">
        <v>23754628.956628501</v>
      </c>
      <c r="F49">
        <v>17686239.441588201</v>
      </c>
      <c r="G49">
        <v>5938825.8828486903</v>
      </c>
      <c r="H49">
        <v>17815803.7156955</v>
      </c>
      <c r="I49">
        <v>5938825.24093307</v>
      </c>
      <c r="J49">
        <v>1351558.78262537</v>
      </c>
      <c r="K49">
        <v>1311012.0191466101</v>
      </c>
      <c r="L49">
        <v>4104972.31284372</v>
      </c>
      <c r="M49">
        <v>3869766.4372596098</v>
      </c>
      <c r="N49">
        <v>4127944.5880550002</v>
      </c>
      <c r="O49">
        <v>3891360.72190572</v>
      </c>
      <c r="P49">
        <v>225259.79710422899</v>
      </c>
      <c r="Q49">
        <v>218502.00319110201</v>
      </c>
    </row>
    <row r="50" spans="1:17" x14ac:dyDescent="0.2">
      <c r="A50">
        <v>97</v>
      </c>
      <c r="B50">
        <v>24829093.211004499</v>
      </c>
      <c r="C50">
        <v>23782454.5042243</v>
      </c>
      <c r="D50">
        <v>24968111.149640899</v>
      </c>
      <c r="E50">
        <v>23913132.921681002</v>
      </c>
      <c r="F50">
        <v>17811891.351241998</v>
      </c>
      <c r="G50">
        <v>5970563.1529822601</v>
      </c>
      <c r="H50">
        <v>17942570.4116548</v>
      </c>
      <c r="I50">
        <v>5970562.5100262603</v>
      </c>
      <c r="J50">
        <v>1404541.0368255801</v>
      </c>
      <c r="K50">
        <v>1362404.8057208101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</row>
    <row r="51" spans="1:17" x14ac:dyDescent="0.2">
      <c r="A51">
        <v>98</v>
      </c>
      <c r="B51">
        <v>24885460.1175786</v>
      </c>
      <c r="C51">
        <v>23836254.437984701</v>
      </c>
      <c r="D51">
        <v>25025468.348547898</v>
      </c>
      <c r="E51">
        <v>23967863.7327413</v>
      </c>
      <c r="F51">
        <v>17849964.725344099</v>
      </c>
      <c r="G51">
        <v>5986289.7126406403</v>
      </c>
      <c r="H51">
        <v>17981574.667658001</v>
      </c>
      <c r="I51">
        <v>5986289.0650833203</v>
      </c>
      <c r="J51">
        <v>1453775.84983856</v>
      </c>
      <c r="K51">
        <v>1410162.5743434001</v>
      </c>
      <c r="L51">
        <v>4142187.2733673798</v>
      </c>
      <c r="M51">
        <v>3905131.3731698398</v>
      </c>
      <c r="N51">
        <v>4165522.2547072102</v>
      </c>
      <c r="O51">
        <v>3927066.60269607</v>
      </c>
      <c r="P51">
        <v>242295.97497309299</v>
      </c>
      <c r="Q51">
        <v>235027.09572390001</v>
      </c>
    </row>
    <row r="52" spans="1:17" x14ac:dyDescent="0.2">
      <c r="A52">
        <v>99</v>
      </c>
      <c r="B52">
        <v>24976356.073359501</v>
      </c>
      <c r="C52">
        <v>23923001.9607604</v>
      </c>
      <c r="D52">
        <v>25116927.973144401</v>
      </c>
      <c r="E52">
        <v>24055141.1078903</v>
      </c>
      <c r="F52">
        <v>17962941.015700702</v>
      </c>
      <c r="G52">
        <v>5960060.9450597698</v>
      </c>
      <c r="H52">
        <v>18095080.7895087</v>
      </c>
      <c r="I52">
        <v>5960060.3183815498</v>
      </c>
      <c r="J52">
        <v>1515468.92033844</v>
      </c>
      <c r="K52">
        <v>1470004.85272829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</row>
    <row r="53" spans="1:17" x14ac:dyDescent="0.2">
      <c r="A53">
        <v>100</v>
      </c>
      <c r="B53">
        <v>25102385.297820698</v>
      </c>
      <c r="C53">
        <v>24043237.186183602</v>
      </c>
      <c r="D53">
        <v>25241665.250126898</v>
      </c>
      <c r="E53">
        <v>24174161.906269901</v>
      </c>
      <c r="F53">
        <v>18020633.613370199</v>
      </c>
      <c r="G53">
        <v>6022603.5728133703</v>
      </c>
      <c r="H53">
        <v>18151558.933748402</v>
      </c>
      <c r="I53">
        <v>6022602.9725214196</v>
      </c>
      <c r="J53">
        <v>1593488.7131845499</v>
      </c>
      <c r="K53">
        <v>1545684.05178902</v>
      </c>
      <c r="L53">
        <v>4178607.3028785</v>
      </c>
      <c r="M53">
        <v>3939800.1654701498</v>
      </c>
      <c r="N53">
        <v>4201820.9057306703</v>
      </c>
      <c r="O53">
        <v>3961621.3006154499</v>
      </c>
      <c r="P53">
        <v>265581.452197426</v>
      </c>
      <c r="Q53">
        <v>257614.00863150301</v>
      </c>
    </row>
    <row r="54" spans="1:17" x14ac:dyDescent="0.2">
      <c r="A54">
        <v>101</v>
      </c>
      <c r="B54">
        <v>25392383.558995601</v>
      </c>
      <c r="C54">
        <v>24318974.902775001</v>
      </c>
      <c r="D54">
        <v>25533690.606945101</v>
      </c>
      <c r="E54">
        <v>24451805.421261001</v>
      </c>
      <c r="F54">
        <v>18214863.5018421</v>
      </c>
      <c r="G54">
        <v>6104111.4009328904</v>
      </c>
      <c r="H54">
        <v>18347694.633044198</v>
      </c>
      <c r="I54">
        <v>6104110.78821682</v>
      </c>
      <c r="J54">
        <v>1675001.48716889</v>
      </c>
      <c r="K54">
        <v>1624751.4425538301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</row>
    <row r="55" spans="1:17" x14ac:dyDescent="0.2">
      <c r="A55">
        <v>102</v>
      </c>
      <c r="B55">
        <v>25567302.977881499</v>
      </c>
      <c r="C55">
        <v>24484991.2427954</v>
      </c>
      <c r="D55">
        <v>25709878.2260633</v>
      </c>
      <c r="E55">
        <v>24619012.146368202</v>
      </c>
      <c r="F55">
        <v>18321526.594495401</v>
      </c>
      <c r="G55">
        <v>6163464.6482999399</v>
      </c>
      <c r="H55">
        <v>18455548.1098231</v>
      </c>
      <c r="I55">
        <v>6163464.0365451304</v>
      </c>
      <c r="J55">
        <v>1743518.9151846799</v>
      </c>
      <c r="K55">
        <v>1691213.34772914</v>
      </c>
      <c r="L55">
        <v>4255521.4134407304</v>
      </c>
      <c r="M55">
        <v>4012648.46674116</v>
      </c>
      <c r="N55">
        <v>4279283.9849961903</v>
      </c>
      <c r="O55">
        <v>4034986.13719744</v>
      </c>
      <c r="P55">
        <v>290586.48586411303</v>
      </c>
      <c r="Q55">
        <v>281868.89128818898</v>
      </c>
    </row>
    <row r="56" spans="1:17" x14ac:dyDescent="0.2">
      <c r="A56">
        <v>103</v>
      </c>
      <c r="B56">
        <v>25718512.201044701</v>
      </c>
      <c r="C56">
        <v>24628063.346673701</v>
      </c>
      <c r="D56">
        <v>25862161.4059681</v>
      </c>
      <c r="E56">
        <v>24763093.769850802</v>
      </c>
      <c r="F56">
        <v>18405584.387971401</v>
      </c>
      <c r="G56">
        <v>6222478.9587022997</v>
      </c>
      <c r="H56">
        <v>18540615.423863702</v>
      </c>
      <c r="I56">
        <v>6222478.3459871197</v>
      </c>
      <c r="J56">
        <v>1826732.3549923699</v>
      </c>
      <c r="K56">
        <v>1771930.3843425999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</row>
    <row r="57" spans="1:17" x14ac:dyDescent="0.2">
      <c r="A57">
        <v>104</v>
      </c>
      <c r="B57">
        <v>25891228.113862298</v>
      </c>
      <c r="C57">
        <v>24792276.4297393</v>
      </c>
      <c r="D57">
        <v>26034991.926439699</v>
      </c>
      <c r="E57">
        <v>24927414.584305901</v>
      </c>
      <c r="F57">
        <v>18506028.110377301</v>
      </c>
      <c r="G57">
        <v>6286248.3193619903</v>
      </c>
      <c r="H57">
        <v>18641166.871819999</v>
      </c>
      <c r="I57">
        <v>6286247.7124859001</v>
      </c>
      <c r="J57">
        <v>1920356.4131412001</v>
      </c>
      <c r="K57">
        <v>1862745.72074696</v>
      </c>
      <c r="L57">
        <v>4308788.7436269997</v>
      </c>
      <c r="M57">
        <v>4063177.6083587301</v>
      </c>
      <c r="N57">
        <v>4332749.4093303001</v>
      </c>
      <c r="O57">
        <v>4085701.49002404</v>
      </c>
      <c r="P57">
        <v>320059.40219019999</v>
      </c>
      <c r="Q57">
        <v>310457.62012449402</v>
      </c>
    </row>
    <row r="58" spans="1:17" x14ac:dyDescent="0.2">
      <c r="A58">
        <v>105</v>
      </c>
      <c r="B58">
        <v>26118808.383009002</v>
      </c>
      <c r="C58">
        <v>25008862.8681207</v>
      </c>
      <c r="D58">
        <v>26259610.708462901</v>
      </c>
      <c r="E58">
        <v>25141217.224737301</v>
      </c>
      <c r="F58">
        <v>18694286.826086599</v>
      </c>
      <c r="G58">
        <v>6314576.0420340197</v>
      </c>
      <c r="H58">
        <v>18826641.790522199</v>
      </c>
      <c r="I58">
        <v>6314575.4342150996</v>
      </c>
      <c r="J58">
        <v>1979050.7782970001</v>
      </c>
      <c r="K58">
        <v>1919679.2549480901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</row>
    <row r="59" spans="1:17" x14ac:dyDescent="0.2">
      <c r="A59">
        <v>106</v>
      </c>
      <c r="B59">
        <v>26276802.0677763</v>
      </c>
      <c r="C59">
        <v>25160154.8028186</v>
      </c>
      <c r="D59">
        <v>26417734.798578501</v>
      </c>
      <c r="E59">
        <v>25292631.740747798</v>
      </c>
      <c r="F59">
        <v>18798033.112456702</v>
      </c>
      <c r="G59">
        <v>6362121.6903619003</v>
      </c>
      <c r="H59">
        <v>18930510.6589032</v>
      </c>
      <c r="I59">
        <v>6362121.0818445897</v>
      </c>
      <c r="J59">
        <v>2040694.2127316301</v>
      </c>
      <c r="K59">
        <v>1979473.3863496799</v>
      </c>
      <c r="L59">
        <v>4373667.8288441198</v>
      </c>
      <c r="M59">
        <v>4124819.3046896099</v>
      </c>
      <c r="N59">
        <v>4397156.6476258896</v>
      </c>
      <c r="O59">
        <v>4146899.6529069999</v>
      </c>
      <c r="P59">
        <v>340115.702121938</v>
      </c>
      <c r="Q59">
        <v>329912.23105827998</v>
      </c>
    </row>
    <row r="60" spans="1:17" x14ac:dyDescent="0.2">
      <c r="A60">
        <v>107</v>
      </c>
      <c r="B60">
        <v>26507722.294043198</v>
      </c>
      <c r="C60">
        <v>25380282.8905566</v>
      </c>
      <c r="D60">
        <v>26650008.901692498</v>
      </c>
      <c r="E60">
        <v>25514032.472962499</v>
      </c>
      <c r="F60">
        <v>18940633.145759501</v>
      </c>
      <c r="G60">
        <v>6439649.7447970696</v>
      </c>
      <c r="H60">
        <v>19074383.338344399</v>
      </c>
      <c r="I60">
        <v>6439649.13461811</v>
      </c>
      <c r="J60">
        <v>2112057.49675242</v>
      </c>
      <c r="K60">
        <v>2048695.7718498399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</row>
    <row r="61" spans="1:17" x14ac:dyDescent="0.2">
      <c r="A61">
        <v>108</v>
      </c>
      <c r="B61">
        <v>26616037.966540702</v>
      </c>
      <c r="C61">
        <v>25482895.062116701</v>
      </c>
      <c r="D61">
        <v>26758840.553138901</v>
      </c>
      <c r="E61">
        <v>25617127.936258901</v>
      </c>
      <c r="F61">
        <v>19009084.5535574</v>
      </c>
      <c r="G61">
        <v>6473810.5085592903</v>
      </c>
      <c r="H61">
        <v>19143318.032772001</v>
      </c>
      <c r="I61">
        <v>6473809.90348686</v>
      </c>
      <c r="J61">
        <v>2180441.1105223298</v>
      </c>
      <c r="K61">
        <v>2115027.8772066599</v>
      </c>
      <c r="L61">
        <v>4429332.09295158</v>
      </c>
      <c r="M61">
        <v>4177586.6989561999</v>
      </c>
      <c r="N61">
        <v>4453132.2479413301</v>
      </c>
      <c r="O61">
        <v>4199959.7058800701</v>
      </c>
      <c r="P61">
        <v>363406.851753722</v>
      </c>
      <c r="Q61">
        <v>352504.64620111103</v>
      </c>
    </row>
    <row r="62" spans="1:17" x14ac:dyDescent="0.2">
      <c r="A62">
        <v>109</v>
      </c>
      <c r="B62">
        <v>26792691.855117299</v>
      </c>
      <c r="C62">
        <v>25651083.044841502</v>
      </c>
      <c r="D62">
        <v>26935537.677243602</v>
      </c>
      <c r="E62">
        <v>25785356.558060799</v>
      </c>
      <c r="F62">
        <v>19124843.6783676</v>
      </c>
      <c r="G62">
        <v>6526239.3664738303</v>
      </c>
      <c r="H62">
        <v>19259117.795934401</v>
      </c>
      <c r="I62">
        <v>6526238.7621263396</v>
      </c>
      <c r="J62">
        <v>2289856.3255912899</v>
      </c>
      <c r="K62">
        <v>2221160.6358235502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</row>
    <row r="63" spans="1:17" x14ac:dyDescent="0.2">
      <c r="A63">
        <v>110</v>
      </c>
      <c r="B63">
        <v>26986551.7957591</v>
      </c>
      <c r="C63">
        <v>25834768.773878898</v>
      </c>
      <c r="D63">
        <v>27131439.4273865</v>
      </c>
      <c r="E63">
        <v>25970961.690620799</v>
      </c>
      <c r="F63">
        <v>19308842.906490002</v>
      </c>
      <c r="G63">
        <v>6525925.8673889097</v>
      </c>
      <c r="H63">
        <v>19445036.4562907</v>
      </c>
      <c r="I63">
        <v>6525925.23433006</v>
      </c>
      <c r="J63">
        <v>2351173.8897969001</v>
      </c>
      <c r="K63">
        <v>2280638.6731029898</v>
      </c>
      <c r="L63">
        <v>4490071.9754650397</v>
      </c>
      <c r="M63">
        <v>4235216.3484542798</v>
      </c>
      <c r="N63">
        <v>4514219.6557384199</v>
      </c>
      <c r="O63">
        <v>4257919.8604107704</v>
      </c>
      <c r="P63">
        <v>391862.31496614998</v>
      </c>
      <c r="Q63">
        <v>380106.44551716599</v>
      </c>
    </row>
    <row r="64" spans="1:17" x14ac:dyDescent="0.2">
      <c r="A64">
        <v>111</v>
      </c>
      <c r="B64">
        <v>27234716.259206399</v>
      </c>
      <c r="C64">
        <v>26070009.9854559</v>
      </c>
      <c r="D64">
        <v>27380143.808823202</v>
      </c>
      <c r="E64">
        <v>26206710.422912501</v>
      </c>
      <c r="F64">
        <v>19470550.308798999</v>
      </c>
      <c r="G64">
        <v>6599459.6766569503</v>
      </c>
      <c r="H64">
        <v>19607251.380268201</v>
      </c>
      <c r="I64">
        <v>6599459.0426442102</v>
      </c>
      <c r="J64">
        <v>2419461.9333387902</v>
      </c>
      <c r="K64">
        <v>2346878.0753386202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</row>
    <row r="65" spans="1:17" x14ac:dyDescent="0.2">
      <c r="A65">
        <v>112</v>
      </c>
      <c r="B65">
        <v>27376236.427083001</v>
      </c>
      <c r="C65">
        <v>26204265.736714799</v>
      </c>
      <c r="D65">
        <v>27522322.5783864</v>
      </c>
      <c r="E65">
        <v>26341585.257569101</v>
      </c>
      <c r="F65">
        <v>19552184.667001601</v>
      </c>
      <c r="G65">
        <v>6652081.06971318</v>
      </c>
      <c r="H65">
        <v>19689504.770218302</v>
      </c>
      <c r="I65">
        <v>6652080.4873508103</v>
      </c>
      <c r="J65">
        <v>2449715.17334302</v>
      </c>
      <c r="K65">
        <v>2376223.7181427302</v>
      </c>
      <c r="L65">
        <v>4554716.9792024102</v>
      </c>
      <c r="M65">
        <v>4296618.8855137099</v>
      </c>
      <c r="N65">
        <v>4579064.4119779896</v>
      </c>
      <c r="O65">
        <v>4319510.1789386403</v>
      </c>
      <c r="P65">
        <v>408285.862223837</v>
      </c>
      <c r="Q65">
        <v>396037.28635712201</v>
      </c>
    </row>
    <row r="66" spans="1:17" x14ac:dyDescent="0.2">
      <c r="A66">
        <v>113</v>
      </c>
      <c r="B66">
        <v>27626380.485423699</v>
      </c>
      <c r="C66">
        <v>26442212.824971098</v>
      </c>
      <c r="D66">
        <v>27773034.0614332</v>
      </c>
      <c r="E66">
        <v>26580065.723065</v>
      </c>
      <c r="F66">
        <v>19722313.101032998</v>
      </c>
      <c r="G66">
        <v>6719899.7239381401</v>
      </c>
      <c r="H66">
        <v>19860166.576021399</v>
      </c>
      <c r="I66">
        <v>6719899.14704361</v>
      </c>
      <c r="J66">
        <v>2539737.8032449302</v>
      </c>
      <c r="K66">
        <v>2463545.6691475799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</row>
    <row r="67" spans="1:17" x14ac:dyDescent="0.2">
      <c r="A67">
        <v>114</v>
      </c>
      <c r="B67">
        <v>27795506.735417299</v>
      </c>
      <c r="C67">
        <v>26602935.124577001</v>
      </c>
      <c r="D67">
        <v>27943861.521808598</v>
      </c>
      <c r="E67">
        <v>26742387.161986899</v>
      </c>
      <c r="F67">
        <v>19816219.6853774</v>
      </c>
      <c r="G67">
        <v>6786715.4391995901</v>
      </c>
      <c r="H67">
        <v>19955672.2632192</v>
      </c>
      <c r="I67">
        <v>6786714.8987676604</v>
      </c>
      <c r="J67">
        <v>2580574.4589442802</v>
      </c>
      <c r="K67">
        <v>2503157.2251759502</v>
      </c>
      <c r="L67">
        <v>4624034.9807992</v>
      </c>
      <c r="M67">
        <v>4362244.0232708603</v>
      </c>
      <c r="N67">
        <v>4648760.5193470595</v>
      </c>
      <c r="O67">
        <v>4385491.6302943202</v>
      </c>
      <c r="P67">
        <v>430095.74315738003</v>
      </c>
      <c r="Q67">
        <v>417192.87086265901</v>
      </c>
    </row>
    <row r="68" spans="1:17" x14ac:dyDescent="0.2">
      <c r="A68">
        <v>115</v>
      </c>
      <c r="B68">
        <v>27980941.6926076</v>
      </c>
      <c r="C68">
        <v>26778875.0655795</v>
      </c>
      <c r="D68">
        <v>28130235.008304499</v>
      </c>
      <c r="E68">
        <v>26919208.466878101</v>
      </c>
      <c r="F68">
        <v>19939179.311879002</v>
      </c>
      <c r="G68">
        <v>6839695.7537005097</v>
      </c>
      <c r="H68">
        <v>20079513.2602042</v>
      </c>
      <c r="I68">
        <v>6839695.2066738699</v>
      </c>
      <c r="J68">
        <v>2643235.1476676799</v>
      </c>
      <c r="K68">
        <v>2563938.0932376501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</row>
    <row r="69" spans="1:17" x14ac:dyDescent="0.2">
      <c r="A69">
        <v>116</v>
      </c>
      <c r="B69">
        <v>28178756.4987351</v>
      </c>
      <c r="C69">
        <v>26967497.598713402</v>
      </c>
      <c r="D69">
        <v>28328831.636988301</v>
      </c>
      <c r="E69">
        <v>27108560.9088648</v>
      </c>
      <c r="F69">
        <v>20054657.430274501</v>
      </c>
      <c r="G69">
        <v>6912840.1684389003</v>
      </c>
      <c r="H69">
        <v>20195721.300776001</v>
      </c>
      <c r="I69">
        <v>6912839.6080888798</v>
      </c>
      <c r="J69">
        <v>2698482.2004823401</v>
      </c>
      <c r="K69">
        <v>2617527.7344678701</v>
      </c>
      <c r="L69">
        <v>4688406.9788683997</v>
      </c>
      <c r="M69">
        <v>4423296.8609492602</v>
      </c>
      <c r="N69">
        <v>4713418.2040725602</v>
      </c>
      <c r="O69">
        <v>4446813.0299162697</v>
      </c>
      <c r="P69">
        <v>449747.03341372299</v>
      </c>
      <c r="Q69">
        <v>436254.62241131102</v>
      </c>
    </row>
    <row r="70" spans="1:17" x14ac:dyDescent="0.2">
      <c r="A70">
        <v>117</v>
      </c>
      <c r="B70">
        <v>28322308.745191202</v>
      </c>
      <c r="C70">
        <v>27103987.031461202</v>
      </c>
      <c r="D70">
        <v>28472416.256657299</v>
      </c>
      <c r="E70">
        <v>27245080.7617261</v>
      </c>
      <c r="F70">
        <v>20146511.831111599</v>
      </c>
      <c r="G70">
        <v>6957475.2003496597</v>
      </c>
      <c r="H70">
        <v>20287606.1146066</v>
      </c>
      <c r="I70">
        <v>6957474.6471195295</v>
      </c>
      <c r="J70">
        <v>2760723.9433185202</v>
      </c>
      <c r="K70">
        <v>2677902.2250189702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</row>
    <row r="71" spans="1:17" x14ac:dyDescent="0.2">
      <c r="A71">
        <v>118</v>
      </c>
      <c r="B71">
        <v>28476991.8259569</v>
      </c>
      <c r="C71">
        <v>27249824.720347401</v>
      </c>
      <c r="D71">
        <v>28625787.946474198</v>
      </c>
      <c r="E71">
        <v>27389686.521993902</v>
      </c>
      <c r="F71">
        <v>20232442.202134401</v>
      </c>
      <c r="G71">
        <v>7017382.5182129499</v>
      </c>
      <c r="H71">
        <v>20372304.560010999</v>
      </c>
      <c r="I71">
        <v>7017381.9619828602</v>
      </c>
      <c r="J71">
        <v>2810760.16692022</v>
      </c>
      <c r="K71">
        <v>2726437.36191261</v>
      </c>
      <c r="L71">
        <v>4736669.4586942196</v>
      </c>
      <c r="M71">
        <v>4468729.5742407897</v>
      </c>
      <c r="N71">
        <v>4761467.6504755197</v>
      </c>
      <c r="O71">
        <v>4492045.50821291</v>
      </c>
      <c r="P71">
        <v>468460.02782003599</v>
      </c>
      <c r="Q71">
        <v>454406.226985435</v>
      </c>
    </row>
    <row r="72" spans="1:17" x14ac:dyDescent="0.2">
      <c r="A72">
        <v>119</v>
      </c>
      <c r="B72">
        <v>28788524.586364999</v>
      </c>
      <c r="C72">
        <v>27545510.7328136</v>
      </c>
      <c r="D72">
        <v>28935657.029006399</v>
      </c>
      <c r="E72">
        <v>27683808.6677472</v>
      </c>
      <c r="F72">
        <v>20465845.415963199</v>
      </c>
      <c r="G72">
        <v>7079665.31685034</v>
      </c>
      <c r="H72">
        <v>20604143.908546701</v>
      </c>
      <c r="I72">
        <v>7079664.7592005599</v>
      </c>
      <c r="J72">
        <v>2945728.79873442</v>
      </c>
      <c r="K72">
        <v>2857356.9347723899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</row>
    <row r="73" spans="1:17" x14ac:dyDescent="0.2">
      <c r="A73">
        <v>120</v>
      </c>
      <c r="B73">
        <v>28927415.146609101</v>
      </c>
      <c r="C73">
        <v>27677539.7135363</v>
      </c>
      <c r="D73">
        <v>29074522.712049101</v>
      </c>
      <c r="E73">
        <v>27815815.166909501</v>
      </c>
      <c r="F73">
        <v>20590503.354904599</v>
      </c>
      <c r="G73">
        <v>7087036.3586316397</v>
      </c>
      <c r="H73">
        <v>20728779.3646998</v>
      </c>
      <c r="I73">
        <v>7087035.8022097498</v>
      </c>
      <c r="J73">
        <v>3010500.20212061</v>
      </c>
      <c r="K73">
        <v>2920185.19605699</v>
      </c>
      <c r="L73">
        <v>4811548.5671065701</v>
      </c>
      <c r="M73">
        <v>4539730.1358154397</v>
      </c>
      <c r="N73">
        <v>4836065.4914635299</v>
      </c>
      <c r="O73">
        <v>4562777.8092665598</v>
      </c>
      <c r="P73">
        <v>501750.03368676902</v>
      </c>
      <c r="Q73">
        <v>486697.53267616598</v>
      </c>
    </row>
    <row r="74" spans="1:17" x14ac:dyDescent="0.2">
      <c r="A74">
        <v>121</v>
      </c>
      <c r="B74">
        <v>29187729.448725302</v>
      </c>
      <c r="C74">
        <v>27925945.138241101</v>
      </c>
      <c r="D74">
        <v>29334973.208223499</v>
      </c>
      <c r="E74">
        <v>28064348.754212301</v>
      </c>
      <c r="F74">
        <v>20733805.824915901</v>
      </c>
      <c r="G74">
        <v>7192139.3133252496</v>
      </c>
      <c r="H74">
        <v>20872210.0014043</v>
      </c>
      <c r="I74">
        <v>7192138.7528080205</v>
      </c>
      <c r="J74">
        <v>3052219.7327045798</v>
      </c>
      <c r="K74">
        <v>2960653.1407234399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</row>
    <row r="75" spans="1:17" x14ac:dyDescent="0.2">
      <c r="A75">
        <v>122</v>
      </c>
      <c r="B75">
        <v>29312157.849917401</v>
      </c>
      <c r="C75">
        <v>28044306.076677501</v>
      </c>
      <c r="D75">
        <v>29460017.952711198</v>
      </c>
      <c r="E75">
        <v>28183289.047467601</v>
      </c>
      <c r="F75">
        <v>20808841.4362747</v>
      </c>
      <c r="G75">
        <v>7235464.64040282</v>
      </c>
      <c r="H75">
        <v>20947824.9683824</v>
      </c>
      <c r="I75">
        <v>7235464.0790852401</v>
      </c>
      <c r="J75">
        <v>3101934.2853202499</v>
      </c>
      <c r="K75">
        <v>3008876.2567606401</v>
      </c>
      <c r="L75">
        <v>4876088.0174592296</v>
      </c>
      <c r="M75">
        <v>4601048.2338674599</v>
      </c>
      <c r="N75">
        <v>4900730.3881666996</v>
      </c>
      <c r="O75">
        <v>4624213.8379858499</v>
      </c>
      <c r="P75">
        <v>516989.04755337501</v>
      </c>
      <c r="Q75">
        <v>501479.376126774</v>
      </c>
    </row>
    <row r="76" spans="1:17" x14ac:dyDescent="0.2">
      <c r="A76">
        <v>123</v>
      </c>
      <c r="B76">
        <v>29487062.014594</v>
      </c>
      <c r="C76">
        <v>28210590.876920801</v>
      </c>
      <c r="D76">
        <v>29634619.3819828</v>
      </c>
      <c r="E76">
        <v>28349289.2693858</v>
      </c>
      <c r="F76">
        <v>20916963.300393499</v>
      </c>
      <c r="G76">
        <v>7293627.5765273701</v>
      </c>
      <c r="H76">
        <v>21055662.254973698</v>
      </c>
      <c r="I76">
        <v>7293627.0144120799</v>
      </c>
      <c r="J76">
        <v>3130207.1905700001</v>
      </c>
      <c r="K76">
        <v>3036300.9748529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</row>
    <row r="77" spans="1:17" x14ac:dyDescent="0.2">
      <c r="A77">
        <v>124</v>
      </c>
      <c r="B77">
        <v>29720646.702766798</v>
      </c>
      <c r="C77">
        <v>28432739.2282595</v>
      </c>
      <c r="D77">
        <v>29868205.4778715</v>
      </c>
      <c r="E77">
        <v>28571438.598387901</v>
      </c>
      <c r="F77">
        <v>21088163.556019001</v>
      </c>
      <c r="G77">
        <v>7344575.6722405599</v>
      </c>
      <c r="H77">
        <v>21226863.489057701</v>
      </c>
      <c r="I77">
        <v>7344575.1093301997</v>
      </c>
      <c r="J77">
        <v>3178547.8439924102</v>
      </c>
      <c r="K77">
        <v>3083191.4086726401</v>
      </c>
      <c r="L77">
        <v>4943204.1774848998</v>
      </c>
      <c r="M77">
        <v>4664505.5872130096</v>
      </c>
      <c r="N77">
        <v>4967796.2643870898</v>
      </c>
      <c r="O77">
        <v>4687623.9297321998</v>
      </c>
      <c r="P77">
        <v>529757.97399873496</v>
      </c>
      <c r="Q77">
        <v>513865.23477877298</v>
      </c>
    </row>
    <row r="78" spans="1:17" x14ac:dyDescent="0.2">
      <c r="A78">
        <v>125</v>
      </c>
      <c r="B78">
        <v>29858069.9473239</v>
      </c>
      <c r="C78">
        <v>28563929.900954101</v>
      </c>
      <c r="D78">
        <v>30004817.171966702</v>
      </c>
      <c r="E78">
        <v>28701866.405372702</v>
      </c>
      <c r="F78">
        <v>21193634.622558702</v>
      </c>
      <c r="G78">
        <v>7370295.2783954404</v>
      </c>
      <c r="H78">
        <v>21331571.690680001</v>
      </c>
      <c r="I78">
        <v>7370294.7146926299</v>
      </c>
      <c r="J78">
        <v>3233899.75052774</v>
      </c>
      <c r="K78">
        <v>3136882.7580119101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</row>
    <row r="79" spans="1:17" x14ac:dyDescent="0.2">
      <c r="A79">
        <v>126</v>
      </c>
      <c r="B79">
        <v>30061731.787482899</v>
      </c>
      <c r="C79">
        <v>28757932.793485701</v>
      </c>
      <c r="D79">
        <v>30209046.320790201</v>
      </c>
      <c r="E79">
        <v>28896402.559800301</v>
      </c>
      <c r="F79">
        <v>21357154.138514001</v>
      </c>
      <c r="G79">
        <v>7400778.6549717002</v>
      </c>
      <c r="H79">
        <v>21495624.47143</v>
      </c>
      <c r="I79">
        <v>7400778.08837023</v>
      </c>
      <c r="J79">
        <v>3311938.68226502</v>
      </c>
      <c r="K79">
        <v>3212580.52179706</v>
      </c>
      <c r="L79">
        <v>5000408.1638283897</v>
      </c>
      <c r="M79">
        <v>4719016.8063543299</v>
      </c>
      <c r="N79">
        <v>5024959.5408345303</v>
      </c>
      <c r="O79">
        <v>4742097.7193411496</v>
      </c>
      <c r="P79">
        <v>551989.78037750302</v>
      </c>
      <c r="Q79">
        <v>535430.08696617803</v>
      </c>
    </row>
    <row r="80" spans="1:17" x14ac:dyDescent="0.2">
      <c r="A80">
        <v>127</v>
      </c>
      <c r="B80">
        <v>30217371.659573101</v>
      </c>
      <c r="C80">
        <v>28906570.993298698</v>
      </c>
      <c r="D80">
        <v>30362551.8316232</v>
      </c>
      <c r="E80">
        <v>29043034.451809701</v>
      </c>
      <c r="F80">
        <v>21488577.183547199</v>
      </c>
      <c r="G80">
        <v>7417993.8097515097</v>
      </c>
      <c r="H80">
        <v>21625041.209449898</v>
      </c>
      <c r="I80">
        <v>7417993.2423598096</v>
      </c>
      <c r="J80">
        <v>3387929.8817850202</v>
      </c>
      <c r="K80">
        <v>3286291.9853314701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</row>
    <row r="81" spans="1:17" x14ac:dyDescent="0.2">
      <c r="A81">
        <v>128</v>
      </c>
      <c r="B81">
        <v>30366242.159329399</v>
      </c>
      <c r="C81">
        <v>29047607.641532999</v>
      </c>
      <c r="D81">
        <v>30510816.2823603</v>
      </c>
      <c r="E81">
        <v>29183501.405770998</v>
      </c>
      <c r="F81">
        <v>21557396.971475899</v>
      </c>
      <c r="G81">
        <v>7490210.6700571496</v>
      </c>
      <c r="H81">
        <v>21693291.303893201</v>
      </c>
      <c r="I81">
        <v>7490210.1018777601</v>
      </c>
      <c r="J81">
        <v>3447421.2439522701</v>
      </c>
      <c r="K81">
        <v>3343998.6066337</v>
      </c>
      <c r="L81">
        <v>5051528.2485544104</v>
      </c>
      <c r="M81">
        <v>4767808.0767820897</v>
      </c>
      <c r="N81">
        <v>5075622.8876036899</v>
      </c>
      <c r="O81">
        <v>4790459.6633819398</v>
      </c>
      <c r="P81">
        <v>574570.20732537901</v>
      </c>
      <c r="Q81">
        <v>557333.10110561806</v>
      </c>
    </row>
    <row r="82" spans="1:17" x14ac:dyDescent="0.2">
      <c r="A82">
        <v>129</v>
      </c>
      <c r="B82">
        <v>30562479.160979498</v>
      </c>
      <c r="C82">
        <v>29234670.964169499</v>
      </c>
      <c r="D82">
        <v>30706423.3203464</v>
      </c>
      <c r="E82">
        <v>29369972.554394498</v>
      </c>
      <c r="F82">
        <v>21665378.188243799</v>
      </c>
      <c r="G82">
        <v>7569292.7759256596</v>
      </c>
      <c r="H82">
        <v>21800680.347433399</v>
      </c>
      <c r="I82">
        <v>7569292.20696114</v>
      </c>
      <c r="J82">
        <v>3528350.2814674401</v>
      </c>
      <c r="K82">
        <v>3422499.77302342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</row>
    <row r="83" spans="1:17" x14ac:dyDescent="0.2">
      <c r="A83">
        <v>130</v>
      </c>
      <c r="B83">
        <v>30658931.788946498</v>
      </c>
      <c r="C83">
        <v>29325315.6578505</v>
      </c>
      <c r="D83">
        <v>30801837.902738299</v>
      </c>
      <c r="E83">
        <v>29459640.007409699</v>
      </c>
      <c r="F83">
        <v>21730875.006691702</v>
      </c>
      <c r="G83">
        <v>7594440.6511588804</v>
      </c>
      <c r="H83">
        <v>21865199.925997999</v>
      </c>
      <c r="I83">
        <v>7594440.0814117398</v>
      </c>
      <c r="J83">
        <v>3597571.7416526699</v>
      </c>
      <c r="K83">
        <v>3489644.5894030901</v>
      </c>
      <c r="L83">
        <v>5100694.58905169</v>
      </c>
      <c r="M83">
        <v>4814944.1290175598</v>
      </c>
      <c r="N83">
        <v>5124510.963087</v>
      </c>
      <c r="O83">
        <v>4837334.3029164001</v>
      </c>
      <c r="P83">
        <v>599595.29027544498</v>
      </c>
      <c r="Q83">
        <v>581607.43156718102</v>
      </c>
    </row>
    <row r="84" spans="1:17" x14ac:dyDescent="0.2">
      <c r="A84">
        <v>131</v>
      </c>
      <c r="B84">
        <v>30842729.713598602</v>
      </c>
      <c r="C84">
        <v>29499635.594744999</v>
      </c>
      <c r="D84">
        <v>30985135.524178699</v>
      </c>
      <c r="E84">
        <v>29633489.670022</v>
      </c>
      <c r="F84">
        <v>21884149.7351605</v>
      </c>
      <c r="G84">
        <v>7615485.8595845103</v>
      </c>
      <c r="H84">
        <v>22018004.353636801</v>
      </c>
      <c r="I84">
        <v>7615485.31638519</v>
      </c>
      <c r="J84">
        <v>3640369.18087092</v>
      </c>
      <c r="K84">
        <v>3531158.1054448001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</row>
    <row r="85" spans="1:17" x14ac:dyDescent="0.2">
      <c r="A85">
        <v>132</v>
      </c>
      <c r="B85">
        <v>30816867.196380898</v>
      </c>
      <c r="C85">
        <v>29475620.936714102</v>
      </c>
      <c r="D85">
        <v>30958953.121904001</v>
      </c>
      <c r="E85">
        <v>29609173.547795199</v>
      </c>
      <c r="F85">
        <v>21872984.0937039</v>
      </c>
      <c r="G85">
        <v>7602636.8430102495</v>
      </c>
      <c r="H85">
        <v>22006537.251455698</v>
      </c>
      <c r="I85">
        <v>7602636.2963394504</v>
      </c>
      <c r="J85">
        <v>3708561.4189205798</v>
      </c>
      <c r="K85">
        <v>3597304.5763529702</v>
      </c>
      <c r="L85">
        <v>5127119.8280141698</v>
      </c>
      <c r="M85">
        <v>4840336.2947378</v>
      </c>
      <c r="N85">
        <v>5150799.3689859798</v>
      </c>
      <c r="O85">
        <v>4862597.9141387101</v>
      </c>
      <c r="P85">
        <v>618093.56982009695</v>
      </c>
      <c r="Q85">
        <v>599550.76272549399</v>
      </c>
    </row>
    <row r="86" spans="1:17" x14ac:dyDescent="0.2">
      <c r="A86">
        <v>133</v>
      </c>
      <c r="B86">
        <v>31080608.3504241</v>
      </c>
      <c r="C86">
        <v>29726961.955403499</v>
      </c>
      <c r="D86">
        <v>31219780.195155799</v>
      </c>
      <c r="E86">
        <v>29857775.319470201</v>
      </c>
      <c r="F86">
        <v>22027032.9524852</v>
      </c>
      <c r="G86">
        <v>7699929.0029183002</v>
      </c>
      <c r="H86">
        <v>22157846.863964502</v>
      </c>
      <c r="I86">
        <v>7699928.4555057501</v>
      </c>
      <c r="J86">
        <v>3790622.90596327</v>
      </c>
      <c r="K86">
        <v>3676904.21878437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</row>
    <row r="87" spans="1:17" x14ac:dyDescent="0.2">
      <c r="A87">
        <v>134</v>
      </c>
      <c r="B87">
        <v>31208917.518511999</v>
      </c>
      <c r="C87">
        <v>29850091.040355202</v>
      </c>
      <c r="D87">
        <v>31347848.8415186</v>
      </c>
      <c r="E87">
        <v>29980678.302964799</v>
      </c>
      <c r="F87">
        <v>22147085.257063601</v>
      </c>
      <c r="G87">
        <v>7703005.7832915997</v>
      </c>
      <c r="H87">
        <v>22277673.067825198</v>
      </c>
      <c r="I87">
        <v>7703005.23513964</v>
      </c>
      <c r="J87">
        <v>3866999.4236610401</v>
      </c>
      <c r="K87">
        <v>3750989.44095121</v>
      </c>
      <c r="L87">
        <v>5194552.2950347299</v>
      </c>
      <c r="M87">
        <v>4905276.7215601904</v>
      </c>
      <c r="N87">
        <v>5217706.0650009699</v>
      </c>
      <c r="O87">
        <v>4927044.2738370299</v>
      </c>
      <c r="P87">
        <v>644499.90394350595</v>
      </c>
      <c r="Q87">
        <v>625164.906825201</v>
      </c>
    </row>
    <row r="88" spans="1:17" x14ac:dyDescent="0.2">
      <c r="A88">
        <v>135</v>
      </c>
      <c r="B88">
        <v>31412016.871124901</v>
      </c>
      <c r="C88">
        <v>30043418.305270299</v>
      </c>
      <c r="D88">
        <v>31549339.9128922</v>
      </c>
      <c r="E88">
        <v>30172495.569441099</v>
      </c>
      <c r="F88">
        <v>22300682.697336499</v>
      </c>
      <c r="G88">
        <v>7742735.6079338696</v>
      </c>
      <c r="H88">
        <v>22429760.515731901</v>
      </c>
      <c r="I88">
        <v>7742735.0537092099</v>
      </c>
      <c r="J88">
        <v>3931129.01475704</v>
      </c>
      <c r="K88">
        <v>3813195.1443143301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</row>
    <row r="89" spans="1:17" x14ac:dyDescent="0.2">
      <c r="A89">
        <v>136</v>
      </c>
      <c r="B89">
        <v>31656388.135955799</v>
      </c>
      <c r="C89">
        <v>30275575.528243098</v>
      </c>
      <c r="D89">
        <v>31793682.300338302</v>
      </c>
      <c r="E89">
        <v>30404625.639111102</v>
      </c>
      <c r="F89">
        <v>22412203.834743999</v>
      </c>
      <c r="G89">
        <v>7863371.6934991004</v>
      </c>
      <c r="H89">
        <v>22541254.464961201</v>
      </c>
      <c r="I89">
        <v>7863371.1741499202</v>
      </c>
      <c r="J89">
        <v>4025731.0805893298</v>
      </c>
      <c r="K89">
        <v>3904959.1481716498</v>
      </c>
      <c r="L89">
        <v>5268226.0677696597</v>
      </c>
      <c r="M89">
        <v>4974921.1814039098</v>
      </c>
      <c r="N89">
        <v>5291107.2931008702</v>
      </c>
      <c r="O89">
        <v>4996432.5498021897</v>
      </c>
      <c r="P89">
        <v>670955.18009822106</v>
      </c>
      <c r="Q89">
        <v>650826.524695275</v>
      </c>
    </row>
    <row r="90" spans="1:17" x14ac:dyDescent="0.2">
      <c r="A90">
        <v>137</v>
      </c>
      <c r="B90">
        <v>31859143.434594698</v>
      </c>
      <c r="C90">
        <v>30468655.352595098</v>
      </c>
      <c r="D90">
        <v>31995132.948201202</v>
      </c>
      <c r="E90">
        <v>30596479.0831993</v>
      </c>
      <c r="F90">
        <v>22546312.8024032</v>
      </c>
      <c r="G90">
        <v>7922342.5501919203</v>
      </c>
      <c r="H90">
        <v>22674137.036738001</v>
      </c>
      <c r="I90">
        <v>7922342.0464612599</v>
      </c>
      <c r="J90">
        <v>4093672.6656332598</v>
      </c>
      <c r="K90">
        <v>3970862.4856642699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</row>
    <row r="91" spans="1:17" x14ac:dyDescent="0.2">
      <c r="A91">
        <v>138</v>
      </c>
      <c r="B91">
        <v>32166670.3102336</v>
      </c>
      <c r="C91">
        <v>30762119.191581801</v>
      </c>
      <c r="D91">
        <v>32302162.470138501</v>
      </c>
      <c r="E91">
        <v>30889475.401198599</v>
      </c>
      <c r="F91">
        <v>22775726.192867201</v>
      </c>
      <c r="G91">
        <v>7986392.9987146296</v>
      </c>
      <c r="H91">
        <v>22903082.906883001</v>
      </c>
      <c r="I91">
        <v>7986392.4943156</v>
      </c>
      <c r="J91">
        <v>4189991.4037907398</v>
      </c>
      <c r="K91">
        <v>4064291.6616770201</v>
      </c>
      <c r="L91">
        <v>5351933.1649548197</v>
      </c>
      <c r="M91">
        <v>5053946.7843697099</v>
      </c>
      <c r="N91">
        <v>5374514.05318473</v>
      </c>
      <c r="O91">
        <v>5075176.0144714704</v>
      </c>
      <c r="P91">
        <v>698331.90063179005</v>
      </c>
      <c r="Q91">
        <v>677381.943612837</v>
      </c>
    </row>
    <row r="92" spans="1:17" x14ac:dyDescent="0.2">
      <c r="A92">
        <v>139</v>
      </c>
      <c r="B92">
        <v>32369509.924438201</v>
      </c>
      <c r="C92">
        <v>30955795.961177401</v>
      </c>
      <c r="D92">
        <v>32503432.596856002</v>
      </c>
      <c r="E92">
        <v>31081676.844074499</v>
      </c>
      <c r="F92">
        <v>22931784.925263502</v>
      </c>
      <c r="G92">
        <v>8024011.0359139396</v>
      </c>
      <c r="H92">
        <v>23057666.313225899</v>
      </c>
      <c r="I92">
        <v>8024010.5308486</v>
      </c>
      <c r="J92">
        <v>4303876.0226186104</v>
      </c>
      <c r="K92">
        <v>4174759.7419400499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</row>
    <row r="93" spans="1:17" x14ac:dyDescent="0.2">
      <c r="A93">
        <v>140</v>
      </c>
      <c r="B93">
        <v>32607898.346216299</v>
      </c>
      <c r="C93">
        <v>31183699.6289865</v>
      </c>
      <c r="D93">
        <v>32742176.193197399</v>
      </c>
      <c r="E93">
        <v>31309914.3675173</v>
      </c>
      <c r="F93">
        <v>23155836.170674</v>
      </c>
      <c r="G93">
        <v>8027863.4583125198</v>
      </c>
      <c r="H93">
        <v>23282051.4149344</v>
      </c>
      <c r="I93">
        <v>8027862.9525829097</v>
      </c>
      <c r="J93">
        <v>4364379.1220175102</v>
      </c>
      <c r="K93">
        <v>4233447.7483569803</v>
      </c>
      <c r="L93">
        <v>5426037.2198981103</v>
      </c>
      <c r="M93">
        <v>5124732.2493803101</v>
      </c>
      <c r="N93">
        <v>5448415.7196376203</v>
      </c>
      <c r="O93">
        <v>5145771.2427293602</v>
      </c>
      <c r="P93">
        <v>727396.52033625101</v>
      </c>
      <c r="Q93">
        <v>705574.62472616299</v>
      </c>
    </row>
    <row r="94" spans="1:17" x14ac:dyDescent="0.2">
      <c r="A94">
        <v>141</v>
      </c>
      <c r="B94">
        <v>32764993.182064999</v>
      </c>
      <c r="C94">
        <v>31333264.676657502</v>
      </c>
      <c r="D94">
        <v>32898668.030868098</v>
      </c>
      <c r="E94">
        <v>31458912.5884712</v>
      </c>
      <c r="F94">
        <v>23241756.259984698</v>
      </c>
      <c r="G94">
        <v>8091508.4166727597</v>
      </c>
      <c r="H94">
        <v>23367404.665787499</v>
      </c>
      <c r="I94">
        <v>8091507.9226837102</v>
      </c>
      <c r="J94">
        <v>4433570.4958295301</v>
      </c>
      <c r="K94">
        <v>4300563.38095464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</row>
    <row r="95" spans="1:17" x14ac:dyDescent="0.2">
      <c r="A95">
        <v>142</v>
      </c>
      <c r="B95">
        <v>32971061.012632798</v>
      </c>
      <c r="C95">
        <v>31529618.947905701</v>
      </c>
      <c r="D95">
        <v>33105225.143537398</v>
      </c>
      <c r="E95">
        <v>31655726.599848799</v>
      </c>
      <c r="F95">
        <v>23451017.509732001</v>
      </c>
      <c r="G95">
        <v>8078601.4381736899</v>
      </c>
      <c r="H95">
        <v>23577125.6563082</v>
      </c>
      <c r="I95">
        <v>8078600.9435405796</v>
      </c>
      <c r="J95">
        <v>4512491.1867636004</v>
      </c>
      <c r="K95">
        <v>4377116.4511607001</v>
      </c>
      <c r="L95">
        <v>5488186.7893009102</v>
      </c>
      <c r="M95">
        <v>5184232.2328030001</v>
      </c>
      <c r="N95">
        <v>5510546.3020567698</v>
      </c>
      <c r="O95">
        <v>5205253.8882732997</v>
      </c>
      <c r="P95">
        <v>752081.86446060101</v>
      </c>
      <c r="Q95">
        <v>729519.40852678299</v>
      </c>
    </row>
    <row r="96" spans="1:17" x14ac:dyDescent="0.2">
      <c r="A96">
        <v>143</v>
      </c>
      <c r="B96">
        <v>33285600.404741298</v>
      </c>
      <c r="C96">
        <v>31828871.877820201</v>
      </c>
      <c r="D96">
        <v>33419423.6620166</v>
      </c>
      <c r="E96">
        <v>31954659.0999435</v>
      </c>
      <c r="F96">
        <v>23679524.093995899</v>
      </c>
      <c r="G96">
        <v>8149347.7838243004</v>
      </c>
      <c r="H96">
        <v>23805311.811394401</v>
      </c>
      <c r="I96">
        <v>8149347.2885490898</v>
      </c>
      <c r="J96">
        <v>4585998.7717748396</v>
      </c>
      <c r="K96">
        <v>4448418.80862159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</row>
    <row r="97" spans="1:17" x14ac:dyDescent="0.2">
      <c r="A97">
        <v>144</v>
      </c>
      <c r="B97">
        <v>33344642.123215999</v>
      </c>
      <c r="C97">
        <v>31885673.879198201</v>
      </c>
      <c r="D97">
        <v>33475462.242470998</v>
      </c>
      <c r="E97">
        <v>32008638.143000402</v>
      </c>
      <c r="F97">
        <v>23744434.142317601</v>
      </c>
      <c r="G97">
        <v>8141239.7368805502</v>
      </c>
      <c r="H97">
        <v>23867398.930635799</v>
      </c>
      <c r="I97">
        <v>8141239.2123645497</v>
      </c>
      <c r="J97">
        <v>4627374.3689876497</v>
      </c>
      <c r="K97">
        <v>4488553.1379180197</v>
      </c>
      <c r="L97">
        <v>5550532.4881947497</v>
      </c>
      <c r="M97">
        <v>5243461.4147236897</v>
      </c>
      <c r="N97">
        <v>5572334.6626277603</v>
      </c>
      <c r="O97">
        <v>5263959.1817971803</v>
      </c>
      <c r="P97">
        <v>771229.06149794196</v>
      </c>
      <c r="Q97">
        <v>748092.18965300301</v>
      </c>
    </row>
    <row r="98" spans="1:17" x14ac:dyDescent="0.2">
      <c r="A98">
        <v>145</v>
      </c>
      <c r="B98">
        <v>33662966.890317202</v>
      </c>
      <c r="C98">
        <v>32188093.3567219</v>
      </c>
      <c r="D98">
        <v>33793303.3697237</v>
      </c>
      <c r="E98">
        <v>32310602.990607701</v>
      </c>
      <c r="F98">
        <v>23979649.538063101</v>
      </c>
      <c r="G98">
        <v>8208443.8186588101</v>
      </c>
      <c r="H98">
        <v>24102159.697140001</v>
      </c>
      <c r="I98">
        <v>8208443.2934677498</v>
      </c>
      <c r="J98">
        <v>4739008.1197570004</v>
      </c>
      <c r="K98">
        <v>4596837.8761642901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</row>
    <row r="99" spans="1:17" x14ac:dyDescent="0.2">
      <c r="A99">
        <v>146</v>
      </c>
      <c r="B99">
        <v>33851440.270405099</v>
      </c>
      <c r="C99">
        <v>32368996.118049301</v>
      </c>
      <c r="D99">
        <v>33980403.7621824</v>
      </c>
      <c r="E99">
        <v>32490215.135033</v>
      </c>
      <c r="F99">
        <v>24179783.319001101</v>
      </c>
      <c r="G99">
        <v>8189212.7990481202</v>
      </c>
      <c r="H99">
        <v>24301002.861848898</v>
      </c>
      <c r="I99">
        <v>8189212.2731840396</v>
      </c>
      <c r="J99">
        <v>4868682.1910973797</v>
      </c>
      <c r="K99">
        <v>4722621.7253644597</v>
      </c>
      <c r="L99">
        <v>5634609.11571158</v>
      </c>
      <c r="M99">
        <v>5323415.2438469296</v>
      </c>
      <c r="N99">
        <v>5656101.8492193297</v>
      </c>
      <c r="O99">
        <v>5343622.1460166201</v>
      </c>
      <c r="P99">
        <v>811447.03184956405</v>
      </c>
      <c r="Q99">
        <v>787103.620894077</v>
      </c>
    </row>
    <row r="100" spans="1:17" x14ac:dyDescent="0.2">
      <c r="A100">
        <v>147</v>
      </c>
      <c r="B100">
        <v>34091683.3854395</v>
      </c>
      <c r="C100">
        <v>32598033.632266399</v>
      </c>
      <c r="D100">
        <v>34218544.843670599</v>
      </c>
      <c r="E100">
        <v>32717276.7760171</v>
      </c>
      <c r="F100">
        <v>24332880.760128401</v>
      </c>
      <c r="G100">
        <v>8265152.8721380197</v>
      </c>
      <c r="H100">
        <v>24452124.4304142</v>
      </c>
      <c r="I100">
        <v>8265152.34560291</v>
      </c>
      <c r="J100">
        <v>4926499.7203340996</v>
      </c>
      <c r="K100">
        <v>4778704.7287240801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</row>
    <row r="101" spans="1:17" x14ac:dyDescent="0.2">
      <c r="A101">
        <v>148</v>
      </c>
      <c r="B101">
        <v>34375222.638426602</v>
      </c>
      <c r="C101">
        <v>32867230.187133599</v>
      </c>
      <c r="D101">
        <v>34501120.174801297</v>
      </c>
      <c r="E101">
        <v>32985567.235918801</v>
      </c>
      <c r="F101">
        <v>24550007.362137001</v>
      </c>
      <c r="G101">
        <v>8317222.82499668</v>
      </c>
      <c r="H101">
        <v>24668344.9381263</v>
      </c>
      <c r="I101">
        <v>8317222.2977925204</v>
      </c>
      <c r="J101">
        <v>4983645.1133316904</v>
      </c>
      <c r="K101">
        <v>4834135.7599317404</v>
      </c>
      <c r="L101">
        <v>5721686.55519759</v>
      </c>
      <c r="M101">
        <v>5405791.2208733195</v>
      </c>
      <c r="N101">
        <v>5742668.3014360899</v>
      </c>
      <c r="O101">
        <v>5425517.8045219602</v>
      </c>
      <c r="P101">
        <v>830607.51888861496</v>
      </c>
      <c r="Q101">
        <v>805689.293321957</v>
      </c>
    </row>
    <row r="102" spans="1:17" x14ac:dyDescent="0.2">
      <c r="A102">
        <v>149</v>
      </c>
      <c r="B102">
        <v>34479311.751185797</v>
      </c>
      <c r="C102">
        <v>32966315.174516499</v>
      </c>
      <c r="D102">
        <v>34602345.629480898</v>
      </c>
      <c r="E102">
        <v>33081960.378785901</v>
      </c>
      <c r="F102">
        <v>24599828.608593199</v>
      </c>
      <c r="G102">
        <v>8366486.5659232996</v>
      </c>
      <c r="H102">
        <v>24715474.194241699</v>
      </c>
      <c r="I102">
        <v>8366486.1845442103</v>
      </c>
      <c r="J102">
        <v>5032982.9586318098</v>
      </c>
      <c r="K102">
        <v>4881993.4698728602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</row>
    <row r="103" spans="1:17" x14ac:dyDescent="0.2">
      <c r="A103">
        <v>150</v>
      </c>
      <c r="B103">
        <v>34609888.961861998</v>
      </c>
      <c r="C103">
        <v>33090658.514779899</v>
      </c>
      <c r="D103">
        <v>34730569.941528603</v>
      </c>
      <c r="E103">
        <v>33204091.9859704</v>
      </c>
      <c r="F103">
        <v>24689769.865632199</v>
      </c>
      <c r="G103">
        <v>8400888.6491477005</v>
      </c>
      <c r="H103">
        <v>24803203.720091</v>
      </c>
      <c r="I103">
        <v>8400888.2658794206</v>
      </c>
      <c r="J103">
        <v>5109777.9876799705</v>
      </c>
      <c r="K103">
        <v>4956484.6480495697</v>
      </c>
      <c r="L103">
        <v>5759379.0660477402</v>
      </c>
      <c r="M103">
        <v>5441487.4767365996</v>
      </c>
      <c r="N103">
        <v>5779491.38363472</v>
      </c>
      <c r="O103">
        <v>5460396.8394789305</v>
      </c>
      <c r="P103">
        <v>851629.66461332794</v>
      </c>
      <c r="Q103">
        <v>826080.77467492805</v>
      </c>
    </row>
    <row r="104" spans="1:17" x14ac:dyDescent="0.2">
      <c r="A104">
        <v>151</v>
      </c>
      <c r="B104">
        <v>34754412.802699998</v>
      </c>
      <c r="C104">
        <v>33227881.532229502</v>
      </c>
      <c r="D104">
        <v>34873336.4165252</v>
      </c>
      <c r="E104">
        <v>33339663.265617799</v>
      </c>
      <c r="F104">
        <v>24798274.055443801</v>
      </c>
      <c r="G104">
        <v>8429607.4767856207</v>
      </c>
      <c r="H104">
        <v>24910056.1725813</v>
      </c>
      <c r="I104">
        <v>8429607.0930364598</v>
      </c>
      <c r="J104">
        <v>5187016.6506252596</v>
      </c>
      <c r="K104">
        <v>5031406.1511065001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</row>
    <row r="105" spans="1:17" x14ac:dyDescent="0.2">
      <c r="A105">
        <v>152</v>
      </c>
      <c r="B105">
        <v>35175637.444842197</v>
      </c>
      <c r="C105">
        <v>33626803.876267903</v>
      </c>
      <c r="D105">
        <v>35292873.149658397</v>
      </c>
      <c r="E105">
        <v>33736998.967111602</v>
      </c>
      <c r="F105">
        <v>25138822.9323087</v>
      </c>
      <c r="G105">
        <v>8487980.9439591803</v>
      </c>
      <c r="H105">
        <v>25249018.333678599</v>
      </c>
      <c r="I105">
        <v>8487980.6334329396</v>
      </c>
      <c r="J105">
        <v>5233325.3975025602</v>
      </c>
      <c r="K105">
        <v>5076325.6355774803</v>
      </c>
      <c r="L105">
        <v>5854025.4841531301</v>
      </c>
      <c r="M105">
        <v>5531000.0008733403</v>
      </c>
      <c r="N105">
        <v>5873563.6208275398</v>
      </c>
      <c r="O105">
        <v>5549369.6367548397</v>
      </c>
      <c r="P105">
        <v>872220.89958375902</v>
      </c>
      <c r="Q105">
        <v>846054.27259624598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P230"/>
  <sheetViews>
    <sheetView zoomScale="75" zoomScaleNormal="75" workbookViewId="0">
      <pane xSplit="2" topLeftCell="C1" activePane="topRight" state="frozen"/>
      <selection pane="topRight" activeCell="G23" sqref="G23"/>
    </sheetView>
  </sheetViews>
  <sheetFormatPr baseColWidth="10" defaultColWidth="9" defaultRowHeight="12.75" x14ac:dyDescent="0.2"/>
  <cols>
    <col min="3" max="3" width="16.42578125" customWidth="1"/>
    <col min="4" max="4" width="11" customWidth="1"/>
    <col min="5" max="5" width="16" customWidth="1"/>
    <col min="6" max="6" width="11" customWidth="1"/>
    <col min="8" max="8" width="12.42578125" customWidth="1"/>
    <col min="9" max="9" width="14.7109375" customWidth="1"/>
    <col min="15" max="20" width="15.28515625" customWidth="1"/>
    <col min="27" max="28" width="13.7109375" customWidth="1"/>
    <col min="30" max="30" width="13.28515625" customWidth="1"/>
    <col min="33" max="33" width="16" customWidth="1"/>
    <col min="39" max="39" width="27" customWidth="1"/>
    <col min="41" max="41" width="17.85546875" customWidth="1"/>
    <col min="42" max="42" width="19.140625" customWidth="1"/>
    <col min="43" max="44" width="11" customWidth="1"/>
    <col min="49" max="49" width="8.85546875" style="3" customWidth="1"/>
    <col min="60" max="60" width="11.140625" customWidth="1"/>
    <col min="65" max="65" width="29.85546875" customWidth="1"/>
    <col min="66" max="68" width="8.85546875" style="3" customWidth="1"/>
  </cols>
  <sheetData>
    <row r="1" spans="1:68" ht="50.25" customHeight="1" x14ac:dyDescent="0.2">
      <c r="A1" s="14" t="s">
        <v>9</v>
      </c>
      <c r="B1" s="14" t="s">
        <v>10</v>
      </c>
      <c r="C1" s="14" t="s">
        <v>11</v>
      </c>
      <c r="D1" s="14"/>
      <c r="E1" s="14" t="s">
        <v>12</v>
      </c>
      <c r="F1" s="14"/>
      <c r="G1" s="14" t="s">
        <v>13</v>
      </c>
      <c r="H1" s="14"/>
      <c r="I1" s="14" t="s">
        <v>14</v>
      </c>
      <c r="J1" s="14"/>
      <c r="K1" s="14" t="s">
        <v>15</v>
      </c>
      <c r="L1" s="14"/>
      <c r="M1" s="15" t="s">
        <v>16</v>
      </c>
      <c r="N1" s="14"/>
      <c r="O1" s="14" t="s">
        <v>17</v>
      </c>
      <c r="P1" s="16"/>
      <c r="Q1" s="14" t="s">
        <v>18</v>
      </c>
      <c r="R1" s="14"/>
      <c r="S1" s="14" t="s">
        <v>19</v>
      </c>
      <c r="T1" s="14"/>
      <c r="U1" s="16" t="s">
        <v>20</v>
      </c>
      <c r="V1" s="14"/>
      <c r="W1" s="14" t="s">
        <v>21</v>
      </c>
      <c r="X1" s="14"/>
      <c r="Y1" s="1" t="s">
        <v>22</v>
      </c>
      <c r="Z1" s="1"/>
      <c r="AA1" s="1" t="s">
        <v>23</v>
      </c>
      <c r="AB1" s="1"/>
      <c r="AC1" s="1"/>
      <c r="AD1" s="1" t="s">
        <v>24</v>
      </c>
      <c r="AE1" s="1" t="s">
        <v>25</v>
      </c>
      <c r="AF1" s="1" t="s">
        <v>26</v>
      </c>
      <c r="AG1" s="1" t="s">
        <v>2</v>
      </c>
      <c r="AH1" s="1" t="s">
        <v>27</v>
      </c>
      <c r="AI1" s="1"/>
      <c r="AJ1" s="1" t="s">
        <v>28</v>
      </c>
      <c r="AK1" s="17" t="s">
        <v>29</v>
      </c>
      <c r="AL1" s="17"/>
      <c r="AM1" s="136" t="s">
        <v>30</v>
      </c>
      <c r="AN1" s="136"/>
      <c r="AO1" s="18" t="s">
        <v>31</v>
      </c>
      <c r="AP1" s="19" t="s">
        <v>32</v>
      </c>
      <c r="AQ1" s="136" t="s">
        <v>33</v>
      </c>
      <c r="AR1" s="136"/>
      <c r="AS1" s="136" t="s">
        <v>34</v>
      </c>
      <c r="AT1" s="136"/>
      <c r="AU1" s="1" t="s">
        <v>35</v>
      </c>
      <c r="AV1" s="1" t="s">
        <v>36</v>
      </c>
      <c r="AW1" s="1"/>
      <c r="AX1" s="1" t="s">
        <v>37</v>
      </c>
      <c r="AY1" s="1"/>
      <c r="AZ1" s="1" t="s">
        <v>38</v>
      </c>
      <c r="BA1" s="1"/>
      <c r="BB1" s="1" t="s">
        <v>39</v>
      </c>
      <c r="BC1" s="1" t="s">
        <v>40</v>
      </c>
      <c r="BD1" s="1" t="s">
        <v>41</v>
      </c>
      <c r="BE1" s="1"/>
      <c r="BF1" s="1" t="s">
        <v>42</v>
      </c>
      <c r="BG1" s="1"/>
      <c r="BH1" s="1"/>
      <c r="BI1" s="1" t="s">
        <v>43</v>
      </c>
      <c r="BJ1" s="1"/>
      <c r="BK1" s="1" t="s">
        <v>44</v>
      </c>
      <c r="BL1" s="1" t="s">
        <v>45</v>
      </c>
      <c r="BM1" s="1" t="s">
        <v>46</v>
      </c>
      <c r="BN1" s="1" t="s">
        <v>47</v>
      </c>
      <c r="BO1" s="17" t="s">
        <v>48</v>
      </c>
      <c r="BP1" s="1"/>
    </row>
    <row r="2" spans="1:68" x14ac:dyDescent="0.2">
      <c r="A2" s="2"/>
      <c r="B2" s="2"/>
      <c r="C2" s="2" t="s">
        <v>49</v>
      </c>
      <c r="D2" s="2" t="s">
        <v>50</v>
      </c>
      <c r="E2" s="2" t="s">
        <v>49</v>
      </c>
      <c r="F2" s="4" t="s">
        <v>50</v>
      </c>
      <c r="G2" s="4" t="s">
        <v>51</v>
      </c>
      <c r="H2" s="4" t="s">
        <v>52</v>
      </c>
      <c r="I2" s="4" t="s">
        <v>51</v>
      </c>
      <c r="J2" s="2" t="s">
        <v>52</v>
      </c>
      <c r="K2" s="2" t="s">
        <v>49</v>
      </c>
      <c r="L2" s="4" t="s">
        <v>50</v>
      </c>
      <c r="M2" s="4" t="s">
        <v>49</v>
      </c>
      <c r="N2" s="4" t="s">
        <v>50</v>
      </c>
      <c r="O2" s="2" t="s">
        <v>49</v>
      </c>
      <c r="P2" s="2" t="s">
        <v>50</v>
      </c>
      <c r="Q2" s="4" t="s">
        <v>49</v>
      </c>
      <c r="R2" s="4" t="s">
        <v>50</v>
      </c>
      <c r="S2" s="4" t="s">
        <v>49</v>
      </c>
      <c r="T2" s="2" t="s">
        <v>50</v>
      </c>
      <c r="U2" s="2" t="s">
        <v>49</v>
      </c>
      <c r="V2" s="2" t="s">
        <v>50</v>
      </c>
      <c r="W2" s="2" t="s">
        <v>49</v>
      </c>
      <c r="X2" s="4" t="s">
        <v>50</v>
      </c>
      <c r="Y2" s="2"/>
      <c r="Z2" s="2"/>
      <c r="AA2" s="2"/>
      <c r="AB2" s="2"/>
      <c r="AC2" s="1"/>
      <c r="AD2" s="2"/>
      <c r="AE2" s="2"/>
      <c r="AF2" s="2"/>
      <c r="AG2" s="2"/>
      <c r="AH2" s="2"/>
      <c r="AI2" s="2"/>
      <c r="AJ2" s="2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"/>
      <c r="AV2" s="2" t="s">
        <v>53</v>
      </c>
      <c r="AW2" s="21" t="s">
        <v>51</v>
      </c>
      <c r="AX2" s="2" t="s">
        <v>53</v>
      </c>
      <c r="AY2" s="2" t="s">
        <v>51</v>
      </c>
      <c r="AZ2" s="2" t="s">
        <v>54</v>
      </c>
      <c r="BA2" s="2" t="s">
        <v>55</v>
      </c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0"/>
      <c r="BP2" s="2"/>
    </row>
    <row r="3" spans="1:68" x14ac:dyDescent="0.2">
      <c r="A3" s="2">
        <v>2014</v>
      </c>
      <c r="B3" s="2">
        <v>1</v>
      </c>
      <c r="C3" s="4">
        <v>73541829.264479399</v>
      </c>
      <c r="D3" s="4"/>
      <c r="E3" s="4">
        <v>13367097.642000001</v>
      </c>
      <c r="F3" s="4"/>
      <c r="G3" s="4"/>
      <c r="H3" s="4"/>
      <c r="I3" s="4"/>
      <c r="J3" s="22"/>
      <c r="K3" s="22">
        <v>2431521.2590999999</v>
      </c>
      <c r="L3" s="4"/>
      <c r="M3" s="4">
        <v>552644.92299999902</v>
      </c>
      <c r="N3" s="4"/>
      <c r="O3" s="4">
        <v>15657663.7612308</v>
      </c>
      <c r="P3" s="4"/>
      <c r="Q3" s="4">
        <v>16188956.83674</v>
      </c>
      <c r="R3" s="4"/>
      <c r="S3" s="4">
        <v>61899879.651203699</v>
      </c>
      <c r="T3" s="4"/>
      <c r="U3" s="4">
        <v>147745.90426000001</v>
      </c>
      <c r="V3" s="22"/>
      <c r="W3" s="22">
        <v>371095.07358448301</v>
      </c>
      <c r="X3" s="4"/>
      <c r="Y3" s="4">
        <f t="shared" ref="Y3:Y8" si="0">Q3+U3-M3-K3-E3</f>
        <v>-14561.083099998534</v>
      </c>
      <c r="Z3" s="4"/>
      <c r="AA3" s="4">
        <f t="shared" ref="AA3:AA8" si="1">S3-O3-C3</f>
        <v>-27299613.374506503</v>
      </c>
      <c r="AB3" s="4"/>
      <c r="AC3" s="23"/>
      <c r="AD3" s="4">
        <v>3917648861.1710801</v>
      </c>
      <c r="AE3" s="4">
        <v>671066.04663506302</v>
      </c>
      <c r="AF3" s="4">
        <v>87.364011981999994</v>
      </c>
      <c r="AG3" s="4">
        <f>AE3/$AE$6*$AD$6</f>
        <v>4896479257.5378141</v>
      </c>
      <c r="AH3" s="4"/>
      <c r="AI3" s="4"/>
      <c r="AJ3" s="24">
        <f>AA3/AG3</f>
        <v>-5.5753556665190628E-3</v>
      </c>
      <c r="AK3" s="20">
        <v>2014</v>
      </c>
      <c r="AL3" s="25">
        <f>(SUM(AA3:AA6)/AVERAGE(AG3:AG6))</f>
        <v>-1.9692504721512523E-2</v>
      </c>
      <c r="AM3" s="25"/>
      <c r="AN3" s="25"/>
      <c r="AO3" s="25"/>
      <c r="AP3" s="25"/>
      <c r="AQ3" s="4" t="s">
        <v>56</v>
      </c>
      <c r="AR3" s="25" t="s">
        <v>57</v>
      </c>
      <c r="AS3" s="25" t="s">
        <v>56</v>
      </c>
      <c r="AT3" s="25" t="s">
        <v>57</v>
      </c>
      <c r="AU3" s="26"/>
      <c r="AV3" s="2">
        <v>10923418</v>
      </c>
      <c r="BI3" s="24">
        <f>S3/AG3</f>
        <v>1.2641711808727224E-2</v>
      </c>
      <c r="BJ3" s="2">
        <v>2014</v>
      </c>
      <c r="BK3" s="24">
        <f>(SUM(S3:S6)/AVERAGE(AG3:AG6))</f>
        <v>5.3979759810055671E-2</v>
      </c>
      <c r="BL3" s="24">
        <f>(SUM(O3:O6)/AVERAGE(AG3:AG6))</f>
        <v>1.2520230238480812E-2</v>
      </c>
      <c r="BM3" s="24">
        <f>(SUM(C3:C6)/AVERAGE(AG3:AG6))</f>
        <v>6.1152034293087382E-2</v>
      </c>
      <c r="BN3" s="24">
        <f>(SUM(H3:H6)+SUM(J3:J6))/AVERAGE(AG3:AG6)</f>
        <v>0</v>
      </c>
      <c r="BO3" s="25">
        <f t="shared" ref="BO3:BO29" si="2">AL3-BN3</f>
        <v>-1.9692504721512523E-2</v>
      </c>
    </row>
    <row r="4" spans="1:68" x14ac:dyDescent="0.2">
      <c r="A4" s="2">
        <v>2014</v>
      </c>
      <c r="B4" s="2">
        <v>2</v>
      </c>
      <c r="C4" s="4">
        <v>76536005.645554796</v>
      </c>
      <c r="D4" s="4"/>
      <c r="E4" s="4">
        <v>13911324.754000001</v>
      </c>
      <c r="F4" s="4"/>
      <c r="G4" s="4"/>
      <c r="H4" s="4"/>
      <c r="I4" s="4"/>
      <c r="J4" s="22"/>
      <c r="K4" s="22">
        <v>2156056.4542999999</v>
      </c>
      <c r="L4" s="4"/>
      <c r="M4" s="4">
        <v>571465.44299999997</v>
      </c>
      <c r="N4" s="4"/>
      <c r="O4" s="4">
        <v>14331816.6540251</v>
      </c>
      <c r="P4" s="4"/>
      <c r="Q4" s="4">
        <v>18889074.98367</v>
      </c>
      <c r="R4" s="4"/>
      <c r="S4" s="4">
        <v>72224015.420081005</v>
      </c>
      <c r="T4" s="4"/>
      <c r="U4" s="4">
        <v>150093.53833000001</v>
      </c>
      <c r="V4" s="22"/>
      <c r="W4" s="22">
        <v>376991.65286577999</v>
      </c>
      <c r="X4" s="4"/>
      <c r="Y4" s="4">
        <f t="shared" si="0"/>
        <v>2400321.8706999999</v>
      </c>
      <c r="Z4" s="4"/>
      <c r="AA4" s="4">
        <f t="shared" si="1"/>
        <v>-18643806.879498892</v>
      </c>
      <c r="AB4" s="4"/>
      <c r="AC4" s="23"/>
      <c r="AD4" s="4">
        <v>4702629524.92031</v>
      </c>
      <c r="AE4" s="4">
        <v>760576.86834800395</v>
      </c>
      <c r="AF4" s="4">
        <v>92.542254682000006</v>
      </c>
      <c r="AG4" s="4">
        <f>AE4/$AE$6*$AD$6</f>
        <v>5549601083.6833839</v>
      </c>
      <c r="AH4" s="4"/>
      <c r="AI4" s="4"/>
      <c r="AJ4" s="24">
        <f>AA4/AG4</f>
        <v>-3.35948595193884E-3</v>
      </c>
      <c r="AK4" s="20">
        <v>2015</v>
      </c>
      <c r="AL4" s="25">
        <f>SUM(AB14:AB17)/AVERAGE(AG14:AG17)</f>
        <v>-3.2874367663992966E-2</v>
      </c>
      <c r="AM4" s="25"/>
      <c r="AN4" s="25"/>
      <c r="AO4" s="25"/>
      <c r="AP4" s="25"/>
      <c r="AQ4" s="4">
        <v>545118865</v>
      </c>
      <c r="AR4" s="4">
        <f>AQ4</f>
        <v>545118865</v>
      </c>
      <c r="AS4" s="27">
        <f>AQ4/AG17</f>
        <v>0.10616867514333773</v>
      </c>
      <c r="AT4" s="27">
        <f>AR4/AG17</f>
        <v>0.10616867514333773</v>
      </c>
      <c r="AU4" s="26"/>
      <c r="AV4" s="2">
        <v>10933469</v>
      </c>
      <c r="AX4" s="2">
        <f t="shared" ref="AX4:AX12" si="3">(AV4-AV3)/AV3</f>
        <v>9.2013324034656552E-4</v>
      </c>
      <c r="BI4" s="24">
        <f>S4/AG4</f>
        <v>1.3014271536098311E-2</v>
      </c>
      <c r="BJ4" s="2">
        <v>2015</v>
      </c>
      <c r="BK4" s="24">
        <f>SUM(T14:T17)/AVERAGE(AG14:AG17)</f>
        <v>6.0807714206926787E-2</v>
      </c>
      <c r="BL4" s="24">
        <f>SUM(P14:P17)/AVERAGE(AG14:AG17)</f>
        <v>1.3986150505135382E-2</v>
      </c>
      <c r="BM4" s="24">
        <f>SUM(D14:D17)/AVERAGE(AG14:AG17)</f>
        <v>7.9695931365784359E-2</v>
      </c>
      <c r="BN4" s="24">
        <f>(SUM(H14:H17)+SUM(J14:J17))/AVERAGE(AG14:AG17)</f>
        <v>0</v>
      </c>
      <c r="BO4" s="25">
        <f t="shared" si="2"/>
        <v>-3.2874367663992966E-2</v>
      </c>
    </row>
    <row r="5" spans="1:68" x14ac:dyDescent="0.2">
      <c r="A5" s="2">
        <v>2014</v>
      </c>
      <c r="B5" s="2">
        <v>3</v>
      </c>
      <c r="C5" s="4">
        <v>79948619.698482305</v>
      </c>
      <c r="D5" s="4"/>
      <c r="E5" s="4">
        <v>14531608.437999999</v>
      </c>
      <c r="F5" s="4"/>
      <c r="G5" s="4"/>
      <c r="H5" s="4"/>
      <c r="I5" s="4"/>
      <c r="J5" s="22"/>
      <c r="K5" s="22">
        <v>2697105.9034000002</v>
      </c>
      <c r="L5" s="4"/>
      <c r="M5" s="4">
        <v>618357.67000000004</v>
      </c>
      <c r="N5" s="4"/>
      <c r="O5" s="4">
        <v>17397319.126396801</v>
      </c>
      <c r="P5" s="4"/>
      <c r="Q5" s="4">
        <v>16666086.76898</v>
      </c>
      <c r="R5" s="4"/>
      <c r="S5" s="4">
        <v>63724227.302598797</v>
      </c>
      <c r="T5" s="4"/>
      <c r="U5" s="4">
        <v>145660.84302</v>
      </c>
      <c r="V5" s="22"/>
      <c r="W5" s="22">
        <v>365858.00147638301</v>
      </c>
      <c r="X5" s="4"/>
      <c r="Y5" s="4">
        <f t="shared" si="0"/>
        <v>-1035324.3993999995</v>
      </c>
      <c r="Z5" s="4"/>
      <c r="AA5" s="4">
        <f t="shared" si="1"/>
        <v>-33621711.522280306</v>
      </c>
      <c r="AB5" s="4"/>
      <c r="AC5" s="23"/>
      <c r="AD5" s="4">
        <v>4685503118.6782703</v>
      </c>
      <c r="AE5" s="4">
        <v>690879.79825168301</v>
      </c>
      <c r="AF5" s="4">
        <v>96.348619912999993</v>
      </c>
      <c r="AG5" s="4">
        <f>AE5/$AE$6*$AD$6</f>
        <v>5041051649.914485</v>
      </c>
      <c r="AH5" s="4"/>
      <c r="AI5" s="4"/>
      <c r="AJ5" s="24">
        <f>AA5/AG5</f>
        <v>-6.669582828585114E-3</v>
      </c>
      <c r="AK5" s="20">
        <v>2016</v>
      </c>
      <c r="AL5" s="25">
        <f>SUM(AB18:AB21)/AVERAGE(AG18:AG21)</f>
        <v>-3.2769767104184076E-2</v>
      </c>
      <c r="AM5" s="25"/>
      <c r="AN5" s="25"/>
      <c r="AO5" s="25"/>
      <c r="AP5" s="25"/>
      <c r="AQ5" s="4">
        <v>527406836</v>
      </c>
      <c r="AR5" s="4">
        <f>AQ5</f>
        <v>527406836</v>
      </c>
      <c r="AS5" s="27">
        <f>AQ5/AG21</f>
        <v>0.10427618143741313</v>
      </c>
      <c r="AT5" s="27">
        <f>AR5/AG21</f>
        <v>0.10427618143741313</v>
      </c>
      <c r="AU5" s="26"/>
      <c r="AV5" s="2">
        <v>10927942</v>
      </c>
      <c r="AX5" s="2">
        <f t="shared" si="3"/>
        <v>-5.0551202001853203E-4</v>
      </c>
      <c r="BI5" s="24">
        <f>S5/AG5</f>
        <v>1.2641058201353639E-2</v>
      </c>
      <c r="BJ5" s="2">
        <v>2016</v>
      </c>
      <c r="BK5" s="24">
        <f>SUM(T18:T21)/AVERAGE(AG18:AG21)</f>
        <v>6.1399295349079737E-2</v>
      </c>
      <c r="BL5" s="24">
        <f>SUM(P18:P21)/AVERAGE(AG18:AG21)</f>
        <v>1.5326153432907771E-2</v>
      </c>
      <c r="BM5" s="24">
        <f>SUM(D18:D21)/AVERAGE(AG18:AG21)</f>
        <v>7.8842909020356039E-2</v>
      </c>
      <c r="BN5" s="24">
        <f>(SUM(H18:H21)+SUM(J18:J21))/AVERAGE(AG18:AG21)</f>
        <v>3.9967972449279541E-5</v>
      </c>
      <c r="BO5" s="25">
        <f t="shared" si="2"/>
        <v>-3.2809735076633359E-2</v>
      </c>
    </row>
    <row r="6" spans="1:68" x14ac:dyDescent="0.2">
      <c r="A6" s="2">
        <v>2014</v>
      </c>
      <c r="B6" s="2">
        <v>4</v>
      </c>
      <c r="C6" s="4">
        <v>83342500.446047202</v>
      </c>
      <c r="D6" s="4"/>
      <c r="E6" s="4">
        <v>15148485.804</v>
      </c>
      <c r="F6" s="4"/>
      <c r="G6" s="4"/>
      <c r="H6" s="4"/>
      <c r="I6" s="4"/>
      <c r="J6" s="22"/>
      <c r="K6" s="22">
        <v>2598760.7445</v>
      </c>
      <c r="L6" s="4"/>
      <c r="M6" s="4">
        <v>597485.603</v>
      </c>
      <c r="N6" s="4"/>
      <c r="O6" s="4">
        <v>16772169.366415</v>
      </c>
      <c r="P6" s="4"/>
      <c r="Q6" s="4">
        <v>20600306.344000001</v>
      </c>
      <c r="R6" s="4"/>
      <c r="S6" s="4">
        <v>78767056.8481365</v>
      </c>
      <c r="T6" s="4"/>
      <c r="U6" s="4">
        <v>143630.44399999999</v>
      </c>
      <c r="V6" s="22"/>
      <c r="W6" s="22">
        <v>360758.22508998099</v>
      </c>
      <c r="X6" s="4"/>
      <c r="Y6" s="4">
        <f t="shared" si="0"/>
        <v>2399204.6364999991</v>
      </c>
      <c r="Z6" s="4"/>
      <c r="AA6" s="4">
        <f t="shared" si="1"/>
        <v>-21347612.964325704</v>
      </c>
      <c r="AB6" s="4"/>
      <c r="AC6" s="23"/>
      <c r="AD6" s="4">
        <v>5010564196.8707304</v>
      </c>
      <c r="AE6" s="4">
        <v>686701.47061871097</v>
      </c>
      <c r="AF6" s="4">
        <v>100</v>
      </c>
      <c r="AG6" s="4">
        <f>AE6/$AE$6*$AD$6</f>
        <v>5010564196.8707304</v>
      </c>
      <c r="AH6" s="4"/>
      <c r="AI6" s="4"/>
      <c r="AJ6" s="24">
        <f>AA6/AG6</f>
        <v>-4.260520796771354E-3</v>
      </c>
      <c r="AK6" s="20">
        <v>2017</v>
      </c>
      <c r="AL6" s="25">
        <f>SUM(AB22:AB25)/AVERAGE(AG22:AG25)</f>
        <v>-3.657028727940486E-2</v>
      </c>
      <c r="AM6" s="4">
        <f>41598953.80094*100/AVERAGE(AF22:AF25)</f>
        <v>22247411.66092024</v>
      </c>
      <c r="AN6" s="25"/>
      <c r="AO6" s="25"/>
      <c r="AP6" s="4">
        <v>46349018</v>
      </c>
      <c r="AQ6" s="4">
        <v>580675520</v>
      </c>
      <c r="AR6" s="4">
        <f>AQ6</f>
        <v>580675520</v>
      </c>
      <c r="AS6" s="27">
        <f>AQ6/AG25</f>
        <v>0.10987837338707314</v>
      </c>
      <c r="AT6" s="27">
        <f>AR6/AG25</f>
        <v>0.10987837338707314</v>
      </c>
      <c r="AU6" s="26"/>
      <c r="AV6" s="2">
        <v>11163575</v>
      </c>
      <c r="AX6" s="2">
        <f t="shared" si="3"/>
        <v>2.1562431425789046E-2</v>
      </c>
      <c r="BI6" s="24">
        <f>S6/AG6</f>
        <v>1.5720197118186657E-2</v>
      </c>
      <c r="BJ6" s="2">
        <v>2017</v>
      </c>
      <c r="BK6" s="24">
        <f>SUM(T22:T25)/AVERAGE(AG22:AG25)</f>
        <v>6.3303796819399405E-2</v>
      </c>
      <c r="BL6" s="24">
        <f>SUM(P22:P25)/AVERAGE(AG22:AG25)</f>
        <v>1.8894640124205154E-2</v>
      </c>
      <c r="BM6" s="24">
        <f>SUM(D22:D25)/AVERAGE(AG22:AG25)</f>
        <v>8.0979443974599108E-2</v>
      </c>
      <c r="BN6" s="24">
        <f>(SUM(H22:H25)+SUM(J22:J25))/AVERAGE(AG22:AG25)</f>
        <v>5.4361465911284459E-4</v>
      </c>
      <c r="BO6" s="25">
        <f t="shared" si="2"/>
        <v>-3.7113901938517706E-2</v>
      </c>
      <c r="BP6" s="26">
        <f>BM6+BN6</f>
        <v>8.1523058633711953E-2</v>
      </c>
    </row>
    <row r="7" spans="1:68" x14ac:dyDescent="0.2">
      <c r="A7" s="2">
        <v>2015</v>
      </c>
      <c r="B7" s="2">
        <v>1</v>
      </c>
      <c r="C7" s="4">
        <v>87220448.7038403</v>
      </c>
      <c r="D7" s="4"/>
      <c r="E7" s="4">
        <v>15853348.733999999</v>
      </c>
      <c r="F7" s="4"/>
      <c r="G7" s="4"/>
      <c r="H7" s="4"/>
      <c r="I7" s="4"/>
      <c r="J7" s="22"/>
      <c r="K7" s="22">
        <v>3002195.4358999999</v>
      </c>
      <c r="L7" s="4"/>
      <c r="M7" s="4">
        <v>654530.51300000004</v>
      </c>
      <c r="N7" s="4"/>
      <c r="O7" s="4">
        <v>19179435.069263499</v>
      </c>
      <c r="P7" s="4"/>
      <c r="Q7" s="4">
        <v>18139908.10636</v>
      </c>
      <c r="R7" s="4"/>
      <c r="S7" s="4">
        <v>69359510.930272505</v>
      </c>
      <c r="T7" s="4"/>
      <c r="U7" s="4">
        <v>167252.22263999999</v>
      </c>
      <c r="V7" s="22"/>
      <c r="W7" s="22">
        <v>420089.31603637501</v>
      </c>
      <c r="X7" s="4"/>
      <c r="Y7" s="4">
        <f t="shared" si="0"/>
        <v>-1202914.3538999986</v>
      </c>
      <c r="Z7" s="4"/>
      <c r="AA7" s="4">
        <f t="shared" si="1"/>
        <v>-37040372.842831299</v>
      </c>
      <c r="AB7" s="4"/>
      <c r="AC7" s="23"/>
      <c r="AD7" s="4"/>
      <c r="AE7" s="4"/>
      <c r="AF7" s="4"/>
      <c r="AG7" s="4"/>
      <c r="AH7" s="4"/>
      <c r="AI7" s="4"/>
      <c r="AJ7" s="24"/>
      <c r="AK7" s="20">
        <f t="shared" ref="AK7:AK29" si="4">AK6+1</f>
        <v>2018</v>
      </c>
      <c r="AL7" s="25">
        <f>SUM(AB26:AB29)/AVERAGE(AG26:AG29)</f>
        <v>-3.6128299721158844E-2</v>
      </c>
      <c r="AM7" s="4">
        <v>20644316.2443057</v>
      </c>
      <c r="AN7" s="25">
        <f>AM7/AVERAGE(AG26:AG29)</f>
        <v>3.9999999999999966E-3</v>
      </c>
      <c r="AO7" s="25">
        <f>AVERAGE(AG26:AG29)/AVERAGE(AG22:AG25)-1</f>
        <v>-2.4817924445603157E-2</v>
      </c>
      <c r="AP7" s="4">
        <f>+ (((((((((((AP6*((1+AO7)^(1/12))-AM7/12)*((1+AO7)^(1/12))-AM7/12)*((1+AO7)^(1/12))-AM7/12)*((1+AO7)^(1/12))-AM7/12)*((1+AO7)^(1/12))-AM7/12)*((1+AO7)^(1/12))-AM7/12)*((1+AO7)^(1/12))-AM7/12)*((1+AO7)^(1/12))-AM7/12)*((1+AO7)^(1/12))-AM7/12)*((1+AO7)^(1/12))-AM7/12)*((1+AO7)^(1/12))-AM7/12)*((1+AO7)^(1/12))-AM7/12</f>
        <v>24790307.518782616</v>
      </c>
      <c r="AQ7" s="4">
        <f>1648154*100/AF29*1000</f>
        <v>552887150.95277083</v>
      </c>
      <c r="AR7" s="4">
        <f>AQ7</f>
        <v>552887150.95277083</v>
      </c>
      <c r="AS7" s="27">
        <f>AQ7/AG29</f>
        <v>0.11139659179584536</v>
      </c>
      <c r="AT7" s="27">
        <f>AR7/AG29</f>
        <v>0.11139659179584536</v>
      </c>
      <c r="AV7" s="2">
        <v>11012334</v>
      </c>
      <c r="AX7" s="2">
        <f t="shared" si="3"/>
        <v>-1.3547721048140941E-2</v>
      </c>
      <c r="BI7" s="24">
        <f t="shared" ref="BI7:BI38" si="5">T14/AG14</f>
        <v>1.3950037243303494E-2</v>
      </c>
      <c r="BJ7" s="2">
        <f t="shared" ref="BJ7:BJ29" si="6">BJ6+1</f>
        <v>2018</v>
      </c>
      <c r="BK7" s="24">
        <f>SUM(T26:T29)/AVERAGE(AG26:AG29)</f>
        <v>5.905316957684812E-2</v>
      </c>
      <c r="BL7" s="24">
        <f>SUM(P26:P29)/AVERAGE(AG26:AG29)</f>
        <v>1.724533864127124E-2</v>
      </c>
      <c r="BM7" s="24">
        <f>SUM(D26:D29)/AVERAGE(AG26:AG29)</f>
        <v>7.7936130656735728E-2</v>
      </c>
      <c r="BN7" s="24">
        <f>(SUM(H26:H29)+SUM(J26:J29))/AVERAGE(AG26:AG29)</f>
        <v>9.5174673878325685E-4</v>
      </c>
      <c r="BO7" s="25">
        <f t="shared" si="2"/>
        <v>-3.7080046459942104E-2</v>
      </c>
    </row>
    <row r="8" spans="1:68" x14ac:dyDescent="0.2">
      <c r="A8" s="2">
        <v>2015</v>
      </c>
      <c r="B8" s="2">
        <v>2</v>
      </c>
      <c r="C8" s="4">
        <v>94524704.7581871</v>
      </c>
      <c r="D8" s="4"/>
      <c r="E8" s="4">
        <v>17180984.028999999</v>
      </c>
      <c r="F8" s="4"/>
      <c r="G8" s="4"/>
      <c r="H8" s="4"/>
      <c r="I8" s="4"/>
      <c r="J8" s="22"/>
      <c r="K8" s="22">
        <v>2371185.1833000001</v>
      </c>
      <c r="L8" s="4"/>
      <c r="M8" s="4">
        <v>696491.069000002</v>
      </c>
      <c r="N8" s="22"/>
      <c r="O8" s="22">
        <v>16135978.221071601</v>
      </c>
      <c r="P8" s="22"/>
      <c r="Q8" s="4">
        <v>21552530.200959999</v>
      </c>
      <c r="R8" s="4"/>
      <c r="S8" s="4">
        <v>82407967.299702004</v>
      </c>
      <c r="T8" s="22"/>
      <c r="U8" s="22">
        <v>188439.08603999999</v>
      </c>
      <c r="V8" s="22"/>
      <c r="W8" s="22">
        <v>473304.60259085899</v>
      </c>
      <c r="X8" s="4"/>
      <c r="Y8" s="4">
        <f t="shared" si="0"/>
        <v>1492309.0056999996</v>
      </c>
      <c r="Z8" s="4"/>
      <c r="AA8" s="4">
        <f t="shared" si="1"/>
        <v>-28252715.679556698</v>
      </c>
      <c r="AB8" s="4"/>
      <c r="AC8" s="23"/>
      <c r="AD8" s="4"/>
      <c r="AE8" s="4"/>
      <c r="AF8" s="4"/>
      <c r="AG8" s="4"/>
      <c r="AH8" s="28"/>
      <c r="AI8" s="4"/>
      <c r="AJ8" s="24"/>
      <c r="AK8" s="20">
        <f t="shared" si="4"/>
        <v>2019</v>
      </c>
      <c r="AL8" s="25">
        <f>SUM(AB30:AB33)/AVERAGE(AG30:AG33)</f>
        <v>-3.702863314835745E-2</v>
      </c>
      <c r="AM8" s="4">
        <v>19740259.6575456</v>
      </c>
      <c r="AN8" s="25">
        <f>AM8/AVERAGE(AG30:AG33)</f>
        <v>3.9471949085116793E-3</v>
      </c>
      <c r="AO8" s="25">
        <f>AVERAGE(AG30:AG33)/AVERAGE(AG26:AG29)-1</f>
        <v>-3.1000000000000028E-2</v>
      </c>
      <c r="AP8" s="4">
        <v>10349825.4547267</v>
      </c>
      <c r="AQ8" s="4">
        <f>(1718032-59029)*1000*100/AF32</f>
        <v>417239344.62046146</v>
      </c>
      <c r="AR8" s="4">
        <f>AQ8</f>
        <v>417239344.62046146</v>
      </c>
      <c r="AS8" s="27">
        <f>AQ8/AG33</f>
        <v>9.0958615995917563E-2</v>
      </c>
      <c r="AT8" s="27">
        <f>AR8/AG33</f>
        <v>9.0958615995917563E-2</v>
      </c>
      <c r="AU8" s="26"/>
      <c r="AV8" s="2">
        <v>11082939</v>
      </c>
      <c r="AX8" s="2">
        <f t="shared" si="3"/>
        <v>6.4114473825439729E-3</v>
      </c>
      <c r="BI8" s="24">
        <f t="shared" si="5"/>
        <v>1.4606680200322988E-2</v>
      </c>
      <c r="BJ8" s="2">
        <f t="shared" si="6"/>
        <v>2019</v>
      </c>
      <c r="BK8" s="24">
        <f>SUM(T30:T33)/AVERAGE(AG30:AG33)</f>
        <v>5.237224302658363E-2</v>
      </c>
      <c r="BL8" s="24">
        <f>SUM(P30:P33)/AVERAGE(AG30:AG33)</f>
        <v>1.5766269859618029E-2</v>
      </c>
      <c r="BM8" s="24">
        <f>SUM(D30:D33)/AVERAGE(AG30:AG33)</f>
        <v>7.3634606315323051E-2</v>
      </c>
      <c r="BN8" s="24">
        <f>(SUM(H30:H33)+SUM(J30:J33))/AVERAGE(AG30:AG33)</f>
        <v>8.5826801221451209E-4</v>
      </c>
      <c r="BO8" s="25">
        <f t="shared" si="2"/>
        <v>-3.7886901160571959E-2</v>
      </c>
    </row>
    <row r="9" spans="1:68" x14ac:dyDescent="0.2">
      <c r="A9" s="2">
        <v>2016</v>
      </c>
      <c r="B9" s="2">
        <v>2</v>
      </c>
      <c r="C9" s="4">
        <v>97915025.902647793</v>
      </c>
      <c r="D9" s="4"/>
      <c r="E9" s="4">
        <v>17797214.875</v>
      </c>
      <c r="F9" s="4"/>
      <c r="G9" s="4"/>
      <c r="H9" s="4"/>
      <c r="I9" s="4"/>
      <c r="J9" s="22"/>
      <c r="K9" s="22"/>
      <c r="L9" s="4"/>
      <c r="M9" s="4">
        <v>732730.52299999795</v>
      </c>
      <c r="N9" s="22"/>
      <c r="O9" s="22"/>
      <c r="P9" s="22"/>
      <c r="Q9" s="4"/>
      <c r="R9" s="4"/>
      <c r="S9" s="4"/>
      <c r="T9" s="22"/>
      <c r="U9" s="22"/>
      <c r="V9" s="22"/>
      <c r="W9" s="22"/>
      <c r="X9" s="4"/>
      <c r="Y9" s="4"/>
      <c r="Z9" s="4"/>
      <c r="AA9" s="4"/>
      <c r="AB9" s="4"/>
      <c r="AC9" s="23"/>
      <c r="AD9" s="4"/>
      <c r="AE9" s="4"/>
      <c r="AF9" s="4"/>
      <c r="AG9" s="4"/>
      <c r="AH9" s="4"/>
      <c r="AI9" s="4"/>
      <c r="AJ9" s="24"/>
      <c r="AK9" s="20">
        <f t="shared" si="4"/>
        <v>2020</v>
      </c>
      <c r="AL9" s="25">
        <f>SUM(AB34:AB37)/AVERAGE(AG34:AG37)</f>
        <v>-3.4924575866021303E-2</v>
      </c>
      <c r="AM9" s="4">
        <v>18862810.403066002</v>
      </c>
      <c r="AN9" s="25">
        <f>AM9/AVERAGE(AG34:AG37)</f>
        <v>3.7717431520584484E-3</v>
      </c>
      <c r="AO9" s="25">
        <f>AVERAGE(AG34:AG37)/AVERAGE(AG30:AG33)-1</f>
        <v>0</v>
      </c>
      <c r="AP9" s="29">
        <f>((((((AP8*((1+AO9)^(1/12))-AM9/12)*((1+AO9)^(1/12))-AM9/12)*((1+AO9)^(1/12))-AM9/12)*((1+AO9)^(1/12))-AM9/12)*((1+AO9)^(1/12))-AM9/12)*((1+AO9)^(1/12))-AM9/12)*((1+AO9)^(1/12))-AM9/12</f>
        <v>-653480.61372846877</v>
      </c>
      <c r="AQ9" s="4">
        <f t="shared" ref="AQ9:AQ29" si="7">AQ8*(1+AO9)</f>
        <v>417239344.62046146</v>
      </c>
      <c r="AR9" s="4">
        <f>((((((AQ8*((1+AO9)^(6/12)))*((1+AO9)^(1/12))+AP9)*((1+AO9)^(1/12))-AM9/12)*((1+AO9)^(1/12))-AM9/12)*((1+AO9)^(1/12))-AM9/12)*((1+AO9)^(1/12))-AM9/12)*((1+AO9)^(1/12))-AM9/12</f>
        <v>408726359.6721223</v>
      </c>
      <c r="AS9" s="27">
        <f>AQ9/AG37</f>
        <v>7.9456909034175502E-2</v>
      </c>
      <c r="AT9" s="27">
        <f>AR9/AG37</f>
        <v>7.7835740083139052E-2</v>
      </c>
      <c r="AV9" s="2">
        <v>11339977</v>
      </c>
      <c r="AX9" s="2">
        <f t="shared" si="3"/>
        <v>2.3192223651145243E-2</v>
      </c>
      <c r="BI9" s="24">
        <f t="shared" si="5"/>
        <v>1.4690991414399638E-2</v>
      </c>
      <c r="BJ9" s="2">
        <f t="shared" si="6"/>
        <v>2020</v>
      </c>
      <c r="BK9" s="24">
        <f>SUM(T34:T37)/AVERAGE(AG34:AG37)</f>
        <v>5.4967721323652706E-2</v>
      </c>
      <c r="BL9" s="24">
        <f>SUM(P34:P37)/AVERAGE(AG34:AG37)</f>
        <v>1.4342818050183323E-2</v>
      </c>
      <c r="BM9" s="24">
        <f>SUM(D34:D37)/AVERAGE(AG34:AG37)</f>
        <v>7.5549479139490672E-2</v>
      </c>
      <c r="BN9" s="24">
        <f>(SUM(H34:H37)+SUM(J34:J37))/AVERAGE(AG34:AG37)</f>
        <v>1.1216976632728005E-3</v>
      </c>
      <c r="BO9" s="25">
        <f t="shared" si="2"/>
        <v>-3.6046273529294105E-2</v>
      </c>
    </row>
    <row r="10" spans="1:68" x14ac:dyDescent="0.2">
      <c r="A10" s="2">
        <v>2016</v>
      </c>
      <c r="B10" s="2">
        <v>3</v>
      </c>
      <c r="C10" s="4">
        <v>100917465.84456199</v>
      </c>
      <c r="D10" s="4"/>
      <c r="E10" s="4">
        <v>18342943.715</v>
      </c>
      <c r="F10" s="4"/>
      <c r="G10" s="4"/>
      <c r="H10" s="4"/>
      <c r="I10" s="4"/>
      <c r="J10" s="22"/>
      <c r="K10" s="22"/>
      <c r="L10" s="4"/>
      <c r="M10" s="4">
        <v>775294.91</v>
      </c>
      <c r="N10" s="22"/>
      <c r="O10" s="22"/>
      <c r="P10" s="22"/>
      <c r="Q10" s="4"/>
      <c r="R10" s="4"/>
      <c r="S10" s="4"/>
      <c r="T10" s="22"/>
      <c r="U10" s="4"/>
      <c r="V10" s="22"/>
      <c r="W10" s="22"/>
      <c r="X10" s="4"/>
      <c r="Y10" s="4"/>
      <c r="Z10" s="4"/>
      <c r="AA10" s="4"/>
      <c r="AB10" s="4"/>
      <c r="AC10" s="23"/>
      <c r="AD10" s="4"/>
      <c r="AE10" s="4"/>
      <c r="AF10" s="4"/>
      <c r="AG10" s="4"/>
      <c r="AH10" s="4"/>
      <c r="AI10" s="4"/>
      <c r="AJ10" s="24"/>
      <c r="AK10" s="20">
        <f t="shared" si="4"/>
        <v>2021</v>
      </c>
      <c r="AL10" s="25">
        <f>SUM(AB38:AB41)/AVERAGE(AG38:AG41)</f>
        <v>-3.288330693205848E-2</v>
      </c>
      <c r="AM10" s="4">
        <v>17835539.214349002</v>
      </c>
      <c r="AN10" s="25">
        <f>AM10/AVERAGE(AG38:AG41)</f>
        <v>3.4422875588547086E-3</v>
      </c>
      <c r="AO10" s="25">
        <f>AVERAGE(AG38:AG41)/AVERAGE(AG34:AG37)-1</f>
        <v>3.6035907023620029E-2</v>
      </c>
      <c r="AP10" s="25"/>
      <c r="AQ10" s="4">
        <f t="shared" si="7"/>
        <v>432274942.84980059</v>
      </c>
      <c r="AR10" s="4">
        <f t="shared" ref="AR10:AR29" si="8">(((((((((((AR9*((1+AO10)^(1/12))-AM10/12)*((1+AO10)^(1/12))-AM10/12)*((1+AO10)^(1/12))-AM10/12)*((1+AO10)^(1/12))-AM10/12)*((1+AO10)^(1/12))-AM10/12)*((1+AO10)^(1/12))-AM10/12)*((1+AO10)^(1/12))-AM10/12)*((1+AO10)^(1/12))-AM10/12)*((1+AO10)^(1/12))-AM10/12)*((1+AO10)^(1/12))-AM10/12)*((1+AO10)^(1/12))-AM10/12)*((1+AO10)^(1/12))-AM10/12</f>
        <v>405326948.54257995</v>
      </c>
      <c r="AS10" s="27">
        <f>AQ10/AG41</f>
        <v>8.3608329580971169E-2</v>
      </c>
      <c r="AT10" s="27">
        <f>AR10/AG41</f>
        <v>7.8396191272119206E-2</v>
      </c>
      <c r="AV10" s="2">
        <v>11479064</v>
      </c>
      <c r="AX10" s="2">
        <f t="shared" si="3"/>
        <v>1.2265192424993455E-2</v>
      </c>
      <c r="BI10" s="24">
        <f t="shared" si="5"/>
        <v>1.7589639488849236E-2</v>
      </c>
      <c r="BJ10" s="2">
        <f t="shared" si="6"/>
        <v>2021</v>
      </c>
      <c r="BK10" s="24">
        <f>SUM(T38:T41)/AVERAGE(AG38:AG41)</f>
        <v>5.7375923787994033E-2</v>
      </c>
      <c r="BL10" s="24">
        <f>SUM(P38:P41)/AVERAGE(AG38:AG41)</f>
        <v>1.4141249390798475E-2</v>
      </c>
      <c r="BM10" s="24">
        <f>SUM(D38:D41)/AVERAGE(AG38:AG41)</f>
        <v>7.6117981329254042E-2</v>
      </c>
      <c r="BN10" s="24">
        <f>(SUM(H38:H41)+SUM(J38:J41))/AVERAGE(AG38:AG41)</f>
        <v>1.5503844622023356E-3</v>
      </c>
      <c r="BO10" s="25">
        <f t="shared" si="2"/>
        <v>-3.4433691394260814E-2</v>
      </c>
    </row>
    <row r="11" spans="1:68" x14ac:dyDescent="0.2">
      <c r="A11" s="2">
        <v>2016</v>
      </c>
      <c r="B11" s="2">
        <v>4</v>
      </c>
      <c r="C11" s="4">
        <v>108710229.285033</v>
      </c>
      <c r="D11" s="4"/>
      <c r="E11" s="4">
        <v>19759371.113000002</v>
      </c>
      <c r="F11" s="4"/>
      <c r="G11" s="4"/>
      <c r="H11" s="4"/>
      <c r="I11" s="4"/>
      <c r="J11" s="22"/>
      <c r="K11" s="22"/>
      <c r="L11" s="4"/>
      <c r="M11" s="4">
        <v>832906.25299999898</v>
      </c>
      <c r="N11" s="22"/>
      <c r="O11" s="22"/>
      <c r="P11" s="4"/>
      <c r="Q11" s="4"/>
      <c r="R11" s="4"/>
      <c r="S11" s="4"/>
      <c r="T11" s="22"/>
      <c r="U11" s="22"/>
      <c r="V11" s="22"/>
      <c r="W11" s="22"/>
      <c r="X11" s="4"/>
      <c r="Y11" s="4"/>
      <c r="Z11" s="4"/>
      <c r="AA11" s="4"/>
      <c r="AB11" s="4"/>
      <c r="AC11" s="23"/>
      <c r="AD11" s="4"/>
      <c r="AE11" s="4"/>
      <c r="AF11" s="4"/>
      <c r="AG11" s="4"/>
      <c r="AH11" s="4"/>
      <c r="AI11" s="4"/>
      <c r="AJ11" s="24"/>
      <c r="AK11" s="20">
        <f t="shared" si="4"/>
        <v>2022</v>
      </c>
      <c r="AL11" s="25">
        <f>SUM(AB42:AB45)/AVERAGE(AG42:AG45)</f>
        <v>-3.223316884102987E-2</v>
      </c>
      <c r="AM11" s="4">
        <v>16827143.601502299</v>
      </c>
      <c r="AN11" s="25">
        <f>AM11/AVERAGE(AG42:AG45)</f>
        <v>3.20995299977296E-3</v>
      </c>
      <c r="AO11" s="25">
        <f>AVERAGE(AG42:AG45)/AVERAGE(AG38:AG41)-1</f>
        <v>1.1748643981432938E-2</v>
      </c>
      <c r="AP11" s="25"/>
      <c r="AQ11" s="4">
        <f t="shared" si="7"/>
        <v>437353587.25543714</v>
      </c>
      <c r="AR11" s="4">
        <f t="shared" si="8"/>
        <v>393171427.32439101</v>
      </c>
      <c r="AS11" s="27">
        <f>AQ11/AG45</f>
        <v>8.2461610609157479E-2</v>
      </c>
      <c r="AT11" s="27">
        <f>AR11/AG45</f>
        <v>7.4131206619633211E-2</v>
      </c>
      <c r="AV11" s="2">
        <v>11462881</v>
      </c>
      <c r="AX11" s="2">
        <f t="shared" si="3"/>
        <v>-1.4097839336029488E-3</v>
      </c>
      <c r="BI11" s="24">
        <f t="shared" si="5"/>
        <v>1.4872835347450975E-2</v>
      </c>
      <c r="BJ11" s="2">
        <f t="shared" si="6"/>
        <v>2022</v>
      </c>
      <c r="BK11" s="24">
        <f>SUM(T42:T45)/AVERAGE(AG42:AG45)</f>
        <v>6.0717867375346568E-2</v>
      </c>
      <c r="BL11" s="24">
        <f>SUM(P42:P45)/AVERAGE(AG42:AG45)</f>
        <v>1.4562220756377515E-2</v>
      </c>
      <c r="BM11" s="24">
        <f>SUM(D42:D45)/AVERAGE(AG42:AG45)</f>
        <v>7.8388815459998915E-2</v>
      </c>
      <c r="BN11" s="24">
        <f>(SUM(H42:H45)+SUM(J42:J45))/AVERAGE(AG42:AG45)</f>
        <v>1.9659064699528209E-3</v>
      </c>
      <c r="BO11" s="25">
        <f t="shared" si="2"/>
        <v>-3.4199075310982693E-2</v>
      </c>
      <c r="BP11" s="26">
        <f t="shared" ref="BP11:BP29" si="9">BM11+BN11</f>
        <v>8.0354721929951731E-2</v>
      </c>
    </row>
    <row r="12" spans="1:68" ht="11.45" customHeight="1" x14ac:dyDescent="0.2">
      <c r="A12" s="2">
        <v>2017</v>
      </c>
      <c r="B12" s="2">
        <v>1</v>
      </c>
      <c r="C12" s="4">
        <v>106787377.90249901</v>
      </c>
      <c r="D12" s="4"/>
      <c r="E12" s="4">
        <v>19409869.568</v>
      </c>
      <c r="F12" s="4"/>
      <c r="G12" s="4"/>
      <c r="H12" s="4"/>
      <c r="I12" s="4"/>
      <c r="J12" s="22"/>
      <c r="K12" s="22"/>
      <c r="L12" s="4"/>
      <c r="M12" s="4">
        <v>832988.16000000003</v>
      </c>
      <c r="N12" s="22"/>
      <c r="O12" s="22"/>
      <c r="P12" s="22"/>
      <c r="Q12" s="4"/>
      <c r="R12" s="4"/>
      <c r="S12" s="4"/>
      <c r="T12" s="22"/>
      <c r="U12" s="22"/>
      <c r="V12" s="22"/>
      <c r="W12" s="22"/>
      <c r="X12" s="4"/>
      <c r="Y12" s="4"/>
      <c r="Z12" s="4"/>
      <c r="AA12" s="4"/>
      <c r="AB12" s="4"/>
      <c r="AC12" s="23"/>
      <c r="AD12" s="4"/>
      <c r="AE12" s="4"/>
      <c r="AF12" s="4"/>
      <c r="AG12" s="4"/>
      <c r="AH12" s="4"/>
      <c r="AI12" s="4"/>
      <c r="AJ12" s="24"/>
      <c r="AK12" s="20">
        <f t="shared" si="4"/>
        <v>2023</v>
      </c>
      <c r="AL12" s="25">
        <f>SUM(AB46:AB49)/AVERAGE(AG46:AG49)</f>
        <v>-3.1238802403607668E-2</v>
      </c>
      <c r="AM12" s="4">
        <v>15842663.688178601</v>
      </c>
      <c r="AN12" s="25">
        <f>AM12/AVERAGE(AG46:AG49)</f>
        <v>2.9109488314661099E-3</v>
      </c>
      <c r="AO12" s="25">
        <f>AVERAGE(AG46:AG49)/AVERAGE(AG42:AG45)-1</f>
        <v>3.8202102437838725E-2</v>
      </c>
      <c r="AP12" s="25"/>
      <c r="AQ12" s="4">
        <f t="shared" si="7"/>
        <v>454061413.79732561</v>
      </c>
      <c r="AR12" s="4">
        <f t="shared" si="8"/>
        <v>392073222.54174238</v>
      </c>
      <c r="AS12" s="27">
        <f>AQ12/AG49</f>
        <v>8.1978810885630957E-2</v>
      </c>
      <c r="AT12" s="27">
        <f>AR12/AG49</f>
        <v>7.0787112904546728E-2</v>
      </c>
      <c r="AV12" s="2">
        <v>11332510</v>
      </c>
      <c r="AX12" s="2">
        <f t="shared" si="3"/>
        <v>-1.1373318801791626E-2</v>
      </c>
      <c r="BI12" s="24">
        <f t="shared" si="5"/>
        <v>1.5115945785946331E-2</v>
      </c>
      <c r="BJ12" s="2">
        <f t="shared" si="6"/>
        <v>2023</v>
      </c>
      <c r="BK12" s="24">
        <f>SUM(T46:T49)/AVERAGE(AG46:AG49)</f>
        <v>6.1709955524008223E-2</v>
      </c>
      <c r="BL12" s="24">
        <f>SUM(P46:P49)/AVERAGE(AG46:AG49)</f>
        <v>1.4451984962707378E-2</v>
      </c>
      <c r="BM12" s="24">
        <f>SUM(D46:D49)/AVERAGE(AG46:AG49)</f>
        <v>7.8496772964908521E-2</v>
      </c>
      <c r="BN12" s="24">
        <f>(SUM(H46:H49)+SUM(J46:J49))/AVERAGE(AG46:AG49)</f>
        <v>2.2940195094443188E-3</v>
      </c>
      <c r="BO12" s="25">
        <f t="shared" si="2"/>
        <v>-3.3532821913051986E-2</v>
      </c>
      <c r="BP12" s="26">
        <f t="shared" si="9"/>
        <v>8.0790792474352835E-2</v>
      </c>
    </row>
    <row r="13" spans="1:68" x14ac:dyDescent="0.2">
      <c r="C13" s="30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30"/>
      <c r="P13" s="13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1"/>
      <c r="AD13" s="13"/>
      <c r="AE13" s="13"/>
      <c r="AF13" s="13"/>
      <c r="AG13" s="13"/>
      <c r="AH13" s="13"/>
      <c r="AI13" s="13"/>
      <c r="AJ13" s="26"/>
      <c r="AK13" s="32">
        <f t="shared" si="4"/>
        <v>2024</v>
      </c>
      <c r="AL13" s="33">
        <f>SUM(AB50:AB53)/AVERAGE(AG50:AG53)</f>
        <v>-2.9956679353725556E-2</v>
      </c>
      <c r="AM13" s="13">
        <v>14900507.1403892</v>
      </c>
      <c r="AN13" s="33">
        <f>AM13/AVERAGE(AG50:AG53)</f>
        <v>2.6326588721715663E-3</v>
      </c>
      <c r="AO13" s="33">
        <f>'GDP evolution by scenario'!G49</f>
        <v>3.9950886700828914E-2</v>
      </c>
      <c r="AP13" s="33"/>
      <c r="AQ13" s="13">
        <f t="shared" si="7"/>
        <v>472201569.89516073</v>
      </c>
      <c r="AR13" s="13">
        <f t="shared" si="8"/>
        <v>392565477.49264032</v>
      </c>
      <c r="AS13" s="34">
        <f>AQ13/AG53</f>
        <v>8.2669651998056287E-2</v>
      </c>
      <c r="AT13" s="34">
        <f>AR13/AG53</f>
        <v>6.8727538152769635E-2</v>
      </c>
      <c r="BI13" s="26">
        <f t="shared" si="5"/>
        <v>1.4439131912977226E-2</v>
      </c>
      <c r="BJ13">
        <f t="shared" si="6"/>
        <v>2024</v>
      </c>
      <c r="BK13" s="26">
        <f>SUM(T50:T53)/AVERAGE(AG50:AG53)</f>
        <v>6.2895174462130776E-2</v>
      </c>
      <c r="BL13" s="26">
        <f>SUM(P50:P53)/AVERAGE(AG50:AG53)</f>
        <v>1.4141249174913979E-2</v>
      </c>
      <c r="BM13" s="26">
        <f>SUM(D50:D53)/AVERAGE(AG50:AG53)</f>
        <v>7.871060464094233E-2</v>
      </c>
      <c r="BN13" s="26">
        <f>(SUM(H50:H53)+SUM(J50:J53))/AVERAGE(AG50:AG53)</f>
        <v>2.5532299091615531E-3</v>
      </c>
      <c r="BO13" s="33">
        <f t="shared" si="2"/>
        <v>-3.2509909262887111E-2</v>
      </c>
      <c r="BP13" s="26">
        <f t="shared" si="9"/>
        <v>8.1263834550103886E-2</v>
      </c>
    </row>
    <row r="14" spans="1:68" x14ac:dyDescent="0.2">
      <c r="A14" s="5">
        <v>2015</v>
      </c>
      <c r="B14" s="5">
        <v>1</v>
      </c>
      <c r="C14" s="6"/>
      <c r="D14" s="6">
        <f>'Central pensions'!Q14</f>
        <v>93656358.855065987</v>
      </c>
      <c r="E14" s="6"/>
      <c r="F14" s="8">
        <f>'Central pensions'!I14</f>
        <v>17023151.853301901</v>
      </c>
      <c r="G14" s="6">
        <f>'Central pensions'!K14</f>
        <v>0</v>
      </c>
      <c r="H14" s="6">
        <f>'Central pensions'!V14</f>
        <v>0</v>
      </c>
      <c r="I14" s="8">
        <f>'Central pensions'!M14</f>
        <v>0</v>
      </c>
      <c r="J14" s="6">
        <f>'Central pensions'!W14</f>
        <v>0</v>
      </c>
      <c r="K14" s="6"/>
      <c r="L14" s="8">
        <f>'Central pensions'!N14</f>
        <v>2735454.9936135854</v>
      </c>
      <c r="M14" s="8"/>
      <c r="N14" s="8">
        <f>'Central pensions'!L14</f>
        <v>691939.44381959736</v>
      </c>
      <c r="O14" s="6"/>
      <c r="P14" s="6">
        <f>'Central pensions'!X14</f>
        <v>18001135.63042083</v>
      </c>
      <c r="Q14" s="8"/>
      <c r="R14" s="8">
        <f>'Central SIPA income'!G9</f>
        <v>17909219.777089454</v>
      </c>
      <c r="S14" s="8"/>
      <c r="T14" s="6">
        <f>'Central SIPA income'!J9</f>
        <v>68477454.040225282</v>
      </c>
      <c r="U14" s="6"/>
      <c r="V14" s="8">
        <f>'Central SIPA income'!F9</f>
        <v>135449.214417351</v>
      </c>
      <c r="W14" s="8"/>
      <c r="X14" s="8">
        <f>'Central SIPA income'!M9</f>
        <v>340209.37552427547</v>
      </c>
      <c r="Y14" s="6"/>
      <c r="Z14" s="6">
        <f t="shared" ref="Z14:Z45" si="10">R14+V14-N14-L14-F14</f>
        <v>-2405877.2992282808</v>
      </c>
      <c r="AA14" s="6"/>
      <c r="AB14" s="6">
        <f t="shared" ref="AB14:AB45" si="11">T14-P14-D14</f>
        <v>-43180040.445261538</v>
      </c>
      <c r="AC14" s="23"/>
      <c r="AD14" s="6">
        <v>5092693740.32864</v>
      </c>
      <c r="AE14" s="6">
        <v>672749.81139169901</v>
      </c>
      <c r="AF14" s="6">
        <v>103.09103866</v>
      </c>
      <c r="AG14" s="6">
        <f t="shared" ref="AG14:AG31" si="12">AE14/$AE$6*$AD$6</f>
        <v>4908764962.1220083</v>
      </c>
      <c r="AH14" s="6"/>
      <c r="AI14" s="6"/>
      <c r="AJ14" s="35">
        <f t="shared" ref="AJ14:AJ45" si="13">AB14/AG14</f>
        <v>-8.7965182237194038E-3</v>
      </c>
      <c r="AK14" s="36">
        <f t="shared" si="4"/>
        <v>2025</v>
      </c>
      <c r="AL14" s="37">
        <f>SUM(AB54:AB57)/AVERAGE(AG54:AG57)</f>
        <v>-2.9300901743958066E-2</v>
      </c>
      <c r="AM14" s="6">
        <v>13946867.9480024</v>
      </c>
      <c r="AN14" s="37">
        <f>AM14/AVERAGE(AG54:AG57)</f>
        <v>2.3928249051855584E-3</v>
      </c>
      <c r="AO14" s="37">
        <f>'GDP evolution by scenario'!G53</f>
        <v>2.9815223414285441E-2</v>
      </c>
      <c r="AP14" s="37"/>
      <c r="AQ14" s="6">
        <f t="shared" si="7"/>
        <v>486280365.1981613</v>
      </c>
      <c r="AR14" s="6">
        <f t="shared" si="8"/>
        <v>390133459.65889454</v>
      </c>
      <c r="AS14" s="38">
        <f>AQ14/AG57</f>
        <v>8.2057198477907753E-2</v>
      </c>
      <c r="AT14" s="38">
        <f>AR14/AG57</f>
        <v>6.5832924837623638E-2</v>
      </c>
      <c r="AU14" s="5"/>
      <c r="AV14" s="5"/>
      <c r="AW14" s="39">
        <f>workers_and_wage_central!C2</f>
        <v>10914398</v>
      </c>
      <c r="AX14" s="5"/>
      <c r="AY14" s="35">
        <f>(AW14-AV6)/AV6</f>
        <v>-2.2320537999699918E-2</v>
      </c>
      <c r="AZ14" s="40">
        <f>workers_and_wage_central!B2</f>
        <v>6414.7890469953099</v>
      </c>
      <c r="BA14" s="5"/>
      <c r="BB14" s="5"/>
      <c r="BC14" s="5"/>
      <c r="BD14" s="5"/>
      <c r="BE14" s="5"/>
      <c r="BF14" s="5"/>
      <c r="BG14" s="5"/>
      <c r="BH14" s="5"/>
      <c r="BI14" s="35">
        <f t="shared" si="5"/>
        <v>1.6985074578638841E-2</v>
      </c>
      <c r="BJ14" s="5">
        <f t="shared" si="6"/>
        <v>2025</v>
      </c>
      <c r="BK14" s="35">
        <f>SUM(T54:T57)/AVERAGE(AG54:AG57)</f>
        <v>6.3584266671634998E-2</v>
      </c>
      <c r="BL14" s="35">
        <f>SUM(P54:P57)/AVERAGE(AG54:AG57)</f>
        <v>1.3951616442254807E-2</v>
      </c>
      <c r="BM14" s="35">
        <f>SUM(D54:D57)/AVERAGE(AG54:AG57)</f>
        <v>7.8933551973338248E-2</v>
      </c>
      <c r="BN14" s="35">
        <f>(SUM(H54:H57)+SUM(J54:J57))/AVERAGE(AG54:AG57)</f>
        <v>3.5202593760035946E-3</v>
      </c>
      <c r="BO14" s="37">
        <f t="shared" si="2"/>
        <v>-3.282116111996166E-2</v>
      </c>
      <c r="BP14" s="26">
        <f t="shared" si="9"/>
        <v>8.2453811349341849E-2</v>
      </c>
    </row>
    <row r="15" spans="1:68" x14ac:dyDescent="0.2">
      <c r="A15" s="7">
        <v>2015</v>
      </c>
      <c r="B15" s="7">
        <v>2</v>
      </c>
      <c r="C15" s="9"/>
      <c r="D15" s="9">
        <f>'Central pensions'!Q15</f>
        <v>107958694.75927833</v>
      </c>
      <c r="E15" s="9"/>
      <c r="F15" s="41">
        <f>'Central pensions'!I15</f>
        <v>19622770.703860801</v>
      </c>
      <c r="G15" s="9">
        <f>'Central pensions'!K15</f>
        <v>0</v>
      </c>
      <c r="H15" s="9">
        <f>'Central pensions'!V15</f>
        <v>0</v>
      </c>
      <c r="I15" s="41">
        <f>'Central pensions'!M15</f>
        <v>0</v>
      </c>
      <c r="J15" s="9">
        <f>'Central pensions'!W15</f>
        <v>0</v>
      </c>
      <c r="K15" s="9"/>
      <c r="L15" s="41">
        <f>'Central pensions'!N15</f>
        <v>2478245.9090260332</v>
      </c>
      <c r="M15" s="41"/>
      <c r="N15" s="41">
        <f>'Central pensions'!L15</f>
        <v>799976.43123659864</v>
      </c>
      <c r="O15" s="9"/>
      <c r="P15" s="9">
        <f>'Central pensions'!X15</f>
        <v>17260864.096479163</v>
      </c>
      <c r="Q15" s="41"/>
      <c r="R15" s="41">
        <f>'Central SIPA income'!G10</f>
        <v>22054908.229597352</v>
      </c>
      <c r="S15" s="41"/>
      <c r="T15" s="9">
        <f>'Central SIPA income'!J10</f>
        <v>84328853.152255088</v>
      </c>
      <c r="U15" s="9"/>
      <c r="V15" s="41">
        <f>'Central SIPA income'!F10</f>
        <v>151084.142402353</v>
      </c>
      <c r="W15" s="41"/>
      <c r="X15" s="41">
        <f>'Central SIPA income'!M10</f>
        <v>379479.80694778298</v>
      </c>
      <c r="Y15" s="9"/>
      <c r="Z15" s="9">
        <f t="shared" si="10"/>
        <v>-695000.67212372646</v>
      </c>
      <c r="AA15" s="9"/>
      <c r="AB15" s="9">
        <f t="shared" si="11"/>
        <v>-40890705.703502402</v>
      </c>
      <c r="AC15" s="23"/>
      <c r="AD15" s="9">
        <v>5951478855.3666</v>
      </c>
      <c r="AE15" s="9">
        <v>791235.96554166998</v>
      </c>
      <c r="AF15" s="9">
        <v>106.73436665</v>
      </c>
      <c r="AG15" s="9">
        <f t="shared" si="12"/>
        <v>5773307281.0336723</v>
      </c>
      <c r="AH15" s="9"/>
      <c r="AI15" s="9"/>
      <c r="AJ15" s="42">
        <f t="shared" si="13"/>
        <v>-7.0827177063371542E-3</v>
      </c>
      <c r="AK15" s="43">
        <f t="shared" si="4"/>
        <v>2026</v>
      </c>
      <c r="AL15" s="44">
        <f>SUM(AB58:AB61)/AVERAGE(AG58:AG61)</f>
        <v>-2.7072431344146369E-2</v>
      </c>
      <c r="AM15" s="9">
        <v>13032040.928831499</v>
      </c>
      <c r="AN15" s="44">
        <f>AM15/AVERAGE(AG58:AG61)</f>
        <v>2.1556256597335573E-3</v>
      </c>
      <c r="AO15" s="44">
        <f>'GDP evolution by scenario'!G57</f>
        <v>3.7225826554808661E-2</v>
      </c>
      <c r="AP15" s="44"/>
      <c r="AQ15" s="9">
        <f t="shared" si="7"/>
        <v>504382553.73003709</v>
      </c>
      <c r="AR15" s="9">
        <f t="shared" si="8"/>
        <v>391403575.98554981</v>
      </c>
      <c r="AS15" s="45">
        <f>AQ15/AG61</f>
        <v>8.2642593293658834E-2</v>
      </c>
      <c r="AT15" s="45">
        <f>AR15/AG61</f>
        <v>6.4131097129839471E-2</v>
      </c>
      <c r="AU15" s="7"/>
      <c r="AV15" s="7"/>
      <c r="AW15" s="46">
        <f>workers_and_wage_central!C3</f>
        <v>11021763</v>
      </c>
      <c r="AX15" s="7"/>
      <c r="AY15" s="42">
        <f t="shared" ref="AY15:AY46" si="14">(AW15-AW14)/AW14</f>
        <v>9.8370061271359169E-3</v>
      </c>
      <c r="AZ15" s="47">
        <f>workers_and_wage_central!B3</f>
        <v>6778.9022518415804</v>
      </c>
      <c r="BA15" s="42">
        <f t="shared" ref="BA15:BA46" si="15">(AZ15-AZ14)/AZ14</f>
        <v>5.6761524374183636E-2</v>
      </c>
      <c r="BB15" s="7"/>
      <c r="BC15" s="7"/>
      <c r="BD15" s="7"/>
      <c r="BE15" s="7"/>
      <c r="BF15" s="7"/>
      <c r="BG15" s="7"/>
      <c r="BH15" s="7"/>
      <c r="BI15" s="42">
        <f t="shared" si="5"/>
        <v>1.4982112032120428E-2</v>
      </c>
      <c r="BJ15" s="7">
        <f t="shared" si="6"/>
        <v>2026</v>
      </c>
      <c r="BK15" s="42">
        <f>SUM(T58:T61)/AVERAGE(AG58:AG61)</f>
        <v>6.3891463868500309E-2</v>
      </c>
      <c r="BL15" s="42">
        <f>SUM(P58:P61)/AVERAGE(AG58:AG61)</f>
        <v>1.3466028630513625E-2</v>
      </c>
      <c r="BM15" s="42">
        <f>SUM(D58:D61)/AVERAGE(AG58:AG61)</f>
        <v>7.7497866582133049E-2</v>
      </c>
      <c r="BN15" s="42">
        <f>(SUM(H58:H61)+SUM(J58:J61))/AVERAGE(AG58:AG61)</f>
        <v>4.6313581948996835E-3</v>
      </c>
      <c r="BO15" s="44">
        <f t="shared" si="2"/>
        <v>-3.1703789539046054E-2</v>
      </c>
      <c r="BP15" s="26">
        <f t="shared" si="9"/>
        <v>8.212922477703273E-2</v>
      </c>
    </row>
    <row r="16" spans="1:68" x14ac:dyDescent="0.2">
      <c r="A16" s="7">
        <v>2015</v>
      </c>
      <c r="B16" s="7">
        <v>3</v>
      </c>
      <c r="C16" s="9"/>
      <c r="D16" s="9">
        <f>'Central pensions'!Q16</f>
        <v>104676876.04430105</v>
      </c>
      <c r="E16" s="9"/>
      <c r="F16" s="41">
        <f>'Central pensions'!I16</f>
        <v>19026261.304787099</v>
      </c>
      <c r="G16" s="9">
        <f>'Central pensions'!K16</f>
        <v>0</v>
      </c>
      <c r="H16" s="9">
        <f>'Central pensions'!V16</f>
        <v>0</v>
      </c>
      <c r="I16" s="41">
        <f>'Central pensions'!M16</f>
        <v>0</v>
      </c>
      <c r="J16" s="9">
        <f>'Central pensions'!W16</f>
        <v>0</v>
      </c>
      <c r="K16" s="9"/>
      <c r="L16" s="41">
        <f>'Central pensions'!N16</f>
        <v>2919136.7623483003</v>
      </c>
      <c r="M16" s="41"/>
      <c r="N16" s="41">
        <f>'Central pensions'!L16</f>
        <v>777485.53169219941</v>
      </c>
      <c r="O16" s="9"/>
      <c r="P16" s="9">
        <f>'Central pensions'!X16</f>
        <v>19424910.536870245</v>
      </c>
      <c r="Q16" s="41"/>
      <c r="R16" s="41">
        <f>'Central SIPA income'!G11</f>
        <v>20136934.541383266</v>
      </c>
      <c r="S16" s="41"/>
      <c r="T16" s="9">
        <f>'Central SIPA income'!J11</f>
        <v>76995314.521328419</v>
      </c>
      <c r="U16" s="9"/>
      <c r="V16" s="41">
        <f>'Central SIPA income'!F11</f>
        <v>149343.027816335</v>
      </c>
      <c r="W16" s="41"/>
      <c r="X16" s="41">
        <f>'Central SIPA income'!M11</f>
        <v>375106.62908496987</v>
      </c>
      <c r="Y16" s="9"/>
      <c r="Z16" s="9">
        <f t="shared" si="10"/>
        <v>-2436606.0296279956</v>
      </c>
      <c r="AA16" s="9"/>
      <c r="AB16" s="9">
        <f t="shared" si="11"/>
        <v>-47106472.05984287</v>
      </c>
      <c r="AC16" s="23"/>
      <c r="AD16" s="9">
        <v>6221730755.7715998</v>
      </c>
      <c r="AE16" s="9">
        <v>718281.26544978202</v>
      </c>
      <c r="AF16" s="9">
        <v>110.48458934999999</v>
      </c>
      <c r="AG16" s="9">
        <f t="shared" si="12"/>
        <v>5240988327.4358244</v>
      </c>
      <c r="AH16" s="9"/>
      <c r="AI16" s="9"/>
      <c r="AJ16" s="42">
        <f t="shared" si="13"/>
        <v>-8.9880894817580929E-3</v>
      </c>
      <c r="AK16" s="43">
        <f t="shared" si="4"/>
        <v>2027</v>
      </c>
      <c r="AL16" s="44">
        <f>SUM(AB62:AB65)/AVERAGE(AG62:AG65)</f>
        <v>-2.5361670924052122E-2</v>
      </c>
      <c r="AM16" s="9">
        <v>12139889.4651339</v>
      </c>
      <c r="AN16" s="44">
        <f>AM16/AVERAGE(AG62:AG65)</f>
        <v>1.9469855367906339E-3</v>
      </c>
      <c r="AO16" s="44">
        <f>'GDP evolution by scenario'!G61</f>
        <v>3.1366251971677528E-2</v>
      </c>
      <c r="AP16" s="44"/>
      <c r="AQ16" s="9">
        <f t="shared" si="7"/>
        <v>520203144.00045162</v>
      </c>
      <c r="AR16" s="9">
        <f t="shared" si="8"/>
        <v>391366997.44169897</v>
      </c>
      <c r="AS16" s="45">
        <f>AQ16/AG65</f>
        <v>8.2446281722285034E-2</v>
      </c>
      <c r="AT16" s="45">
        <f>AR16/AG65</f>
        <v>6.2027217828301145E-2</v>
      </c>
      <c r="AU16" s="7"/>
      <c r="AV16" s="7"/>
      <c r="AW16" s="46">
        <f>workers_and_wage_central!C4</f>
        <v>11059493</v>
      </c>
      <c r="AX16" s="7"/>
      <c r="AY16" s="42">
        <f t="shared" si="14"/>
        <v>3.4232273003874246E-3</v>
      </c>
      <c r="AZ16" s="47">
        <f>workers_and_wage_central!B4</f>
        <v>7092.0210021706398</v>
      </c>
      <c r="BA16" s="42">
        <f t="shared" si="15"/>
        <v>4.6190185179908208E-2</v>
      </c>
      <c r="BB16" s="7"/>
      <c r="BC16" s="7"/>
      <c r="BD16" s="7"/>
      <c r="BE16" s="7"/>
      <c r="BF16" s="7"/>
      <c r="BG16" s="7"/>
      <c r="BH16" s="7"/>
      <c r="BI16" s="42">
        <f t="shared" si="5"/>
        <v>1.5692783571768548E-2</v>
      </c>
      <c r="BJ16" s="7">
        <f t="shared" si="6"/>
        <v>2027</v>
      </c>
      <c r="BK16" s="42">
        <f>SUM(T62:T65)/AVERAGE(AG62:AG65)</f>
        <v>6.3728668633427479E-2</v>
      </c>
      <c r="BL16" s="42">
        <f>SUM(P62:P65)/AVERAGE(AG62:AG65)</f>
        <v>1.2900686066869576E-2</v>
      </c>
      <c r="BM16" s="42">
        <f>SUM(D62:D65)/AVERAGE(AG62:AG65)</f>
        <v>7.6189653490610021E-2</v>
      </c>
      <c r="BN16" s="42">
        <f>(SUM(H62:H65)+SUM(J62:J65))/AVERAGE(AG62:AG65)</f>
        <v>5.3980462319579781E-3</v>
      </c>
      <c r="BO16" s="44">
        <f t="shared" si="2"/>
        <v>-3.07597171560101E-2</v>
      </c>
      <c r="BP16" s="26">
        <f t="shared" si="9"/>
        <v>8.1587699722568005E-2</v>
      </c>
    </row>
    <row r="17" spans="1:68" x14ac:dyDescent="0.2">
      <c r="A17" s="7">
        <v>2015</v>
      </c>
      <c r="B17" s="7">
        <v>4</v>
      </c>
      <c r="C17" s="9"/>
      <c r="D17" s="9">
        <f>'Central pensions'!Q17</f>
        <v>113257758.11067833</v>
      </c>
      <c r="E17" s="9"/>
      <c r="F17" s="41">
        <f>'Central pensions'!I17</f>
        <v>20585938.194182999</v>
      </c>
      <c r="G17" s="9">
        <f>'Central pensions'!K17</f>
        <v>0</v>
      </c>
      <c r="H17" s="9">
        <f>'Central pensions'!V17</f>
        <v>0</v>
      </c>
      <c r="I17" s="41">
        <f>'Central pensions'!M17</f>
        <v>0</v>
      </c>
      <c r="J17" s="9">
        <f>'Central pensions'!W17</f>
        <v>0</v>
      </c>
      <c r="K17" s="9"/>
      <c r="L17" s="41">
        <f>'Central pensions'!N17</f>
        <v>2757062.569891395</v>
      </c>
      <c r="M17" s="41"/>
      <c r="N17" s="41">
        <f>'Central pensions'!L17</f>
        <v>842483.12244350091</v>
      </c>
      <c r="O17" s="9"/>
      <c r="P17" s="9">
        <f>'Central pensions'!X17</f>
        <v>18941504.34866707</v>
      </c>
      <c r="Q17" s="41"/>
      <c r="R17" s="41">
        <f>'Central SIPA income'!G12</f>
        <v>23620050.041899353</v>
      </c>
      <c r="S17" s="41"/>
      <c r="T17" s="9">
        <f>'Central SIPA income'!J12</f>
        <v>90313308.525093392</v>
      </c>
      <c r="U17" s="9"/>
      <c r="V17" s="41">
        <f>'Central SIPA income'!F12</f>
        <v>146563.952510206</v>
      </c>
      <c r="W17" s="41"/>
      <c r="X17" s="41">
        <f>'Central SIPA income'!M12</f>
        <v>368126.39314561716</v>
      </c>
      <c r="Y17" s="9"/>
      <c r="Z17" s="9">
        <f t="shared" si="10"/>
        <v>-418869.89210833609</v>
      </c>
      <c r="AA17" s="9"/>
      <c r="AB17" s="9">
        <f t="shared" si="11"/>
        <v>-41885953.934252009</v>
      </c>
      <c r="AC17" s="23"/>
      <c r="AD17" s="9">
        <v>6552140231.3025303</v>
      </c>
      <c r="AE17" s="9">
        <v>703681.54416900803</v>
      </c>
      <c r="AF17" s="9">
        <v>115.79241048</v>
      </c>
      <c r="AG17" s="9">
        <f t="shared" si="12"/>
        <v>5134460463.6352301</v>
      </c>
      <c r="AH17" s="9"/>
      <c r="AI17" s="9"/>
      <c r="AJ17" s="42">
        <f t="shared" si="13"/>
        <v>-8.1578101985415805E-3</v>
      </c>
      <c r="AK17" s="43">
        <f t="shared" si="4"/>
        <v>2028</v>
      </c>
      <c r="AL17" s="44">
        <f>SUM(AB66:AB69)/AVERAGE(AG66:AG69)</f>
        <v>-2.3323469568539798E-2</v>
      </c>
      <c r="AM17" s="9">
        <v>11273018.6820578</v>
      </c>
      <c r="AN17" s="44">
        <f>AM17/AVERAGE(AG66:AG69)</f>
        <v>1.7469621866238567E-3</v>
      </c>
      <c r="AO17" s="44">
        <f>'GDP evolution by scenario'!G65</f>
        <v>3.4915079396412585E-2</v>
      </c>
      <c r="AP17" s="44"/>
      <c r="AQ17" s="9">
        <f t="shared" si="7"/>
        <v>538366078.07549083</v>
      </c>
      <c r="AR17" s="9">
        <f t="shared" si="8"/>
        <v>393579307.13971102</v>
      </c>
      <c r="AS17" s="45">
        <f>AQ17/AG69</f>
        <v>8.2405323277356696E-2</v>
      </c>
      <c r="AT17" s="45">
        <f>AR17/AG69</f>
        <v>6.0243450248695124E-2</v>
      </c>
      <c r="AU17" s="7"/>
      <c r="AV17" s="7"/>
      <c r="AW17" s="46">
        <f>workers_and_wage_central!C5</f>
        <v>11048388</v>
      </c>
      <c r="AX17" s="7"/>
      <c r="AY17" s="42">
        <f t="shared" si="14"/>
        <v>-1.0041147455855345E-3</v>
      </c>
      <c r="AZ17" s="47">
        <f>workers_and_wage_central!B5</f>
        <v>7113.9816443372702</v>
      </c>
      <c r="BA17" s="42">
        <f t="shared" si="15"/>
        <v>3.0965280785137132E-3</v>
      </c>
      <c r="BB17" s="7"/>
      <c r="BC17" s="7"/>
      <c r="BD17" s="7"/>
      <c r="BE17" s="7"/>
      <c r="BF17" s="7"/>
      <c r="BG17" s="7"/>
      <c r="BH17" s="7"/>
      <c r="BI17" s="42">
        <f t="shared" si="5"/>
        <v>1.4966755952477527E-2</v>
      </c>
      <c r="BJ17" s="7">
        <f t="shared" si="6"/>
        <v>2028</v>
      </c>
      <c r="BK17" s="42">
        <f>SUM(T66:T69)/AVERAGE(AG66:AG69)</f>
        <v>6.3685155568447088E-2</v>
      </c>
      <c r="BL17" s="42">
        <f>SUM(P66:P69)/AVERAGE(AG66:AG69)</f>
        <v>1.2336284639474355E-2</v>
      </c>
      <c r="BM17" s="42">
        <f>SUM(D66:D69)/AVERAGE(AG66:AG69)</f>
        <v>7.4672340497512521E-2</v>
      </c>
      <c r="BN17" s="42">
        <f>(SUM(H66:H69)+SUM(J66:J69))/AVERAGE(AG66:AG69)</f>
        <v>6.2526351543520558E-3</v>
      </c>
      <c r="BO17" s="44">
        <f t="shared" si="2"/>
        <v>-2.9576104722891853E-2</v>
      </c>
      <c r="BP17" s="26">
        <f t="shared" si="9"/>
        <v>8.0924975651864572E-2</v>
      </c>
    </row>
    <row r="18" spans="1:68" x14ac:dyDescent="0.2">
      <c r="A18" s="5">
        <f t="shared" ref="A18:A49" si="16">A14+1</f>
        <v>2016</v>
      </c>
      <c r="B18" s="5">
        <f t="shared" ref="B18:B49" si="17">B14</f>
        <v>1</v>
      </c>
      <c r="C18" s="6"/>
      <c r="D18" s="6">
        <f>'Central pensions'!Q18</f>
        <v>99362547.365160301</v>
      </c>
      <c r="E18" s="6"/>
      <c r="F18" s="8">
        <f>'Central pensions'!I18</f>
        <v>18060319.160448901</v>
      </c>
      <c r="G18" s="6">
        <f>'Central pensions'!K18</f>
        <v>0</v>
      </c>
      <c r="H18" s="6">
        <f>'Central pensions'!V18</f>
        <v>0</v>
      </c>
      <c r="I18" s="8">
        <f>'Central pensions'!M18</f>
        <v>0</v>
      </c>
      <c r="J18" s="6">
        <f>'Central pensions'!W18</f>
        <v>0</v>
      </c>
      <c r="K18" s="6"/>
      <c r="L18" s="8">
        <f>'Central pensions'!N18</f>
        <v>2795658.977222933</v>
      </c>
      <c r="M18" s="8"/>
      <c r="N18" s="8">
        <f>'Central pensions'!L18</f>
        <v>737462.75172659755</v>
      </c>
      <c r="O18" s="6"/>
      <c r="P18" s="6">
        <f>'Central pensions'!X18</f>
        <v>18563990.196124449</v>
      </c>
      <c r="Q18" s="8"/>
      <c r="R18" s="8">
        <f>'Central SIPA income'!G13</f>
        <v>19233054.659306295</v>
      </c>
      <c r="S18" s="8"/>
      <c r="T18" s="6">
        <f>'Central SIPA income'!J13</f>
        <v>73539251.451401144</v>
      </c>
      <c r="U18" s="6"/>
      <c r="V18" s="8">
        <f>'Central SIPA income'!F13</f>
        <v>140377.52522743901</v>
      </c>
      <c r="W18" s="8"/>
      <c r="X18" s="8">
        <f>'Central SIPA income'!M13</f>
        <v>352587.87140778353</v>
      </c>
      <c r="Y18" s="6"/>
      <c r="Z18" s="6">
        <f t="shared" si="10"/>
        <v>-2220008.7048646975</v>
      </c>
      <c r="AA18" s="6"/>
      <c r="AB18" s="6">
        <f t="shared" si="11"/>
        <v>-44387286.109883606</v>
      </c>
      <c r="AC18" s="23"/>
      <c r="AD18" s="6">
        <f>7006645.04510604*1000</f>
        <v>7006645045.10604</v>
      </c>
      <c r="AE18" s="6">
        <v>677652.08911570301</v>
      </c>
      <c r="AF18" s="6">
        <v>131.11898839</v>
      </c>
      <c r="AG18" s="6">
        <f t="shared" si="12"/>
        <v>4944534766.466361</v>
      </c>
      <c r="AH18" s="6"/>
      <c r="AI18" s="6"/>
      <c r="AJ18" s="35">
        <f t="shared" si="13"/>
        <v>-8.9770399453789704E-3</v>
      </c>
      <c r="AK18" s="36">
        <f t="shared" si="4"/>
        <v>2029</v>
      </c>
      <c r="AL18" s="37">
        <f>SUM(AB70:AB73)/AVERAGE(AG70:AG73)</f>
        <v>-2.0724055387641535E-2</v>
      </c>
      <c r="AM18" s="6">
        <v>10452476.732233601</v>
      </c>
      <c r="AN18" s="37">
        <f>AM18/AVERAGE(AG70:AG73)</f>
        <v>1.564936000684852E-3</v>
      </c>
      <c r="AO18" s="37">
        <f>'GDP evolution by scenario'!G69</f>
        <v>3.5060906702967021E-2</v>
      </c>
      <c r="AP18" s="37"/>
      <c r="AQ18" s="6">
        <f t="shared" si="7"/>
        <v>557241680.91093791</v>
      </c>
      <c r="AR18" s="6">
        <f t="shared" si="8"/>
        <v>396759155.90923119</v>
      </c>
      <c r="AS18" s="38">
        <f>AQ18/AG73</f>
        <v>8.2415190250754181E-2</v>
      </c>
      <c r="AT18" s="38">
        <f>AR18/AG73</f>
        <v>5.8680070852801296E-2</v>
      </c>
      <c r="AU18" s="5"/>
      <c r="AV18" s="5"/>
      <c r="AW18" s="39">
        <f>workers_and_wage_central!C6</f>
        <v>11064497</v>
      </c>
      <c r="AX18" s="5"/>
      <c r="AY18" s="35">
        <f t="shared" si="14"/>
        <v>1.4580407567149163E-3</v>
      </c>
      <c r="AZ18" s="40">
        <f>workers_and_wage_central!B6</f>
        <v>6705.5459972967601</v>
      </c>
      <c r="BA18" s="35">
        <f t="shared" si="15"/>
        <v>-5.7413086996875348E-2</v>
      </c>
      <c r="BB18" s="11">
        <v>54.236515250880799</v>
      </c>
      <c r="BC18" s="11">
        <v>12.453822881663401</v>
      </c>
      <c r="BD18" s="11">
        <f t="shared" ref="BD18:BD53" si="18">BB18+BC18/2</f>
        <v>60.463426691712499</v>
      </c>
      <c r="BE18" s="35"/>
      <c r="BF18" s="5"/>
      <c r="BG18" s="5"/>
      <c r="BH18" s="5"/>
      <c r="BI18" s="35">
        <f t="shared" si="5"/>
        <v>1.7615739622217533E-2</v>
      </c>
      <c r="BJ18" s="5">
        <f t="shared" si="6"/>
        <v>2029</v>
      </c>
      <c r="BK18" s="35">
        <f>SUM(T70:T73)/AVERAGE(AG70:AG73)</f>
        <v>6.3754055849993718E-2</v>
      </c>
      <c r="BL18" s="35">
        <f>SUM(P70:P73)/AVERAGE(AG70:AG73)</f>
        <v>1.1775483733636719E-2</v>
      </c>
      <c r="BM18" s="35">
        <f>SUM(D70:D73)/AVERAGE(AG70:AG73)</f>
        <v>7.2702627503998529E-2</v>
      </c>
      <c r="BN18" s="35">
        <f>(SUM(H70:H73)+SUM(J70:J73))/AVERAGE(AG70:AG73)</f>
        <v>7.117672916958806E-3</v>
      </c>
      <c r="BO18" s="37">
        <f t="shared" si="2"/>
        <v>-2.7841728304600341E-2</v>
      </c>
      <c r="BP18" s="26">
        <f t="shared" si="9"/>
        <v>7.9820300420957335E-2</v>
      </c>
    </row>
    <row r="19" spans="1:68" x14ac:dyDescent="0.2">
      <c r="A19" s="7">
        <f t="shared" si="16"/>
        <v>2016</v>
      </c>
      <c r="B19" s="7">
        <f t="shared" si="17"/>
        <v>2</v>
      </c>
      <c r="C19" s="9"/>
      <c r="D19" s="9">
        <f>'Central pensions'!Q19</f>
        <v>102443922.41406538</v>
      </c>
      <c r="E19" s="9"/>
      <c r="F19" s="41">
        <f>'Central pensions'!I19</f>
        <v>18620395.550517201</v>
      </c>
      <c r="G19" s="9">
        <f>'Central pensions'!K19</f>
        <v>0</v>
      </c>
      <c r="H19" s="9">
        <f>'Central pensions'!V19</f>
        <v>0</v>
      </c>
      <c r="I19" s="41">
        <f>'Central pensions'!M19</f>
        <v>0</v>
      </c>
      <c r="J19" s="9">
        <f>'Central pensions'!W19</f>
        <v>0</v>
      </c>
      <c r="K19" s="9"/>
      <c r="L19" s="41">
        <f>'Central pensions'!N19</f>
        <v>2828183.6863331911</v>
      </c>
      <c r="M19" s="41"/>
      <c r="N19" s="41">
        <f>'Central pensions'!L19</f>
        <v>762331.11287179962</v>
      </c>
      <c r="O19" s="9"/>
      <c r="P19" s="9">
        <f>'Central pensions'!X19</f>
        <v>18869579.451981686</v>
      </c>
      <c r="Q19" s="41"/>
      <c r="R19" s="41">
        <f>'Central SIPA income'!G14</f>
        <v>21943117.509587437</v>
      </c>
      <c r="S19" s="41"/>
      <c r="T19" s="9">
        <f>'Central SIPA income'!J14</f>
        <v>83901411.645205423</v>
      </c>
      <c r="U19" s="9"/>
      <c r="V19" s="41">
        <f>'Central SIPA income'!F14</f>
        <v>141764.81012723199</v>
      </c>
      <c r="W19" s="41"/>
      <c r="X19" s="41">
        <f>'Central SIPA income'!M14</f>
        <v>356072.33111072861</v>
      </c>
      <c r="Y19" s="9"/>
      <c r="Z19" s="9">
        <f t="shared" si="10"/>
        <v>-126028.03000752255</v>
      </c>
      <c r="AA19" s="9"/>
      <c r="AB19" s="9">
        <f t="shared" si="11"/>
        <v>-37412090.220841639</v>
      </c>
      <c r="AC19" s="23"/>
      <c r="AD19" s="9">
        <f>8414556.48217921*1000</f>
        <v>8414556482.1792097</v>
      </c>
      <c r="AE19" s="9">
        <v>760703.28015165601</v>
      </c>
      <c r="AF19" s="9">
        <v>147.89635652000001</v>
      </c>
      <c r="AG19" s="9">
        <f t="shared" si="12"/>
        <v>5550523456.0453796</v>
      </c>
      <c r="AH19" s="9"/>
      <c r="AI19" s="9"/>
      <c r="AJ19" s="42">
        <f t="shared" si="13"/>
        <v>-6.7402814377973807E-3</v>
      </c>
      <c r="AK19" s="43">
        <f t="shared" si="4"/>
        <v>2030</v>
      </c>
      <c r="AL19" s="44">
        <f>SUM(AB74:AB77)/AVERAGE(AG74:AG77)</f>
        <v>-1.8849895463106676E-2</v>
      </c>
      <c r="AM19" s="9">
        <v>9649081.8679126594</v>
      </c>
      <c r="AN19" s="44">
        <f>AM19/AVERAGE(AG74:AG77)</f>
        <v>1.4096899410991645E-3</v>
      </c>
      <c r="AO19" s="44">
        <f>'GDP evolution by scenario'!G73</f>
        <v>2.4801523418037208E-2</v>
      </c>
      <c r="AP19" s="44"/>
      <c r="AQ19" s="9">
        <f t="shared" si="7"/>
        <v>571062123.50955701</v>
      </c>
      <c r="AR19" s="9">
        <f t="shared" si="8"/>
        <v>396841106.08002812</v>
      </c>
      <c r="AS19" s="45">
        <f>AQ19/AG77</f>
        <v>8.2695685911650593E-2</v>
      </c>
      <c r="AT19" s="45">
        <f>AR19/AG77</f>
        <v>5.7466685521959347E-2</v>
      </c>
      <c r="AU19" s="7"/>
      <c r="AV19" s="7"/>
      <c r="AW19" s="46">
        <f>workers_and_wage_central!C7</f>
        <v>11128156</v>
      </c>
      <c r="AX19" s="7"/>
      <c r="AY19" s="42">
        <f t="shared" si="14"/>
        <v>5.7534472647062041E-3</v>
      </c>
      <c r="AZ19" s="47">
        <f>workers_and_wage_central!B7</f>
        <v>6521.1732186580603</v>
      </c>
      <c r="BA19" s="42">
        <f t="shared" si="15"/>
        <v>-2.7495565418987053E-2</v>
      </c>
      <c r="BB19" s="12">
        <v>48.357197024301399</v>
      </c>
      <c r="BC19" s="12">
        <v>10.7565894926318</v>
      </c>
      <c r="BD19" s="12">
        <f t="shared" si="18"/>
        <v>53.735491770617301</v>
      </c>
      <c r="BE19" s="42">
        <f t="shared" ref="BE19:BE53" si="19">BD19/BD18-1</f>
        <v>-0.11127280224124925</v>
      </c>
      <c r="BF19" s="7"/>
      <c r="BG19" s="7"/>
      <c r="BH19" s="7"/>
      <c r="BI19" s="42">
        <f t="shared" si="5"/>
        <v>1.4431561136509188E-2</v>
      </c>
      <c r="BJ19" s="7">
        <f t="shared" si="6"/>
        <v>2030</v>
      </c>
      <c r="BK19" s="42">
        <f>SUM(T74:T77)/AVERAGE(AG74:AG77)</f>
        <v>6.4342798265061132E-2</v>
      </c>
      <c r="BL19" s="42">
        <f>SUM(P74:P77)/AVERAGE(AG74:AG77)</f>
        <v>1.1387000849567308E-2</v>
      </c>
      <c r="BM19" s="42">
        <f>SUM(D74:D77)/AVERAGE(AG74:AG77)</f>
        <v>7.1805692878600502E-2</v>
      </c>
      <c r="BN19" s="42">
        <f>(SUM(H74:H77)+SUM(J74:J77))/AVERAGE(AG74:AG77)</f>
        <v>7.9476393825508133E-3</v>
      </c>
      <c r="BO19" s="44">
        <f t="shared" si="2"/>
        <v>-2.679753484565749E-2</v>
      </c>
      <c r="BP19" s="26">
        <f t="shared" si="9"/>
        <v>7.9753332261151319E-2</v>
      </c>
    </row>
    <row r="20" spans="1:68" x14ac:dyDescent="0.2">
      <c r="A20" s="7">
        <f t="shared" si="16"/>
        <v>2016</v>
      </c>
      <c r="B20" s="7">
        <f t="shared" si="17"/>
        <v>3</v>
      </c>
      <c r="C20" s="9"/>
      <c r="D20" s="9">
        <f>'Central pensions'!Q20</f>
        <v>97787429.55580695</v>
      </c>
      <c r="E20" s="9"/>
      <c r="F20" s="41">
        <f>'Central pensions'!I20</f>
        <v>17774022.853574999</v>
      </c>
      <c r="G20" s="9">
        <f>'Central pensions'!K20</f>
        <v>0</v>
      </c>
      <c r="H20" s="9">
        <f>'Central pensions'!V20</f>
        <v>0</v>
      </c>
      <c r="I20" s="41">
        <f>'Central pensions'!M20</f>
        <v>0</v>
      </c>
      <c r="J20" s="9">
        <f>'Central pensions'!W20</f>
        <v>0</v>
      </c>
      <c r="K20" s="9"/>
      <c r="L20" s="41">
        <f>'Central pensions'!N20</f>
        <v>2477813.0040905806</v>
      </c>
      <c r="M20" s="41"/>
      <c r="N20" s="41">
        <f>'Central pensions'!L20</f>
        <v>730280.33893129975</v>
      </c>
      <c r="O20" s="9"/>
      <c r="P20" s="9">
        <f>'Central pensions'!X20</f>
        <v>16875170.414519135</v>
      </c>
      <c r="Q20" s="41"/>
      <c r="R20" s="41">
        <f>'Central SIPA income'!G15</f>
        <v>19133197.31498893</v>
      </c>
      <c r="S20" s="41"/>
      <c r="T20" s="9">
        <f>'Central SIPA income'!J15</f>
        <v>73157438.240597904</v>
      </c>
      <c r="U20" s="9"/>
      <c r="V20" s="41">
        <f>'Central SIPA income'!F15</f>
        <v>144189.0349691</v>
      </c>
      <c r="W20" s="41"/>
      <c r="X20" s="41">
        <f>'Central SIPA income'!M15</f>
        <v>362161.28499008535</v>
      </c>
      <c r="Y20" s="9"/>
      <c r="Z20" s="9">
        <f t="shared" si="10"/>
        <v>-1704729.8466388509</v>
      </c>
      <c r="AA20" s="9"/>
      <c r="AB20" s="9">
        <f t="shared" si="11"/>
        <v>-41505161.729728177</v>
      </c>
      <c r="AC20" s="23"/>
      <c r="AD20" s="9">
        <f>8527628.82527803*1000</f>
        <v>8527628825.2780304</v>
      </c>
      <c r="AE20" s="9">
        <v>694382.47577623103</v>
      </c>
      <c r="AF20" s="9">
        <v>155.88165151000001</v>
      </c>
      <c r="AG20" s="9">
        <f t="shared" si="12"/>
        <v>5066609175.7806692</v>
      </c>
      <c r="AH20" s="9"/>
      <c r="AI20" s="9"/>
      <c r="AJ20" s="42">
        <f t="shared" si="13"/>
        <v>-8.1919011886945111E-3</v>
      </c>
      <c r="AK20" s="43">
        <f t="shared" si="4"/>
        <v>2031</v>
      </c>
      <c r="AL20" s="44">
        <f>SUM(AB78:AB81)/AVERAGE(AG78:AG81)</f>
        <v>-1.7116590132436403E-2</v>
      </c>
      <c r="AM20" s="9">
        <v>8873587.4679367002</v>
      </c>
      <c r="AN20" s="44">
        <f>AM20/AVERAGE(AG78:AG81)</f>
        <v>1.2638882762232705E-3</v>
      </c>
      <c r="AO20" s="44">
        <f>'GDP evolution by scenario'!G77</f>
        <v>2.5718429679006061E-2</v>
      </c>
      <c r="AP20" s="44"/>
      <c r="AQ20" s="9">
        <f t="shared" si="7"/>
        <v>585748944.5753814</v>
      </c>
      <c r="AR20" s="9">
        <f t="shared" si="8"/>
        <v>398069529.83997035</v>
      </c>
      <c r="AS20" s="45">
        <f>AQ20/AG81</f>
        <v>8.2669816015012762E-2</v>
      </c>
      <c r="AT20" s="45">
        <f>AR20/AG81</f>
        <v>5.6181637368392948E-2</v>
      </c>
      <c r="AU20" s="7"/>
      <c r="AV20" s="7"/>
      <c r="AW20" s="46">
        <f>workers_and_wage_central!C8</f>
        <v>11235296</v>
      </c>
      <c r="AX20" s="7"/>
      <c r="AY20" s="42">
        <f t="shared" si="14"/>
        <v>9.6278305228647051E-3</v>
      </c>
      <c r="AZ20" s="47">
        <f>workers_and_wage_central!B8</f>
        <v>6554.0196453557301</v>
      </c>
      <c r="BA20" s="42">
        <f t="shared" si="15"/>
        <v>5.0368891603264319E-3</v>
      </c>
      <c r="BB20" s="12">
        <v>51.155923549896897</v>
      </c>
      <c r="BC20" s="12">
        <v>11.0036892295276</v>
      </c>
      <c r="BD20" s="12">
        <f t="shared" si="18"/>
        <v>56.657768164660695</v>
      </c>
      <c r="BE20" s="42">
        <f t="shared" si="19"/>
        <v>5.4382611896766964E-2</v>
      </c>
      <c r="BF20" s="7"/>
      <c r="BG20" s="7"/>
      <c r="BH20" s="7"/>
      <c r="BI20" s="42">
        <f t="shared" si="5"/>
        <v>1.5527556032138637E-2</v>
      </c>
      <c r="BJ20" s="7">
        <f t="shared" si="6"/>
        <v>2031</v>
      </c>
      <c r="BK20" s="42">
        <f>SUM(T78:T81)/AVERAGE(AG78:AG81)</f>
        <v>6.4295660048444309E-2</v>
      </c>
      <c r="BL20" s="42">
        <f>SUM(P78:P81)/AVERAGE(AG78:AG81)</f>
        <v>1.0879989248593879E-2</v>
      </c>
      <c r="BM20" s="42">
        <f>SUM(D78:D81)/AVERAGE(AG78:AG81)</f>
        <v>7.0532260932286844E-2</v>
      </c>
      <c r="BN20" s="42">
        <f>(SUM(H78:H81)+SUM(J78:J81))/AVERAGE(AG78:AG81)</f>
        <v>8.6218362288246284E-3</v>
      </c>
      <c r="BO20" s="44">
        <f t="shared" si="2"/>
        <v>-2.573842636126103E-2</v>
      </c>
      <c r="BP20" s="26">
        <f t="shared" si="9"/>
        <v>7.9154097161111478E-2</v>
      </c>
    </row>
    <row r="21" spans="1:68" x14ac:dyDescent="0.2">
      <c r="A21" s="7">
        <f t="shared" si="16"/>
        <v>2016</v>
      </c>
      <c r="B21" s="7">
        <f t="shared" si="17"/>
        <v>4</v>
      </c>
      <c r="C21" s="9"/>
      <c r="D21" s="9">
        <f>'Central pensions'!Q21</f>
        <v>106830565.35235572</v>
      </c>
      <c r="E21" s="9"/>
      <c r="F21" s="41">
        <f>'Central pensions'!I21</f>
        <v>19417719.830230985</v>
      </c>
      <c r="G21" s="9">
        <f>'Central pensions'!K21</f>
        <v>36324.844012515401</v>
      </c>
      <c r="H21" s="9">
        <f>'Central pensions'!V21</f>
        <v>199848.57419518099</v>
      </c>
      <c r="I21" s="41">
        <f>'Central pensions'!M21</f>
        <v>1123.4487838923014</v>
      </c>
      <c r="J21" s="9">
        <f>'Central pensions'!W21</f>
        <v>6180.8837379956867</v>
      </c>
      <c r="K21" s="9"/>
      <c r="L21" s="41">
        <f>'Central pensions'!N21</f>
        <v>3910348.4398605041</v>
      </c>
      <c r="M21" s="41"/>
      <c r="N21" s="41">
        <f>'Central pensions'!L21</f>
        <v>800602.40147230774</v>
      </c>
      <c r="O21" s="9"/>
      <c r="P21" s="9">
        <f>'Central pensions'!X21</f>
        <v>24695494.840454038</v>
      </c>
      <c r="Q21" s="41"/>
      <c r="R21" s="41">
        <f>'Central SIPA income'!G16</f>
        <v>22467624.380473539</v>
      </c>
      <c r="S21" s="41"/>
      <c r="T21" s="9">
        <f>'Central SIPA income'!J16</f>
        <v>85906909.125940606</v>
      </c>
      <c r="U21" s="9"/>
      <c r="V21" s="41">
        <f>'Central SIPA income'!F16</f>
        <v>151268.17202622999</v>
      </c>
      <c r="W21" s="41"/>
      <c r="X21" s="41">
        <f>'Central SIPA income'!M16</f>
        <v>379942.03630574921</v>
      </c>
      <c r="Y21" s="9"/>
      <c r="Z21" s="9">
        <f t="shared" si="10"/>
        <v>-1509778.1190640293</v>
      </c>
      <c r="AA21" s="9"/>
      <c r="AB21" s="9">
        <f t="shared" si="11"/>
        <v>-45619151.066869155</v>
      </c>
      <c r="AC21" s="23"/>
      <c r="AD21" s="9">
        <f>8963807.87358243*1000</f>
        <v>8963807873.5824299</v>
      </c>
      <c r="AE21" s="9">
        <v>693173.54934705805</v>
      </c>
      <c r="AF21" s="9">
        <v>164.01000929</v>
      </c>
      <c r="AG21" s="9">
        <f t="shared" si="12"/>
        <v>5057788161.4944935</v>
      </c>
      <c r="AH21" s="9"/>
      <c r="AI21" s="9"/>
      <c r="AJ21" s="42">
        <f t="shared" si="13"/>
        <v>-9.0195851645533225E-3</v>
      </c>
      <c r="AK21" s="43">
        <f t="shared" si="4"/>
        <v>2032</v>
      </c>
      <c r="AL21" s="44">
        <f>SUM(AB82:AB85)/AVERAGE(AG82:AG85)</f>
        <v>-1.6723440028358925E-2</v>
      </c>
      <c r="AM21" s="9">
        <v>8126011.6642673099</v>
      </c>
      <c r="AN21" s="44">
        <f>AM21/AVERAGE(AG82:AG85)</f>
        <v>1.1284235272216274E-3</v>
      </c>
      <c r="AO21" s="44">
        <f>'GDP evolution by scenario'!G81</f>
        <v>2.5686784207568092E-2</v>
      </c>
      <c r="AP21" s="44"/>
      <c r="AQ21" s="9">
        <f t="shared" si="7"/>
        <v>600794951.31449997</v>
      </c>
      <c r="AR21" s="9">
        <f t="shared" si="8"/>
        <v>400073413.9559564</v>
      </c>
      <c r="AS21" s="45">
        <f>AQ21/AG85</f>
        <v>8.2722452695949356E-2</v>
      </c>
      <c r="AT21" s="45">
        <f>AR21/AG85</f>
        <v>5.508543969696942E-2</v>
      </c>
      <c r="AU21" s="7"/>
      <c r="AV21" s="7"/>
      <c r="AW21" s="46">
        <f>workers_and_wage_central!C9</f>
        <v>11156745</v>
      </c>
      <c r="AX21" s="7"/>
      <c r="AY21" s="42">
        <f t="shared" si="14"/>
        <v>-6.9914490904378485E-3</v>
      </c>
      <c r="AZ21" s="47">
        <f>workers_and_wage_central!B9</f>
        <v>6660.1842529204996</v>
      </c>
      <c r="BA21" s="42">
        <f t="shared" si="15"/>
        <v>1.6198396298674398E-2</v>
      </c>
      <c r="BB21" s="12">
        <v>53.901815154490301</v>
      </c>
      <c r="BC21" s="12">
        <v>11.514488248025501</v>
      </c>
      <c r="BD21" s="12">
        <f t="shared" si="18"/>
        <v>59.659059278503051</v>
      </c>
      <c r="BE21" s="42">
        <f t="shared" si="19"/>
        <v>5.2972279196030092E-2</v>
      </c>
      <c r="BF21" s="7"/>
      <c r="BG21" s="7"/>
      <c r="BH21" s="7"/>
      <c r="BI21" s="42">
        <f t="shared" si="5"/>
        <v>1.3748346889283204E-2</v>
      </c>
      <c r="BJ21" s="7">
        <f t="shared" si="6"/>
        <v>2032</v>
      </c>
      <c r="BK21" s="42">
        <f>SUM(T82:T85)/AVERAGE(AG82:AG85)</f>
        <v>6.4025659957509473E-2</v>
      </c>
      <c r="BL21" s="42">
        <f>SUM(P82:P85)/AVERAGE(AG82:AG85)</f>
        <v>1.0599486969182189E-2</v>
      </c>
      <c r="BM21" s="42">
        <f>SUM(D82:D85)/AVERAGE(AG82:AG85)</f>
        <v>7.0149613016686208E-2</v>
      </c>
      <c r="BN21" s="42">
        <f>(SUM(H82:H85)+SUM(J82:J85))/AVERAGE(AG82:AG85)</f>
        <v>8.8535488691918428E-3</v>
      </c>
      <c r="BO21" s="44">
        <f t="shared" si="2"/>
        <v>-2.5576988897550768E-2</v>
      </c>
      <c r="BP21" s="26">
        <f t="shared" si="9"/>
        <v>7.9003161885878054E-2</v>
      </c>
    </row>
    <row r="22" spans="1:68" x14ac:dyDescent="0.2">
      <c r="A22" s="5">
        <f t="shared" si="16"/>
        <v>2017</v>
      </c>
      <c r="B22" s="5">
        <f t="shared" si="17"/>
        <v>1</v>
      </c>
      <c r="C22" s="6"/>
      <c r="D22" s="6">
        <f>'Central pensions'!Q22</f>
        <v>102028419.06345461</v>
      </c>
      <c r="E22" s="6"/>
      <c r="F22" s="8">
        <f>'Central pensions'!I22</f>
        <v>18544872.89813704</v>
      </c>
      <c r="G22" s="6">
        <f>'Central pensions'!K22</f>
        <v>66682.149607556305</v>
      </c>
      <c r="H22" s="6">
        <f>'Central pensions'!V22</f>
        <v>366865.51272590202</v>
      </c>
      <c r="I22" s="8">
        <f>'Central pensions'!M22</f>
        <v>2062.334523945101</v>
      </c>
      <c r="J22" s="6">
        <f>'Central pensions'!W22</f>
        <v>11346.356063688025</v>
      </c>
      <c r="K22" s="6"/>
      <c r="L22" s="8">
        <f>'Central pensions'!N22</f>
        <v>4299591.3674410377</v>
      </c>
      <c r="M22" s="8"/>
      <c r="N22" s="8">
        <f>'Central pensions'!L22</f>
        <v>765085.87375995889</v>
      </c>
      <c r="O22" s="6"/>
      <c r="P22" s="6">
        <f>'Central pensions'!X22</f>
        <v>26519876.785648923</v>
      </c>
      <c r="Q22" s="8"/>
      <c r="R22" s="8">
        <f>'Central SIPA income'!G17</f>
        <v>19431210.503118884</v>
      </c>
      <c r="S22" s="8"/>
      <c r="T22" s="6">
        <f>'Central SIPA income'!J17</f>
        <v>74296917.494722426</v>
      </c>
      <c r="U22" s="6"/>
      <c r="V22" s="8">
        <f>'Central SIPA income'!F17</f>
        <v>123378.28715431099</v>
      </c>
      <c r="W22" s="8"/>
      <c r="X22" s="8">
        <f>'Central SIPA income'!M17</f>
        <v>309890.68638441636</v>
      </c>
      <c r="Y22" s="6"/>
      <c r="Z22" s="6">
        <f t="shared" si="10"/>
        <v>-4054961.3490648437</v>
      </c>
      <c r="AA22" s="6"/>
      <c r="AB22" s="6">
        <f t="shared" si="11"/>
        <v>-54251378.354381114</v>
      </c>
      <c r="AC22" s="23"/>
      <c r="AD22" s="6">
        <f>9207047.99346307*1000</f>
        <v>9207047993.4630699</v>
      </c>
      <c r="AE22" s="6">
        <v>679640.26735506102</v>
      </c>
      <c r="AF22" s="6">
        <v>172.09591728000001</v>
      </c>
      <c r="AG22" s="6">
        <f t="shared" si="12"/>
        <v>4959041644.8252344</v>
      </c>
      <c r="AH22" s="6"/>
      <c r="AI22" s="6"/>
      <c r="AJ22" s="35">
        <f t="shared" si="13"/>
        <v>-1.0939891664550245E-2</v>
      </c>
      <c r="AK22" s="36">
        <f t="shared" si="4"/>
        <v>2033</v>
      </c>
      <c r="AL22" s="37">
        <f>SUM(AB86:AB89)/AVERAGE(AG86:AG89)</f>
        <v>-1.4894216888064683E-2</v>
      </c>
      <c r="AM22" s="6">
        <v>7406781.3807915701</v>
      </c>
      <c r="AN22" s="37">
        <f>AM22/AVERAGE(AG86:AG89)</f>
        <v>1.0012209587929508E-3</v>
      </c>
      <c r="AO22" s="37">
        <f>'GDP evolution by scenario'!G85</f>
        <v>2.729289636916854E-2</v>
      </c>
      <c r="AP22" s="37"/>
      <c r="AQ22" s="6">
        <f t="shared" si="7"/>
        <v>617192385.65984631</v>
      </c>
      <c r="AR22" s="6">
        <f t="shared" si="8"/>
        <v>403493592.02479565</v>
      </c>
      <c r="AS22" s="38">
        <f>AQ22/AG89</f>
        <v>8.2619255461210822E-2</v>
      </c>
      <c r="AT22" s="38">
        <f>AR22/AG89</f>
        <v>5.4012883066951595E-2</v>
      </c>
      <c r="AU22" s="5"/>
      <c r="AV22" s="5"/>
      <c r="AW22" s="39">
        <f>workers_and_wage_central!C10</f>
        <v>11057148</v>
      </c>
      <c r="AX22" s="5"/>
      <c r="AY22" s="35">
        <f t="shared" si="14"/>
        <v>-8.9270660932019158E-3</v>
      </c>
      <c r="AZ22" s="40">
        <f>workers_and_wage_central!B10</f>
        <v>6744.0342912967499</v>
      </c>
      <c r="BA22" s="35">
        <f t="shared" si="15"/>
        <v>1.2589747549323717E-2</v>
      </c>
      <c r="BB22" s="11">
        <v>54.553642181864497</v>
      </c>
      <c r="BC22" s="11">
        <v>12.4947600115723</v>
      </c>
      <c r="BD22" s="11">
        <f t="shared" si="18"/>
        <v>60.801022187650645</v>
      </c>
      <c r="BE22" s="35">
        <f t="shared" si="19"/>
        <v>1.9141483673361881E-2</v>
      </c>
      <c r="BF22" s="5"/>
      <c r="BG22" s="5"/>
      <c r="BH22" s="5"/>
      <c r="BI22" s="35">
        <f t="shared" si="5"/>
        <v>1.5305485957103196E-2</v>
      </c>
      <c r="BJ22" s="5">
        <f t="shared" si="6"/>
        <v>2033</v>
      </c>
      <c r="BK22" s="35">
        <f>SUM(T86:T89)/AVERAGE(AG86:AG89)</f>
        <v>6.4504984704729984E-2</v>
      </c>
      <c r="BL22" s="35">
        <f>SUM(P86:P89)/AVERAGE(AG86:AG89)</f>
        <v>1.0168786254353575E-2</v>
      </c>
      <c r="BM22" s="35">
        <f>SUM(D86:D89)/AVERAGE(AG86:AG89)</f>
        <v>6.9230415338441098E-2</v>
      </c>
      <c r="BN22" s="35">
        <f>(SUM(H86:H89)+SUM(J86:J89))/AVERAGE(AG86:AG89)</f>
        <v>9.3791850078153109E-3</v>
      </c>
      <c r="BO22" s="37">
        <f t="shared" si="2"/>
        <v>-2.4273401895879995E-2</v>
      </c>
      <c r="BP22" s="26">
        <f t="shared" si="9"/>
        <v>7.8609600346256414E-2</v>
      </c>
    </row>
    <row r="23" spans="1:68" x14ac:dyDescent="0.2">
      <c r="A23" s="7">
        <f t="shared" si="16"/>
        <v>2017</v>
      </c>
      <c r="B23" s="7">
        <f t="shared" si="17"/>
        <v>2</v>
      </c>
      <c r="C23" s="9"/>
      <c r="D23" s="9">
        <f>'Central pensions'!Q23</f>
        <v>108864344.75453721</v>
      </c>
      <c r="E23" s="9"/>
      <c r="F23" s="41">
        <f>'Central pensions'!I23</f>
        <v>19787383.310881879</v>
      </c>
      <c r="G23" s="9">
        <f>'Central pensions'!K23</f>
        <v>102244.218065323</v>
      </c>
      <c r="H23" s="9">
        <f>'Central pensions'!V23</f>
        <v>562517.52087402868</v>
      </c>
      <c r="I23" s="41">
        <f>'Central pensions'!M23</f>
        <v>3162.1923112990044</v>
      </c>
      <c r="J23" s="9">
        <f>'Central pensions'!W23</f>
        <v>17397.449099198715</v>
      </c>
      <c r="K23" s="9"/>
      <c r="L23" s="41">
        <f>'Central pensions'!N23</f>
        <v>3939404.9843641627</v>
      </c>
      <c r="M23" s="41"/>
      <c r="N23" s="41">
        <f>'Central pensions'!L23</f>
        <v>818579.51087769866</v>
      </c>
      <c r="O23" s="9"/>
      <c r="P23" s="9">
        <f>'Central pensions'!X23</f>
        <v>24945174.139856204</v>
      </c>
      <c r="Q23" s="41"/>
      <c r="R23" s="41">
        <f>'Central SIPA income'!G18</f>
        <v>23254020.583542269</v>
      </c>
      <c r="S23" s="41"/>
      <c r="T23" s="9">
        <f>'Central SIPA income'!J18</f>
        <v>88913763.166669682</v>
      </c>
      <c r="U23" s="9"/>
      <c r="V23" s="41">
        <f>'Central SIPA income'!F18</f>
        <v>131002.673091904</v>
      </c>
      <c r="W23" s="41"/>
      <c r="X23" s="41">
        <f>'Central SIPA income'!M18</f>
        <v>329040.94568818907</v>
      </c>
      <c r="Y23" s="9"/>
      <c r="Z23" s="9">
        <f t="shared" si="10"/>
        <v>-1160344.5494895689</v>
      </c>
      <c r="AA23" s="9"/>
      <c r="AB23" s="9">
        <f t="shared" si="11"/>
        <v>-44895755.727723733</v>
      </c>
      <c r="AC23" s="23"/>
      <c r="AD23" s="9">
        <f>10602469.3099181*1000</f>
        <v>10602469309.9181</v>
      </c>
      <c r="AE23" s="9">
        <v>776515.90050865698</v>
      </c>
      <c r="AF23" s="9">
        <v>183.45579240999999</v>
      </c>
      <c r="AG23" s="9">
        <f t="shared" si="12"/>
        <v>5665901320.8227959</v>
      </c>
      <c r="AH23" s="9"/>
      <c r="AI23" s="9"/>
      <c r="AJ23" s="42">
        <f t="shared" si="13"/>
        <v>-7.923850625976666E-3</v>
      </c>
      <c r="AK23" s="43">
        <f t="shared" si="4"/>
        <v>2034</v>
      </c>
      <c r="AL23" s="44">
        <f>SUM(AB90:AB93)/AVERAGE(AG90:AG93)</f>
        <v>-1.3705548078932313E-2</v>
      </c>
      <c r="AM23" s="9">
        <v>6738583.4030681401</v>
      </c>
      <c r="AN23" s="44">
        <f>AM23/AVERAGE(AG90:AG93)</f>
        <v>8.9548672732757384E-4</v>
      </c>
      <c r="AO23" s="44">
        <f>'GDP evolution by scenario'!G89</f>
        <v>1.7208219460950858E-2</v>
      </c>
      <c r="AP23" s="44"/>
      <c r="AQ23" s="9">
        <f t="shared" si="7"/>
        <v>627813167.68190873</v>
      </c>
      <c r="AR23" s="9">
        <f t="shared" si="8"/>
        <v>403645430.74632758</v>
      </c>
      <c r="AS23" s="45">
        <f>AQ23/AG93</f>
        <v>8.2870893695905612E-2</v>
      </c>
      <c r="AT23" s="45">
        <f>AR23/AG93</f>
        <v>5.3280911112022322E-2</v>
      </c>
      <c r="AU23" s="7"/>
      <c r="AV23" s="7"/>
      <c r="AW23" s="46">
        <f>workers_and_wage_central!C11</f>
        <v>11247506</v>
      </c>
      <c r="AX23" s="7"/>
      <c r="AY23" s="42">
        <f t="shared" si="14"/>
        <v>1.7215831785918033E-2</v>
      </c>
      <c r="AZ23" s="47">
        <f>workers_and_wage_central!B11</f>
        <v>6741.6617525258698</v>
      </c>
      <c r="BA23" s="42">
        <f t="shared" si="15"/>
        <v>-3.5179814757790341E-4</v>
      </c>
      <c r="BB23" s="12">
        <v>49.9198466641054</v>
      </c>
      <c r="BC23" s="12">
        <v>10.7610894199697</v>
      </c>
      <c r="BD23" s="12">
        <f t="shared" si="18"/>
        <v>55.300391374090253</v>
      </c>
      <c r="BE23" s="42">
        <f t="shared" si="19"/>
        <v>-9.0469380540737498E-2</v>
      </c>
      <c r="BF23" s="7"/>
      <c r="BG23" s="7"/>
      <c r="BH23" s="7"/>
      <c r="BI23" s="42">
        <f t="shared" si="5"/>
        <v>1.2324193203905617E-2</v>
      </c>
      <c r="BJ23" s="7">
        <f t="shared" si="6"/>
        <v>2034</v>
      </c>
      <c r="BK23" s="42">
        <f>SUM(T90:T93)/AVERAGE(AG90:AG93)</f>
        <v>6.5511403037663563E-2</v>
      </c>
      <c r="BL23" s="42">
        <f>SUM(P90:P93)/AVERAGE(AG90:AG93)</f>
        <v>9.9827748378083295E-3</v>
      </c>
      <c r="BM23" s="42">
        <f>SUM(D90:D93)/AVERAGE(AG90:AG93)</f>
        <v>6.9234176278787543E-2</v>
      </c>
      <c r="BN23" s="42">
        <f>(SUM(H90:H93)+SUM(J90:J93))/AVERAGE(AG90:AG93)</f>
        <v>9.9831639178053679E-3</v>
      </c>
      <c r="BO23" s="44">
        <f t="shared" si="2"/>
        <v>-2.368871199673768E-2</v>
      </c>
      <c r="BP23" s="26">
        <f t="shared" si="9"/>
        <v>7.9217340196592906E-2</v>
      </c>
    </row>
    <row r="24" spans="1:68" x14ac:dyDescent="0.2">
      <c r="A24" s="7">
        <f t="shared" si="16"/>
        <v>2017</v>
      </c>
      <c r="B24" s="7">
        <f t="shared" si="17"/>
        <v>3</v>
      </c>
      <c r="C24" s="9"/>
      <c r="D24" s="9">
        <f>'Central pensions'!Q24</f>
        <v>104310962.34567401</v>
      </c>
      <c r="E24" s="9"/>
      <c r="F24" s="41">
        <f>'Central pensions'!I24</f>
        <v>18959752.158658851</v>
      </c>
      <c r="G24" s="9">
        <f>'Central pensions'!K24</f>
        <v>148476.22300634999</v>
      </c>
      <c r="H24" s="9">
        <f>'Central pensions'!V24</f>
        <v>816872.37141283497</v>
      </c>
      <c r="I24" s="41">
        <f>'Central pensions'!M24</f>
        <v>4592.0481342170096</v>
      </c>
      <c r="J24" s="9">
        <f>'Central pensions'!W24</f>
        <v>25264.093961221697</v>
      </c>
      <c r="K24" s="9"/>
      <c r="L24" s="41">
        <f>'Central pensions'!N24</f>
        <v>3599614.5523328749</v>
      </c>
      <c r="M24" s="41"/>
      <c r="N24" s="41">
        <f>'Central pensions'!L24</f>
        <v>785544.0651316829</v>
      </c>
      <c r="O24" s="9"/>
      <c r="P24" s="9">
        <f>'Central pensions'!X24</f>
        <v>23000248.697287798</v>
      </c>
      <c r="Q24" s="41"/>
      <c r="R24" s="41">
        <f>'Central SIPA income'!G19</f>
        <v>20589537.43902459</v>
      </c>
      <c r="S24" s="41"/>
      <c r="T24" s="9">
        <f>'Central SIPA income'!J19</f>
        <v>78725880.928322583</v>
      </c>
      <c r="U24" s="9"/>
      <c r="V24" s="41">
        <f>'Central SIPA income'!F19</f>
        <v>137459.02665501201</v>
      </c>
      <c r="W24" s="41"/>
      <c r="X24" s="41">
        <f>'Central SIPA income'!M19</f>
        <v>345257.44442033331</v>
      </c>
      <c r="Y24" s="9"/>
      <c r="Z24" s="9">
        <f t="shared" si="10"/>
        <v>-2617914.3104438074</v>
      </c>
      <c r="AA24" s="9"/>
      <c r="AB24" s="9">
        <f t="shared" si="11"/>
        <v>-48585330.114639223</v>
      </c>
      <c r="AC24" s="23"/>
      <c r="AD24" s="9">
        <f>11070090.1016518*1000</f>
        <v>11070090101.6518</v>
      </c>
      <c r="AE24" s="9">
        <v>720893.64749107696</v>
      </c>
      <c r="AF24" s="9">
        <v>191.50871928999999</v>
      </c>
      <c r="AG24" s="9">
        <f t="shared" si="12"/>
        <v>5260049751.4820948</v>
      </c>
      <c r="AH24" s="9"/>
      <c r="AI24" s="9"/>
      <c r="AJ24" s="42">
        <f t="shared" si="13"/>
        <v>-9.2366674100277484E-3</v>
      </c>
      <c r="AK24" s="43">
        <f t="shared" si="4"/>
        <v>2035</v>
      </c>
      <c r="AL24" s="44">
        <f>SUM(AB94:AB97)/AVERAGE(AG94:AG97)</f>
        <v>-1.3035000246651808E-2</v>
      </c>
      <c r="AM24" s="9">
        <v>6098422.29766839</v>
      </c>
      <c r="AN24" s="44">
        <f>AM24/AVERAGE(AG94:AG97)</f>
        <v>7.9044032054623864E-4</v>
      </c>
      <c r="AO24" s="44">
        <f>'GDP evolution by scenario'!G93</f>
        <v>2.5271663107623521E-2</v>
      </c>
      <c r="AP24" s="44"/>
      <c r="AQ24" s="9">
        <f t="shared" si="7"/>
        <v>643679050.55009592</v>
      </c>
      <c r="AR24" s="9">
        <f t="shared" si="8"/>
        <v>407677481.0096305</v>
      </c>
      <c r="AS24" s="45">
        <f>AQ24/AG97</f>
        <v>8.2743823027314867E-2</v>
      </c>
      <c r="AT24" s="45">
        <f>AR24/AG97</f>
        <v>5.2406231509405085E-2</v>
      </c>
      <c r="AU24" s="7"/>
      <c r="AV24" s="7"/>
      <c r="AW24" s="46">
        <f>workers_and_wage_central!C12</f>
        <v>11410134</v>
      </c>
      <c r="AX24" s="7"/>
      <c r="AY24" s="42">
        <f t="shared" si="14"/>
        <v>1.4459027627991486E-2</v>
      </c>
      <c r="AZ24" s="47">
        <f>workers_and_wage_central!B12</f>
        <v>6886.4292106928397</v>
      </c>
      <c r="BA24" s="42">
        <f t="shared" si="15"/>
        <v>2.1473557036991723E-2</v>
      </c>
      <c r="BB24" s="12">
        <v>50.646714140221597</v>
      </c>
      <c r="BC24" s="12">
        <v>11.1261459164056</v>
      </c>
      <c r="BD24" s="12">
        <f t="shared" si="18"/>
        <v>56.2097870984244</v>
      </c>
      <c r="BE24" s="42">
        <f t="shared" si="19"/>
        <v>1.6444652591739661E-2</v>
      </c>
      <c r="BF24" s="7"/>
      <c r="BG24" s="7"/>
      <c r="BH24" s="7"/>
      <c r="BI24" s="42">
        <f t="shared" si="5"/>
        <v>1.2943051132937452E-2</v>
      </c>
      <c r="BJ24" s="7">
        <f t="shared" si="6"/>
        <v>2035</v>
      </c>
      <c r="BK24" s="42">
        <f>SUM(T94:T97)/AVERAGE(AG94:AG97)</f>
        <v>6.4905979480428685E-2</v>
      </c>
      <c r="BL24" s="42">
        <f>SUM(P94:P97)/AVERAGE(AG94:AG97)</f>
        <v>9.5018831449743563E-3</v>
      </c>
      <c r="BM24" s="42">
        <f>SUM(D94:D97)/AVERAGE(AG94:AG97)</f>
        <v>6.8439096582106146E-2</v>
      </c>
      <c r="BN24" s="42">
        <f>(SUM(H94:H97)+SUM(J94:J97))/AVERAGE(AG94:AG97)</f>
        <v>1.0438926405187308E-2</v>
      </c>
      <c r="BO24" s="44">
        <f t="shared" si="2"/>
        <v>-2.3473926651839117E-2</v>
      </c>
      <c r="BP24" s="26">
        <f t="shared" si="9"/>
        <v>7.8878022987293461E-2</v>
      </c>
    </row>
    <row r="25" spans="1:68" x14ac:dyDescent="0.2">
      <c r="A25" s="7">
        <f t="shared" si="16"/>
        <v>2017</v>
      </c>
      <c r="B25" s="7">
        <f t="shared" si="17"/>
        <v>4</v>
      </c>
      <c r="C25" s="9"/>
      <c r="D25" s="9">
        <f>'Central pensions'!Q25</f>
        <v>113373996.03996797</v>
      </c>
      <c r="E25" s="9"/>
      <c r="F25" s="41">
        <f>'Central pensions'!I25</f>
        <v>20607065.813765917</v>
      </c>
      <c r="G25" s="9">
        <f>'Central pensions'!K25</f>
        <v>189845.474762486</v>
      </c>
      <c r="H25" s="9">
        <f>'Central pensions'!V25</f>
        <v>1044473.7886725139</v>
      </c>
      <c r="I25" s="41">
        <f>'Central pensions'!M25</f>
        <v>5871.5095287360018</v>
      </c>
      <c r="J25" s="9">
        <f>'Central pensions'!W25</f>
        <v>32303.3130517235</v>
      </c>
      <c r="K25" s="9"/>
      <c r="L25" s="41">
        <f>'Central pensions'!N25</f>
        <v>4012507.368122709</v>
      </c>
      <c r="M25" s="41"/>
      <c r="N25" s="41">
        <f>'Central pensions'!L25</f>
        <v>856510.30030986294</v>
      </c>
      <c r="O25" s="9"/>
      <c r="P25" s="9">
        <f>'Central pensions'!X25</f>
        <v>25533186.768756997</v>
      </c>
      <c r="Q25" s="41"/>
      <c r="R25" s="41">
        <f>'Central SIPA income'!G20</f>
        <v>24347324.230016671</v>
      </c>
      <c r="S25" s="41"/>
      <c r="T25" s="9">
        <f>'Central SIPA income'!J20</f>
        <v>93094104.417450219</v>
      </c>
      <c r="U25" s="9"/>
      <c r="V25" s="41">
        <f>'Central SIPA income'!F20</f>
        <v>143698.09455918201</v>
      </c>
      <c r="W25" s="41"/>
      <c r="X25" s="41">
        <f>'Central SIPA income'!M20</f>
        <v>360928.18422241905</v>
      </c>
      <c r="Y25" s="9"/>
      <c r="Z25" s="9">
        <f t="shared" si="10"/>
        <v>-985061.15762263536</v>
      </c>
      <c r="AA25" s="9"/>
      <c r="AB25" s="9">
        <f t="shared" si="11"/>
        <v>-45813078.39127475</v>
      </c>
      <c r="AC25" s="23"/>
      <c r="AD25" s="9">
        <f>11699507.7917232*1000</f>
        <v>11699507791.7232</v>
      </c>
      <c r="AE25" s="9">
        <v>724273.57873321604</v>
      </c>
      <c r="AF25" s="9">
        <v>200.87293846</v>
      </c>
      <c r="AG25" s="9">
        <f t="shared" si="12"/>
        <v>5284711650.7124662</v>
      </c>
      <c r="AH25" s="9"/>
      <c r="AI25" s="9"/>
      <c r="AJ25" s="42">
        <f t="shared" si="13"/>
        <v>-8.6689835546842741E-3</v>
      </c>
      <c r="AK25" s="43">
        <f t="shared" si="4"/>
        <v>2036</v>
      </c>
      <c r="AL25" s="44">
        <f>SUM(AB98:AB101)/AVERAGE(AG98:AG101)</f>
        <v>-1.1730608021064893E-2</v>
      </c>
      <c r="AM25" s="9">
        <v>5493111.4769607</v>
      </c>
      <c r="AN25" s="44">
        <f>AM25/AVERAGE(AG98:AG101)</f>
        <v>6.9401265187713022E-4</v>
      </c>
      <c r="AO25" s="44">
        <f>'GDP evolution by scenario'!G97</f>
        <v>2.5894297724105453E-2</v>
      </c>
      <c r="AP25" s="44"/>
      <c r="AQ25" s="9">
        <f t="shared" si="7"/>
        <v>660346667.52380967</v>
      </c>
      <c r="AR25" s="9">
        <f t="shared" si="8"/>
        <v>412675999.06703097</v>
      </c>
      <c r="AS25" s="45">
        <f>AQ25/AG101</f>
        <v>8.257483289575604E-2</v>
      </c>
      <c r="AT25" s="45">
        <f>AR25/AG101</f>
        <v>5.1604185103002097E-2</v>
      </c>
      <c r="AU25" s="7"/>
      <c r="AV25" s="7"/>
      <c r="AW25" s="46">
        <f>workers_and_wage_central!C13</f>
        <v>11521898</v>
      </c>
      <c r="AX25" s="7"/>
      <c r="AY25" s="42">
        <f t="shared" si="14"/>
        <v>9.7951522742852973E-3</v>
      </c>
      <c r="AZ25" s="47">
        <f>workers_and_wage_central!B13</f>
        <v>6890.5453339577498</v>
      </c>
      <c r="BA25" s="42">
        <f t="shared" si="15"/>
        <v>5.9771517850192328E-4</v>
      </c>
      <c r="BB25" s="12">
        <v>52.575910775771497</v>
      </c>
      <c r="BC25" s="12">
        <v>11.7344517173055</v>
      </c>
      <c r="BD25" s="12">
        <f t="shared" si="18"/>
        <v>58.443136634424249</v>
      </c>
      <c r="BE25" s="42">
        <f t="shared" si="19"/>
        <v>3.9732396283394866E-2</v>
      </c>
      <c r="BI25" s="42">
        <f t="shared" si="5"/>
        <v>1.2006861824606377E-2</v>
      </c>
      <c r="BJ25" s="7">
        <f t="shared" si="6"/>
        <v>2036</v>
      </c>
      <c r="BK25" s="42">
        <f>SUM(T98:T101)/AVERAGE(AG98:AG101)</f>
        <v>6.4975797380969202E-2</v>
      </c>
      <c r="BL25" s="42">
        <f>SUM(P98:P101)/AVERAGE(AG98:AG101)</f>
        <v>9.0664898030550483E-3</v>
      </c>
      <c r="BM25" s="42">
        <f>SUM(D98:D101)/AVERAGE(AG98:AG101)</f>
        <v>6.7639915598979042E-2</v>
      </c>
      <c r="BN25" s="42">
        <f>(SUM(H98:H101)+SUM(J98:J101))/AVERAGE(AG98:AG101)</f>
        <v>1.0845182707045894E-2</v>
      </c>
      <c r="BO25" s="44">
        <f t="shared" si="2"/>
        <v>-2.2575790728110785E-2</v>
      </c>
      <c r="BP25" s="26">
        <f t="shared" si="9"/>
        <v>7.8485098306024931E-2</v>
      </c>
    </row>
    <row r="26" spans="1:68" x14ac:dyDescent="0.2">
      <c r="A26" s="5">
        <f t="shared" si="16"/>
        <v>2018</v>
      </c>
      <c r="B26" s="5">
        <f t="shared" si="17"/>
        <v>1</v>
      </c>
      <c r="C26" s="6">
        <f>D26*0.081</f>
        <v>8546215.9057762343</v>
      </c>
      <c r="D26" s="6">
        <f>'Central pensions'!Q26</f>
        <v>105508838.34291646</v>
      </c>
      <c r="E26" s="6"/>
      <c r="F26" s="8">
        <f>'Central pensions'!I26</f>
        <v>19177480.300685383</v>
      </c>
      <c r="G26" s="6">
        <f>'Central pensions'!K26</f>
        <v>193632.46803601799</v>
      </c>
      <c r="H26" s="6">
        <f>'Central pensions'!V26</f>
        <v>1065308.7083198316</v>
      </c>
      <c r="I26" s="8">
        <f>'Central pensions'!M26</f>
        <v>5988.6330320420093</v>
      </c>
      <c r="J26" s="6">
        <f>'Central pensions'!W26</f>
        <v>32947.692009892889</v>
      </c>
      <c r="K26" s="6"/>
      <c r="L26" s="8">
        <f>'Central pensions'!N26</f>
        <v>4266228.999600837</v>
      </c>
      <c r="M26" s="8"/>
      <c r="N26" s="8">
        <f>'Central pensions'!L26</f>
        <v>797289.86103655398</v>
      </c>
      <c r="O26" s="6"/>
      <c r="P26" s="6">
        <f>'Central pensions'!X26</f>
        <v>26523936.136611547</v>
      </c>
      <c r="Q26" s="8"/>
      <c r="R26" s="8">
        <f>'Central SIPA income'!G21</f>
        <v>19486260.158637881</v>
      </c>
      <c r="S26" s="8"/>
      <c r="T26" s="6">
        <f>'Central SIPA income'!J21</f>
        <v>74507404.623846531</v>
      </c>
      <c r="U26" s="6"/>
      <c r="V26" s="8">
        <f>'Central SIPA income'!F21</f>
        <v>129450.461885458</v>
      </c>
      <c r="W26" s="8"/>
      <c r="X26" s="8">
        <f>'Central SIPA income'!M21</f>
        <v>325142.23865250521</v>
      </c>
      <c r="Y26" s="6"/>
      <c r="Z26" s="6">
        <f t="shared" si="10"/>
        <v>-4625288.5407994334</v>
      </c>
      <c r="AA26" s="6"/>
      <c r="AB26" s="6">
        <f t="shared" si="11"/>
        <v>-57525369.855681479</v>
      </c>
      <c r="AC26" s="23"/>
      <c r="AD26" s="6">
        <f>12295597.1687493*1000</f>
        <v>12295597168.7493</v>
      </c>
      <c r="AE26" s="6">
        <v>707566.83526715403</v>
      </c>
      <c r="AF26" s="6">
        <v>215.82755935060601</v>
      </c>
      <c r="AG26" s="6">
        <f t="shared" si="12"/>
        <v>5162809755.5819197</v>
      </c>
      <c r="AH26" s="35">
        <f t="shared" ref="AH26:AH57" si="20">(AG26-AG25)/AG25</f>
        <v>-2.306689620693159E-2</v>
      </c>
      <c r="AI26" s="35"/>
      <c r="AJ26" s="35">
        <f t="shared" si="13"/>
        <v>-1.1142260237942387E-2</v>
      </c>
      <c r="AK26" s="36">
        <f t="shared" si="4"/>
        <v>2037</v>
      </c>
      <c r="AL26" s="37">
        <f>SUM(AB102:AB105)/AVERAGE(AG102:AG105)</f>
        <v>-1.1282430355684363E-2</v>
      </c>
      <c r="AM26" s="6">
        <v>4920541.9627627796</v>
      </c>
      <c r="AN26" s="37">
        <f>AM26/AVERAGE(AG102:AG105)</f>
        <v>6.0914191642122873E-4</v>
      </c>
      <c r="AO26" s="37">
        <f>'GDP evolution by scenario'!G101</f>
        <v>2.0571484384780181E-2</v>
      </c>
      <c r="AP26" s="37"/>
      <c r="AQ26" s="6">
        <f t="shared" si="7"/>
        <v>673930978.6833173</v>
      </c>
      <c r="AR26" s="6">
        <f t="shared" si="8"/>
        <v>416198591.73844594</v>
      </c>
      <c r="AS26" s="38">
        <f>AQ26/AG105</f>
        <v>8.2717568454320933E-2</v>
      </c>
      <c r="AT26" s="38">
        <f>AR26/AG105</f>
        <v>5.1083770581340525E-2</v>
      </c>
      <c r="AU26" s="35">
        <f>AVERAGE(AH26:AH29)</f>
        <v>-1.4549820087136093E-2</v>
      </c>
      <c r="AV26" s="5"/>
      <c r="AW26" s="39">
        <f>workers_and_wage_central!C14</f>
        <v>11482379</v>
      </c>
      <c r="AX26" s="5"/>
      <c r="AY26" s="35">
        <f t="shared" si="14"/>
        <v>-3.4299036495549604E-3</v>
      </c>
      <c r="AZ26" s="40">
        <f>workers_and_wage_central!B14</f>
        <v>6808.8492663922098</v>
      </c>
      <c r="BA26" s="35">
        <f t="shared" si="15"/>
        <v>-1.1856255725207737E-2</v>
      </c>
      <c r="BB26" s="11">
        <v>51.315371544376099</v>
      </c>
      <c r="BC26" s="11">
        <v>12.3076277148944</v>
      </c>
      <c r="BD26" s="11">
        <f t="shared" si="18"/>
        <v>57.469185401823296</v>
      </c>
      <c r="BE26" s="35">
        <f t="shared" si="19"/>
        <v>-1.6664937727303264E-2</v>
      </c>
      <c r="BF26" s="5"/>
      <c r="BG26" s="5"/>
      <c r="BH26" s="5"/>
      <c r="BI26" s="35">
        <f t="shared" si="5"/>
        <v>1.5287859276955796E-2</v>
      </c>
      <c r="BJ26" s="5">
        <f t="shared" si="6"/>
        <v>2037</v>
      </c>
      <c r="BK26" s="35">
        <f>SUM(T102:T105)/AVERAGE(AG102:AG105)</f>
        <v>6.5063893696521727E-2</v>
      </c>
      <c r="BL26" s="35">
        <f>SUM(P102:P105)/AVERAGE(AG102:AG105)</f>
        <v>8.9947820588592037E-3</v>
      </c>
      <c r="BM26" s="35">
        <f>SUM(D102:D105)/AVERAGE(AG102:AG105)</f>
        <v>6.7351541993346892E-2</v>
      </c>
      <c r="BN26" s="35">
        <f>(SUM(H102:H105)+SUM(J102:J105))/AVERAGE(AG102:AG105)</f>
        <v>1.1425489292706752E-2</v>
      </c>
      <c r="BO26" s="37">
        <f t="shared" si="2"/>
        <v>-2.2707919648391115E-2</v>
      </c>
      <c r="BP26" s="26">
        <f t="shared" si="9"/>
        <v>7.877703128605365E-2</v>
      </c>
    </row>
    <row r="27" spans="1:68" x14ac:dyDescent="0.2">
      <c r="A27" s="7">
        <f t="shared" si="16"/>
        <v>2018</v>
      </c>
      <c r="B27" s="7">
        <f t="shared" si="17"/>
        <v>2</v>
      </c>
      <c r="C27" s="9">
        <f>D27*0.081</f>
        <v>8603146.9132235274</v>
      </c>
      <c r="D27" s="9">
        <f>'Central pensions'!Q27</f>
        <v>106211690.2867102</v>
      </c>
      <c r="E27" s="9"/>
      <c r="F27" s="41">
        <f>'Central pensions'!I27</f>
        <v>19305231.961286504</v>
      </c>
      <c r="G27" s="9">
        <f>'Central pensions'!K27</f>
        <v>211229.041623464</v>
      </c>
      <c r="H27" s="9">
        <f>'Central pensions'!V27</f>
        <v>1162119.8643693947</v>
      </c>
      <c r="I27" s="41">
        <f>'Central pensions'!M27</f>
        <v>6532.8569574269932</v>
      </c>
      <c r="J27" s="9">
        <f>'Central pensions'!W27</f>
        <v>35941.851475343596</v>
      </c>
      <c r="K27" s="9"/>
      <c r="L27" s="41">
        <f>'Central pensions'!N27</f>
        <v>3381171.9076419496</v>
      </c>
      <c r="M27" s="41"/>
      <c r="N27" s="41">
        <f>'Central pensions'!L27</f>
        <v>790986.91754587367</v>
      </c>
      <c r="O27" s="9"/>
      <c r="P27" s="9">
        <f>'Central pensions'!X27</f>
        <v>21896693.743635733</v>
      </c>
      <c r="Q27" s="41"/>
      <c r="R27" s="41">
        <f>'Central SIPA income'!G22</f>
        <v>22133362.586404048</v>
      </c>
      <c r="S27" s="41"/>
      <c r="T27" s="9">
        <f>'Central SIPA income'!J22</f>
        <v>84628830.185277969</v>
      </c>
      <c r="U27" s="9"/>
      <c r="V27" s="41">
        <f>'Central SIPA income'!F22</f>
        <v>124241.716375217</v>
      </c>
      <c r="W27" s="41"/>
      <c r="X27" s="41">
        <f>'Central SIPA income'!M22</f>
        <v>312059.3716537804</v>
      </c>
      <c r="Y27" s="9"/>
      <c r="Z27" s="9">
        <f t="shared" si="10"/>
        <v>-1219786.4836950637</v>
      </c>
      <c r="AA27" s="9"/>
      <c r="AB27" s="9">
        <f t="shared" si="11"/>
        <v>-43479553.845067963</v>
      </c>
      <c r="AC27" s="23"/>
      <c r="AD27" s="9">
        <f>14242781.3910506*1000</f>
        <v>14242781391.0506</v>
      </c>
      <c r="AE27" s="9">
        <v>746958.68161084899</v>
      </c>
      <c r="AF27" s="9">
        <v>231.63985042710499</v>
      </c>
      <c r="AG27" s="9">
        <f t="shared" si="12"/>
        <v>5450235053.7402563</v>
      </c>
      <c r="AH27" s="42">
        <f t="shared" si="20"/>
        <v>5.5672262152905896E-2</v>
      </c>
      <c r="AI27" s="42"/>
      <c r="AJ27" s="42">
        <f t="shared" si="13"/>
        <v>-7.9775557230747068E-3</v>
      </c>
      <c r="AK27" s="43">
        <f t="shared" si="4"/>
        <v>2038</v>
      </c>
      <c r="AL27" s="44">
        <f>SUM(AB106:AB109)/AVERAGE(AG106:AG109)</f>
        <v>-9.9878791509745036E-3</v>
      </c>
      <c r="AM27" s="9">
        <v>4379286.2132199397</v>
      </c>
      <c r="AN27" s="44">
        <f>AM27/AVERAGE(AG106:AG109)</f>
        <v>5.2806810710474882E-4</v>
      </c>
      <c r="AO27" s="44">
        <f>'GDP evolution by scenario'!G105</f>
        <v>2.664178532980932E-2</v>
      </c>
      <c r="AP27" s="44"/>
      <c r="AQ27" s="9">
        <f t="shared" si="7"/>
        <v>691885703.14450657</v>
      </c>
      <c r="AR27" s="9">
        <f t="shared" si="8"/>
        <v>422854358.25333816</v>
      </c>
      <c r="AS27" s="45">
        <f>AQ27/AG109</f>
        <v>8.2670765064116664E-2</v>
      </c>
      <c r="AT27" s="45">
        <f>AR27/AG109</f>
        <v>5.0525243040320938E-2</v>
      </c>
      <c r="AU27" s="7"/>
      <c r="AV27" s="7"/>
      <c r="AW27" s="46">
        <f>workers_and_wage_central!C15</f>
        <v>11421402</v>
      </c>
      <c r="AX27" s="7"/>
      <c r="AY27" s="42">
        <f t="shared" si="14"/>
        <v>-5.3104848742582004E-3</v>
      </c>
      <c r="AZ27" s="47">
        <f>workers_and_wage_central!B15</f>
        <v>6723.1718064753604</v>
      </c>
      <c r="BA27" s="42">
        <f t="shared" si="15"/>
        <v>-1.2583251084694236E-2</v>
      </c>
      <c r="BB27" s="12">
        <v>46.429258173358598</v>
      </c>
      <c r="BC27" s="12">
        <v>10.7584829174465</v>
      </c>
      <c r="BD27" s="12">
        <f t="shared" si="18"/>
        <v>51.808499632081848</v>
      </c>
      <c r="BE27" s="42">
        <f t="shared" si="19"/>
        <v>-9.8499495515066982E-2</v>
      </c>
      <c r="BF27" s="7"/>
      <c r="BG27" s="7"/>
      <c r="BH27" s="7"/>
      <c r="BI27" s="42">
        <f t="shared" si="5"/>
        <v>1.3028474900584883E-2</v>
      </c>
      <c r="BJ27" s="7">
        <f t="shared" si="6"/>
        <v>2038</v>
      </c>
      <c r="BK27" s="42">
        <f>SUM(T106:T109)/AVERAGE(AG106:AG109)</f>
        <v>6.5310871586007901E-2</v>
      </c>
      <c r="BL27" s="42">
        <f>SUM(P106:P109)/AVERAGE(AG106:AG109)</f>
        <v>8.7470745795168309E-3</v>
      </c>
      <c r="BM27" s="42">
        <f>SUM(D106:D109)/AVERAGE(AG106:AG109)</f>
        <v>6.6551676157465559E-2</v>
      </c>
      <c r="BN27" s="42">
        <f>(SUM(H106:H109)+SUM(J106:J109))/AVERAGE(AG106:AG109)</f>
        <v>1.1738336895069422E-2</v>
      </c>
      <c r="BO27" s="44">
        <f t="shared" si="2"/>
        <v>-2.1726216046043925E-2</v>
      </c>
      <c r="BP27" s="26">
        <f t="shared" si="9"/>
        <v>7.8290013052534982E-2</v>
      </c>
    </row>
    <row r="28" spans="1:68" x14ac:dyDescent="0.2">
      <c r="A28" s="7">
        <f t="shared" si="16"/>
        <v>2018</v>
      </c>
      <c r="B28" s="7">
        <f t="shared" si="17"/>
        <v>3</v>
      </c>
      <c r="C28" s="9">
        <f>D28*0.081</f>
        <v>8050442.2972203298</v>
      </c>
      <c r="D28" s="9">
        <f>'Central pensions'!Q28</f>
        <v>99388176.508892953</v>
      </c>
      <c r="E28" s="9"/>
      <c r="F28" s="41">
        <f>'Central pensions'!I28</f>
        <v>18064977.560700253</v>
      </c>
      <c r="G28" s="9">
        <f>'Central pensions'!K28</f>
        <v>227995.70952744599</v>
      </c>
      <c r="H28" s="9">
        <f>'Central pensions'!V28</f>
        <v>1254365.1242103018</v>
      </c>
      <c r="I28" s="41">
        <f>'Central pensions'!M28</f>
        <v>7051.4136967260274</v>
      </c>
      <c r="J28" s="9">
        <f>'Central pensions'!W28</f>
        <v>38794.797655993636</v>
      </c>
      <c r="K28" s="9"/>
      <c r="L28" s="41">
        <f>'Central pensions'!N28</f>
        <v>3202211.134178625</v>
      </c>
      <c r="M28" s="41"/>
      <c r="N28" s="41">
        <f>'Central pensions'!L28</f>
        <v>750970.23214777559</v>
      </c>
      <c r="O28" s="9"/>
      <c r="P28" s="9">
        <f>'Central pensions'!X28</f>
        <v>20747905.443161473</v>
      </c>
      <c r="Q28" s="41"/>
      <c r="R28" s="41">
        <f>'Central SIPA income'!G23</f>
        <v>18222984.722283803</v>
      </c>
      <c r="S28" s="41"/>
      <c r="T28" s="9">
        <f>'Central SIPA income'!J23</f>
        <v>69677161.502717078</v>
      </c>
      <c r="U28" s="9"/>
      <c r="V28" s="41">
        <f>'Central SIPA income'!F23</f>
        <v>112657.52315571001</v>
      </c>
      <c r="W28" s="41"/>
      <c r="X28" s="41">
        <f>'Central SIPA income'!M23</f>
        <v>282963.21810195758</v>
      </c>
      <c r="Y28" s="9"/>
      <c r="Z28" s="9">
        <f t="shared" si="10"/>
        <v>-3682516.6815871391</v>
      </c>
      <c r="AA28" s="9"/>
      <c r="AB28" s="9">
        <f t="shared" si="11"/>
        <v>-50458920.449337348</v>
      </c>
      <c r="AC28" s="23"/>
      <c r="AD28" s="9">
        <f>14960937.9511837*1000</f>
        <v>14960937951.183699</v>
      </c>
      <c r="AE28" s="9">
        <v>694578.46694602806</v>
      </c>
      <c r="AF28" s="9">
        <v>257.384544350716</v>
      </c>
      <c r="AG28" s="9">
        <f t="shared" si="12"/>
        <v>5068039238.7415113</v>
      </c>
      <c r="AH28" s="42">
        <f t="shared" si="20"/>
        <v>-7.0124648062006203E-2</v>
      </c>
      <c r="AI28" s="42"/>
      <c r="AJ28" s="42">
        <f t="shared" si="13"/>
        <v>-9.9563002716346848E-3</v>
      </c>
      <c r="AK28" s="43">
        <f t="shared" si="4"/>
        <v>2039</v>
      </c>
      <c r="AL28" s="44">
        <f>SUM(AB110:AB113)/AVERAGE(AG110:AG113)</f>
        <v>-9.3992574025878149E-3</v>
      </c>
      <c r="AM28" s="9">
        <v>3887732.6916358299</v>
      </c>
      <c r="AN28" s="44">
        <f>AM28/AVERAGE(AG110:AG113)</f>
        <v>4.621301289816943E-4</v>
      </c>
      <c r="AO28" s="44">
        <f>'GDP evolution by scenario'!G109</f>
        <v>1.4422146140486536E-2</v>
      </c>
      <c r="AP28" s="44"/>
      <c r="AQ28" s="9">
        <f t="shared" si="7"/>
        <v>701864179.86776996</v>
      </c>
      <c r="AR28" s="9">
        <f t="shared" si="8"/>
        <v>425039460.85575563</v>
      </c>
      <c r="AS28" s="45">
        <f>AQ28/AG113</f>
        <v>8.3186495355099394E-2</v>
      </c>
      <c r="AT28" s="45">
        <f>AR28/AG113</f>
        <v>5.0376617229379868E-2</v>
      </c>
      <c r="AU28" s="9"/>
      <c r="AW28" s="46">
        <f>workers_and_wage_central!C16</f>
        <v>11521980</v>
      </c>
      <c r="AY28" s="42">
        <f t="shared" si="14"/>
        <v>8.8060992862347368E-3</v>
      </c>
      <c r="AZ28" s="47">
        <f>workers_and_wage_central!B16</f>
        <v>6342.5407561381298</v>
      </c>
      <c r="BA28" s="42">
        <f t="shared" si="15"/>
        <v>-5.6614803443016185E-2</v>
      </c>
      <c r="BB28" s="12">
        <v>45.537953064162501</v>
      </c>
      <c r="BC28" s="12">
        <v>11.4316580981135</v>
      </c>
      <c r="BD28" s="12">
        <f t="shared" si="18"/>
        <v>51.253782113219252</v>
      </c>
      <c r="BE28" s="42">
        <f t="shared" si="19"/>
        <v>-1.0707075533974653E-2</v>
      </c>
      <c r="BF28" s="7"/>
      <c r="BG28" s="7"/>
      <c r="BI28" s="42">
        <f t="shared" si="5"/>
        <v>1.5015892253367948E-2</v>
      </c>
      <c r="BJ28" s="7">
        <f t="shared" si="6"/>
        <v>2039</v>
      </c>
      <c r="BK28" s="42">
        <f>SUM(T110:T113)/AVERAGE(AG110:AG113)</f>
        <v>6.5656431830573306E-2</v>
      </c>
      <c r="BL28" s="42">
        <f>SUM(P110:P113)/AVERAGE(AG110:AG113)</f>
        <v>8.4969871963698866E-3</v>
      </c>
      <c r="BM28" s="42">
        <f>SUM(D110:D113)/AVERAGE(AG110:AG113)</f>
        <v>6.6558702036791234E-2</v>
      </c>
      <c r="BN28" s="42">
        <f>(SUM(H110:H113)+SUM(J110:J113))/AVERAGE(AG110:AG113)</f>
        <v>1.2376149147876193E-2</v>
      </c>
      <c r="BO28" s="44">
        <f t="shared" si="2"/>
        <v>-2.1775406550464008E-2</v>
      </c>
      <c r="BP28" s="26">
        <f t="shared" si="9"/>
        <v>7.8934851184667421E-2</v>
      </c>
    </row>
    <row r="29" spans="1:68" x14ac:dyDescent="0.2">
      <c r="A29" s="7">
        <f t="shared" si="16"/>
        <v>2018</v>
      </c>
      <c r="B29" s="7">
        <f t="shared" si="17"/>
        <v>4</v>
      </c>
      <c r="C29" s="9">
        <f>D29*0.081</f>
        <v>7381191.9785173489</v>
      </c>
      <c r="D29" s="9">
        <f>'Central pensions'!Q29</f>
        <v>91125826.895275906</v>
      </c>
      <c r="E29" s="9"/>
      <c r="F29" s="41">
        <f>'Central pensions'!I29</f>
        <v>16563197.715133844</v>
      </c>
      <c r="G29" s="9">
        <f>'Central pensions'!K29</f>
        <v>233179.582375956</v>
      </c>
      <c r="H29" s="9">
        <f>'Central pensions'!V29</f>
        <v>1282885.263133043</v>
      </c>
      <c r="I29" s="41">
        <f>'Central pensions'!M29</f>
        <v>7211.7396611130098</v>
      </c>
      <c r="J29" s="9">
        <f>'Central pensions'!W29</f>
        <v>39676.863808243768</v>
      </c>
      <c r="K29" s="9"/>
      <c r="L29" s="41">
        <f>'Central pensions'!N29</f>
        <v>3094461.0022649867</v>
      </c>
      <c r="M29" s="41"/>
      <c r="N29" s="41">
        <f>'Central pensions'!L29</f>
        <v>686850.35289778747</v>
      </c>
      <c r="O29" s="9"/>
      <c r="P29" s="9">
        <f>'Central pensions'!X29</f>
        <v>19836020.839228489</v>
      </c>
      <c r="Q29" s="41"/>
      <c r="R29" s="41">
        <f>'Central SIPA income'!G24</f>
        <v>19867388.189124092</v>
      </c>
      <c r="S29" s="41"/>
      <c r="T29" s="9">
        <f>'Central SIPA income'!J24</f>
        <v>75964680.681424886</v>
      </c>
      <c r="U29" s="9"/>
      <c r="V29" s="41">
        <f>'Central SIPA income'!F24</f>
        <v>111977.056282442</v>
      </c>
      <c r="W29" s="41"/>
      <c r="X29" s="41">
        <f>'Central SIPA income'!M24</f>
        <v>281254.08150035166</v>
      </c>
      <c r="Y29" s="9"/>
      <c r="Z29" s="9">
        <f t="shared" si="10"/>
        <v>-365143.82489008643</v>
      </c>
      <c r="AA29" s="9"/>
      <c r="AB29" s="9">
        <f t="shared" si="11"/>
        <v>-34997167.053079508</v>
      </c>
      <c r="AC29" s="23"/>
      <c r="AD29" s="9">
        <f>16923844.884968*1000</f>
        <v>16923844884.968002</v>
      </c>
      <c r="AE29" s="9">
        <v>680214.58547724294</v>
      </c>
      <c r="AF29" s="48">
        <v>298.099530285664</v>
      </c>
      <c r="AG29" s="9">
        <f t="shared" si="12"/>
        <v>4963232196.242033</v>
      </c>
      <c r="AH29" s="42">
        <f t="shared" si="20"/>
        <v>-2.067999823251248E-2</v>
      </c>
      <c r="AI29" s="42"/>
      <c r="AJ29" s="42">
        <f t="shared" si="13"/>
        <v>-7.0512854666719008E-3</v>
      </c>
      <c r="AK29" s="43">
        <f t="shared" si="4"/>
        <v>2040</v>
      </c>
      <c r="AL29" s="44">
        <f>SUM(AB114:AB117)/AVERAGE(AG114:AG117)</f>
        <v>-8.4804117953724591E-3</v>
      </c>
      <c r="AM29" s="9">
        <v>3427469.19706586</v>
      </c>
      <c r="AN29" s="44">
        <f>AM29/AVERAGE(AG114:AG117)</f>
        <v>4.0256746422083874E-4</v>
      </c>
      <c r="AO29" s="44">
        <f>'GDP evolution by scenario'!G113</f>
        <v>1.2051879048398773E-2</v>
      </c>
      <c r="AP29" s="44"/>
      <c r="AQ29" s="9">
        <f t="shared" si="7"/>
        <v>710322962.07193995</v>
      </c>
      <c r="AR29" s="9">
        <f t="shared" si="8"/>
        <v>426715624.20467681</v>
      </c>
      <c r="AS29" s="45">
        <f>AQ29/AG117</f>
        <v>8.2633252215324526E-2</v>
      </c>
      <c r="AT29" s="45">
        <f>AR29/AG117</f>
        <v>4.9640658801557297E-2</v>
      </c>
      <c r="AW29" s="46">
        <f>workers_and_wage_central!C17</f>
        <v>11538154</v>
      </c>
      <c r="AY29" s="42">
        <f t="shared" si="14"/>
        <v>1.4037517857173854E-3</v>
      </c>
      <c r="AZ29" s="47">
        <f>workers_and_wage_central!B17</f>
        <v>6004.7550431554</v>
      </c>
      <c r="BA29" s="42">
        <f t="shared" si="15"/>
        <v>-5.3257160808281828E-2</v>
      </c>
      <c r="BB29" s="12">
        <v>47.142882950167099</v>
      </c>
      <c r="BC29" s="12">
        <v>12.2792900390599</v>
      </c>
      <c r="BD29" s="12">
        <f t="shared" si="18"/>
        <v>53.28252796969705</v>
      </c>
      <c r="BE29" s="42">
        <f t="shared" si="19"/>
        <v>3.9582363931627729E-2</v>
      </c>
      <c r="BF29" s="7"/>
      <c r="BG29" s="49">
        <f>(BB29-BB25)/BB25</f>
        <v>-0.10333682755921168</v>
      </c>
      <c r="BI29" s="42">
        <f t="shared" si="5"/>
        <v>1.25521731202806E-2</v>
      </c>
      <c r="BJ29" s="7">
        <f t="shared" si="6"/>
        <v>2040</v>
      </c>
      <c r="BK29" s="42">
        <f>SUM(T114:T117)/AVERAGE(AG114:AG117)</f>
        <v>6.6912487424277467E-2</v>
      </c>
      <c r="BL29" s="42">
        <f>SUM(P114:P117)/AVERAGE(AG114:AG117)</f>
        <v>8.4574285136364315E-3</v>
      </c>
      <c r="BM29" s="42">
        <f>SUM(D114:D117)/AVERAGE(AG114:AG117)</f>
        <v>6.6935470706013495E-2</v>
      </c>
      <c r="BN29" s="42">
        <f>(SUM(H114:H117)+SUM(J114:J117))/AVERAGE(AG114:AG117)</f>
        <v>1.3005815384788975E-2</v>
      </c>
      <c r="BO29" s="44">
        <f t="shared" si="2"/>
        <v>-2.1486227180161434E-2</v>
      </c>
      <c r="BP29" s="26">
        <f t="shared" si="9"/>
        <v>7.9941286090802477E-2</v>
      </c>
    </row>
    <row r="30" spans="1:68" x14ac:dyDescent="0.2">
      <c r="A30" s="5">
        <f t="shared" si="16"/>
        <v>2019</v>
      </c>
      <c r="B30" s="5">
        <f t="shared" si="17"/>
        <v>1</v>
      </c>
      <c r="C30" s="6"/>
      <c r="D30" s="6">
        <f>'Central pensions'!Q30</f>
        <v>90613526.749111831</v>
      </c>
      <c r="E30" s="6"/>
      <c r="F30" s="8">
        <f>'Central pensions'!I30</f>
        <v>16470081.099356418</v>
      </c>
      <c r="G30" s="6">
        <f>'Central pensions'!K30</f>
        <v>189879.95484707999</v>
      </c>
      <c r="H30" s="6">
        <f>'Central pensions'!V30</f>
        <v>1044663.4879246803</v>
      </c>
      <c r="I30" s="8">
        <f>'Central pensions'!M30</f>
        <v>5872.5759231050033</v>
      </c>
      <c r="J30" s="6">
        <f>'Central pensions'!W30</f>
        <v>32309.180038904538</v>
      </c>
      <c r="K30" s="6"/>
      <c r="L30" s="8">
        <f>'Central pensions'!N30</f>
        <v>3259887.1306636832</v>
      </c>
      <c r="M30" s="8"/>
      <c r="N30" s="8">
        <f>'Central pensions'!L30</f>
        <v>683471.59393079393</v>
      </c>
      <c r="O30" s="6"/>
      <c r="P30" s="6">
        <f>'Central pensions'!X30</f>
        <v>20675828.870950717</v>
      </c>
      <c r="Q30" s="8"/>
      <c r="R30" s="8">
        <f>'Central SIPA income'!G25</f>
        <v>15669892.614039298</v>
      </c>
      <c r="S30" s="8"/>
      <c r="T30" s="6">
        <f>'Central SIPA income'!J25</f>
        <v>59915192.546010934</v>
      </c>
      <c r="U30" s="6"/>
      <c r="V30" s="8">
        <f>'Central SIPA income'!F25</f>
        <v>112983.375310289</v>
      </c>
      <c r="W30" s="8"/>
      <c r="X30" s="8">
        <f>'Central SIPA income'!M25</f>
        <v>283781.66476847703</v>
      </c>
      <c r="Y30" s="6"/>
      <c r="Z30" s="6">
        <f t="shared" si="10"/>
        <v>-4630563.8346013092</v>
      </c>
      <c r="AA30" s="6"/>
      <c r="AB30" s="6">
        <f t="shared" si="11"/>
        <v>-51374163.074051619</v>
      </c>
      <c r="AC30" s="23"/>
      <c r="AD30" s="6">
        <f>17555535.0481123*1000</f>
        <v>17555535048.112301</v>
      </c>
      <c r="AE30" s="6">
        <v>666284.64985939302</v>
      </c>
      <c r="AF30" s="6">
        <v>326.494679287868</v>
      </c>
      <c r="AG30" s="6">
        <f t="shared" si="12"/>
        <v>4861591469.2917519</v>
      </c>
      <c r="AH30" s="35">
        <f t="shared" si="20"/>
        <v>-2.0478737026899438E-2</v>
      </c>
      <c r="AI30" s="35"/>
      <c r="AJ30" s="35">
        <f t="shared" si="13"/>
        <v>-1.0567355031486413E-2</v>
      </c>
      <c r="AK30" s="5"/>
      <c r="AL30" s="5"/>
      <c r="AM30" s="6"/>
      <c r="AN30" s="5"/>
      <c r="AO30" s="5"/>
      <c r="AP30" s="5"/>
      <c r="AQ30" s="5"/>
      <c r="AR30" s="50">
        <f>(AR29-AR6)/AR6</f>
        <v>-0.265139291209182</v>
      </c>
      <c r="AS30" s="38"/>
      <c r="AT30" s="5"/>
      <c r="AU30" s="35">
        <f>AVERAGE(AH30:AH33)</f>
        <v>-1.5781212837801404E-2</v>
      </c>
      <c r="AV30" s="5"/>
      <c r="AW30" s="39">
        <f>workers_and_wage_central!C18</f>
        <v>11452346</v>
      </c>
      <c r="AX30" s="5"/>
      <c r="AY30" s="35">
        <f t="shared" si="14"/>
        <v>-7.4368915512828138E-3</v>
      </c>
      <c r="AZ30" s="40">
        <f>workers_and_wage_central!B18</f>
        <v>5984.6603814234404</v>
      </c>
      <c r="BA30" s="35">
        <f t="shared" si="15"/>
        <v>-3.346458196469608E-3</v>
      </c>
      <c r="BB30" s="11">
        <v>48.222214917215901</v>
      </c>
      <c r="BC30" s="11">
        <v>13.7158643683573</v>
      </c>
      <c r="BD30" s="11">
        <f t="shared" si="18"/>
        <v>55.080147101394552</v>
      </c>
      <c r="BE30" s="35">
        <f t="shared" si="19"/>
        <v>3.3737497078213829E-2</v>
      </c>
      <c r="BF30" s="5"/>
      <c r="BG30" s="5"/>
      <c r="BH30" s="5"/>
      <c r="BI30" s="35">
        <f t="shared" si="5"/>
        <v>1.436590264073876E-2</v>
      </c>
      <c r="BJ30" s="5"/>
      <c r="BK30" s="5"/>
      <c r="BL30" s="5"/>
      <c r="BM30" s="5"/>
      <c r="BN30" s="5"/>
      <c r="BO30" s="5"/>
      <c r="BP30" s="5"/>
    </row>
    <row r="31" spans="1:68" x14ac:dyDescent="0.2">
      <c r="A31" s="7">
        <f t="shared" si="16"/>
        <v>2019</v>
      </c>
      <c r="B31" s="7">
        <f t="shared" si="17"/>
        <v>2</v>
      </c>
      <c r="C31" s="9"/>
      <c r="D31" s="9">
        <f>'Central pensions'!Q31</f>
        <v>91502867.489038065</v>
      </c>
      <c r="E31" s="9"/>
      <c r="F31" s="41">
        <f>'Central pensions'!I31</f>
        <v>16631729.306164462</v>
      </c>
      <c r="G31" s="9">
        <f>'Central pensions'!K31</f>
        <v>192650.576848536</v>
      </c>
      <c r="H31" s="9">
        <f>'Central pensions'!V31</f>
        <v>1059906.6327110422</v>
      </c>
      <c r="I31" s="41">
        <f>'Central pensions'!M31</f>
        <v>5958.265263356996</v>
      </c>
      <c r="J31" s="9">
        <f>'Central pensions'!W31</f>
        <v>32780.617506528251</v>
      </c>
      <c r="K31" s="9"/>
      <c r="L31" s="41">
        <f>'Central pensions'!N31</f>
        <v>2983997.2260328452</v>
      </c>
      <c r="M31" s="41"/>
      <c r="N31" s="41">
        <f>'Central pensions'!L31</f>
        <v>691212.61579434574</v>
      </c>
      <c r="O31" s="9"/>
      <c r="P31" s="9">
        <f>'Central pensions'!X31</f>
        <v>19286823.662618436</v>
      </c>
      <c r="Q31" s="41"/>
      <c r="R31" s="41">
        <f>'Central SIPA income'!G26</f>
        <v>18569149.433389377</v>
      </c>
      <c r="S31" s="41"/>
      <c r="T31" s="9">
        <f>'Central SIPA income'!J26</f>
        <v>71000752.278313234</v>
      </c>
      <c r="U31" s="9"/>
      <c r="V31" s="41">
        <f>'Central SIPA income'!F26</f>
        <v>111109.744064318</v>
      </c>
      <c r="W31" s="41"/>
      <c r="X31" s="41">
        <f>'Central SIPA income'!M26</f>
        <v>279075.64326147514</v>
      </c>
      <c r="Y31" s="9"/>
      <c r="Z31" s="9">
        <f t="shared" si="10"/>
        <v>-1626679.9705379605</v>
      </c>
      <c r="AA31" s="9"/>
      <c r="AB31" s="9">
        <f t="shared" si="11"/>
        <v>-39788938.873343267</v>
      </c>
      <c r="AC31" s="23"/>
      <c r="AD31" s="9">
        <f>21502303.7133428*1000</f>
        <v>21502303713.3428</v>
      </c>
      <c r="AE31" s="9">
        <v>751809.18971574702</v>
      </c>
      <c r="AF31" s="9">
        <v>364.36140508200901</v>
      </c>
      <c r="AG31" s="9">
        <f t="shared" si="12"/>
        <v>5485627117.5218229</v>
      </c>
      <c r="AH31" s="42">
        <f t="shared" si="20"/>
        <v>0.12836036350890298</v>
      </c>
      <c r="AI31" s="42"/>
      <c r="AJ31" s="42">
        <f t="shared" si="13"/>
        <v>-7.2533072374263464E-3</v>
      </c>
      <c r="AK31" s="7"/>
      <c r="AL31" s="7"/>
      <c r="AM31" s="7">
        <v>1000</v>
      </c>
      <c r="AN31" s="7"/>
      <c r="AO31" s="7"/>
      <c r="AP31" s="7"/>
      <c r="AQ31" s="7"/>
      <c r="AR31" s="7">
        <f>AR28*(1+AO29)-AM29*((1+AO29)^(11/12)+(1+AO29)^(10/12)+(1+AO29)^(9/12)+(1+AO29)^(8/12)+(1+AO29)^(7/12)+(1+AO29)^(6/12)+(1+AO29)^(5/12)+(1+AO29)^(4/12)+(1+AO29)^(3/12)+(1+AO29)^(2/12)+(1+AO29)^(1/12)+1)/12</f>
        <v>426715624.20467722</v>
      </c>
      <c r="AS31" s="7"/>
      <c r="AT31" s="7"/>
      <c r="AU31" s="7"/>
      <c r="AV31" s="7"/>
      <c r="AW31" s="46">
        <f>workers_and_wage_central!C19</f>
        <v>11487356</v>
      </c>
      <c r="AX31" s="7"/>
      <c r="AY31" s="42">
        <f t="shared" si="14"/>
        <v>3.0570155669414809E-3</v>
      </c>
      <c r="AZ31" s="47">
        <f>workers_and_wage_central!B19</f>
        <v>5957.7182370473902</v>
      </c>
      <c r="BA31" s="42">
        <f t="shared" si="15"/>
        <v>-4.5018668828191877E-3</v>
      </c>
      <c r="BB31" s="12">
        <v>42.462046450139397</v>
      </c>
      <c r="BC31" s="12">
        <v>11.539586945375801</v>
      </c>
      <c r="BD31" s="12">
        <f t="shared" si="18"/>
        <v>48.231839922827298</v>
      </c>
      <c r="BE31" s="42">
        <f t="shared" si="19"/>
        <v>-0.12433349471562805</v>
      </c>
      <c r="BF31" s="7"/>
      <c r="BG31" s="7"/>
      <c r="BH31" s="7"/>
      <c r="BI31" s="42">
        <f t="shared" si="5"/>
        <v>1.2802613555641659E-2</v>
      </c>
      <c r="BJ31" s="7"/>
      <c r="BK31" s="7"/>
      <c r="BL31" s="7"/>
      <c r="BM31" s="7"/>
      <c r="BN31" s="7"/>
      <c r="BO31" s="7"/>
      <c r="BP31" s="7"/>
    </row>
    <row r="32" spans="1:68" x14ac:dyDescent="0.2">
      <c r="A32" s="7">
        <f t="shared" si="16"/>
        <v>2019</v>
      </c>
      <c r="B32" s="7">
        <f t="shared" si="17"/>
        <v>3</v>
      </c>
      <c r="C32" s="9">
        <f>SUM(C26:C29)</f>
        <v>32580997.09473744</v>
      </c>
      <c r="D32" s="9">
        <f>'Central pensions'!Q32</f>
        <v>93624687.691483334</v>
      </c>
      <c r="E32" s="9"/>
      <c r="F32" s="41">
        <f>'Central pensions'!I32</f>
        <v>17017395.244422063</v>
      </c>
      <c r="G32" s="9">
        <f>'Central pensions'!K32</f>
        <v>183887.34693403699</v>
      </c>
      <c r="H32" s="9">
        <f>'Central pensions'!V32</f>
        <v>1011693.9272922996</v>
      </c>
      <c r="I32" s="41">
        <f>'Central pensions'!M32</f>
        <v>5687.2375340420112</v>
      </c>
      <c r="J32" s="9">
        <f>'Central pensions'!W32</f>
        <v>31289.502905945374</v>
      </c>
      <c r="K32" s="9"/>
      <c r="L32" s="41">
        <f>'Central pensions'!N32</f>
        <v>2899259.2346299156</v>
      </c>
      <c r="M32" s="41"/>
      <c r="N32" s="41">
        <f>'Central pensions'!L32</f>
        <v>708658.98842895776</v>
      </c>
      <c r="O32" s="9"/>
      <c r="P32" s="9">
        <f>'Central pensions'!X32</f>
        <v>18943102.617124688</v>
      </c>
      <c r="Q32" s="41"/>
      <c r="R32" s="41">
        <f>'Central SIPA income'!G27</f>
        <v>15920829.024889918</v>
      </c>
      <c r="S32" s="41"/>
      <c r="T32" s="9">
        <f>'Central SIPA income'!J27</f>
        <v>60874669.661983602</v>
      </c>
      <c r="U32" s="9"/>
      <c r="V32" s="41">
        <f>'Central SIPA income'!F27</f>
        <v>109390.258252687</v>
      </c>
      <c r="W32" s="41"/>
      <c r="X32" s="41">
        <f>'Central SIPA income'!M27</f>
        <v>274756.79064417339</v>
      </c>
      <c r="Y32" s="9"/>
      <c r="Z32" s="9">
        <f t="shared" si="10"/>
        <v>-4595094.1843383312</v>
      </c>
      <c r="AA32" s="9"/>
      <c r="AB32" s="9">
        <f t="shared" si="11"/>
        <v>-51693120.646624416</v>
      </c>
      <c r="AC32" s="23"/>
      <c r="AD32" s="9"/>
      <c r="AE32" s="9"/>
      <c r="AF32" s="9">
        <v>397.614228233701</v>
      </c>
      <c r="AG32" s="9">
        <f>(AVERAGE(AG26:AG29)*(1-0.031)*4-(AG30+AG31))/2*1.05</f>
        <v>5069990023.3072987</v>
      </c>
      <c r="AH32" s="42">
        <f t="shared" si="20"/>
        <v>-7.5768382595113704E-2</v>
      </c>
      <c r="AI32" s="42"/>
      <c r="AJ32" s="42">
        <f t="shared" si="13"/>
        <v>-1.0195901847732537E-2</v>
      </c>
      <c r="AK32" s="7"/>
      <c r="AL32" s="7"/>
      <c r="AM32" s="7"/>
      <c r="AN32" s="7"/>
      <c r="AO32" s="7"/>
      <c r="AP32" s="7"/>
      <c r="AQ32" s="7"/>
      <c r="AR32" s="7">
        <f>AR28*(1+AO29)</f>
        <v>430161985.02878582</v>
      </c>
      <c r="AS32" s="7"/>
      <c r="AT32" s="7"/>
      <c r="AU32" s="9"/>
      <c r="AW32" s="46">
        <f>workers_and_wage_central!C20</f>
        <v>11445931</v>
      </c>
      <c r="AY32" s="42">
        <f t="shared" si="14"/>
        <v>-3.6061387842424315E-3</v>
      </c>
      <c r="AZ32" s="47">
        <f>workers_and_wage_central!B20</f>
        <v>5902.6327097858002</v>
      </c>
      <c r="BA32" s="42">
        <f t="shared" si="15"/>
        <v>-9.2460779563301437E-3</v>
      </c>
      <c r="BB32" s="12">
        <f>(4*45-(BB30+BB31))/2</f>
        <v>44.657869316322348</v>
      </c>
      <c r="BC32" s="12">
        <f>(4*12-(BC30+BC31))/2</f>
        <v>11.37227434313345</v>
      </c>
      <c r="BD32" s="12">
        <f t="shared" si="18"/>
        <v>50.344006487889075</v>
      </c>
      <c r="BE32" s="42">
        <f t="shared" si="19"/>
        <v>4.3791955033051222E-2</v>
      </c>
      <c r="BF32" s="7"/>
      <c r="BG32" s="7"/>
      <c r="BH32">
        <v>1</v>
      </c>
      <c r="BI32" s="42">
        <f t="shared" si="5"/>
        <v>1.5141271219987937E-2</v>
      </c>
    </row>
    <row r="33" spans="1:68" ht="48" customHeight="1" x14ac:dyDescent="0.2">
      <c r="A33" s="7">
        <f t="shared" si="16"/>
        <v>2019</v>
      </c>
      <c r="B33" s="7">
        <f t="shared" si="17"/>
        <v>4</v>
      </c>
      <c r="C33" s="9"/>
      <c r="D33" s="9">
        <f>'Central pensions'!Q33</f>
        <v>92511888.125423566</v>
      </c>
      <c r="E33" s="9"/>
      <c r="F33" s="41">
        <f>'Central pensions'!I33</f>
        <v>16815130.750831842</v>
      </c>
      <c r="G33" s="9">
        <f>'Central pensions'!K33</f>
        <v>190348.194341756</v>
      </c>
      <c r="H33" s="9">
        <f>'Central pensions'!V33</f>
        <v>1047239.6034714017</v>
      </c>
      <c r="I33" s="41">
        <f>'Central pensions'!M33</f>
        <v>5887.0575569620123</v>
      </c>
      <c r="J33" s="9">
        <f>'Central pensions'!W33</f>
        <v>32388.853715613041</v>
      </c>
      <c r="K33" s="9"/>
      <c r="L33" s="41">
        <f>'Central pensions'!N33</f>
        <v>3099283.3893298707</v>
      </c>
      <c r="M33" s="41"/>
      <c r="N33" s="41">
        <f>'Central pensions'!L33</f>
        <v>701694.10453113914</v>
      </c>
      <c r="O33" s="9"/>
      <c r="P33" s="9">
        <f>'Central pensions'!X33</f>
        <v>19942710.170504756</v>
      </c>
      <c r="Q33" s="41"/>
      <c r="R33" s="41">
        <f>'Central SIPA income'!G28</f>
        <v>18340752.416047744</v>
      </c>
      <c r="S33" s="41"/>
      <c r="T33" s="9">
        <f>'Central SIPA income'!J28</f>
        <v>70127456.486949727</v>
      </c>
      <c r="U33" s="9"/>
      <c r="V33" s="41">
        <f>'Central SIPA income'!F28</f>
        <v>108953.57795993501</v>
      </c>
      <c r="W33" s="41"/>
      <c r="X33" s="41">
        <f>'Central SIPA income'!M28</f>
        <v>273659.97564720229</v>
      </c>
      <c r="Y33" s="9"/>
      <c r="Z33" s="9">
        <f t="shared" si="10"/>
        <v>-2166402.2506851722</v>
      </c>
      <c r="AA33" s="9"/>
      <c r="AB33" s="9">
        <f t="shared" si="11"/>
        <v>-42327141.808978595</v>
      </c>
      <c r="AC33" s="23"/>
      <c r="AD33" s="9"/>
      <c r="AE33" s="42"/>
      <c r="AF33" s="42"/>
      <c r="AG33" s="9">
        <f>(AVERAGE(AG26:AG29)*(1-0.031)*4-(AG30+AG31))/2*0.95</f>
        <v>4587133830.6113644</v>
      </c>
      <c r="AH33" s="42">
        <f t="shared" si="20"/>
        <v>-9.5238095238095455E-2</v>
      </c>
      <c r="AI33" s="42">
        <f>(AG33-AG29)/AG29</f>
        <v>-7.5776903187289066E-2</v>
      </c>
      <c r="AJ33" s="42">
        <f t="shared" si="13"/>
        <v>-9.2273614357001044E-3</v>
      </c>
      <c r="AK33" s="7" t="s">
        <v>58</v>
      </c>
      <c r="AL33" s="7"/>
      <c r="AM33" s="7"/>
      <c r="AN33" s="7"/>
      <c r="AO33" s="7"/>
      <c r="AP33" s="7"/>
      <c r="AQ33" s="7"/>
      <c r="AR33" s="7"/>
      <c r="AS33" s="7"/>
      <c r="AT33" s="7"/>
      <c r="AW33" s="46">
        <f>workers_and_wage_central!C21</f>
        <v>11546507</v>
      </c>
      <c r="AY33" s="42">
        <f t="shared" si="14"/>
        <v>8.7870527963168753E-3</v>
      </c>
      <c r="AZ33" s="47">
        <f>workers_and_wage_central!B21</f>
        <v>5855.1155803566398</v>
      </c>
      <c r="BA33" s="42">
        <f t="shared" si="15"/>
        <v>-8.0501585928569007E-3</v>
      </c>
      <c r="BB33" s="12">
        <f>BB32</f>
        <v>44.657869316322348</v>
      </c>
      <c r="BC33" s="12">
        <f>BC32</f>
        <v>11.37227434313345</v>
      </c>
      <c r="BD33" s="12">
        <f t="shared" si="18"/>
        <v>50.344006487889075</v>
      </c>
      <c r="BE33" s="42">
        <f t="shared" si="19"/>
        <v>0</v>
      </c>
      <c r="BF33" s="7"/>
      <c r="BG33" s="49">
        <f>(BB33-BB29)/BB29</f>
        <v>-5.2712381558666282E-2</v>
      </c>
      <c r="BH33">
        <f t="shared" ref="BH33:BH64" si="21">BH32+1</f>
        <v>2</v>
      </c>
      <c r="BI33" s="42">
        <f t="shared" si="5"/>
        <v>1.3482197202479571E-2</v>
      </c>
    </row>
    <row r="34" spans="1:68" x14ac:dyDescent="0.2">
      <c r="A34" s="5">
        <f t="shared" si="16"/>
        <v>2020</v>
      </c>
      <c r="B34" s="5">
        <f t="shared" si="17"/>
        <v>1</v>
      </c>
      <c r="C34" s="6"/>
      <c r="D34" s="6">
        <f>'Central pensions'!Q34</f>
        <v>102677656.28467913</v>
      </c>
      <c r="E34" s="6"/>
      <c r="F34" s="8">
        <f>'Central pensions'!I34</f>
        <v>18662879.448261671</v>
      </c>
      <c r="G34" s="6">
        <f>'Central pensions'!K34</f>
        <v>210837.34448046199</v>
      </c>
      <c r="H34" s="6">
        <f>'Central pensions'!V34</f>
        <v>1159964.8622579388</v>
      </c>
      <c r="I34" s="8">
        <f>'Central pensions'!M34</f>
        <v>6520.7426127979998</v>
      </c>
      <c r="J34" s="6">
        <f>'Central pensions'!W34</f>
        <v>35875.201925504392</v>
      </c>
      <c r="K34" s="6"/>
      <c r="L34" s="8">
        <f>'Central pensions'!N34</f>
        <v>3406176.4611303397</v>
      </c>
      <c r="M34" s="8"/>
      <c r="N34" s="8">
        <f>'Central pensions'!L34</f>
        <v>694210.67568269745</v>
      </c>
      <c r="O34" s="6"/>
      <c r="P34" s="6">
        <f>'Central pensions'!X34</f>
        <v>21494008.161430016</v>
      </c>
      <c r="Q34" s="8"/>
      <c r="R34" s="8">
        <f>'Central SIPA income'!G29</f>
        <v>16188646.353615467</v>
      </c>
      <c r="S34" s="8"/>
      <c r="T34" s="6">
        <f>'Central SIPA income'!J29</f>
        <v>61898692.430548906</v>
      </c>
      <c r="U34" s="6"/>
      <c r="V34" s="8">
        <f>'Central SIPA income'!F29</f>
        <v>111389.774040333</v>
      </c>
      <c r="W34" s="8"/>
      <c r="X34" s="8">
        <f>'Central SIPA income'!M29</f>
        <v>279778.99782634247</v>
      </c>
      <c r="Y34" s="6"/>
      <c r="Z34" s="6">
        <f t="shared" si="10"/>
        <v>-6463230.4574189074</v>
      </c>
      <c r="AA34" s="6"/>
      <c r="AB34" s="6">
        <f t="shared" si="11"/>
        <v>-62272972.01556024</v>
      </c>
      <c r="AC34" s="23"/>
      <c r="AD34" s="35"/>
      <c r="AE34" s="35"/>
      <c r="AF34" s="6"/>
      <c r="AG34" s="6">
        <f>AVERAGE($AG$30:$AG$33)*0.95</f>
        <v>4751031329.6739063</v>
      </c>
      <c r="AH34" s="35">
        <f t="shared" si="20"/>
        <v>3.5729827189432149E-2</v>
      </c>
      <c r="AI34" s="35"/>
      <c r="AJ34" s="35">
        <f t="shared" si="13"/>
        <v>-1.3107253498122992E-2</v>
      </c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35">
        <f>AVERAGE(AH34:AH37)</f>
        <v>3.4429477961901704E-2</v>
      </c>
      <c r="AV34" s="5"/>
      <c r="AW34" s="39">
        <f>workers_and_wage_central!C22</f>
        <v>11506452</v>
      </c>
      <c r="AX34" s="5"/>
      <c r="AY34" s="35">
        <f t="shared" si="14"/>
        <v>-3.469014482042058E-3</v>
      </c>
      <c r="AZ34" s="40">
        <f>workers_and_wage_central!B22</f>
        <v>5905.76889726852</v>
      </c>
      <c r="BA34" s="35">
        <f t="shared" si="15"/>
        <v>8.6511216075421827E-3</v>
      </c>
      <c r="BB34" s="11">
        <f>BB33*3/4+BB37*1/4</f>
        <v>45.243401987241761</v>
      </c>
      <c r="BC34" s="11">
        <f t="shared" ref="BC34:BC53" si="22">$BC$33</f>
        <v>11.37227434313345</v>
      </c>
      <c r="BD34" s="11">
        <f t="shared" si="18"/>
        <v>50.929539158808488</v>
      </c>
      <c r="BE34" s="35">
        <f t="shared" si="19"/>
        <v>1.163063315312951E-2</v>
      </c>
      <c r="BF34" s="5"/>
      <c r="BG34" s="5"/>
      <c r="BH34" s="5">
        <f t="shared" si="21"/>
        <v>3</v>
      </c>
      <c r="BI34" s="35">
        <f t="shared" si="5"/>
        <v>1.5966513178075518E-2</v>
      </c>
      <c r="BJ34" s="5"/>
      <c r="BK34" s="5"/>
      <c r="BL34" s="5"/>
      <c r="BM34" s="5"/>
      <c r="BN34" s="5"/>
      <c r="BO34" s="5"/>
      <c r="BP34" s="5"/>
    </row>
    <row r="35" spans="1:68" x14ac:dyDescent="0.2">
      <c r="A35" s="7">
        <f t="shared" si="16"/>
        <v>2020</v>
      </c>
      <c r="B35" s="7">
        <f t="shared" si="17"/>
        <v>2</v>
      </c>
      <c r="C35" s="9"/>
      <c r="D35" s="9">
        <f>'Central pensions'!Q35</f>
        <v>91881420.754929706</v>
      </c>
      <c r="E35" s="9"/>
      <c r="F35" s="41">
        <f>'Central pensions'!I35</f>
        <v>16700535.843260456</v>
      </c>
      <c r="G35" s="9">
        <f>'Central pensions'!K35</f>
        <v>236049.166978844</v>
      </c>
      <c r="H35" s="9">
        <f>'Central pensions'!V35</f>
        <v>1298672.8709537957</v>
      </c>
      <c r="I35" s="41">
        <f>'Central pensions'!M35</f>
        <v>7300.4897003759979</v>
      </c>
      <c r="J35" s="9">
        <f>'Central pensions'!W35</f>
        <v>40165.140338773774</v>
      </c>
      <c r="K35" s="9"/>
      <c r="L35" s="41">
        <f>'Central pensions'!N35</f>
        <v>2526033.4012735975</v>
      </c>
      <c r="M35" s="41"/>
      <c r="N35" s="41">
        <f>'Central pensions'!L35</f>
        <v>699626.38093462214</v>
      </c>
      <c r="O35" s="9"/>
      <c r="P35" s="9">
        <f>'Central pensions'!X35</f>
        <v>16956737.252214015</v>
      </c>
      <c r="Q35" s="41"/>
      <c r="R35" s="41">
        <f>'Central SIPA income'!G30</f>
        <v>19149132.71026095</v>
      </c>
      <c r="S35" s="41"/>
      <c r="T35" s="9">
        <f>'Central SIPA income'!J30</f>
        <v>73218368.605568275</v>
      </c>
      <c r="U35" s="9"/>
      <c r="V35" s="41">
        <f>'Central SIPA income'!F30</f>
        <v>112918.38552621201</v>
      </c>
      <c r="W35" s="41"/>
      <c r="X35" s="41">
        <f>'Central SIPA income'!M30</f>
        <v>283618.42916795029</v>
      </c>
      <c r="Y35" s="9"/>
      <c r="Z35" s="9">
        <f t="shared" si="10"/>
        <v>-664144.52968151122</v>
      </c>
      <c r="AA35" s="9"/>
      <c r="AB35" s="9">
        <f t="shared" si="11"/>
        <v>-35619789.401575446</v>
      </c>
      <c r="AC35" s="23"/>
      <c r="AD35" s="9"/>
      <c r="AE35" s="51"/>
      <c r="AF35" s="42">
        <f>AVERAGE(AG34:AG37)/AVERAGE(AG30:AG33)-1</f>
        <v>0</v>
      </c>
      <c r="AG35" s="9">
        <f>AVERAGE($AG$30:$AG$33)*0.975</f>
        <v>4876058469.928483</v>
      </c>
      <c r="AH35" s="42">
        <f t="shared" si="20"/>
        <v>2.6315789473684254E-2</v>
      </c>
      <c r="AI35" s="42"/>
      <c r="AJ35" s="42">
        <f t="shared" si="13"/>
        <v>-7.3050373823958436E-3</v>
      </c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46">
        <f>workers_and_wage_central!C23</f>
        <v>11578075</v>
      </c>
      <c r="AX35" s="7"/>
      <c r="AY35" s="42">
        <f t="shared" si="14"/>
        <v>6.22459468826707E-3</v>
      </c>
      <c r="AZ35" s="47">
        <f>workers_and_wage_central!B23</f>
        <v>5929.7431110960197</v>
      </c>
      <c r="BA35" s="42">
        <f t="shared" si="15"/>
        <v>4.0594568200235451E-3</v>
      </c>
      <c r="BB35" s="12">
        <f>BB33*2/4+BB37*2/4</f>
        <v>45.828934658161174</v>
      </c>
      <c r="BC35" s="12">
        <f t="shared" si="22"/>
        <v>11.37227434313345</v>
      </c>
      <c r="BD35" s="12">
        <f t="shared" si="18"/>
        <v>51.515071829727901</v>
      </c>
      <c r="BE35" s="42">
        <f t="shared" si="19"/>
        <v>1.1496916732224971E-2</v>
      </c>
      <c r="BF35" s="7"/>
      <c r="BG35" s="7">
        <f>AVERAGE(BF34:BF37)</f>
        <v>100</v>
      </c>
      <c r="BH35" s="7">
        <f t="shared" si="21"/>
        <v>4</v>
      </c>
      <c r="BI35" s="42">
        <f t="shared" si="5"/>
        <v>1.3895231864851308E-2</v>
      </c>
      <c r="BJ35" s="7"/>
      <c r="BK35" s="7"/>
      <c r="BL35" s="7"/>
      <c r="BM35" s="7"/>
      <c r="BN35" s="7"/>
      <c r="BO35" s="7"/>
      <c r="BP35" s="7"/>
    </row>
    <row r="36" spans="1:68" x14ac:dyDescent="0.2">
      <c r="A36" s="7">
        <f t="shared" si="16"/>
        <v>2020</v>
      </c>
      <c r="B36" s="7">
        <f t="shared" si="17"/>
        <v>3</v>
      </c>
      <c r="C36" s="9"/>
      <c r="D36" s="9">
        <f>'Central pensions'!Q36</f>
        <v>90833490.772284105</v>
      </c>
      <c r="E36" s="9"/>
      <c r="F36" s="41">
        <f>'Central pensions'!I36</f>
        <v>16510062.164331617</v>
      </c>
      <c r="G36" s="9">
        <f>'Central pensions'!K36</f>
        <v>257833.91551158301</v>
      </c>
      <c r="H36" s="9">
        <f>'Central pensions'!V36</f>
        <v>1418526.1298409761</v>
      </c>
      <c r="I36" s="41">
        <f>'Central pensions'!M36</f>
        <v>7974.2448096369917</v>
      </c>
      <c r="J36" s="9">
        <f>'Central pensions'!W36</f>
        <v>43871.942160032406</v>
      </c>
      <c r="K36" s="9"/>
      <c r="L36" s="41">
        <f>'Central pensions'!N36</f>
        <v>2488205.02393106</v>
      </c>
      <c r="M36" s="41"/>
      <c r="N36" s="41">
        <f>'Central pensions'!L36</f>
        <v>693344.83174676262</v>
      </c>
      <c r="O36" s="9"/>
      <c r="P36" s="9">
        <f>'Central pensions'!X36</f>
        <v>16725886.392080087</v>
      </c>
      <c r="Q36" s="41"/>
      <c r="R36" s="41">
        <f>'Central SIPA income'!G31</f>
        <v>16828140.749053061</v>
      </c>
      <c r="S36" s="41"/>
      <c r="T36" s="9">
        <f>'Central SIPA income'!J31</f>
        <v>64343854.677570939</v>
      </c>
      <c r="U36" s="9"/>
      <c r="V36" s="41">
        <f>'Central SIPA income'!F31</f>
        <v>113607.38660062299</v>
      </c>
      <c r="W36" s="41"/>
      <c r="X36" s="41">
        <f>'Central SIPA income'!M31</f>
        <v>285349.00122234889</v>
      </c>
      <c r="Y36" s="9"/>
      <c r="Z36" s="9">
        <f t="shared" si="10"/>
        <v>-2749863.8843557537</v>
      </c>
      <c r="AA36" s="9"/>
      <c r="AB36" s="9">
        <f t="shared" si="11"/>
        <v>-43215522.48679325</v>
      </c>
      <c r="AC36" s="23"/>
      <c r="AD36" s="9"/>
      <c r="AE36" s="9"/>
      <c r="AF36" s="9"/>
      <c r="AG36" s="9">
        <f>AVERAGE($AG$30:$AG$33)*1.025</f>
        <v>5126112750.4376354</v>
      </c>
      <c r="AH36" s="42">
        <f t="shared" si="20"/>
        <v>5.1282051282051169E-2</v>
      </c>
      <c r="AI36" s="42"/>
      <c r="AJ36" s="42">
        <f t="shared" si="13"/>
        <v>-8.4304666305094009E-3</v>
      </c>
      <c r="AK36" s="7"/>
      <c r="AL36" s="42"/>
      <c r="AM36" s="42"/>
      <c r="AN36" s="42"/>
      <c r="AO36" s="42"/>
      <c r="AP36" s="42"/>
      <c r="AQ36" s="42"/>
      <c r="AR36" s="42"/>
      <c r="AS36" s="42"/>
      <c r="AT36" s="42"/>
      <c r="AU36" s="9"/>
      <c r="AW36" s="46">
        <f>workers_and_wage_central!C24</f>
        <v>11571670</v>
      </c>
      <c r="AY36" s="42">
        <f t="shared" si="14"/>
        <v>-5.5320076955797919E-4</v>
      </c>
      <c r="AZ36" s="47">
        <f>workers_and_wage_central!B24</f>
        <v>5976.4023583588996</v>
      </c>
      <c r="BA36" s="42">
        <f t="shared" si="15"/>
        <v>7.8686793658175377E-3</v>
      </c>
      <c r="BB36" s="12">
        <f>BB33*1/4+BB37*3/4</f>
        <v>46.414467329080587</v>
      </c>
      <c r="BC36" s="12">
        <f t="shared" si="22"/>
        <v>11.37227434313345</v>
      </c>
      <c r="BD36" s="12">
        <f t="shared" si="18"/>
        <v>52.100604500647314</v>
      </c>
      <c r="BE36" s="42">
        <f t="shared" si="19"/>
        <v>1.1366240017188778E-2</v>
      </c>
      <c r="BF36" s="7"/>
      <c r="BG36" s="7"/>
      <c r="BH36">
        <f t="shared" si="21"/>
        <v>5</v>
      </c>
      <c r="BI36" s="42">
        <f t="shared" si="5"/>
        <v>1.6251849482930406E-2</v>
      </c>
    </row>
    <row r="37" spans="1:68" x14ac:dyDescent="0.2">
      <c r="A37" s="7">
        <f t="shared" si="16"/>
        <v>2020</v>
      </c>
      <c r="B37" s="7">
        <f t="shared" si="17"/>
        <v>4</v>
      </c>
      <c r="C37" s="9"/>
      <c r="D37" s="9">
        <f>'Central pensions'!Q37</f>
        <v>92436845.169439152</v>
      </c>
      <c r="E37" s="9"/>
      <c r="F37" s="41">
        <f>'Central pensions'!I37</f>
        <v>16801490.805281319</v>
      </c>
      <c r="G37" s="9">
        <f>'Central pensions'!K37</f>
        <v>284321.13535638299</v>
      </c>
      <c r="H37" s="9">
        <f>'Central pensions'!V37</f>
        <v>1564250.9984337708</v>
      </c>
      <c r="I37" s="41">
        <f>'Central pensions'!M37</f>
        <v>8793.4371759700007</v>
      </c>
      <c r="J37" s="9">
        <f>'Central pensions'!W37</f>
        <v>48378.896858773078</v>
      </c>
      <c r="K37" s="9"/>
      <c r="L37" s="41">
        <f>'Central pensions'!N37</f>
        <v>2440185.8973180903</v>
      </c>
      <c r="M37" s="41"/>
      <c r="N37" s="41">
        <f>'Central pensions'!L37</f>
        <v>707215.84798102826</v>
      </c>
      <c r="O37" s="9"/>
      <c r="P37" s="9">
        <f>'Central pensions'!X37</f>
        <v>16553029.154521557</v>
      </c>
      <c r="Q37" s="41"/>
      <c r="R37" s="41">
        <f>'Central SIPA income'!G32</f>
        <v>19729476.771359231</v>
      </c>
      <c r="S37" s="41"/>
      <c r="T37" s="9">
        <f>'Central SIPA income'!J32</f>
        <v>75437364.422583908</v>
      </c>
      <c r="U37" s="9"/>
      <c r="V37" s="41">
        <f>'Central SIPA income'!F32</f>
        <v>118314.78195352601</v>
      </c>
      <c r="W37" s="41"/>
      <c r="X37" s="41">
        <f>'Central SIPA income'!M32</f>
        <v>297172.62116910185</v>
      </c>
      <c r="Y37" s="9"/>
      <c r="Z37" s="9">
        <f t="shared" si="10"/>
        <v>-101100.99726768211</v>
      </c>
      <c r="AA37" s="9"/>
      <c r="AB37" s="9">
        <f t="shared" si="11"/>
        <v>-33552509.901376799</v>
      </c>
      <c r="AC37" s="23"/>
      <c r="AD37" s="9"/>
      <c r="AE37" s="9"/>
      <c r="AF37" s="9"/>
      <c r="AG37" s="9">
        <f>AVERAGE($AG$30:$AG$33)*1.05</f>
        <v>5251139890.6922131</v>
      </c>
      <c r="AH37" s="42">
        <f t="shared" si="20"/>
        <v>2.4390243902439251E-2</v>
      </c>
      <c r="AI37" s="42">
        <f>(AG37-AG33)/AG33</f>
        <v>0.14475401952516201</v>
      </c>
      <c r="AJ37" s="42">
        <f t="shared" si="13"/>
        <v>-6.3895669511394139E-3</v>
      </c>
      <c r="AK37" s="49"/>
      <c r="AW37" s="46">
        <f>workers_and_wage_central!C25</f>
        <v>11631336</v>
      </c>
      <c r="AY37" s="42">
        <f t="shared" si="14"/>
        <v>5.1562134073992781E-3</v>
      </c>
      <c r="AZ37" s="47">
        <f>workers_and_wage_central!B25</f>
        <v>5989.7690141576204</v>
      </c>
      <c r="BA37" s="42">
        <f t="shared" si="15"/>
        <v>2.2365722716151302E-3</v>
      </c>
      <c r="BB37" s="52">
        <v>47</v>
      </c>
      <c r="BC37" s="12">
        <f t="shared" si="22"/>
        <v>11.37227434313345</v>
      </c>
      <c r="BD37" s="12">
        <f t="shared" si="18"/>
        <v>52.686137171566727</v>
      </c>
      <c r="BE37" s="42">
        <f t="shared" si="19"/>
        <v>1.1238500522813277E-2</v>
      </c>
      <c r="BF37" s="7">
        <v>100</v>
      </c>
      <c r="BG37" s="49">
        <f>(BB37-BB33)/BB33</f>
        <v>5.2446091126466012E-2</v>
      </c>
      <c r="BH37">
        <f t="shared" si="21"/>
        <v>6</v>
      </c>
      <c r="BI37" s="42">
        <f t="shared" si="5"/>
        <v>1.416414830863324E-2</v>
      </c>
    </row>
    <row r="38" spans="1:68" x14ac:dyDescent="0.2">
      <c r="A38" s="5">
        <f t="shared" si="16"/>
        <v>2021</v>
      </c>
      <c r="B38" s="5">
        <f t="shared" si="17"/>
        <v>1</v>
      </c>
      <c r="C38" s="6"/>
      <c r="D38" s="6">
        <f>'Central pensions'!Q38</f>
        <v>98283020.472461924</v>
      </c>
      <c r="E38" s="6"/>
      <c r="F38" s="8">
        <f>'Central pensions'!I38</f>
        <v>17864102.369098235</v>
      </c>
      <c r="G38" s="6">
        <f>'Central pensions'!K38</f>
        <v>325568.515989665</v>
      </c>
      <c r="H38" s="6">
        <f>'Central pensions'!V38</f>
        <v>1791181.9167333017</v>
      </c>
      <c r="I38" s="8">
        <f>'Central pensions'!M38</f>
        <v>10069.129360504972</v>
      </c>
      <c r="J38" s="6">
        <f>'Central pensions'!W38</f>
        <v>55397.378868039537</v>
      </c>
      <c r="K38" s="6"/>
      <c r="L38" s="8">
        <f>'Central pensions'!N38</f>
        <v>2993775.9862075262</v>
      </c>
      <c r="M38" s="8"/>
      <c r="N38" s="8">
        <f>'Central pensions'!L38</f>
        <v>754882.96141029522</v>
      </c>
      <c r="O38" s="6"/>
      <c r="P38" s="6">
        <f>'Central pensions'!X38</f>
        <v>19687861.151441045</v>
      </c>
      <c r="Q38" s="8"/>
      <c r="R38" s="8">
        <f>'Central SIPA income'!G33</f>
        <v>17513000.910879534</v>
      </c>
      <c r="S38" s="8"/>
      <c r="T38" s="6">
        <f>'Central SIPA income'!J33</f>
        <v>66962476.864308946</v>
      </c>
      <c r="U38" s="6"/>
      <c r="V38" s="8">
        <f>'Central SIPA income'!F33</f>
        <v>119239.518208525</v>
      </c>
      <c r="W38" s="8"/>
      <c r="X38" s="8">
        <f>'Central SIPA income'!M33</f>
        <v>299495.29203279916</v>
      </c>
      <c r="Y38" s="6"/>
      <c r="Z38" s="6">
        <f t="shared" si="10"/>
        <v>-3980520.8876279965</v>
      </c>
      <c r="AA38" s="6"/>
      <c r="AB38" s="6">
        <f t="shared" si="11"/>
        <v>-51008404.759594023</v>
      </c>
      <c r="AC38" s="23"/>
      <c r="AD38" s="6"/>
      <c r="AE38" s="6"/>
      <c r="AF38" s="6"/>
      <c r="AG38" s="6">
        <f t="shared" ref="AG38:AG69" si="23">BF38/100*$AG$37</f>
        <v>5230375545.8432121</v>
      </c>
      <c r="AH38" s="35">
        <f t="shared" si="20"/>
        <v>-3.9542547487272798E-3</v>
      </c>
      <c r="AI38" s="35"/>
      <c r="AJ38" s="35">
        <f t="shared" si="13"/>
        <v>-9.7523407855736929E-3</v>
      </c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35">
        <f>AVERAGE(AH38:AH41)</f>
        <v>-3.8596497873540645E-3</v>
      </c>
      <c r="AV38" s="5"/>
      <c r="AW38" s="39">
        <f>workers_and_wage_central!C26</f>
        <v>11645402</v>
      </c>
      <c r="AX38" s="5"/>
      <c r="AY38" s="35">
        <f t="shared" si="14"/>
        <v>1.2093193765531319E-3</v>
      </c>
      <c r="AZ38" s="40">
        <f>workers_and_wage_central!B26</f>
        <v>6074.1674263638197</v>
      </c>
      <c r="BA38" s="35">
        <f t="shared" si="15"/>
        <v>1.4090428530167414E-2</v>
      </c>
      <c r="BB38" s="11">
        <f>BB37*3/4+BB41*1/4</f>
        <v>48</v>
      </c>
      <c r="BC38" s="11">
        <f t="shared" si="22"/>
        <v>11.37227434313345</v>
      </c>
      <c r="BD38" s="11">
        <f t="shared" si="18"/>
        <v>53.686137171566727</v>
      </c>
      <c r="BE38" s="35">
        <f t="shared" si="19"/>
        <v>1.8980324876420651E-2</v>
      </c>
      <c r="BF38" s="5">
        <f t="shared" ref="BF38:BF69" si="24">BF37*(1+AY38)*(1+BA38)*(1-BE38)</f>
        <v>99.604574525127276</v>
      </c>
      <c r="BG38" s="5"/>
      <c r="BH38" s="5">
        <f t="shared" si="21"/>
        <v>7</v>
      </c>
      <c r="BI38" s="35">
        <f t="shared" si="5"/>
        <v>1.6389455419379216E-2</v>
      </c>
      <c r="BJ38" s="5"/>
      <c r="BK38" s="5"/>
      <c r="BL38" s="5"/>
      <c r="BM38" s="5"/>
      <c r="BN38" s="5"/>
      <c r="BO38" s="5"/>
      <c r="BP38" s="5"/>
    </row>
    <row r="39" spans="1:68" x14ac:dyDescent="0.2">
      <c r="A39" s="7">
        <f t="shared" si="16"/>
        <v>2021</v>
      </c>
      <c r="B39" s="7">
        <f t="shared" si="17"/>
        <v>2</v>
      </c>
      <c r="C39" s="9"/>
      <c r="D39" s="9">
        <f>'Central pensions'!Q39</f>
        <v>97817856.147809863</v>
      </c>
      <c r="E39" s="9"/>
      <c r="F39" s="41">
        <f>'Central pensions'!I39</f>
        <v>17779553.246837944</v>
      </c>
      <c r="G39" s="9">
        <f>'Central pensions'!K39</f>
        <v>335718.39612165297</v>
      </c>
      <c r="H39" s="9">
        <f>'Central pensions'!V39</f>
        <v>1847023.5625207112</v>
      </c>
      <c r="I39" s="41">
        <f>'Central pensions'!M39</f>
        <v>10383.043179020053</v>
      </c>
      <c r="J39" s="9">
        <f>'Central pensions'!W39</f>
        <v>57124.440077959356</v>
      </c>
      <c r="K39" s="9"/>
      <c r="L39" s="41">
        <f>'Central pensions'!N39</f>
        <v>2714144.089037322</v>
      </c>
      <c r="M39" s="41"/>
      <c r="N39" s="41">
        <f>'Central pensions'!L39</f>
        <v>753639.24844698608</v>
      </c>
      <c r="O39" s="9"/>
      <c r="P39" s="9">
        <f>'Central pensions'!X39</f>
        <v>18230007.365941267</v>
      </c>
      <c r="Q39" s="41"/>
      <c r="R39" s="41">
        <f>'Central SIPA income'!G34</f>
        <v>20456828.905546606</v>
      </c>
      <c r="S39" s="41"/>
      <c r="T39" s="9">
        <f>'Central SIPA income'!J34</f>
        <v>78218458.348495305</v>
      </c>
      <c r="U39" s="9"/>
      <c r="V39" s="41">
        <f>'Central SIPA income'!F34</f>
        <v>117016.753711992</v>
      </c>
      <c r="W39" s="41"/>
      <c r="X39" s="41">
        <f>'Central SIPA income'!M34</f>
        <v>293912.3484582947</v>
      </c>
      <c r="Y39" s="9"/>
      <c r="Z39" s="9">
        <f t="shared" si="10"/>
        <v>-673490.92506365478</v>
      </c>
      <c r="AA39" s="9"/>
      <c r="AB39" s="9">
        <f t="shared" si="11"/>
        <v>-37829405.16525583</v>
      </c>
      <c r="AC39" s="23"/>
      <c r="AD39" s="9"/>
      <c r="AE39" s="9"/>
      <c r="AF39" s="9"/>
      <c r="AG39" s="9">
        <f t="shared" si="23"/>
        <v>5165910920.692009</v>
      </c>
      <c r="AH39" s="42">
        <f t="shared" si="20"/>
        <v>-1.2325047137855285E-2</v>
      </c>
      <c r="AI39" s="42"/>
      <c r="AJ39" s="42">
        <f t="shared" si="13"/>
        <v>-7.3228914989088359E-3</v>
      </c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46">
        <f>workers_and_wage_central!C27</f>
        <v>11654580</v>
      </c>
      <c r="AX39" s="7"/>
      <c r="AY39" s="42">
        <f t="shared" si="14"/>
        <v>7.8812221338516266E-4</v>
      </c>
      <c r="AZ39" s="47">
        <f>workers_and_wage_central!B27</f>
        <v>6108.3576146625101</v>
      </c>
      <c r="BA39" s="42">
        <f t="shared" si="15"/>
        <v>5.6287859551407944E-3</v>
      </c>
      <c r="BB39" s="12">
        <f>BB37*2/4+BB41*2/4</f>
        <v>49</v>
      </c>
      <c r="BC39" s="12">
        <f t="shared" si="22"/>
        <v>11.37227434313345</v>
      </c>
      <c r="BD39" s="12">
        <f t="shared" si="18"/>
        <v>54.686137171566727</v>
      </c>
      <c r="BE39" s="42">
        <f t="shared" si="19"/>
        <v>1.8626782493295524E-2</v>
      </c>
      <c r="BF39" s="7">
        <f t="shared" si="24"/>
        <v>98.376943448959054</v>
      </c>
      <c r="BG39" s="7"/>
      <c r="BH39" s="7">
        <f t="shared" si="21"/>
        <v>8</v>
      </c>
      <c r="BI39" s="42">
        <f t="shared" ref="BI39:BI70" si="25">T46/AG46</f>
        <v>1.4271426490233734E-2</v>
      </c>
      <c r="BJ39" s="7"/>
      <c r="BK39" s="7"/>
      <c r="BL39" s="7"/>
      <c r="BM39" s="7"/>
      <c r="BN39" s="7"/>
      <c r="BO39" s="7"/>
      <c r="BP39" s="7"/>
    </row>
    <row r="40" spans="1:68" x14ac:dyDescent="0.2">
      <c r="A40" s="7">
        <f t="shared" si="16"/>
        <v>2021</v>
      </c>
      <c r="B40" s="7">
        <f t="shared" si="17"/>
        <v>3</v>
      </c>
      <c r="C40" s="9"/>
      <c r="D40" s="9">
        <f>'Central pensions'!Q40</f>
        <v>98557452.339261726</v>
      </c>
      <c r="E40" s="9"/>
      <c r="F40" s="41">
        <f>'Central pensions'!I40</f>
        <v>17913983.609400857</v>
      </c>
      <c r="G40" s="9">
        <f>'Central pensions'!K40</f>
        <v>362830.91941344301</v>
      </c>
      <c r="H40" s="9">
        <f>'Central pensions'!V40</f>
        <v>1996188.6661845017</v>
      </c>
      <c r="I40" s="41">
        <f>'Central pensions'!M40</f>
        <v>11221.57482722</v>
      </c>
      <c r="J40" s="9">
        <f>'Central pensions'!W40</f>
        <v>61737.793799521292</v>
      </c>
      <c r="K40" s="9"/>
      <c r="L40" s="41">
        <f>'Central pensions'!N40</f>
        <v>2586463.0344596123</v>
      </c>
      <c r="M40" s="41"/>
      <c r="N40" s="41">
        <f>'Central pensions'!L40</f>
        <v>761458.93836247921</v>
      </c>
      <c r="O40" s="9"/>
      <c r="P40" s="9">
        <f>'Central pensions'!X40</f>
        <v>17610491.393500853</v>
      </c>
      <c r="Q40" s="41"/>
      <c r="R40" s="41">
        <f>'Central SIPA income'!G35</f>
        <v>18189862.057449859</v>
      </c>
      <c r="S40" s="41"/>
      <c r="T40" s="9">
        <f>'Central SIPA income'!J35</f>
        <v>69550514.122926816</v>
      </c>
      <c r="U40" s="9"/>
      <c r="V40" s="41">
        <f>'Central SIPA income'!F35</f>
        <v>113726.38175592</v>
      </c>
      <c r="W40" s="41"/>
      <c r="X40" s="41">
        <f>'Central SIPA income'!M35</f>
        <v>285647.88274519972</v>
      </c>
      <c r="Y40" s="9"/>
      <c r="Z40" s="9">
        <f t="shared" si="10"/>
        <v>-2958317.1430171728</v>
      </c>
      <c r="AA40" s="9"/>
      <c r="AB40" s="9">
        <f t="shared" si="11"/>
        <v>-46617429.609835759</v>
      </c>
      <c r="AC40" s="23"/>
      <c r="AD40" s="9"/>
      <c r="AE40" s="9"/>
      <c r="AF40" s="9"/>
      <c r="AG40" s="9">
        <f t="shared" si="23"/>
        <v>5158692836.0709238</v>
      </c>
      <c r="AH40" s="42">
        <f t="shared" si="20"/>
        <v>-1.3972530173087566E-3</v>
      </c>
      <c r="AI40" s="42"/>
      <c r="AJ40" s="42">
        <f t="shared" si="13"/>
        <v>-9.0366748110828673E-3</v>
      </c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9"/>
      <c r="AW40" s="46">
        <f>workers_and_wage_central!C28</f>
        <v>11726547</v>
      </c>
      <c r="AY40" s="42">
        <f t="shared" si="14"/>
        <v>6.174997297199899E-3</v>
      </c>
      <c r="AZ40" s="47">
        <f>workers_and_wage_central!B28</f>
        <v>6175.3102400733096</v>
      </c>
      <c r="BA40" s="42">
        <f t="shared" si="15"/>
        <v>1.0960822799583048E-2</v>
      </c>
      <c r="BB40" s="12">
        <f>BB37*1/4+BB41*3/4</f>
        <v>50</v>
      </c>
      <c r="BC40" s="12">
        <f t="shared" si="22"/>
        <v>11.37227434313345</v>
      </c>
      <c r="BD40" s="12">
        <f t="shared" si="18"/>
        <v>55.686137171566727</v>
      </c>
      <c r="BE40" s="42">
        <f t="shared" si="19"/>
        <v>1.828616998239796E-2</v>
      </c>
      <c r="BF40" s="7">
        <f t="shared" si="24"/>
        <v>98.239485967891397</v>
      </c>
      <c r="BG40" s="7"/>
      <c r="BH40">
        <f t="shared" si="21"/>
        <v>9</v>
      </c>
      <c r="BI40" s="42">
        <f t="shared" si="25"/>
        <v>1.6460480720380349E-2</v>
      </c>
    </row>
    <row r="41" spans="1:68" x14ac:dyDescent="0.2">
      <c r="A41" s="7">
        <f t="shared" si="16"/>
        <v>2021</v>
      </c>
      <c r="B41" s="7">
        <f t="shared" si="17"/>
        <v>4</v>
      </c>
      <c r="C41" s="9"/>
      <c r="D41" s="9">
        <f>'Central pensions'!Q41</f>
        <v>99732092.439975426</v>
      </c>
      <c r="E41" s="9"/>
      <c r="F41" s="41">
        <f>'Central pensions'!I41</f>
        <v>18127488.352184754</v>
      </c>
      <c r="G41" s="9">
        <f>'Central pensions'!K41</f>
        <v>392174.62454874499</v>
      </c>
      <c r="H41" s="9">
        <f>'Central pensions'!V41</f>
        <v>2157629.0740462234</v>
      </c>
      <c r="I41" s="41">
        <f>'Central pensions'!M41</f>
        <v>12129.112099446007</v>
      </c>
      <c r="J41" s="9">
        <f>'Central pensions'!W41</f>
        <v>66730.79610452395</v>
      </c>
      <c r="K41" s="9"/>
      <c r="L41" s="41">
        <f>'Central pensions'!N41</f>
        <v>2600374.5394509011</v>
      </c>
      <c r="M41" s="41"/>
      <c r="N41" s="41">
        <f>'Central pensions'!L41</f>
        <v>772196.99669675529</v>
      </c>
      <c r="O41" s="9"/>
      <c r="P41" s="9">
        <f>'Central pensions'!X41</f>
        <v>17741755.887748938</v>
      </c>
      <c r="Q41" s="41"/>
      <c r="R41" s="41">
        <f>'Central SIPA income'!G36</f>
        <v>21589851.742595531</v>
      </c>
      <c r="S41" s="41"/>
      <c r="T41" s="9">
        <f>'Central SIPA income'!J36</f>
        <v>82550669.366967291</v>
      </c>
      <c r="U41" s="9"/>
      <c r="V41" s="41">
        <f>'Central SIPA income'!F36</f>
        <v>110454.350249526</v>
      </c>
      <c r="W41" s="41"/>
      <c r="X41" s="41">
        <f>'Central SIPA income'!M36</f>
        <v>277429.48295399756</v>
      </c>
      <c r="Y41" s="9"/>
      <c r="Z41" s="9">
        <f t="shared" si="10"/>
        <v>200246.20451264456</v>
      </c>
      <c r="AA41" s="9"/>
      <c r="AB41" s="9">
        <f t="shared" si="11"/>
        <v>-34923178.960757077</v>
      </c>
      <c r="AC41" s="23"/>
      <c r="AD41" s="9"/>
      <c r="AE41" s="9"/>
      <c r="AF41" s="9"/>
      <c r="AG41" s="9">
        <f t="shared" si="23"/>
        <v>5170237762.388978</v>
      </c>
      <c r="AH41" s="42">
        <f t="shared" si="20"/>
        <v>2.2379557544750617E-3</v>
      </c>
      <c r="AI41" s="42">
        <f>(AG41-AG37)/AG37</f>
        <v>-1.5406584091700976E-2</v>
      </c>
      <c r="AJ41" s="42">
        <f t="shared" si="13"/>
        <v>-6.7546562780548703E-3</v>
      </c>
      <c r="AK41" s="49"/>
      <c r="AL41" s="7"/>
      <c r="AM41" s="7"/>
      <c r="AN41" s="7"/>
      <c r="AO41" s="7"/>
      <c r="AP41" s="7"/>
      <c r="AQ41" s="7"/>
      <c r="AR41" s="7"/>
      <c r="AS41" s="7"/>
      <c r="AT41" s="7"/>
      <c r="AW41" s="46">
        <f>workers_and_wage_central!C29</f>
        <v>11809053</v>
      </c>
      <c r="AY41" s="42">
        <f t="shared" si="14"/>
        <v>7.0358307522239922E-3</v>
      </c>
      <c r="AZ41" s="47">
        <f>workers_and_wage_central!B29</f>
        <v>6258.2736459001899</v>
      </c>
      <c r="BA41" s="42">
        <f t="shared" si="15"/>
        <v>1.343469438806614E-2</v>
      </c>
      <c r="BB41" s="52">
        <v>51</v>
      </c>
      <c r="BC41" s="12">
        <f t="shared" si="22"/>
        <v>11.37227434313345</v>
      </c>
      <c r="BD41" s="12">
        <f t="shared" si="18"/>
        <v>56.686137171566727</v>
      </c>
      <c r="BE41" s="42">
        <f t="shared" si="19"/>
        <v>1.79577907679076E-2</v>
      </c>
      <c r="BF41" s="7">
        <f t="shared" si="24"/>
        <v>98.459341590829908</v>
      </c>
      <c r="BG41" s="49">
        <f>(BB41-BB37)/BB37</f>
        <v>8.5106382978723402E-2</v>
      </c>
      <c r="BH41">
        <f t="shared" si="21"/>
        <v>10</v>
      </c>
      <c r="BI41" s="42">
        <f t="shared" si="25"/>
        <v>1.4308698890026452E-2</v>
      </c>
    </row>
    <row r="42" spans="1:68" x14ac:dyDescent="0.2">
      <c r="A42" s="5">
        <f t="shared" si="16"/>
        <v>2022</v>
      </c>
      <c r="B42" s="5">
        <f t="shared" si="17"/>
        <v>1</v>
      </c>
      <c r="C42" s="6"/>
      <c r="D42" s="6">
        <f>'Central pensions'!Q42</f>
        <v>100804681.69509368</v>
      </c>
      <c r="E42" s="6"/>
      <c r="F42" s="8">
        <f>'Central pensions'!I42</f>
        <v>18322444.145782854</v>
      </c>
      <c r="G42" s="6">
        <f>'Central pensions'!K42</f>
        <v>408857.62587504397</v>
      </c>
      <c r="H42" s="6">
        <f>'Central pensions'!V42</f>
        <v>2249414.0250623501</v>
      </c>
      <c r="I42" s="8">
        <f>'Central pensions'!M42</f>
        <v>12645.08121263003</v>
      </c>
      <c r="J42" s="6">
        <f>'Central pensions'!W42</f>
        <v>69569.505929762323</v>
      </c>
      <c r="K42" s="6"/>
      <c r="L42" s="8">
        <f>'Central pensions'!N42</f>
        <v>3189497.7481075027</v>
      </c>
      <c r="M42" s="8"/>
      <c r="N42" s="8">
        <f>'Central pensions'!L42</f>
        <v>782235.51227967069</v>
      </c>
      <c r="O42" s="6"/>
      <c r="P42" s="6">
        <f>'Central pensions'!X42</f>
        <v>20853947.968938217</v>
      </c>
      <c r="Q42" s="8"/>
      <c r="R42" s="8">
        <f>'Central SIPA income'!G37</f>
        <v>18834303.659685403</v>
      </c>
      <c r="S42" s="8"/>
      <c r="T42" s="6">
        <f>'Central SIPA income'!J37</f>
        <v>72014592.443923637</v>
      </c>
      <c r="U42" s="6"/>
      <c r="V42" s="8">
        <f>'Central SIPA income'!F37</f>
        <v>114253.34691885499</v>
      </c>
      <c r="W42" s="8"/>
      <c r="X42" s="8">
        <f>'Central SIPA income'!M37</f>
        <v>286971.46730622026</v>
      </c>
      <c r="Y42" s="6"/>
      <c r="Z42" s="6">
        <f t="shared" si="10"/>
        <v>-3345620.3995657694</v>
      </c>
      <c r="AA42" s="6"/>
      <c r="AB42" s="6">
        <f t="shared" si="11"/>
        <v>-49644037.220108256</v>
      </c>
      <c r="AC42" s="23"/>
      <c r="AD42" s="6"/>
      <c r="AE42" s="6"/>
      <c r="AF42" s="6"/>
      <c r="AG42" s="6">
        <f t="shared" si="23"/>
        <v>5182683753.9924898</v>
      </c>
      <c r="AH42" s="35">
        <f t="shared" si="20"/>
        <v>2.4072377665202331E-3</v>
      </c>
      <c r="AI42" s="35"/>
      <c r="AJ42" s="35">
        <f t="shared" si="13"/>
        <v>-9.5788281856605435E-3</v>
      </c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35">
        <f>AVERAGE(AH42:AH45)</f>
        <v>6.3978256691360983E-3</v>
      </c>
      <c r="AV42" s="5"/>
      <c r="AW42" s="39">
        <f>workers_and_wage_central!C30</f>
        <v>11839180</v>
      </c>
      <c r="AX42" s="5"/>
      <c r="AY42" s="35">
        <f t="shared" si="14"/>
        <v>2.5511783205647395E-3</v>
      </c>
      <c r="AZ42" s="40">
        <f>workers_and_wage_central!B30</f>
        <v>6271.2039053219096</v>
      </c>
      <c r="BA42" s="35">
        <f t="shared" si="15"/>
        <v>2.0661064301958666E-3</v>
      </c>
      <c r="BB42" s="11">
        <f>BB41*3/4+BB45*1/4</f>
        <v>51.125</v>
      </c>
      <c r="BC42" s="11">
        <f t="shared" si="22"/>
        <v>11.37227434313345</v>
      </c>
      <c r="BD42" s="11">
        <f t="shared" si="18"/>
        <v>56.811137171566727</v>
      </c>
      <c r="BE42" s="35">
        <f t="shared" si="19"/>
        <v>2.2051246783967304E-3</v>
      </c>
      <c r="BF42" s="5">
        <f t="shared" si="24"/>
        <v>98.696356636374077</v>
      </c>
      <c r="BG42" s="5"/>
      <c r="BH42" s="5">
        <f t="shared" si="21"/>
        <v>11</v>
      </c>
      <c r="BI42" s="35">
        <f t="shared" si="25"/>
        <v>1.6643728687088844E-2</v>
      </c>
      <c r="BJ42" s="5"/>
      <c r="BK42" s="5"/>
      <c r="BL42" s="5"/>
      <c r="BM42" s="5"/>
      <c r="BN42" s="5"/>
      <c r="BO42" s="5"/>
      <c r="BP42" s="5"/>
    </row>
    <row r="43" spans="1:68" x14ac:dyDescent="0.2">
      <c r="A43" s="7">
        <f t="shared" si="16"/>
        <v>2022</v>
      </c>
      <c r="B43" s="7">
        <f t="shared" si="17"/>
        <v>2</v>
      </c>
      <c r="C43" s="9"/>
      <c r="D43" s="9">
        <f>'Central pensions'!Q43</f>
        <v>102264233.69305888</v>
      </c>
      <c r="E43" s="9"/>
      <c r="F43" s="41">
        <f>'Central pensions'!I43</f>
        <v>18587734.998458449</v>
      </c>
      <c r="G43" s="9">
        <f>'Central pensions'!K43</f>
        <v>435362.70703035197</v>
      </c>
      <c r="H43" s="9">
        <f>'Central pensions'!V43</f>
        <v>2395237.1613156213</v>
      </c>
      <c r="I43" s="41">
        <f>'Central pensions'!M43</f>
        <v>13464.825990630023</v>
      </c>
      <c r="J43" s="9">
        <f>'Central pensions'!W43</f>
        <v>74079.499834506947</v>
      </c>
      <c r="K43" s="9"/>
      <c r="L43" s="41">
        <f>'Central pensions'!N43</f>
        <v>2663575.1312489612</v>
      </c>
      <c r="M43" s="41"/>
      <c r="N43" s="41">
        <f>'Central pensions'!L43</f>
        <v>795318.93309577182</v>
      </c>
      <c r="O43" s="9"/>
      <c r="P43" s="9">
        <f>'Central pensions'!X43</f>
        <v>18196914.131025277</v>
      </c>
      <c r="Q43" s="41"/>
      <c r="R43" s="41">
        <f>'Central SIPA income'!G38</f>
        <v>22153427.12536145</v>
      </c>
      <c r="S43" s="41"/>
      <c r="T43" s="9">
        <f>'Central SIPA income'!J38</f>
        <v>84705548.689009294</v>
      </c>
      <c r="U43" s="9"/>
      <c r="V43" s="41">
        <f>'Central SIPA income'!F38</f>
        <v>122503.405754929</v>
      </c>
      <c r="W43" s="41"/>
      <c r="X43" s="41">
        <f>'Central SIPA income'!M38</f>
        <v>307693.23654447525</v>
      </c>
      <c r="Y43" s="9"/>
      <c r="Z43" s="9">
        <f t="shared" si="10"/>
        <v>229301.46831319481</v>
      </c>
      <c r="AA43" s="9"/>
      <c r="AB43" s="9">
        <f t="shared" si="11"/>
        <v>-35755599.135074861</v>
      </c>
      <c r="AC43" s="23"/>
      <c r="AD43" s="9"/>
      <c r="AE43" s="9"/>
      <c r="AF43" s="9"/>
      <c r="AG43" s="9">
        <f t="shared" si="23"/>
        <v>5212055943.4159765</v>
      </c>
      <c r="AH43" s="42">
        <f t="shared" si="20"/>
        <v>5.6673705781989476E-3</v>
      </c>
      <c r="AI43" s="42"/>
      <c r="AJ43" s="42">
        <f t="shared" si="13"/>
        <v>-6.8601717869591159E-3</v>
      </c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46">
        <f>workers_and_wage_central!C31</f>
        <v>11849452</v>
      </c>
      <c r="AX43" s="7"/>
      <c r="AY43" s="42">
        <f t="shared" si="14"/>
        <v>8.6762765664513924E-4</v>
      </c>
      <c r="AZ43" s="47">
        <f>workers_and_wage_central!B31</f>
        <v>6315.1730823546604</v>
      </c>
      <c r="BA43" s="42">
        <f t="shared" si="15"/>
        <v>7.0112816767825782E-3</v>
      </c>
      <c r="BB43" s="12">
        <f>BB41*2/4+BB45*2/4</f>
        <v>51.25</v>
      </c>
      <c r="BC43" s="12">
        <f t="shared" si="22"/>
        <v>11.37227434313345</v>
      </c>
      <c r="BD43" s="12">
        <f t="shared" si="18"/>
        <v>56.936137171566727</v>
      </c>
      <c r="BE43" s="42">
        <f t="shared" si="19"/>
        <v>2.2002728025405371E-3</v>
      </c>
      <c r="BF43" s="7">
        <f t="shared" si="24"/>
        <v>99.255705464150495</v>
      </c>
      <c r="BG43" s="7"/>
      <c r="BH43" s="7">
        <f t="shared" si="21"/>
        <v>12</v>
      </c>
      <c r="BI43" s="42">
        <f t="shared" si="25"/>
        <v>1.4506994689490476E-2</v>
      </c>
      <c r="BJ43" s="7"/>
      <c r="BK43" s="7"/>
      <c r="BL43" s="7"/>
      <c r="BM43" s="7"/>
      <c r="BN43" s="7"/>
      <c r="BO43" s="7"/>
      <c r="BP43" s="7"/>
    </row>
    <row r="44" spans="1:68" x14ac:dyDescent="0.2">
      <c r="A44" s="7">
        <f t="shared" si="16"/>
        <v>2022</v>
      </c>
      <c r="B44" s="7">
        <f t="shared" si="17"/>
        <v>3</v>
      </c>
      <c r="C44" s="9"/>
      <c r="D44" s="9">
        <f>'Central pensions'!Q44</f>
        <v>103169817.85358556</v>
      </c>
      <c r="E44" s="9"/>
      <c r="F44" s="41">
        <f>'Central pensions'!I44</f>
        <v>18752335.63923765</v>
      </c>
      <c r="G44" s="9">
        <f>'Central pensions'!K44</f>
        <v>470923.64956414897</v>
      </c>
      <c r="H44" s="9">
        <f>'Central pensions'!V44</f>
        <v>2590882.974962268</v>
      </c>
      <c r="I44" s="41">
        <f>'Central pensions'!M44</f>
        <v>14564.648955592012</v>
      </c>
      <c r="J44" s="9">
        <f>'Central pensions'!W44</f>
        <v>80130.401287491593</v>
      </c>
      <c r="K44" s="9"/>
      <c r="L44" s="41">
        <f>'Central pensions'!N44</f>
        <v>2721973.8518822338</v>
      </c>
      <c r="M44" s="41"/>
      <c r="N44" s="41">
        <f>'Central pensions'!L44</f>
        <v>803540.99345960841</v>
      </c>
      <c r="O44" s="9"/>
      <c r="P44" s="9">
        <f>'Central pensions'!X44</f>
        <v>18545180.720228996</v>
      </c>
      <c r="Q44" s="41"/>
      <c r="R44" s="41">
        <f>'Central SIPA income'!G39</f>
        <v>19523177.203776568</v>
      </c>
      <c r="S44" s="41"/>
      <c r="T44" s="9">
        <f>'Central SIPA income'!J39</f>
        <v>74648560.145597368</v>
      </c>
      <c r="U44" s="9"/>
      <c r="V44" s="41">
        <f>'Central SIPA income'!F39</f>
        <v>125587.57657147299</v>
      </c>
      <c r="W44" s="41"/>
      <c r="X44" s="41">
        <f>'Central SIPA income'!M39</f>
        <v>315439.78444451396</v>
      </c>
      <c r="Y44" s="9"/>
      <c r="Z44" s="9">
        <f t="shared" si="10"/>
        <v>-2629085.7042314522</v>
      </c>
      <c r="AA44" s="9"/>
      <c r="AB44" s="9">
        <f t="shared" si="11"/>
        <v>-47066438.428217188</v>
      </c>
      <c r="AC44" s="23"/>
      <c r="AD44" s="9"/>
      <c r="AE44" s="9"/>
      <c r="AF44" s="9"/>
      <c r="AG44" s="9">
        <f t="shared" si="23"/>
        <v>5270247001.0214491</v>
      </c>
      <c r="AH44" s="42">
        <f t="shared" si="20"/>
        <v>1.1164703187612795E-2</v>
      </c>
      <c r="AI44" s="42"/>
      <c r="AJ44" s="42">
        <f t="shared" si="13"/>
        <v>-8.9305944140938825E-3</v>
      </c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9"/>
      <c r="AW44" s="46">
        <f>workers_and_wage_central!C32</f>
        <v>11918484</v>
      </c>
      <c r="AY44" s="42">
        <f t="shared" si="14"/>
        <v>5.8257546424931722E-3</v>
      </c>
      <c r="AZ44" s="47">
        <f>workers_and_wage_central!B32</f>
        <v>6362.66303993765</v>
      </c>
      <c r="BA44" s="42">
        <f t="shared" si="15"/>
        <v>7.5199771983577249E-3</v>
      </c>
      <c r="BB44" s="12">
        <f>BB41*1/4+BB45*3/4</f>
        <v>51.375</v>
      </c>
      <c r="BC44" s="12">
        <f t="shared" si="22"/>
        <v>11.37227434313345</v>
      </c>
      <c r="BD44" s="12">
        <f t="shared" si="18"/>
        <v>57.061137171566727</v>
      </c>
      <c r="BE44" s="42">
        <f t="shared" si="19"/>
        <v>2.1954422307108867E-3</v>
      </c>
      <c r="BF44" s="7">
        <f t="shared" si="24"/>
        <v>100.36386595533484</v>
      </c>
      <c r="BG44" s="7"/>
      <c r="BH44">
        <f t="shared" si="21"/>
        <v>13</v>
      </c>
      <c r="BI44" s="42">
        <f t="shared" si="25"/>
        <v>1.6721901346000618E-2</v>
      </c>
    </row>
    <row r="45" spans="1:68" x14ac:dyDescent="0.2">
      <c r="A45" s="7">
        <f t="shared" si="16"/>
        <v>2022</v>
      </c>
      <c r="B45" s="7">
        <f t="shared" si="17"/>
        <v>4</v>
      </c>
      <c r="C45" s="9"/>
      <c r="D45" s="9">
        <f>'Central pensions'!Q45</f>
        <v>104689356.54349002</v>
      </c>
      <c r="E45" s="9"/>
      <c r="F45" s="41">
        <f>'Central pensions'!I45</f>
        <v>19028529.783249173</v>
      </c>
      <c r="G45" s="9">
        <f>'Central pensions'!K45</f>
        <v>501831.292544125</v>
      </c>
      <c r="H45" s="9">
        <f>'Central pensions'!V45</f>
        <v>2760927.7074091225</v>
      </c>
      <c r="I45" s="41">
        <f>'Central pensions'!M45</f>
        <v>15520.555439508986</v>
      </c>
      <c r="J45" s="9">
        <f>'Central pensions'!W45</f>
        <v>85389.516723993293</v>
      </c>
      <c r="K45" s="9"/>
      <c r="L45" s="41">
        <f>'Central pensions'!N45</f>
        <v>2745424.7746815924</v>
      </c>
      <c r="M45" s="41"/>
      <c r="N45" s="41">
        <f>'Central pensions'!L45</f>
        <v>817143.40622019395</v>
      </c>
      <c r="O45" s="9"/>
      <c r="P45" s="9">
        <f>'Central pensions'!X45</f>
        <v>18741704.13176401</v>
      </c>
      <c r="Q45" s="41"/>
      <c r="R45" s="41">
        <f>'Central SIPA income'!G40</f>
        <v>22733927.163409807</v>
      </c>
      <c r="S45" s="49">
        <f>SUM(T42:T45)/AVERAGE(AG42:AG45)</f>
        <v>6.0717867375346568E-2</v>
      </c>
      <c r="T45" s="9">
        <f>'Central SIPA income'!J40</f>
        <v>86925140.89741233</v>
      </c>
      <c r="U45" s="9"/>
      <c r="V45" s="41">
        <f>'Central SIPA income'!F40</f>
        <v>125393.13051099</v>
      </c>
      <c r="W45" s="41"/>
      <c r="X45" s="41">
        <f>'Central SIPA income'!M40</f>
        <v>314951.39200093551</v>
      </c>
      <c r="Y45" s="9"/>
      <c r="Z45" s="9">
        <f t="shared" si="10"/>
        <v>268222.3297698386</v>
      </c>
      <c r="AA45" s="9"/>
      <c r="AB45" s="9">
        <f t="shared" si="11"/>
        <v>-36505919.777841702</v>
      </c>
      <c r="AC45" s="23"/>
      <c r="AD45" s="9"/>
      <c r="AE45" s="9"/>
      <c r="AF45" s="9"/>
      <c r="AG45" s="9">
        <f t="shared" si="23"/>
        <v>5303723563.2997494</v>
      </c>
      <c r="AH45" s="42">
        <f t="shared" si="20"/>
        <v>6.3519911442124159E-3</v>
      </c>
      <c r="AI45" s="42">
        <f>(AG45-AG41)/AG41</f>
        <v>2.5818116505553598E-2</v>
      </c>
      <c r="AJ45" s="42">
        <f t="shared" si="13"/>
        <v>-6.8830736259431445E-3</v>
      </c>
      <c r="AK45" s="49"/>
      <c r="AL45" s="7"/>
      <c r="AM45" s="7"/>
      <c r="AN45" s="7"/>
      <c r="AO45" s="7"/>
      <c r="AP45" s="7"/>
      <c r="AQ45" s="7"/>
      <c r="AR45" s="7"/>
      <c r="AS45" s="7"/>
      <c r="AT45" s="7"/>
      <c r="AW45" s="46">
        <f>workers_and_wage_central!C33</f>
        <v>11968139</v>
      </c>
      <c r="AY45" s="42">
        <f t="shared" si="14"/>
        <v>4.1662177840738803E-3</v>
      </c>
      <c r="AZ45" s="47">
        <f>workers_and_wage_central!B33</f>
        <v>6390.5119439180498</v>
      </c>
      <c r="BA45" s="42">
        <f t="shared" si="15"/>
        <v>4.3769257943719088E-3</v>
      </c>
      <c r="BB45" s="52">
        <v>51.5</v>
      </c>
      <c r="BC45" s="12">
        <f t="shared" si="22"/>
        <v>11.37227434313345</v>
      </c>
      <c r="BD45" s="12">
        <f t="shared" si="18"/>
        <v>57.186137171566727</v>
      </c>
      <c r="BE45" s="42">
        <f t="shared" si="19"/>
        <v>2.1906328228993299E-3</v>
      </c>
      <c r="BF45" s="7">
        <f t="shared" si="24"/>
        <v>101.00137634308203</v>
      </c>
      <c r="BG45" s="49">
        <f>(BB45-BB41)/BB41</f>
        <v>9.8039215686274508E-3</v>
      </c>
      <c r="BH45">
        <f t="shared" si="21"/>
        <v>14</v>
      </c>
      <c r="BI45" s="42">
        <f t="shared" si="25"/>
        <v>1.4750493627078698E-2</v>
      </c>
    </row>
    <row r="46" spans="1:68" x14ac:dyDescent="0.2">
      <c r="A46" s="5">
        <f t="shared" si="16"/>
        <v>2023</v>
      </c>
      <c r="B46" s="5">
        <f t="shared" si="17"/>
        <v>1</v>
      </c>
      <c r="C46" s="6"/>
      <c r="D46" s="6">
        <f>'Central pensions'!Q46</f>
        <v>105653039.97238103</v>
      </c>
      <c r="E46" s="6"/>
      <c r="F46" s="8">
        <f>'Central pensions'!I46</f>
        <v>19203690.653787702</v>
      </c>
      <c r="G46" s="6">
        <f>'Central pensions'!K46</f>
        <v>522438.519275598</v>
      </c>
      <c r="H46" s="6">
        <f>'Central pensions'!V46</f>
        <v>2874302.5887708366</v>
      </c>
      <c r="I46" s="8">
        <f>'Central pensions'!M46</f>
        <v>16157.892348728958</v>
      </c>
      <c r="J46" s="6">
        <f>'Central pensions'!W46</f>
        <v>88895.956353732385</v>
      </c>
      <c r="K46" s="6"/>
      <c r="L46" s="8">
        <f>'Central pensions'!N46</f>
        <v>3286214.4507013932</v>
      </c>
      <c r="M46" s="8"/>
      <c r="N46" s="8">
        <f>'Central pensions'!L46</f>
        <v>826184.60290497169</v>
      </c>
      <c r="O46" s="6"/>
      <c r="P46" s="6">
        <f>'Central pensions'!X46</f>
        <v>21597606.328012075</v>
      </c>
      <c r="Q46" s="8"/>
      <c r="R46" s="8">
        <f>'Central SIPA income'!G41</f>
        <v>20034200.199636016</v>
      </c>
      <c r="S46" s="8"/>
      <c r="T46" s="6">
        <f>'Central SIPA income'!J41</f>
        <v>76602500.86149776</v>
      </c>
      <c r="U46" s="6"/>
      <c r="V46" s="8">
        <f>'Central SIPA income'!F41</f>
        <v>127247.641487837</v>
      </c>
      <c r="W46" s="8"/>
      <c r="X46" s="8">
        <f>'Central SIPA income'!M41</f>
        <v>319609.38890442444</v>
      </c>
      <c r="Y46" s="6"/>
      <c r="Z46" s="6">
        <f t="shared" ref="Z46:Z77" si="26">R46+V46-N46-L46-F46</f>
        <v>-3154641.8662702143</v>
      </c>
      <c r="AA46" s="6"/>
      <c r="AB46" s="6">
        <f t="shared" ref="AB46:AB77" si="27">T46-P46-D46</f>
        <v>-50648145.438895345</v>
      </c>
      <c r="AC46" s="23"/>
      <c r="AD46" s="6"/>
      <c r="AE46" s="6"/>
      <c r="AF46" s="6"/>
      <c r="AG46" s="6">
        <f t="shared" si="23"/>
        <v>5367543385.6537476</v>
      </c>
      <c r="AH46" s="35">
        <f t="shared" si="20"/>
        <v>1.2033022006579134E-2</v>
      </c>
      <c r="AI46" s="35"/>
      <c r="AJ46" s="35">
        <f t="shared" ref="AJ46:AJ77" si="28">AB46/AG46</f>
        <v>-9.4360011274928109E-3</v>
      </c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35">
        <f>AVERAGE(AH46:AH49)</f>
        <v>1.0903608984662767E-2</v>
      </c>
      <c r="AV46" s="5"/>
      <c r="AW46" s="39">
        <f>workers_and_wage_central!C34</f>
        <v>12037137</v>
      </c>
      <c r="AX46" s="5"/>
      <c r="AY46" s="35">
        <f t="shared" si="14"/>
        <v>5.7651402611550552E-3</v>
      </c>
      <c r="AZ46" s="40">
        <f>workers_and_wage_central!B34</f>
        <v>6444.4238261981</v>
      </c>
      <c r="BA46" s="35">
        <f t="shared" si="15"/>
        <v>8.4362384036163023E-3</v>
      </c>
      <c r="BB46" s="11">
        <f>BB45*3/4+BB49*1/4</f>
        <v>51.625</v>
      </c>
      <c r="BC46" s="11">
        <f t="shared" si="22"/>
        <v>11.37227434313345</v>
      </c>
      <c r="BD46" s="11">
        <f t="shared" si="18"/>
        <v>57.311137171566727</v>
      </c>
      <c r="BE46" s="35">
        <f t="shared" si="19"/>
        <v>2.1858444403226596E-3</v>
      </c>
      <c r="BF46" s="5">
        <f t="shared" si="24"/>
        <v>102.21672812731312</v>
      </c>
      <c r="BG46" s="5"/>
      <c r="BH46" s="5">
        <f t="shared" si="21"/>
        <v>15</v>
      </c>
      <c r="BI46" s="35">
        <f t="shared" si="25"/>
        <v>1.6901442182039848E-2</v>
      </c>
      <c r="BJ46" s="5"/>
      <c r="BK46" s="5"/>
      <c r="BL46" s="5"/>
      <c r="BM46" s="5"/>
      <c r="BN46" s="5"/>
      <c r="BO46" s="5"/>
      <c r="BP46" s="5"/>
    </row>
    <row r="47" spans="1:68" x14ac:dyDescent="0.2">
      <c r="A47" s="7">
        <f t="shared" si="16"/>
        <v>2023</v>
      </c>
      <c r="B47" s="7">
        <f t="shared" si="17"/>
        <v>2</v>
      </c>
      <c r="C47" s="9"/>
      <c r="D47" s="9">
        <f>'Central pensions'!Q47</f>
        <v>106081281.90866464</v>
      </c>
      <c r="E47" s="9"/>
      <c r="F47" s="41">
        <f>'Central pensions'!I47</f>
        <v>19281528.694903411</v>
      </c>
      <c r="G47" s="9">
        <f>'Central pensions'!K47</f>
        <v>533233.77217079105</v>
      </c>
      <c r="H47" s="9">
        <f>'Central pensions'!V47</f>
        <v>2933694.8850856512</v>
      </c>
      <c r="I47" s="41">
        <f>'Central pensions'!M47</f>
        <v>16491.766149611911</v>
      </c>
      <c r="J47" s="9">
        <f>'Central pensions'!W47</f>
        <v>90732.831497493346</v>
      </c>
      <c r="K47" s="9"/>
      <c r="L47" s="41">
        <f>'Central pensions'!N47</f>
        <v>2775427.523324138</v>
      </c>
      <c r="M47" s="41"/>
      <c r="N47" s="41">
        <f>'Central pensions'!L47</f>
        <v>830656.43228088692</v>
      </c>
      <c r="O47" s="9"/>
      <c r="P47" s="9">
        <f>'Central pensions'!X47</f>
        <v>18971733.219495919</v>
      </c>
      <c r="Q47" s="41"/>
      <c r="R47" s="41">
        <f>'Central SIPA income'!G42</f>
        <v>23253008.0086064</v>
      </c>
      <c r="S47" s="41"/>
      <c r="T47" s="9">
        <f>'Central SIPA income'!J42</f>
        <v>88909891.498640791</v>
      </c>
      <c r="U47" s="9"/>
      <c r="V47" s="41">
        <f>'Central SIPA income'!F42</f>
        <v>130454.852004716</v>
      </c>
      <c r="W47" s="41"/>
      <c r="X47" s="41">
        <f>'Central SIPA income'!M42</f>
        <v>327664.97705837479</v>
      </c>
      <c r="Y47" s="9"/>
      <c r="Z47" s="9">
        <f t="shared" si="26"/>
        <v>495850.21010267735</v>
      </c>
      <c r="AA47" s="9"/>
      <c r="AB47" s="9">
        <f t="shared" si="27"/>
        <v>-36143123.629519776</v>
      </c>
      <c r="AC47" s="23"/>
      <c r="AD47" s="9"/>
      <c r="AE47" s="9"/>
      <c r="AF47" s="9"/>
      <c r="AG47" s="9">
        <f t="shared" si="23"/>
        <v>5401415244.7296429</v>
      </c>
      <c r="AH47" s="42">
        <f t="shared" si="20"/>
        <v>6.3104956294209513E-3</v>
      </c>
      <c r="AI47" s="42"/>
      <c r="AJ47" s="42">
        <f t="shared" si="28"/>
        <v>-6.6914173400732212E-3</v>
      </c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46">
        <f>workers_and_wage_central!C35</f>
        <v>12005220</v>
      </c>
      <c r="AX47" s="7"/>
      <c r="AY47" s="42">
        <f t="shared" ref="AY47:AY78" si="29">(AW47-AW46)/AW46</f>
        <v>-2.6515441337919472E-3</v>
      </c>
      <c r="AZ47" s="47">
        <f>workers_and_wage_central!B35</f>
        <v>6516.5456438005604</v>
      </c>
      <c r="BA47" s="42">
        <f t="shared" ref="BA47:BA78" si="30">(AZ47-AZ46)/AZ46</f>
        <v>1.1191352329942707E-2</v>
      </c>
      <c r="BB47" s="12">
        <f>BB45*2/4+BB49*2/4</f>
        <v>51.75</v>
      </c>
      <c r="BC47" s="12">
        <f t="shared" si="22"/>
        <v>11.37227434313345</v>
      </c>
      <c r="BD47" s="12">
        <f t="shared" si="18"/>
        <v>57.436137171566727</v>
      </c>
      <c r="BE47" s="42">
        <f t="shared" si="19"/>
        <v>2.1810769454075896E-3</v>
      </c>
      <c r="BF47" s="7">
        <f t="shared" si="24"/>
        <v>102.86176634341426</v>
      </c>
      <c r="BG47" s="7"/>
      <c r="BH47" s="7">
        <f t="shared" si="21"/>
        <v>16</v>
      </c>
      <c r="BI47" s="42">
        <f t="shared" si="25"/>
        <v>1.4781200067358434E-2</v>
      </c>
      <c r="BJ47" s="7"/>
      <c r="BK47" s="7"/>
      <c r="BL47" s="7"/>
      <c r="BM47" s="7"/>
      <c r="BN47" s="7"/>
      <c r="BO47" s="7"/>
      <c r="BP47" s="7"/>
    </row>
    <row r="48" spans="1:68" x14ac:dyDescent="0.2">
      <c r="A48" s="7">
        <f t="shared" si="16"/>
        <v>2023</v>
      </c>
      <c r="B48" s="7">
        <f t="shared" si="17"/>
        <v>3</v>
      </c>
      <c r="C48" s="9"/>
      <c r="D48" s="9">
        <f>'Central pensions'!Q48</f>
        <v>107231902.75667337</v>
      </c>
      <c r="E48" s="9"/>
      <c r="F48" s="41">
        <f>'Central pensions'!I48</f>
        <v>19490667.654186878</v>
      </c>
      <c r="G48" s="9">
        <f>'Central pensions'!K48</f>
        <v>567081.82374772104</v>
      </c>
      <c r="H48" s="9">
        <f>'Central pensions'!V48</f>
        <v>3119916.8780721524</v>
      </c>
      <c r="I48" s="41">
        <f>'Central pensions'!M48</f>
        <v>17538.613105600001</v>
      </c>
      <c r="J48" s="9">
        <f>'Central pensions'!W48</f>
        <v>96492.27457955321</v>
      </c>
      <c r="K48" s="9"/>
      <c r="L48" s="41">
        <f>'Central pensions'!N48</f>
        <v>2772509.3952435409</v>
      </c>
      <c r="M48" s="41"/>
      <c r="N48" s="41">
        <f>'Central pensions'!L48</f>
        <v>842017.71744390205</v>
      </c>
      <c r="O48" s="9"/>
      <c r="P48" s="9">
        <f>'Central pensions'!X48</f>
        <v>19019097.477859356</v>
      </c>
      <c r="Q48" s="41"/>
      <c r="R48" s="41">
        <f>'Central SIPA income'!G43</f>
        <v>20440131.050434545</v>
      </c>
      <c r="S48" s="41"/>
      <c r="T48" s="9">
        <f>'Central SIPA income'!J43</f>
        <v>78154612.652242854</v>
      </c>
      <c r="U48" s="9"/>
      <c r="V48" s="41">
        <f>'Central SIPA income'!F43</f>
        <v>135567.24299450801</v>
      </c>
      <c r="W48" s="41"/>
      <c r="X48" s="41">
        <f>'Central SIPA income'!M43</f>
        <v>340505.82928151084</v>
      </c>
      <c r="Y48" s="9"/>
      <c r="Z48" s="9">
        <f t="shared" si="26"/>
        <v>-2529496.4734452665</v>
      </c>
      <c r="AA48" s="9"/>
      <c r="AB48" s="9">
        <f t="shared" si="27"/>
        <v>-48096387.582289867</v>
      </c>
      <c r="AC48" s="23"/>
      <c r="AD48" s="9"/>
      <c r="AE48" s="9"/>
      <c r="AF48" s="9"/>
      <c r="AG48" s="9">
        <f t="shared" si="23"/>
        <v>5462034895.8994951</v>
      </c>
      <c r="AH48" s="42">
        <f t="shared" si="20"/>
        <v>1.1222919998420979E-2</v>
      </c>
      <c r="AI48" s="42"/>
      <c r="AJ48" s="42">
        <f t="shared" si="28"/>
        <v>-8.8055804290809621E-3</v>
      </c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9"/>
      <c r="AW48" s="46">
        <f>workers_and_wage_central!C36</f>
        <v>12009740</v>
      </c>
      <c r="AY48" s="42">
        <f t="shared" si="29"/>
        <v>3.7650288791042565E-4</v>
      </c>
      <c r="AZ48" s="47">
        <f>workers_and_wage_central!B36</f>
        <v>6601.5674048453002</v>
      </c>
      <c r="BA48" s="42">
        <f t="shared" si="30"/>
        <v>1.3047059852273772E-2</v>
      </c>
      <c r="BB48" s="12">
        <f>BB45*1/4+BB49*3/4</f>
        <v>51.875</v>
      </c>
      <c r="BC48" s="12">
        <f t="shared" si="22"/>
        <v>11.37227434313345</v>
      </c>
      <c r="BD48" s="12">
        <f t="shared" si="18"/>
        <v>57.561137171566727</v>
      </c>
      <c r="BE48" s="42">
        <f t="shared" si="19"/>
        <v>2.1763302017789865E-3</v>
      </c>
      <c r="BF48" s="7">
        <f t="shared" si="24"/>
        <v>104.01617571798266</v>
      </c>
      <c r="BG48" s="7"/>
      <c r="BH48">
        <f t="shared" si="21"/>
        <v>17</v>
      </c>
      <c r="BI48" s="42">
        <f t="shared" si="25"/>
        <v>1.6885251329339931E-2</v>
      </c>
    </row>
    <row r="49" spans="1:68" x14ac:dyDescent="0.2">
      <c r="A49" s="7">
        <f t="shared" si="16"/>
        <v>2023</v>
      </c>
      <c r="B49" s="7">
        <f t="shared" si="17"/>
        <v>4</v>
      </c>
      <c r="C49" s="9"/>
      <c r="D49" s="9">
        <f>'Central pensions'!Q49</f>
        <v>108247734.34623647</v>
      </c>
      <c r="E49" s="9"/>
      <c r="F49" s="41">
        <f>'Central pensions'!I49</f>
        <v>19675307.070217073</v>
      </c>
      <c r="G49" s="9">
        <f>'Central pensions'!K49</f>
        <v>578474.63580832595</v>
      </c>
      <c r="H49" s="9">
        <f>'Central pensions'!V49</f>
        <v>3182596.7686066059</v>
      </c>
      <c r="I49" s="41">
        <f>'Central pensions'!M49</f>
        <v>17890.968117783079</v>
      </c>
      <c r="J49" s="9">
        <f>'Central pensions'!W49</f>
        <v>98430.827895048569</v>
      </c>
      <c r="K49" s="9"/>
      <c r="L49" s="41">
        <f>'Central pensions'!N49</f>
        <v>2770968.0150359566</v>
      </c>
      <c r="M49" s="41"/>
      <c r="N49" s="41">
        <f>'Central pensions'!L49</f>
        <v>851927.63443062082</v>
      </c>
      <c r="O49" s="9"/>
      <c r="P49" s="9">
        <f>'Central pensions'!X49</f>
        <v>19065620.687997498</v>
      </c>
      <c r="Q49" s="41"/>
      <c r="R49" s="41">
        <f>'Central SIPA income'!G44</f>
        <v>24109748.003206976</v>
      </c>
      <c r="S49" s="41"/>
      <c r="T49" s="9">
        <f>'Central SIPA income'!J44</f>
        <v>92185711.12310788</v>
      </c>
      <c r="U49" s="9"/>
      <c r="V49" s="41">
        <f>'Central SIPA income'!F44</f>
        <v>133814.787219322</v>
      </c>
      <c r="W49" s="41"/>
      <c r="X49" s="41">
        <f>'Central SIPA income'!M44</f>
        <v>336104.16562126321</v>
      </c>
      <c r="Y49" s="9"/>
      <c r="Z49" s="9">
        <f t="shared" si="26"/>
        <v>945360.07074264809</v>
      </c>
      <c r="AA49" s="9"/>
      <c r="AB49" s="9">
        <f t="shared" si="27"/>
        <v>-35127643.911126077</v>
      </c>
      <c r="AC49" s="23"/>
      <c r="AD49" s="9"/>
      <c r="AE49" s="9"/>
      <c r="AF49" s="9"/>
      <c r="AG49" s="9">
        <f t="shared" si="23"/>
        <v>5538765552.8547363</v>
      </c>
      <c r="AH49" s="42">
        <f t="shared" si="20"/>
        <v>1.4047998304230001E-2</v>
      </c>
      <c r="AI49" s="42">
        <f>(AG49-AG45)/AG45</f>
        <v>4.4316410301134528E-2</v>
      </c>
      <c r="AJ49" s="42">
        <f t="shared" si="28"/>
        <v>-6.3421431320596217E-3</v>
      </c>
      <c r="AK49" s="49"/>
      <c r="AL49" s="7"/>
      <c r="AM49" s="7"/>
      <c r="AN49" s="7"/>
      <c r="AO49" s="7"/>
      <c r="AP49" s="7"/>
      <c r="AQ49" s="7"/>
      <c r="AR49" s="7"/>
      <c r="AS49" s="7"/>
      <c r="AT49" s="7"/>
      <c r="AW49" s="46">
        <f>workers_and_wage_central!C37</f>
        <v>12052749</v>
      </c>
      <c r="AY49" s="42">
        <f t="shared" si="29"/>
        <v>3.5811766116502107E-3</v>
      </c>
      <c r="AZ49" s="47">
        <f>workers_and_wage_central!B37</f>
        <v>6684.9352993995599</v>
      </c>
      <c r="BA49" s="42">
        <f t="shared" si="30"/>
        <v>1.2628500088186757E-2</v>
      </c>
      <c r="BB49" s="52">
        <v>52</v>
      </c>
      <c r="BC49" s="12">
        <f t="shared" si="22"/>
        <v>11.37227434313345</v>
      </c>
      <c r="BD49" s="12">
        <f t="shared" si="18"/>
        <v>57.686137171566727</v>
      </c>
      <c r="BE49" s="42">
        <f t="shared" si="19"/>
        <v>2.1716040742458809E-3</v>
      </c>
      <c r="BF49" s="7">
        <f t="shared" si="24"/>
        <v>105.47739477808138</v>
      </c>
      <c r="BG49" s="49">
        <f>(BB49-BB45)/BB45</f>
        <v>9.7087378640776691E-3</v>
      </c>
      <c r="BH49">
        <f t="shared" si="21"/>
        <v>18</v>
      </c>
      <c r="BI49" s="42">
        <f t="shared" si="25"/>
        <v>1.4843605320106512E-2</v>
      </c>
    </row>
    <row r="50" spans="1:68" x14ac:dyDescent="0.2">
      <c r="A50" s="5">
        <f t="shared" ref="A50:A81" si="31">A46+1</f>
        <v>2024</v>
      </c>
      <c r="B50" s="5">
        <f t="shared" ref="B50:B81" si="32">B46</f>
        <v>1</v>
      </c>
      <c r="C50" s="6"/>
      <c r="D50" s="6">
        <f>'Central pensions'!Q50</f>
        <v>109630646.43138865</v>
      </c>
      <c r="E50" s="6"/>
      <c r="F50" s="8">
        <f>'Central pensions'!I50</f>
        <v>19926667.711535007</v>
      </c>
      <c r="G50" s="6">
        <f>'Central pensions'!K50</f>
        <v>588777.13117849396</v>
      </c>
      <c r="H50" s="6">
        <f>'Central pensions'!V50</f>
        <v>3239278.0584057071</v>
      </c>
      <c r="I50" s="8">
        <f>'Central pensions'!M50</f>
        <v>18209.601995211095</v>
      </c>
      <c r="J50" s="6">
        <f>'Central pensions'!W50</f>
        <v>100183.85747646484</v>
      </c>
      <c r="K50" s="6"/>
      <c r="L50" s="8">
        <f>'Central pensions'!N50</f>
        <v>3344734.1832769704</v>
      </c>
      <c r="M50" s="8"/>
      <c r="N50" s="8">
        <f>'Central pensions'!L50</f>
        <v>864657.10568258911</v>
      </c>
      <c r="O50" s="6"/>
      <c r="P50" s="6">
        <f>'Central pensions'!X50</f>
        <v>22112929.857596844</v>
      </c>
      <c r="Q50" s="8"/>
      <c r="R50" s="8">
        <f>'Central SIPA income'!G45</f>
        <v>21325999.26499724</v>
      </c>
      <c r="S50" s="8"/>
      <c r="T50" s="6">
        <f>'Central SIPA income'!J45</f>
        <v>81541806.55032745</v>
      </c>
      <c r="U50" s="6"/>
      <c r="V50" s="8">
        <f>'Central SIPA income'!F45</f>
        <v>136052.05957165701</v>
      </c>
      <c r="W50" s="8"/>
      <c r="X50" s="8">
        <f>'Central SIPA income'!M45</f>
        <v>341723.5487468114</v>
      </c>
      <c r="Y50" s="6"/>
      <c r="Z50" s="6">
        <f t="shared" si="26"/>
        <v>-2674007.6759256683</v>
      </c>
      <c r="AA50" s="6"/>
      <c r="AB50" s="6">
        <f t="shared" si="27"/>
        <v>-50201769.738658041</v>
      </c>
      <c r="AC50" s="23"/>
      <c r="AD50" s="6"/>
      <c r="AE50" s="6"/>
      <c r="AF50" s="6"/>
      <c r="AG50" s="6">
        <f t="shared" si="23"/>
        <v>5620861404.8366632</v>
      </c>
      <c r="AH50" s="35">
        <f t="shared" si="20"/>
        <v>1.4822048559107882E-2</v>
      </c>
      <c r="AI50" s="35"/>
      <c r="AJ50" s="35">
        <f t="shared" si="28"/>
        <v>-8.9313302931575932E-3</v>
      </c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35">
        <f>AVERAGE(AH50:AH53)</f>
        <v>7.7347375889218507E-3</v>
      </c>
      <c r="AV50" s="5"/>
      <c r="AW50" s="39">
        <f>workers_and_wage_central!C38</f>
        <v>12121766</v>
      </c>
      <c r="AX50" s="5"/>
      <c r="AY50" s="35">
        <f t="shared" si="29"/>
        <v>5.7262455229093378E-3</v>
      </c>
      <c r="AZ50" s="40">
        <f>workers_and_wage_central!B38</f>
        <v>6745.3939530975704</v>
      </c>
      <c r="BA50" s="35">
        <f t="shared" si="30"/>
        <v>9.0440147870153483E-3</v>
      </c>
      <c r="BB50" s="11">
        <f>BB49*3/4+BB53*1/4</f>
        <v>52</v>
      </c>
      <c r="BC50" s="11">
        <f t="shared" si="22"/>
        <v>11.37227434313345</v>
      </c>
      <c r="BD50" s="11">
        <f t="shared" si="18"/>
        <v>57.686137171566727</v>
      </c>
      <c r="BE50" s="35">
        <f t="shared" si="19"/>
        <v>0</v>
      </c>
      <c r="BF50" s="5">
        <f t="shared" si="24"/>
        <v>107.04078584537029</v>
      </c>
      <c r="BG50" s="5"/>
      <c r="BH50" s="5">
        <f t="shared" si="21"/>
        <v>19</v>
      </c>
      <c r="BI50" s="35">
        <f t="shared" si="25"/>
        <v>1.7046636466041466E-2</v>
      </c>
      <c r="BJ50" s="5"/>
      <c r="BK50" s="5"/>
      <c r="BL50" s="5"/>
      <c r="BM50" s="5"/>
      <c r="BN50" s="5"/>
      <c r="BO50" s="5"/>
      <c r="BP50" s="5"/>
    </row>
    <row r="51" spans="1:68" x14ac:dyDescent="0.2">
      <c r="A51" s="7">
        <f t="shared" si="31"/>
        <v>2024</v>
      </c>
      <c r="B51" s="7">
        <f t="shared" si="32"/>
        <v>2</v>
      </c>
      <c r="C51" s="9"/>
      <c r="D51" s="9">
        <f>'Central pensions'!Q51</f>
        <v>110860262.93928824</v>
      </c>
      <c r="E51" s="9"/>
      <c r="F51" s="41">
        <f>'Central pensions'!I51</f>
        <v>20150165.067093041</v>
      </c>
      <c r="G51" s="9">
        <f>'Central pensions'!K51</f>
        <v>610894.41043785994</v>
      </c>
      <c r="H51" s="9">
        <f>'Central pensions'!V51</f>
        <v>3360960.803238363</v>
      </c>
      <c r="I51" s="41">
        <f>'Central pensions'!M51</f>
        <v>18893.641559934011</v>
      </c>
      <c r="J51" s="9">
        <f>'Central pensions'!W51</f>
        <v>103947.24133727004</v>
      </c>
      <c r="K51" s="9"/>
      <c r="L51" s="41">
        <f>'Central pensions'!N51</f>
        <v>2808243.3082886152</v>
      </c>
      <c r="M51" s="41"/>
      <c r="N51" s="41">
        <f>'Central pensions'!L51</f>
        <v>876648.36318486184</v>
      </c>
      <c r="O51" s="9"/>
      <c r="P51" s="9">
        <f>'Central pensions'!X51</f>
        <v>19395048.517696507</v>
      </c>
      <c r="Q51" s="41"/>
      <c r="R51" s="41">
        <f>'Central SIPA income'!G46</f>
        <v>24663318.110367652</v>
      </c>
      <c r="S51" s="41"/>
      <c r="T51" s="9">
        <f>'Central SIPA income'!J46</f>
        <v>94302334.406698987</v>
      </c>
      <c r="U51" s="9"/>
      <c r="V51" s="41">
        <f>'Central SIPA income'!F46</f>
        <v>137622.55995964</v>
      </c>
      <c r="W51" s="41"/>
      <c r="X51" s="41">
        <f>'Central SIPA income'!M46</f>
        <v>345668.19293359882</v>
      </c>
      <c r="Y51" s="9"/>
      <c r="Z51" s="9">
        <f t="shared" si="26"/>
        <v>965883.93176077306</v>
      </c>
      <c r="AA51" s="9"/>
      <c r="AB51" s="9">
        <f t="shared" si="27"/>
        <v>-35952977.050285771</v>
      </c>
      <c r="AC51" s="23"/>
      <c r="AD51" s="9"/>
      <c r="AE51" s="9"/>
      <c r="AF51" s="9"/>
      <c r="AG51" s="9">
        <f t="shared" si="23"/>
        <v>5639450470.1017923</v>
      </c>
      <c r="AH51" s="42">
        <f t="shared" si="20"/>
        <v>3.3071559546252981E-3</v>
      </c>
      <c r="AI51" s="42"/>
      <c r="AJ51" s="42">
        <f t="shared" si="28"/>
        <v>-6.3752624907151313E-3</v>
      </c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46">
        <f>workers_and_wage_central!C39</f>
        <v>12158558</v>
      </c>
      <c r="AX51" s="7"/>
      <c r="AY51" s="42">
        <f t="shared" si="29"/>
        <v>3.0352013064763005E-3</v>
      </c>
      <c r="AZ51" s="47">
        <f>workers_and_wage_central!B39</f>
        <v>6747.2228432868196</v>
      </c>
      <c r="BA51" s="42">
        <f t="shared" si="30"/>
        <v>2.7113170883212844E-4</v>
      </c>
      <c r="BB51" s="12">
        <f>BB49*2/4+BB53*2/4</f>
        <v>52</v>
      </c>
      <c r="BC51" s="12">
        <f t="shared" si="22"/>
        <v>11.37227434313345</v>
      </c>
      <c r="BD51" s="12">
        <f t="shared" si="18"/>
        <v>57.686137171566727</v>
      </c>
      <c r="BE51" s="42">
        <f t="shared" si="19"/>
        <v>0</v>
      </c>
      <c r="BF51" s="7">
        <f t="shared" si="24"/>
        <v>107.39478641766658</v>
      </c>
      <c r="BG51" s="7"/>
      <c r="BH51" s="7">
        <f t="shared" si="21"/>
        <v>20</v>
      </c>
      <c r="BI51" s="42">
        <f t="shared" si="25"/>
        <v>1.490395262582705E-2</v>
      </c>
      <c r="BJ51" s="7"/>
      <c r="BK51" s="7"/>
      <c r="BL51" s="7"/>
      <c r="BM51" s="7"/>
      <c r="BN51" s="7"/>
      <c r="BO51" s="7"/>
      <c r="BP51" s="7"/>
    </row>
    <row r="52" spans="1:68" x14ac:dyDescent="0.2">
      <c r="A52" s="7">
        <f t="shared" si="31"/>
        <v>2024</v>
      </c>
      <c r="B52" s="7">
        <f t="shared" si="32"/>
        <v>3</v>
      </c>
      <c r="C52" s="9"/>
      <c r="D52" s="9">
        <f>'Central pensions'!Q52</f>
        <v>112059707.3634907</v>
      </c>
      <c r="E52" s="9"/>
      <c r="F52" s="41">
        <f>'Central pensions'!I52</f>
        <v>20368178.289285377</v>
      </c>
      <c r="G52" s="9">
        <f>'Central pensions'!K52</f>
        <v>635664.962901021</v>
      </c>
      <c r="H52" s="9">
        <f>'Central pensions'!V52</f>
        <v>3497241.0743961432</v>
      </c>
      <c r="I52" s="41">
        <f>'Central pensions'!M52</f>
        <v>19659.741120649967</v>
      </c>
      <c r="J52" s="9">
        <f>'Central pensions'!W52</f>
        <v>108162.09508441588</v>
      </c>
      <c r="K52" s="9"/>
      <c r="L52" s="41">
        <f>'Central pensions'!N52</f>
        <v>2754317.3965952373</v>
      </c>
      <c r="M52" s="41"/>
      <c r="N52" s="41">
        <f>'Central pensions'!L52</f>
        <v>887724.80642285198</v>
      </c>
      <c r="O52" s="9"/>
      <c r="P52" s="9">
        <f>'Central pensions'!X52</f>
        <v>19176166.02818289</v>
      </c>
      <c r="Q52" s="41"/>
      <c r="R52" s="41">
        <f>'Central SIPA income'!G47</f>
        <v>21862945.27545286</v>
      </c>
      <c r="S52" s="41"/>
      <c r="T52" s="9">
        <f>'Central SIPA income'!J47</f>
        <v>83594866.159328043</v>
      </c>
      <c r="U52" s="9"/>
      <c r="V52" s="41">
        <f>'Central SIPA income'!F47</f>
        <v>138112.40106034701</v>
      </c>
      <c r="W52" s="41"/>
      <c r="X52" s="41">
        <f>'Central SIPA income'!M47</f>
        <v>346898.53255346679</v>
      </c>
      <c r="Y52" s="9"/>
      <c r="Z52" s="9">
        <f t="shared" si="26"/>
        <v>-2009162.8157902583</v>
      </c>
      <c r="AA52" s="9"/>
      <c r="AB52" s="9">
        <f t="shared" si="27"/>
        <v>-47641007.232345551</v>
      </c>
      <c r="AC52" s="23"/>
      <c r="AD52" s="9"/>
      <c r="AE52" s="9"/>
      <c r="AF52" s="9"/>
      <c r="AG52" s="9">
        <f t="shared" si="23"/>
        <v>5667258891.313715</v>
      </c>
      <c r="AH52" s="42">
        <f t="shared" si="20"/>
        <v>4.9310515908158516E-3</v>
      </c>
      <c r="AI52" s="42"/>
      <c r="AJ52" s="42">
        <f t="shared" si="28"/>
        <v>-8.4063580199883886E-3</v>
      </c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9"/>
      <c r="AW52" s="46">
        <f>workers_and_wage_central!C40</f>
        <v>12184315</v>
      </c>
      <c r="AY52" s="42">
        <f t="shared" si="29"/>
        <v>2.1184255567148671E-3</v>
      </c>
      <c r="AZ52" s="47">
        <f>workers_and_wage_central!B40</f>
        <v>6766.1601406589998</v>
      </c>
      <c r="BA52" s="42">
        <f t="shared" si="30"/>
        <v>2.8066802908432074E-3</v>
      </c>
      <c r="BB52" s="12">
        <f>BB49*1/4+BB53*3/4</f>
        <v>52</v>
      </c>
      <c r="BC52" s="12">
        <f t="shared" si="22"/>
        <v>11.37227434313345</v>
      </c>
      <c r="BD52" s="12">
        <f t="shared" si="18"/>
        <v>57.686137171566727</v>
      </c>
      <c r="BE52" s="42">
        <f t="shared" si="19"/>
        <v>0</v>
      </c>
      <c r="BF52" s="7">
        <f t="shared" si="24"/>
        <v>107.92435565007673</v>
      </c>
      <c r="BG52" s="7"/>
      <c r="BH52">
        <f t="shared" si="21"/>
        <v>21</v>
      </c>
      <c r="BI52" s="42">
        <f t="shared" si="25"/>
        <v>1.6978442162755944E-2</v>
      </c>
    </row>
    <row r="53" spans="1:68" x14ac:dyDescent="0.2">
      <c r="A53" s="7">
        <f t="shared" si="31"/>
        <v>2024</v>
      </c>
      <c r="B53" s="7">
        <f t="shared" si="32"/>
        <v>4</v>
      </c>
      <c r="C53" s="9"/>
      <c r="D53" s="9">
        <f>'Central pensions'!Q53</f>
        <v>112941178.22417343</v>
      </c>
      <c r="E53" s="9"/>
      <c r="F53" s="41">
        <f>'Central pensions'!I53</f>
        <v>20528396.052383382</v>
      </c>
      <c r="G53" s="9">
        <f>'Central pensions'!K53</f>
        <v>712495.69768571795</v>
      </c>
      <c r="H53" s="9">
        <f>'Central pensions'!V53</f>
        <v>3919941.1084499583</v>
      </c>
      <c r="I53" s="41">
        <f>'Central pensions'!M53</f>
        <v>22035.949412961025</v>
      </c>
      <c r="J53" s="9">
        <f>'Central pensions'!W53</f>
        <v>121235.29201391994</v>
      </c>
      <c r="K53" s="9"/>
      <c r="L53" s="41">
        <f>'Central pensions'!N53</f>
        <v>2778580.360650043</v>
      </c>
      <c r="M53" s="41"/>
      <c r="N53" s="41">
        <f>'Central pensions'!L53</f>
        <v>897071.32924193889</v>
      </c>
      <c r="O53" s="9"/>
      <c r="P53" s="9">
        <f>'Central pensions'!X53</f>
        <v>19353488.47488511</v>
      </c>
      <c r="Q53" s="41"/>
      <c r="R53" s="41">
        <f>'Central SIPA income'!G48</f>
        <v>25248416.292431131</v>
      </c>
      <c r="S53" s="41"/>
      <c r="T53" s="9">
        <f>'Central SIPA income'!J48</f>
        <v>96539508.0172728</v>
      </c>
      <c r="U53" s="9"/>
      <c r="V53" s="41">
        <f>'Central SIPA income'!F48</f>
        <v>136871.123513959</v>
      </c>
      <c r="W53" s="41"/>
      <c r="X53" s="41">
        <f>'Central SIPA income'!M48</f>
        <v>343780.80122718692</v>
      </c>
      <c r="Y53" s="9"/>
      <c r="Z53" s="9">
        <f t="shared" si="26"/>
        <v>1181239.6736697257</v>
      </c>
      <c r="AA53" s="9"/>
      <c r="AB53" s="9">
        <f t="shared" si="27"/>
        <v>-35755158.681785733</v>
      </c>
      <c r="AC53" s="23"/>
      <c r="AD53" s="9"/>
      <c r="AE53" s="9"/>
      <c r="AF53" s="9"/>
      <c r="AG53" s="9">
        <f t="shared" si="23"/>
        <v>5711909491.3604212</v>
      </c>
      <c r="AH53" s="42">
        <f t="shared" si="20"/>
        <v>7.8786942511383743E-3</v>
      </c>
      <c r="AI53" s="42">
        <f>(AG53-AG49)/AG49</f>
        <v>3.1260384078983933E-2</v>
      </c>
      <c r="AJ53" s="42">
        <f t="shared" si="28"/>
        <v>-6.259755819987587E-3</v>
      </c>
      <c r="AK53" s="49"/>
      <c r="AL53" s="7"/>
      <c r="AM53" s="7"/>
      <c r="AN53" s="7"/>
      <c r="AO53" s="7"/>
      <c r="AP53" s="7"/>
      <c r="AQ53" s="7"/>
      <c r="AR53" s="7"/>
      <c r="AS53" s="7"/>
      <c r="AT53" s="7"/>
      <c r="AW53" s="46">
        <f>workers_and_wage_central!C41</f>
        <v>12202204</v>
      </c>
      <c r="AY53" s="42">
        <f t="shared" si="29"/>
        <v>1.4681990739733831E-3</v>
      </c>
      <c r="AZ53" s="47">
        <f>workers_and_wage_central!B41</f>
        <v>6809.4709886616902</v>
      </c>
      <c r="BA53" s="42">
        <f t="shared" si="30"/>
        <v>6.40109709234166E-3</v>
      </c>
      <c r="BB53" s="53">
        <v>52</v>
      </c>
      <c r="BC53" s="12">
        <f t="shared" si="22"/>
        <v>11.37227434313345</v>
      </c>
      <c r="BD53" s="12">
        <f t="shared" si="18"/>
        <v>57.686137171566727</v>
      </c>
      <c r="BE53" s="42">
        <f t="shared" si="19"/>
        <v>0</v>
      </c>
      <c r="BF53" s="7">
        <f t="shared" si="24"/>
        <v>108.7746586504948</v>
      </c>
      <c r="BG53" s="49">
        <f>(BB53-BB49)/BB49</f>
        <v>0</v>
      </c>
      <c r="BH53">
        <f t="shared" si="21"/>
        <v>22</v>
      </c>
      <c r="BI53" s="42">
        <f t="shared" si="25"/>
        <v>1.4857100966498364E-2</v>
      </c>
    </row>
    <row r="54" spans="1:68" x14ac:dyDescent="0.2">
      <c r="A54" s="5">
        <f t="shared" si="31"/>
        <v>2025</v>
      </c>
      <c r="B54" s="5">
        <f t="shared" si="32"/>
        <v>1</v>
      </c>
      <c r="C54" s="6"/>
      <c r="D54" s="6">
        <f>'Central pensions'!Q54</f>
        <v>113930494.56478795</v>
      </c>
      <c r="E54" s="6"/>
      <c r="F54" s="8">
        <f>'Central pensions'!I54</f>
        <v>20708216.008050207</v>
      </c>
      <c r="G54" s="6">
        <f>'Central pensions'!K54</f>
        <v>784027.77798878995</v>
      </c>
      <c r="H54" s="6">
        <f>'Central pensions'!V54</f>
        <v>4313489.5089016901</v>
      </c>
      <c r="I54" s="8">
        <f>'Central pensions'!M54</f>
        <v>24248.28179346805</v>
      </c>
      <c r="J54" s="6">
        <f>'Central pensions'!W54</f>
        <v>133406.89202788909</v>
      </c>
      <c r="K54" s="6"/>
      <c r="L54" s="8">
        <f>'Central pensions'!N54</f>
        <v>3323167.4460588046</v>
      </c>
      <c r="M54" s="8"/>
      <c r="N54" s="8">
        <f>'Central pensions'!L54</f>
        <v>907231.54666813463</v>
      </c>
      <c r="O54" s="6"/>
      <c r="P54" s="6">
        <f>'Central pensions'!X54</f>
        <v>22235251.968459409</v>
      </c>
      <c r="Q54" s="8"/>
      <c r="R54" s="8">
        <f>'Central SIPA income'!G49</f>
        <v>22241817.464834247</v>
      </c>
      <c r="S54" s="8"/>
      <c r="T54" s="6">
        <f>'Central SIPA income'!J49</f>
        <v>85043516.812924519</v>
      </c>
      <c r="U54" s="6"/>
      <c r="V54" s="8">
        <f>'Central SIPA income'!F49</f>
        <v>138008.67382107701</v>
      </c>
      <c r="W54" s="8"/>
      <c r="X54" s="8">
        <f>'Central SIPA income'!M49</f>
        <v>346637.99963381345</v>
      </c>
      <c r="Y54" s="6"/>
      <c r="Z54" s="6">
        <f t="shared" si="26"/>
        <v>-2558788.8621218242</v>
      </c>
      <c r="AA54" s="6"/>
      <c r="AB54" s="6">
        <f t="shared" si="27"/>
        <v>-51122229.720322847</v>
      </c>
      <c r="AC54" s="23"/>
      <c r="AD54" s="6"/>
      <c r="AE54" s="6"/>
      <c r="AF54" s="6"/>
      <c r="AG54" s="6">
        <f t="shared" si="23"/>
        <v>5753492032.1339474</v>
      </c>
      <c r="AH54" s="35">
        <f t="shared" si="20"/>
        <v>7.2799719317020138E-3</v>
      </c>
      <c r="AI54" s="35"/>
      <c r="AJ54" s="35">
        <f t="shared" si="28"/>
        <v>-8.8854263523437636E-3</v>
      </c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35">
        <f>AVERAGE(AH54:AH57)</f>
        <v>9.2532423649383695E-3</v>
      </c>
      <c r="AV54" s="5"/>
      <c r="AW54" s="39">
        <f>workers_and_wage_central!C42</f>
        <v>12236033</v>
      </c>
      <c r="AX54" s="5"/>
      <c r="AY54" s="35">
        <f t="shared" si="29"/>
        <v>2.7723680082712928E-3</v>
      </c>
      <c r="AZ54" s="40">
        <f>workers_and_wage_central!B42</f>
        <v>6840.0805259048702</v>
      </c>
      <c r="BA54" s="35">
        <f t="shared" si="30"/>
        <v>4.4951417362886726E-3</v>
      </c>
      <c r="BB54" s="5"/>
      <c r="BC54" s="5"/>
      <c r="BD54" s="5"/>
      <c r="BE54" s="5"/>
      <c r="BF54" s="5">
        <f t="shared" si="24"/>
        <v>109.56653511235088</v>
      </c>
      <c r="BG54" s="5"/>
      <c r="BH54" s="5">
        <f t="shared" si="21"/>
        <v>23</v>
      </c>
      <c r="BI54" s="35">
        <f t="shared" si="25"/>
        <v>1.7131628552597759E-2</v>
      </c>
      <c r="BJ54" s="5"/>
      <c r="BK54" s="5"/>
      <c r="BL54" s="5"/>
      <c r="BM54" s="5"/>
      <c r="BN54" s="5"/>
      <c r="BO54" s="5"/>
      <c r="BP54" s="5"/>
    </row>
    <row r="55" spans="1:68" x14ac:dyDescent="0.2">
      <c r="A55" s="7">
        <f t="shared" si="31"/>
        <v>2025</v>
      </c>
      <c r="B55" s="7">
        <f t="shared" si="32"/>
        <v>2</v>
      </c>
      <c r="C55" s="9"/>
      <c r="D55" s="9">
        <f>'Central pensions'!Q55</f>
        <v>114542967.40668172</v>
      </c>
      <c r="E55" s="9"/>
      <c r="F55" s="41">
        <f>'Central pensions'!I55</f>
        <v>20819540.19704324</v>
      </c>
      <c r="G55" s="9">
        <f>'Central pensions'!K55</f>
        <v>866204.46103075705</v>
      </c>
      <c r="H55" s="9">
        <f>'Central pensions'!V55</f>
        <v>4765601.3729572687</v>
      </c>
      <c r="I55" s="41">
        <f>'Central pensions'!M55</f>
        <v>26789.828691671952</v>
      </c>
      <c r="J55" s="9">
        <f>'Central pensions'!W55</f>
        <v>147389.73318424021</v>
      </c>
      <c r="K55" s="9"/>
      <c r="L55" s="41">
        <f>'Central pensions'!N55</f>
        <v>2836826.8900395818</v>
      </c>
      <c r="M55" s="41"/>
      <c r="N55" s="41">
        <f>'Central pensions'!L55</f>
        <v>913504.17104263231</v>
      </c>
      <c r="O55" s="9"/>
      <c r="P55" s="9">
        <f>'Central pensions'!X55</f>
        <v>19746138.639895014</v>
      </c>
      <c r="Q55" s="41"/>
      <c r="R55" s="41">
        <f>'Central SIPA income'!G50</f>
        <v>25612544.491775542</v>
      </c>
      <c r="S55" s="41"/>
      <c r="T55" s="9">
        <f>'Central SIPA income'!J50</f>
        <v>97931783.747076213</v>
      </c>
      <c r="U55" s="9"/>
      <c r="V55" s="41">
        <f>'Central SIPA income'!F50</f>
        <v>145124.33339165401</v>
      </c>
      <c r="W55" s="41"/>
      <c r="X55" s="41">
        <f>'Central SIPA income'!M50</f>
        <v>364510.48497352342</v>
      </c>
      <c r="Y55" s="9"/>
      <c r="Z55" s="9">
        <f t="shared" si="26"/>
        <v>1187797.5670417435</v>
      </c>
      <c r="AA55" s="9"/>
      <c r="AB55" s="9">
        <f t="shared" si="27"/>
        <v>-36357322.299500525</v>
      </c>
      <c r="AC55" s="23"/>
      <c r="AD55" s="9"/>
      <c r="AE55" s="9"/>
      <c r="AF55" s="9"/>
      <c r="AG55" s="9">
        <f t="shared" si="23"/>
        <v>5799841639.1297216</v>
      </c>
      <c r="AH55" s="42">
        <f t="shared" si="20"/>
        <v>8.0559087832061151E-3</v>
      </c>
      <c r="AI55" s="42"/>
      <c r="AJ55" s="42">
        <f t="shared" si="28"/>
        <v>-6.2686750021257506E-3</v>
      </c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46">
        <f>workers_and_wage_central!C43</f>
        <v>12312189</v>
      </c>
      <c r="AX55" s="7"/>
      <c r="AY55" s="42">
        <f t="shared" si="29"/>
        <v>6.2239126030470826E-3</v>
      </c>
      <c r="AZ55" s="47">
        <f>workers_and_wage_central!B43</f>
        <v>6852.5340178548104</v>
      </c>
      <c r="BA55" s="42">
        <f t="shared" si="30"/>
        <v>1.8206645232868334E-3</v>
      </c>
      <c r="BB55" s="7"/>
      <c r="BC55" s="7"/>
      <c r="BD55" s="7"/>
      <c r="BE55" s="7"/>
      <c r="BF55" s="7">
        <f t="shared" si="24"/>
        <v>110.44919312490794</v>
      </c>
      <c r="BG55" s="7"/>
      <c r="BH55" s="7">
        <f t="shared" si="21"/>
        <v>24</v>
      </c>
      <c r="BI55" s="42">
        <f t="shared" si="25"/>
        <v>1.483129454633446E-2</v>
      </c>
      <c r="BJ55" s="7"/>
      <c r="BK55" s="7"/>
      <c r="BL55" s="7"/>
      <c r="BM55" s="7"/>
      <c r="BN55" s="7"/>
      <c r="BO55" s="7"/>
      <c r="BP55" s="7"/>
    </row>
    <row r="56" spans="1:68" x14ac:dyDescent="0.2">
      <c r="A56" s="7">
        <f t="shared" si="31"/>
        <v>2025</v>
      </c>
      <c r="B56" s="7">
        <f t="shared" si="32"/>
        <v>3</v>
      </c>
      <c r="C56" s="9"/>
      <c r="D56" s="9">
        <f>'Central pensions'!Q56</f>
        <v>115465376.63477713</v>
      </c>
      <c r="E56" s="9"/>
      <c r="F56" s="41">
        <f>'Central pensions'!I56</f>
        <v>20987198.99301517</v>
      </c>
      <c r="G56" s="9">
        <f>'Central pensions'!K56</f>
        <v>943122.43630012998</v>
      </c>
      <c r="H56" s="9">
        <f>'Central pensions'!V56</f>
        <v>5188781.3784176661</v>
      </c>
      <c r="I56" s="41">
        <f>'Central pensions'!M56</f>
        <v>29168.735143302009</v>
      </c>
      <c r="J56" s="9">
        <f>'Central pensions'!W56</f>
        <v>160477.77459023171</v>
      </c>
      <c r="K56" s="9"/>
      <c r="L56" s="41">
        <f>'Central pensions'!N56</f>
        <v>2814876.5476746596</v>
      </c>
      <c r="M56" s="41"/>
      <c r="N56" s="41">
        <f>'Central pensions'!L56</f>
        <v>923189.64031999558</v>
      </c>
      <c r="O56" s="9"/>
      <c r="P56" s="9">
        <f>'Central pensions'!X56</f>
        <v>19685524.803304516</v>
      </c>
      <c r="Q56" s="41"/>
      <c r="R56" s="41">
        <f>'Central SIPA income'!G51</f>
        <v>22652272.833931405</v>
      </c>
      <c r="S56" s="41"/>
      <c r="T56" s="9">
        <f>'Central SIPA income'!J51</f>
        <v>86612928.491532117</v>
      </c>
      <c r="U56" s="9"/>
      <c r="V56" s="41">
        <f>'Central SIPA income'!F51</f>
        <v>146199.94344984801</v>
      </c>
      <c r="W56" s="41"/>
      <c r="X56" s="41">
        <f>'Central SIPA income'!M51</f>
        <v>367212.10733272205</v>
      </c>
      <c r="Y56" s="9"/>
      <c r="Z56" s="9">
        <f t="shared" si="26"/>
        <v>-1926792.4036285728</v>
      </c>
      <c r="AA56" s="9"/>
      <c r="AB56" s="9">
        <f t="shared" si="27"/>
        <v>-48537972.946549527</v>
      </c>
      <c r="AC56" s="23"/>
      <c r="AD56" s="9"/>
      <c r="AE56" s="9"/>
      <c r="AF56" s="9"/>
      <c r="AG56" s="9">
        <f t="shared" si="23"/>
        <v>5835033108.4463663</v>
      </c>
      <c r="AH56" s="42">
        <f t="shared" si="20"/>
        <v>6.0676603787280688E-3</v>
      </c>
      <c r="AI56" s="42"/>
      <c r="AJ56" s="42">
        <f t="shared" si="28"/>
        <v>-8.3183714718412672E-3</v>
      </c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9"/>
      <c r="AW56" s="46">
        <f>workers_and_wage_central!C44</f>
        <v>12345727</v>
      </c>
      <c r="AY56" s="42">
        <f t="shared" si="29"/>
        <v>2.7239672815288977E-3</v>
      </c>
      <c r="AZ56" s="47">
        <f>workers_and_wage_central!B44</f>
        <v>6875.38454446179</v>
      </c>
      <c r="BA56" s="42">
        <f t="shared" si="30"/>
        <v>3.334609729399494E-3</v>
      </c>
      <c r="BB56" s="7"/>
      <c r="BC56" s="7"/>
      <c r="BD56" s="7"/>
      <c r="BE56" s="7"/>
      <c r="BF56" s="7">
        <f t="shared" si="24"/>
        <v>111.11936131789442</v>
      </c>
      <c r="BG56" s="7"/>
      <c r="BH56">
        <f t="shared" si="21"/>
        <v>25</v>
      </c>
      <c r="BI56" s="42">
        <f t="shared" si="25"/>
        <v>1.6986884004487165E-2</v>
      </c>
    </row>
    <row r="57" spans="1:68" x14ac:dyDescent="0.2">
      <c r="A57" s="7">
        <f t="shared" si="31"/>
        <v>2025</v>
      </c>
      <c r="B57" s="7">
        <f t="shared" si="32"/>
        <v>4</v>
      </c>
      <c r="C57" s="9"/>
      <c r="D57" s="9">
        <f>'Central pensions'!Q57</f>
        <v>116134869.10767476</v>
      </c>
      <c r="E57" s="9"/>
      <c r="F57" s="41">
        <f>'Central pensions'!I57</f>
        <v>21108887.174897362</v>
      </c>
      <c r="G57" s="9">
        <f>'Central pensions'!K57</f>
        <v>1024198.05830544</v>
      </c>
      <c r="H57" s="9">
        <f>'Central pensions'!V57</f>
        <v>5634835.5295150829</v>
      </c>
      <c r="I57" s="41">
        <f>'Central pensions'!M57</f>
        <v>31676.228607390076</v>
      </c>
      <c r="J57" s="9">
        <f>'Central pensions'!W57</f>
        <v>174273.26379946491</v>
      </c>
      <c r="K57" s="9"/>
      <c r="L57" s="41">
        <f>'Central pensions'!N57</f>
        <v>2800235.7371366331</v>
      </c>
      <c r="M57" s="41"/>
      <c r="N57" s="41">
        <f>'Central pensions'!L57</f>
        <v>930861.18932840973</v>
      </c>
      <c r="O57" s="9"/>
      <c r="P57" s="9">
        <f>'Central pensions'!X57</f>
        <v>19651760.166994616</v>
      </c>
      <c r="Q57" s="41"/>
      <c r="R57" s="41">
        <f>'Central SIPA income'!G52</f>
        <v>26420303.917230859</v>
      </c>
      <c r="S57" s="41"/>
      <c r="T57" s="9">
        <f>'Central SIPA income'!J52</f>
        <v>101020321.92018722</v>
      </c>
      <c r="U57" s="9"/>
      <c r="V57" s="41">
        <f>'Central SIPA income'!F52</f>
        <v>144696.49706591299</v>
      </c>
      <c r="W57" s="41"/>
      <c r="X57" s="41">
        <f>'Central SIPA income'!M52</f>
        <v>363435.88347189734</v>
      </c>
      <c r="Y57" s="9"/>
      <c r="Z57" s="9">
        <f t="shared" si="26"/>
        <v>1725016.3129343688</v>
      </c>
      <c r="AA57" s="9"/>
      <c r="AB57" s="9">
        <f t="shared" si="27"/>
        <v>-34766307.354482159</v>
      </c>
      <c r="AC57" s="23"/>
      <c r="AD57" s="9"/>
      <c r="AE57" s="9"/>
      <c r="AF57" s="9"/>
      <c r="AG57" s="9">
        <f t="shared" si="23"/>
        <v>5926114639.7665825</v>
      </c>
      <c r="AH57" s="42">
        <f t="shared" si="20"/>
        <v>1.5609428366117277E-2</v>
      </c>
      <c r="AI57" s="42">
        <f>(AG57-AG53)/AG53</f>
        <v>3.7501495555935967E-2</v>
      </c>
      <c r="AJ57" s="42">
        <f t="shared" si="28"/>
        <v>-5.8666275406126017E-3</v>
      </c>
      <c r="AK57" s="49"/>
      <c r="AL57" s="7"/>
      <c r="AM57" s="7"/>
      <c r="AN57" s="7"/>
      <c r="AO57" s="7"/>
      <c r="AP57" s="7"/>
      <c r="AQ57" s="7"/>
      <c r="AR57" s="7"/>
      <c r="AS57" s="7"/>
      <c r="AT57" s="7"/>
      <c r="AW57" s="46">
        <f>workers_and_wage_central!C45</f>
        <v>12407975</v>
      </c>
      <c r="AY57" s="42">
        <f t="shared" si="29"/>
        <v>5.0420684014801237E-3</v>
      </c>
      <c r="AZ57" s="47">
        <f>workers_and_wage_central!B45</f>
        <v>6947.67471584953</v>
      </c>
      <c r="BA57" s="42">
        <f t="shared" si="30"/>
        <v>1.0514345913345404E-2</v>
      </c>
      <c r="BB57" s="7"/>
      <c r="BC57" s="7"/>
      <c r="BD57" s="7"/>
      <c r="BE57" s="7"/>
      <c r="BF57" s="7">
        <f t="shared" si="24"/>
        <v>112.8538710284748</v>
      </c>
      <c r="BG57" s="49">
        <f>(BB57-BB53)/BB53</f>
        <v>-1</v>
      </c>
      <c r="BH57">
        <f t="shared" si="21"/>
        <v>26</v>
      </c>
      <c r="BI57" s="42">
        <f t="shared" si="25"/>
        <v>1.4883893117845416E-2</v>
      </c>
    </row>
    <row r="58" spans="1:68" x14ac:dyDescent="0.2">
      <c r="A58" s="5">
        <f t="shared" si="31"/>
        <v>2026</v>
      </c>
      <c r="B58" s="5">
        <f t="shared" si="32"/>
        <v>1</v>
      </c>
      <c r="C58" s="6"/>
      <c r="D58" s="6">
        <f>'Central pensions'!Q58</f>
        <v>116496744.21290663</v>
      </c>
      <c r="E58" s="6"/>
      <c r="F58" s="8">
        <f>'Central pensions'!I58</f>
        <v>21174662.2588703</v>
      </c>
      <c r="G58" s="6">
        <f>'Central pensions'!K58</f>
        <v>1134771.1965911</v>
      </c>
      <c r="H58" s="6">
        <f>'Central pensions'!V58</f>
        <v>6243176.312012651</v>
      </c>
      <c r="I58" s="8">
        <f>'Central pensions'!M58</f>
        <v>35096.016389410011</v>
      </c>
      <c r="J58" s="6">
        <f>'Central pensions'!W58</f>
        <v>193087.92717561903</v>
      </c>
      <c r="K58" s="6"/>
      <c r="L58" s="8">
        <f>'Central pensions'!N58</f>
        <v>3366008.0385269485</v>
      </c>
      <c r="M58" s="8"/>
      <c r="N58" s="8">
        <f>'Central pensions'!L58</f>
        <v>935974.39760478958</v>
      </c>
      <c r="O58" s="6"/>
      <c r="P58" s="6">
        <f>'Central pensions'!X58</f>
        <v>22615686.691773631</v>
      </c>
      <c r="Q58" s="8"/>
      <c r="R58" s="8">
        <f>'Central SIPA income'!G53</f>
        <v>23236653.411543485</v>
      </c>
      <c r="S58" s="8"/>
      <c r="T58" s="6">
        <f>'Central SIPA income'!J53</f>
        <v>88847358.279290006</v>
      </c>
      <c r="U58" s="6"/>
      <c r="V58" s="8">
        <f>'Central SIPA income'!F53</f>
        <v>139892.52036602399</v>
      </c>
      <c r="W58" s="8"/>
      <c r="X58" s="8">
        <f>'Central SIPA income'!M53</f>
        <v>351369.6790266906</v>
      </c>
      <c r="Y58" s="6"/>
      <c r="Z58" s="6">
        <f t="shared" si="26"/>
        <v>-2100098.763092529</v>
      </c>
      <c r="AA58" s="6"/>
      <c r="AB58" s="6">
        <f t="shared" si="27"/>
        <v>-50265072.625390254</v>
      </c>
      <c r="AC58" s="23"/>
      <c r="AD58" s="6"/>
      <c r="AE58" s="6"/>
      <c r="AF58" s="6"/>
      <c r="AG58" s="6">
        <f t="shared" si="23"/>
        <v>5961328548.8660555</v>
      </c>
      <c r="AH58" s="35">
        <f t="shared" ref="AH58:AH89" si="33">(AG58-AG57)/AG57</f>
        <v>5.9421579297797731E-3</v>
      </c>
      <c r="AI58" s="35"/>
      <c r="AJ58" s="35">
        <f t="shared" si="28"/>
        <v>-8.4318574648853256E-3</v>
      </c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35">
        <f>AVERAGE(AH58:AH61)</f>
        <v>7.3943003586073195E-3</v>
      </c>
      <c r="AV58" s="5"/>
      <c r="AW58" s="39">
        <f>workers_and_wage_central!C46</f>
        <v>12410751</v>
      </c>
      <c r="AX58" s="5"/>
      <c r="AY58" s="35">
        <f t="shared" si="29"/>
        <v>2.2372707875378537E-4</v>
      </c>
      <c r="AZ58" s="40">
        <f>workers_and_wage_central!B46</f>
        <v>6987.3956266442001</v>
      </c>
      <c r="BA58" s="35">
        <f t="shared" si="30"/>
        <v>5.7171517693619016E-3</v>
      </c>
      <c r="BB58" s="5"/>
      <c r="BC58" s="5"/>
      <c r="BD58" s="5"/>
      <c r="BE58" s="5"/>
      <c r="BF58" s="5">
        <f t="shared" si="24"/>
        <v>113.524466553113</v>
      </c>
      <c r="BG58" s="5"/>
      <c r="BH58" s="5">
        <f t="shared" si="21"/>
        <v>27</v>
      </c>
      <c r="BI58" s="35">
        <f t="shared" si="25"/>
        <v>1.700903759633729E-2</v>
      </c>
      <c r="BJ58" s="5"/>
      <c r="BK58" s="5"/>
      <c r="BL58" s="5"/>
      <c r="BM58" s="5"/>
      <c r="BN58" s="5"/>
      <c r="BO58" s="5"/>
      <c r="BP58" s="5"/>
    </row>
    <row r="59" spans="1:68" x14ac:dyDescent="0.2">
      <c r="A59" s="7">
        <f t="shared" si="31"/>
        <v>2026</v>
      </c>
      <c r="B59" s="7">
        <f t="shared" si="32"/>
        <v>2</v>
      </c>
      <c r="C59" s="9"/>
      <c r="D59" s="9">
        <f>'Central pensions'!Q59</f>
        <v>116809049.94512384</v>
      </c>
      <c r="E59" s="9"/>
      <c r="F59" s="41">
        <f>'Central pensions'!I59</f>
        <v>21231427.522534002</v>
      </c>
      <c r="G59" s="9">
        <f>'Central pensions'!K59</f>
        <v>1222295.8338997001</v>
      </c>
      <c r="H59" s="9">
        <f>'Central pensions'!V59</f>
        <v>6724711.042541638</v>
      </c>
      <c r="I59" s="41">
        <f>'Central pensions'!M59</f>
        <v>37802.963935039937</v>
      </c>
      <c r="J59" s="9">
        <f>'Central pensions'!W59</f>
        <v>207980.75389302752</v>
      </c>
      <c r="K59" s="9"/>
      <c r="L59" s="41">
        <f>'Central pensions'!N59</f>
        <v>2826106.7132216902</v>
      </c>
      <c r="M59" s="41"/>
      <c r="N59" s="41">
        <f>'Central pensions'!L59</f>
        <v>941433.6608999595</v>
      </c>
      <c r="O59" s="9"/>
      <c r="P59" s="9">
        <f>'Central pensions'!X59</f>
        <v>19844171.404088669</v>
      </c>
      <c r="Q59" s="41"/>
      <c r="R59" s="41">
        <f>'Central SIPA income'!G54</f>
        <v>26836655.532346927</v>
      </c>
      <c r="S59" s="41"/>
      <c r="T59" s="9">
        <f>'Central SIPA income'!J54</f>
        <v>102612278.40648578</v>
      </c>
      <c r="U59" s="9"/>
      <c r="V59" s="41">
        <f>'Central SIPA income'!F54</f>
        <v>142495.063252391</v>
      </c>
      <c r="W59" s="41"/>
      <c r="X59" s="41">
        <f>'Central SIPA income'!M54</f>
        <v>357906.51642331004</v>
      </c>
      <c r="Y59" s="9"/>
      <c r="Z59" s="9">
        <f t="shared" si="26"/>
        <v>1980182.6989436634</v>
      </c>
      <c r="AA59" s="9"/>
      <c r="AB59" s="9">
        <f t="shared" si="27"/>
        <v>-34040942.942726716</v>
      </c>
      <c r="AC59" s="23"/>
      <c r="AD59" s="9"/>
      <c r="AE59" s="9"/>
      <c r="AF59" s="9"/>
      <c r="AG59" s="9">
        <f t="shared" si="23"/>
        <v>6043680416.7803421</v>
      </c>
      <c r="AH59" s="42">
        <f t="shared" si="33"/>
        <v>1.3814348133848674E-2</v>
      </c>
      <c r="AI59" s="42"/>
      <c r="AJ59" s="42">
        <f t="shared" si="28"/>
        <v>-5.6324856040057452E-3</v>
      </c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46">
        <f>workers_and_wage_central!C47</f>
        <v>12514564</v>
      </c>
      <c r="AX59" s="7"/>
      <c r="AY59" s="42">
        <f t="shared" si="29"/>
        <v>8.3647637439507091E-3</v>
      </c>
      <c r="AZ59" s="47">
        <f>workers_and_wage_central!B47</f>
        <v>7025.15815415619</v>
      </c>
      <c r="BA59" s="42">
        <f t="shared" si="30"/>
        <v>5.4043780443738679E-3</v>
      </c>
      <c r="BB59" s="7"/>
      <c r="BC59" s="7"/>
      <c r="BD59" s="7"/>
      <c r="BE59" s="7"/>
      <c r="BF59" s="7">
        <f t="shared" si="24"/>
        <v>115.09273305578716</v>
      </c>
      <c r="BG59" s="7"/>
      <c r="BH59" s="7">
        <f t="shared" si="21"/>
        <v>28</v>
      </c>
      <c r="BI59" s="42">
        <f t="shared" si="25"/>
        <v>1.4763559172196168E-2</v>
      </c>
      <c r="BJ59" s="7"/>
      <c r="BK59" s="7"/>
      <c r="BL59" s="7"/>
      <c r="BM59" s="7"/>
      <c r="BN59" s="7"/>
      <c r="BO59" s="7"/>
      <c r="BP59" s="7"/>
    </row>
    <row r="60" spans="1:68" x14ac:dyDescent="0.2">
      <c r="A60" s="7">
        <f t="shared" si="31"/>
        <v>2026</v>
      </c>
      <c r="B60" s="7">
        <f t="shared" si="32"/>
        <v>3</v>
      </c>
      <c r="C60" s="9"/>
      <c r="D60" s="9">
        <f>'Central pensions'!Q60</f>
        <v>117174851.5450023</v>
      </c>
      <c r="E60" s="9"/>
      <c r="F60" s="41">
        <f>'Central pensions'!I60</f>
        <v>21297916.293387759</v>
      </c>
      <c r="G60" s="9">
        <f>'Central pensions'!K60</f>
        <v>1271301.4334196399</v>
      </c>
      <c r="H60" s="9">
        <f>'Central pensions'!V60</f>
        <v>6994325.3921109214</v>
      </c>
      <c r="I60" s="41">
        <f>'Central pensions'!M60</f>
        <v>39318.601033600047</v>
      </c>
      <c r="J60" s="9">
        <f>'Central pensions'!W60</f>
        <v>216319.34202406526</v>
      </c>
      <c r="K60" s="9"/>
      <c r="L60" s="41">
        <f>'Central pensions'!N60</f>
        <v>2772893.3427493791</v>
      </c>
      <c r="M60" s="41"/>
      <c r="N60" s="41">
        <f>'Central pensions'!L60</f>
        <v>945912.73767730221</v>
      </c>
      <c r="O60" s="9"/>
      <c r="P60" s="9">
        <f>'Central pensions'!X60</f>
        <v>19592689.530629765</v>
      </c>
      <c r="Q60" s="41"/>
      <c r="R60" s="41">
        <f>'Central SIPA income'!G55</f>
        <v>23602162.889940422</v>
      </c>
      <c r="S60" s="41"/>
      <c r="T60" s="9">
        <f>'Central SIPA income'!J55</f>
        <v>90244915.44926855</v>
      </c>
      <c r="U60" s="9"/>
      <c r="V60" s="41">
        <f>'Central SIPA income'!F55</f>
        <v>139503.65422025099</v>
      </c>
      <c r="W60" s="41"/>
      <c r="X60" s="41">
        <f>'Central SIPA income'!M55</f>
        <v>350392.95938172954</v>
      </c>
      <c r="Y60" s="9"/>
      <c r="Z60" s="9">
        <f t="shared" si="26"/>
        <v>-1275055.8296537697</v>
      </c>
      <c r="AA60" s="9"/>
      <c r="AB60" s="9">
        <f t="shared" si="27"/>
        <v>-46522625.626363516</v>
      </c>
      <c r="AC60" s="23"/>
      <c r="AD60" s="9"/>
      <c r="AE60" s="9"/>
      <c r="AF60" s="9"/>
      <c r="AG60" s="9">
        <f t="shared" si="23"/>
        <v>6074194127.9637251</v>
      </c>
      <c r="AH60" s="42">
        <f t="shared" si="33"/>
        <v>5.0488624611356595E-3</v>
      </c>
      <c r="AI60" s="42"/>
      <c r="AJ60" s="42">
        <f t="shared" si="28"/>
        <v>-7.659061374444328E-3</v>
      </c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9"/>
      <c r="AW60" s="46">
        <f>workers_and_wage_central!C48</f>
        <v>12488691</v>
      </c>
      <c r="AY60" s="42">
        <f t="shared" si="29"/>
        <v>-2.0674311945665866E-3</v>
      </c>
      <c r="AZ60" s="47">
        <f>workers_and_wage_central!B48</f>
        <v>7075.2548139561304</v>
      </c>
      <c r="BA60" s="42">
        <f t="shared" si="30"/>
        <v>7.1310365831838939E-3</v>
      </c>
      <c r="BB60" s="7"/>
      <c r="BC60" s="7"/>
      <c r="BD60" s="7"/>
      <c r="BE60" s="7"/>
      <c r="BF60" s="7">
        <f t="shared" si="24"/>
        <v>115.67382043526202</v>
      </c>
      <c r="BG60" s="7"/>
      <c r="BH60">
        <f t="shared" si="21"/>
        <v>29</v>
      </c>
      <c r="BI60" s="42">
        <f t="shared" si="25"/>
        <v>1.7061349127450998E-2</v>
      </c>
    </row>
    <row r="61" spans="1:68" x14ac:dyDescent="0.2">
      <c r="A61" s="7">
        <f t="shared" si="31"/>
        <v>2026</v>
      </c>
      <c r="B61" s="7">
        <f t="shared" si="32"/>
        <v>4</v>
      </c>
      <c r="C61" s="9"/>
      <c r="D61" s="9">
        <f>'Central pensions'!Q61</f>
        <v>118040112.82250582</v>
      </c>
      <c r="E61" s="9"/>
      <c r="F61" s="41">
        <f>'Central pensions'!I61</f>
        <v>21455187.772866461</v>
      </c>
      <c r="G61" s="9">
        <f>'Central pensions'!K61</f>
        <v>1308162.89186604</v>
      </c>
      <c r="H61" s="9">
        <f>'Central pensions'!V61</f>
        <v>7197126.2605944816</v>
      </c>
      <c r="I61" s="41">
        <f>'Central pensions'!M61</f>
        <v>40458.646140190074</v>
      </c>
      <c r="J61" s="9">
        <f>'Central pensions'!W61</f>
        <v>222591.53383283701</v>
      </c>
      <c r="K61" s="9"/>
      <c r="L61" s="41">
        <f>'Central pensions'!N61</f>
        <v>2717389.5398522709</v>
      </c>
      <c r="M61" s="41"/>
      <c r="N61" s="41">
        <f>'Central pensions'!L61</f>
        <v>955534.35690840706</v>
      </c>
      <c r="O61" s="9"/>
      <c r="P61" s="9">
        <f>'Central pensions'!X61</f>
        <v>19357615.343715608</v>
      </c>
      <c r="Q61" s="41"/>
      <c r="R61" s="41">
        <f>'Central SIPA income'!G56</f>
        <v>27345371.62705873</v>
      </c>
      <c r="S61" s="41"/>
      <c r="T61" s="9">
        <f>'Central SIPA income'!J56</f>
        <v>104557398.48590511</v>
      </c>
      <c r="U61" s="9"/>
      <c r="V61" s="41">
        <f>'Central SIPA income'!F56</f>
        <v>142151.10827267301</v>
      </c>
      <c r="W61" s="41"/>
      <c r="X61" s="41">
        <f>'Central SIPA income'!M56</f>
        <v>357042.6006792307</v>
      </c>
      <c r="Y61" s="9"/>
      <c r="Z61" s="9">
        <f t="shared" si="26"/>
        <v>2359411.06570426</v>
      </c>
      <c r="AA61" s="9"/>
      <c r="AB61" s="9">
        <f t="shared" si="27"/>
        <v>-32840329.680316314</v>
      </c>
      <c r="AC61" s="23"/>
      <c r="AD61" s="9"/>
      <c r="AE61" s="9"/>
      <c r="AF61" s="9"/>
      <c r="AG61" s="9">
        <f t="shared" si="23"/>
        <v>6103179167.4032373</v>
      </c>
      <c r="AH61" s="42">
        <f t="shared" si="33"/>
        <v>4.7718329096651732E-3</v>
      </c>
      <c r="AI61" s="42">
        <f>(AG61-AG57)/AG57</f>
        <v>2.9878687538118408E-2</v>
      </c>
      <c r="AJ61" s="42">
        <f t="shared" si="28"/>
        <v>-5.3808562356672746E-3</v>
      </c>
      <c r="AK61" s="49"/>
      <c r="AL61" s="7"/>
      <c r="AM61" s="7"/>
      <c r="AN61" s="7"/>
      <c r="AO61" s="7"/>
      <c r="AP61" s="7"/>
      <c r="AQ61" s="7"/>
      <c r="AR61" s="7"/>
      <c r="AS61" s="7"/>
      <c r="AT61" s="7"/>
      <c r="AW61" s="46">
        <f>workers_and_wage_central!C49</f>
        <v>12524777</v>
      </c>
      <c r="AY61" s="42">
        <f t="shared" si="29"/>
        <v>2.8894941831774041E-3</v>
      </c>
      <c r="AZ61" s="47">
        <f>workers_and_wage_central!B49</f>
        <v>7088.5344686073404</v>
      </c>
      <c r="BA61" s="42">
        <f t="shared" si="30"/>
        <v>1.8769153903850206E-3</v>
      </c>
      <c r="BB61" s="7"/>
      <c r="BC61" s="7"/>
      <c r="BD61" s="7"/>
      <c r="BE61" s="7"/>
      <c r="BF61" s="7">
        <f t="shared" si="24"/>
        <v>116.22579657840171</v>
      </c>
      <c r="BG61" s="49" t="e">
        <f>(BB61-BB57)/BB57</f>
        <v>#DIV/0!</v>
      </c>
      <c r="BH61">
        <f t="shared" si="21"/>
        <v>30</v>
      </c>
      <c r="BI61" s="42">
        <f t="shared" si="25"/>
        <v>1.4802177159194021E-2</v>
      </c>
    </row>
    <row r="62" spans="1:68" x14ac:dyDescent="0.2">
      <c r="A62" s="5">
        <f t="shared" si="31"/>
        <v>2027</v>
      </c>
      <c r="B62" s="5">
        <f t="shared" si="32"/>
        <v>1</v>
      </c>
      <c r="C62" s="6"/>
      <c r="D62" s="6">
        <f>'Central pensions'!Q62</f>
        <v>118245231.7189527</v>
      </c>
      <c r="E62" s="6"/>
      <c r="F62" s="8">
        <f>'Central pensions'!I62</f>
        <v>21492470.560334213</v>
      </c>
      <c r="G62" s="6">
        <f>'Central pensions'!K62</f>
        <v>1389655.8885086901</v>
      </c>
      <c r="H62" s="6">
        <f>'Central pensions'!V62</f>
        <v>7645476.6838011164</v>
      </c>
      <c r="I62" s="8">
        <f>'Central pensions'!M62</f>
        <v>42979.048098210013</v>
      </c>
      <c r="J62" s="6">
        <f>'Central pensions'!W62</f>
        <v>236458.04176706192</v>
      </c>
      <c r="K62" s="6"/>
      <c r="L62" s="8">
        <f>'Central pensions'!N62</f>
        <v>3305748.2578666937</v>
      </c>
      <c r="M62" s="8"/>
      <c r="N62" s="8">
        <f>'Central pensions'!L62</f>
        <v>958215.03960118815</v>
      </c>
      <c r="O62" s="6"/>
      <c r="P62" s="6">
        <f>'Central pensions'!X62</f>
        <v>22425359.853678539</v>
      </c>
      <c r="Q62" s="8"/>
      <c r="R62" s="8">
        <f>'Central SIPA income'!G57</f>
        <v>23920461.173259821</v>
      </c>
      <c r="S62" s="8"/>
      <c r="T62" s="6">
        <f>'Central SIPA income'!J57</f>
        <v>91461956.522993594</v>
      </c>
      <c r="U62" s="6"/>
      <c r="V62" s="8">
        <f>'Central SIPA income'!F57</f>
        <v>137312.09448640101</v>
      </c>
      <c r="W62" s="8"/>
      <c r="X62" s="8">
        <f>'Central SIPA income'!M57</f>
        <v>344888.39317450213</v>
      </c>
      <c r="Y62" s="6"/>
      <c r="Z62" s="6">
        <f t="shared" si="26"/>
        <v>-1698660.5900558755</v>
      </c>
      <c r="AA62" s="6"/>
      <c r="AB62" s="6">
        <f t="shared" si="27"/>
        <v>-49208635.049637645</v>
      </c>
      <c r="AC62" s="23"/>
      <c r="AD62" s="6"/>
      <c r="AE62" s="6"/>
      <c r="AF62" s="6"/>
      <c r="AG62" s="6">
        <f t="shared" si="23"/>
        <v>6166822204.04006</v>
      </c>
      <c r="AH62" s="35">
        <f t="shared" si="33"/>
        <v>1.0427849960023597E-2</v>
      </c>
      <c r="AI62" s="35"/>
      <c r="AJ62" s="35">
        <f t="shared" si="28"/>
        <v>-7.979577393588495E-3</v>
      </c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35">
        <f>AVERAGE(AH62:AH65)</f>
        <v>8.3513203016631343E-3</v>
      </c>
      <c r="AV62" s="5"/>
      <c r="AW62" s="39">
        <f>workers_and_wage_central!C50</f>
        <v>12533971</v>
      </c>
      <c r="AX62" s="5"/>
      <c r="AY62" s="35">
        <f t="shared" si="29"/>
        <v>7.3406496578741487E-4</v>
      </c>
      <c r="AZ62" s="40">
        <f>workers_and_wage_central!B50</f>
        <v>7157.19879359488</v>
      </c>
      <c r="BA62" s="35">
        <f t="shared" si="30"/>
        <v>9.6866743459639131E-3</v>
      </c>
      <c r="BB62" s="5"/>
      <c r="BC62" s="5"/>
      <c r="BD62" s="5"/>
      <c r="BE62" s="5"/>
      <c r="BF62" s="5">
        <f t="shared" si="24"/>
        <v>117.43778174660551</v>
      </c>
      <c r="BG62" s="5"/>
      <c r="BH62" s="5">
        <f t="shared" si="21"/>
        <v>31</v>
      </c>
      <c r="BI62" s="35">
        <f t="shared" si="25"/>
        <v>1.7042400631614291E-2</v>
      </c>
      <c r="BJ62" s="5"/>
      <c r="BK62" s="5"/>
      <c r="BL62" s="5"/>
      <c r="BM62" s="5"/>
      <c r="BN62" s="5"/>
      <c r="BO62" s="5"/>
      <c r="BP62" s="5"/>
    </row>
    <row r="63" spans="1:68" x14ac:dyDescent="0.2">
      <c r="A63" s="7">
        <f t="shared" si="31"/>
        <v>2027</v>
      </c>
      <c r="B63" s="7">
        <f t="shared" si="32"/>
        <v>2</v>
      </c>
      <c r="C63" s="9"/>
      <c r="D63" s="9">
        <f>'Central pensions'!Q63</f>
        <v>118380513.14726946</v>
      </c>
      <c r="E63" s="9"/>
      <c r="F63" s="41">
        <f>'Central pensions'!I63</f>
        <v>21517059.561287493</v>
      </c>
      <c r="G63" s="9">
        <f>'Central pensions'!K63</f>
        <v>1441611.61469761</v>
      </c>
      <c r="H63" s="9">
        <f>'Central pensions'!V63</f>
        <v>7931321.7598750405</v>
      </c>
      <c r="I63" s="41">
        <f>'Central pensions'!M63</f>
        <v>44585.926227760036</v>
      </c>
      <c r="J63" s="9">
        <f>'Central pensions'!W63</f>
        <v>245298.61113014983</v>
      </c>
      <c r="K63" s="9"/>
      <c r="L63" s="41">
        <f>'Central pensions'!N63</f>
        <v>2721087.6941194888</v>
      </c>
      <c r="M63" s="41"/>
      <c r="N63" s="41">
        <f>'Central pensions'!L63</f>
        <v>961127.72414764017</v>
      </c>
      <c r="O63" s="9"/>
      <c r="P63" s="9">
        <f>'Central pensions'!X63</f>
        <v>19407578.140028607</v>
      </c>
      <c r="Q63" s="41"/>
      <c r="R63" s="41">
        <f>'Central SIPA income'!G58</f>
        <v>27590736.635385238</v>
      </c>
      <c r="S63" s="41"/>
      <c r="T63" s="9">
        <f>'Central SIPA income'!J58</f>
        <v>105495572.86144391</v>
      </c>
      <c r="U63" s="9"/>
      <c r="V63" s="41">
        <f>'Central SIPA income'!F58</f>
        <v>142728.09060937801</v>
      </c>
      <c r="W63" s="41"/>
      <c r="X63" s="41">
        <f>'Central SIPA income'!M58</f>
        <v>358491.81396041013</v>
      </c>
      <c r="Y63" s="9"/>
      <c r="Z63" s="9">
        <f t="shared" si="26"/>
        <v>2534189.7464399934</v>
      </c>
      <c r="AA63" s="9"/>
      <c r="AB63" s="9">
        <f t="shared" si="27"/>
        <v>-32292518.425854161</v>
      </c>
      <c r="AC63" s="23"/>
      <c r="AD63" s="9"/>
      <c r="AE63" s="9"/>
      <c r="AF63" s="9"/>
      <c r="AG63" s="9">
        <f t="shared" si="23"/>
        <v>6210413448.0212355</v>
      </c>
      <c r="AH63" s="42">
        <f t="shared" si="33"/>
        <v>7.0686720873219862E-3</v>
      </c>
      <c r="AI63" s="42"/>
      <c r="AJ63" s="42">
        <f t="shared" si="28"/>
        <v>-5.1997372954522402E-3</v>
      </c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46">
        <f>workers_and_wage_central!C51</f>
        <v>12589340</v>
      </c>
      <c r="AX63" s="7"/>
      <c r="AY63" s="42">
        <f t="shared" si="29"/>
        <v>4.4175146088976909E-3</v>
      </c>
      <c r="AZ63" s="47">
        <f>workers_and_wage_central!B51</f>
        <v>7176.0902016301097</v>
      </c>
      <c r="BA63" s="42">
        <f t="shared" si="30"/>
        <v>2.6394974598352621E-3</v>
      </c>
      <c r="BB63" s="7"/>
      <c r="BC63" s="7"/>
      <c r="BD63" s="7"/>
      <c r="BE63" s="7"/>
      <c r="BF63" s="7">
        <f t="shared" si="24"/>
        <v>118.26791091643473</v>
      </c>
      <c r="BG63" s="7"/>
      <c r="BH63" s="7">
        <f t="shared" si="21"/>
        <v>32</v>
      </c>
      <c r="BI63" s="42">
        <f t="shared" si="25"/>
        <v>1.4824362390939375E-2</v>
      </c>
      <c r="BJ63" s="7"/>
      <c r="BK63" s="7"/>
      <c r="BL63" s="7"/>
      <c r="BM63" s="7"/>
      <c r="BN63" s="7"/>
      <c r="BO63" s="7"/>
      <c r="BP63" s="7"/>
    </row>
    <row r="64" spans="1:68" x14ac:dyDescent="0.2">
      <c r="A64" s="7">
        <f t="shared" si="31"/>
        <v>2027</v>
      </c>
      <c r="B64" s="7">
        <f t="shared" si="32"/>
        <v>3</v>
      </c>
      <c r="C64" s="9"/>
      <c r="D64" s="9">
        <f>'Central pensions'!Q64</f>
        <v>118902512.85420036</v>
      </c>
      <c r="E64" s="9"/>
      <c r="F64" s="41">
        <f>'Central pensions'!I64</f>
        <v>21611939.187050171</v>
      </c>
      <c r="G64" s="9">
        <f>'Central pensions'!K64</f>
        <v>1504626.29484583</v>
      </c>
      <c r="H64" s="9">
        <f>'Central pensions'!V64</f>
        <v>8278009.9377141027</v>
      </c>
      <c r="I64" s="41">
        <f>'Central pensions'!M64</f>
        <v>46534.833861210151</v>
      </c>
      <c r="J64" s="9">
        <f>'Central pensions'!W64</f>
        <v>256020.9259086776</v>
      </c>
      <c r="K64" s="9"/>
      <c r="L64" s="41">
        <f>'Central pensions'!N64</f>
        <v>2724076.4099077457</v>
      </c>
      <c r="M64" s="41"/>
      <c r="N64" s="41">
        <f>'Central pensions'!L64</f>
        <v>968116.08143108711</v>
      </c>
      <c r="O64" s="9"/>
      <c r="P64" s="9">
        <f>'Central pensions'!X64</f>
        <v>19461534.480336413</v>
      </c>
      <c r="Q64" s="41"/>
      <c r="R64" s="41">
        <f>'Central SIPA income'!G59</f>
        <v>24344865.99739515</v>
      </c>
      <c r="S64" s="41"/>
      <c r="T64" s="9">
        <f>'Central SIPA income'!J59</f>
        <v>93084705.151962623</v>
      </c>
      <c r="U64" s="9"/>
      <c r="V64" s="41">
        <f>'Central SIPA income'!F59</f>
        <v>141640.719691356</v>
      </c>
      <c r="W64" s="41"/>
      <c r="X64" s="41">
        <f>'Central SIPA income'!M59</f>
        <v>355760.65171207348</v>
      </c>
      <c r="Y64" s="9"/>
      <c r="Z64" s="9">
        <f t="shared" si="26"/>
        <v>-817624.96130250022</v>
      </c>
      <c r="AA64" s="9"/>
      <c r="AB64" s="9">
        <f t="shared" si="27"/>
        <v>-45279342.182574153</v>
      </c>
      <c r="AC64" s="23"/>
      <c r="AD64" s="9"/>
      <c r="AE64" s="9"/>
      <c r="AF64" s="9"/>
      <c r="AG64" s="9">
        <f t="shared" si="23"/>
        <v>6254056275.1257858</v>
      </c>
      <c r="AH64" s="42">
        <f t="shared" si="33"/>
        <v>7.0273625854098097E-3</v>
      </c>
      <c r="AI64" s="42"/>
      <c r="AJ64" s="42">
        <f t="shared" si="28"/>
        <v>-7.2399959627263612E-3</v>
      </c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9"/>
      <c r="AW64" s="46">
        <f>workers_and_wage_central!C52</f>
        <v>12640705</v>
      </c>
      <c r="AY64" s="42">
        <f t="shared" si="29"/>
        <v>4.0800391442283711E-3</v>
      </c>
      <c r="AZ64" s="47">
        <f>workers_and_wage_central!B52</f>
        <v>7197.1545172650704</v>
      </c>
      <c r="BA64" s="42">
        <f t="shared" si="30"/>
        <v>2.9353471100705625E-3</v>
      </c>
      <c r="BB64" s="7"/>
      <c r="BC64" s="7"/>
      <c r="BD64" s="7"/>
      <c r="BE64" s="7"/>
      <c r="BF64" s="7">
        <f t="shared" si="24"/>
        <v>119.09902240866347</v>
      </c>
      <c r="BG64" s="7"/>
      <c r="BH64">
        <f t="shared" si="21"/>
        <v>33</v>
      </c>
      <c r="BI64" s="42">
        <f t="shared" si="25"/>
        <v>1.7092835643227795E-2</v>
      </c>
    </row>
    <row r="65" spans="1:68" x14ac:dyDescent="0.2">
      <c r="A65" s="7">
        <f t="shared" si="31"/>
        <v>2027</v>
      </c>
      <c r="B65" s="7">
        <f t="shared" si="32"/>
        <v>4</v>
      </c>
      <c r="C65" s="9"/>
      <c r="D65" s="9">
        <f>'Central pensions'!Q65</f>
        <v>119531240.30106702</v>
      </c>
      <c r="E65" s="9"/>
      <c r="F65" s="41">
        <f>'Central pensions'!I65</f>
        <v>21726217.842906449</v>
      </c>
      <c r="G65" s="9">
        <f>'Central pensions'!K65</f>
        <v>1598318.0317021499</v>
      </c>
      <c r="H65" s="9">
        <f>'Central pensions'!V65</f>
        <v>8793474.2303661071</v>
      </c>
      <c r="I65" s="41">
        <f>'Central pensions'!M65</f>
        <v>49432.516444400186</v>
      </c>
      <c r="J65" s="9">
        <f>'Central pensions'!W65</f>
        <v>271963.12052680767</v>
      </c>
      <c r="K65" s="9"/>
      <c r="L65" s="41">
        <f>'Central pensions'!N65</f>
        <v>2655130.7995186937</v>
      </c>
      <c r="M65" s="41"/>
      <c r="N65" s="41">
        <f>'Central pensions'!L65</f>
        <v>975461.02452590317</v>
      </c>
      <c r="O65" s="9"/>
      <c r="P65" s="9">
        <f>'Central pensions'!X65</f>
        <v>19144185.09007309</v>
      </c>
      <c r="Q65" s="41"/>
      <c r="R65" s="41">
        <f>'Central SIPA income'!G60</f>
        <v>28067950.418434177</v>
      </c>
      <c r="S65" s="41"/>
      <c r="T65" s="9">
        <f>'Central SIPA income'!J60</f>
        <v>107320241.12186137</v>
      </c>
      <c r="U65" s="9"/>
      <c r="V65" s="41">
        <f>'Central SIPA income'!F60</f>
        <v>139903.61532446</v>
      </c>
      <c r="W65" s="41"/>
      <c r="X65" s="41">
        <f>'Central SIPA income'!M60</f>
        <v>351397.54636351654</v>
      </c>
      <c r="Y65" s="9"/>
      <c r="Z65" s="9">
        <f t="shared" si="26"/>
        <v>2851044.3668075912</v>
      </c>
      <c r="AA65" s="9"/>
      <c r="AB65" s="9">
        <f t="shared" si="27"/>
        <v>-31355184.26927875</v>
      </c>
      <c r="AC65" s="23"/>
      <c r="AD65" s="9"/>
      <c r="AE65" s="9"/>
      <c r="AF65" s="9"/>
      <c r="AG65" s="9">
        <f t="shared" si="23"/>
        <v>6309601029.1006479</v>
      </c>
      <c r="AH65" s="42">
        <f t="shared" si="33"/>
        <v>8.8813965738971448E-3</v>
      </c>
      <c r="AI65" s="42">
        <f>(AG65-AG61)/AG61</f>
        <v>3.3822022266673572E-2</v>
      </c>
      <c r="AJ65" s="42">
        <f t="shared" si="28"/>
        <v>-4.9694400841930929E-3</v>
      </c>
      <c r="AK65" s="49"/>
      <c r="AL65" s="7"/>
      <c r="AM65" s="7"/>
      <c r="AN65" s="7"/>
      <c r="AO65" s="7"/>
      <c r="AP65" s="7"/>
      <c r="AQ65" s="7"/>
      <c r="AR65" s="7"/>
      <c r="AS65" s="7"/>
      <c r="AT65" s="7"/>
      <c r="AW65" s="46">
        <f>workers_and_wage_central!C53</f>
        <v>12714818</v>
      </c>
      <c r="AY65" s="42">
        <f t="shared" si="29"/>
        <v>5.8630432400724481E-3</v>
      </c>
      <c r="AZ65" s="47">
        <f>workers_and_wage_central!B53</f>
        <v>7218.7514488525603</v>
      </c>
      <c r="BA65" s="42">
        <f t="shared" si="30"/>
        <v>3.0007597496596239E-3</v>
      </c>
      <c r="BB65" s="7"/>
      <c r="BC65" s="7"/>
      <c r="BD65" s="7"/>
      <c r="BE65" s="7"/>
      <c r="BF65" s="7">
        <f t="shared" si="24"/>
        <v>120.15678805823828</v>
      </c>
      <c r="BG65" s="49" t="e">
        <f>(BB65-BB61)/BB61</f>
        <v>#DIV/0!</v>
      </c>
      <c r="BH65">
        <f t="shared" ref="BH65:BH96" si="34">BH64+1</f>
        <v>34</v>
      </c>
      <c r="BI65" s="42">
        <f t="shared" si="25"/>
        <v>1.4802479305895302E-2</v>
      </c>
    </row>
    <row r="66" spans="1:68" x14ac:dyDescent="0.2">
      <c r="A66" s="5">
        <f t="shared" si="31"/>
        <v>2028</v>
      </c>
      <c r="B66" s="5">
        <f t="shared" si="32"/>
        <v>1</v>
      </c>
      <c r="C66" s="6"/>
      <c r="D66" s="6">
        <f>'Central pensions'!Q66</f>
        <v>119904884.33119954</v>
      </c>
      <c r="E66" s="6"/>
      <c r="F66" s="8">
        <f>'Central pensions'!I66</f>
        <v>21794132.068291493</v>
      </c>
      <c r="G66" s="6">
        <f>'Central pensions'!K66</f>
        <v>1656837.4153959099</v>
      </c>
      <c r="H66" s="6">
        <f>'Central pensions'!V66</f>
        <v>9115430.6134396102</v>
      </c>
      <c r="I66" s="8">
        <f>'Central pensions'!M66</f>
        <v>51242.394290599972</v>
      </c>
      <c r="J66" s="6">
        <f>'Central pensions'!W66</f>
        <v>281920.53443630313</v>
      </c>
      <c r="K66" s="6"/>
      <c r="L66" s="8">
        <f>'Central pensions'!N66</f>
        <v>3268346.0306905843</v>
      </c>
      <c r="M66" s="8"/>
      <c r="N66" s="8">
        <f>'Central pensions'!L66</f>
        <v>980424.27847930044</v>
      </c>
      <c r="O66" s="6"/>
      <c r="P66" s="6">
        <f>'Central pensions'!X66</f>
        <v>22353468.198581524</v>
      </c>
      <c r="Q66" s="8"/>
      <c r="R66" s="8">
        <f>'Central SIPA income'!G61</f>
        <v>24684282.29951736</v>
      </c>
      <c r="S66" s="8"/>
      <c r="T66" s="6">
        <f>'Central SIPA income'!J61</f>
        <v>94382492.800914809</v>
      </c>
      <c r="U66" s="6"/>
      <c r="V66" s="8">
        <f>'Central SIPA income'!F61</f>
        <v>142654.11143291701</v>
      </c>
      <c r="W66" s="8"/>
      <c r="X66" s="8">
        <f>'Central SIPA income'!M61</f>
        <v>358305.99959792854</v>
      </c>
      <c r="Y66" s="6"/>
      <c r="Z66" s="6">
        <f t="shared" si="26"/>
        <v>-1215965.9665111005</v>
      </c>
      <c r="AA66" s="6"/>
      <c r="AB66" s="6">
        <f t="shared" si="27"/>
        <v>-47875859.728866264</v>
      </c>
      <c r="AC66" s="23"/>
      <c r="AD66" s="6"/>
      <c r="AE66" s="6"/>
      <c r="AF66" s="6"/>
      <c r="AG66" s="6">
        <f t="shared" si="23"/>
        <v>6392936262.8669472</v>
      </c>
      <c r="AH66" s="35">
        <f t="shared" si="33"/>
        <v>1.3207686727250582E-2</v>
      </c>
      <c r="AI66" s="35"/>
      <c r="AJ66" s="35">
        <f t="shared" si="28"/>
        <v>-7.4888686137778064E-3</v>
      </c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35">
        <f>AVERAGE(AH66:AH69)</f>
        <v>8.7478455479748259E-3</v>
      </c>
      <c r="AV66" s="5"/>
      <c r="AW66" s="39">
        <f>workers_and_wage_central!C54</f>
        <v>12791290</v>
      </c>
      <c r="AX66" s="5"/>
      <c r="AY66" s="35">
        <f t="shared" si="29"/>
        <v>6.014399891528137E-3</v>
      </c>
      <c r="AZ66" s="40">
        <f>workers_and_wage_central!B54</f>
        <v>7270.3675586945101</v>
      </c>
      <c r="BA66" s="35">
        <f t="shared" si="30"/>
        <v>7.1502821793586312E-3</v>
      </c>
      <c r="BB66" s="5"/>
      <c r="BC66" s="5"/>
      <c r="BD66" s="5"/>
      <c r="BE66" s="5"/>
      <c r="BF66" s="5">
        <f t="shared" si="24"/>
        <v>121.74378127306413</v>
      </c>
      <c r="BG66" s="5"/>
      <c r="BH66" s="5">
        <f t="shared" si="34"/>
        <v>35</v>
      </c>
      <c r="BI66" s="35">
        <f t="shared" si="25"/>
        <v>1.70210644488871E-2</v>
      </c>
      <c r="BJ66" s="5"/>
      <c r="BK66" s="5"/>
      <c r="BL66" s="5"/>
      <c r="BM66" s="5"/>
      <c r="BN66" s="5"/>
      <c r="BO66" s="5"/>
      <c r="BP66" s="5"/>
    </row>
    <row r="67" spans="1:68" x14ac:dyDescent="0.2">
      <c r="A67" s="7">
        <f t="shared" si="31"/>
        <v>2028</v>
      </c>
      <c r="B67" s="7">
        <f t="shared" si="32"/>
        <v>2</v>
      </c>
      <c r="C67" s="9"/>
      <c r="D67" s="9">
        <f>'Central pensions'!Q67</f>
        <v>120410758.18413277</v>
      </c>
      <c r="E67" s="9"/>
      <c r="F67" s="41">
        <f>'Central pensions'!I67</f>
        <v>21886080.629204731</v>
      </c>
      <c r="G67" s="9">
        <f>'Central pensions'!K67</f>
        <v>1745474.57098587</v>
      </c>
      <c r="H67" s="9">
        <f>'Central pensions'!V67</f>
        <v>9603086.091306679</v>
      </c>
      <c r="I67" s="41">
        <f>'Central pensions'!M67</f>
        <v>53983.749618120026</v>
      </c>
      <c r="J67" s="9">
        <f>'Central pensions'!W67</f>
        <v>297002.66261773417</v>
      </c>
      <c r="K67" s="9"/>
      <c r="L67" s="41">
        <f>'Central pensions'!N67</f>
        <v>2628999.199890641</v>
      </c>
      <c r="M67" s="41"/>
      <c r="N67" s="41">
        <f>'Central pensions'!L67</f>
        <v>987106.7783802785</v>
      </c>
      <c r="O67" s="9"/>
      <c r="P67" s="9">
        <f>'Central pensions'!X67</f>
        <v>19072659.597032607</v>
      </c>
      <c r="Q67" s="41"/>
      <c r="R67" s="41">
        <f>'Central SIPA income'!G62</f>
        <v>28633996.291052338</v>
      </c>
      <c r="S67" s="41"/>
      <c r="T67" s="9">
        <f>'Central SIPA income'!J62</f>
        <v>109484566.57597496</v>
      </c>
      <c r="U67" s="9"/>
      <c r="V67" s="41">
        <f>'Central SIPA income'!F62</f>
        <v>146014.60762180301</v>
      </c>
      <c r="W67" s="41"/>
      <c r="X67" s="41">
        <f>'Central SIPA income'!M62</f>
        <v>366746.59716647491</v>
      </c>
      <c r="Y67" s="9"/>
      <c r="Z67" s="9">
        <f t="shared" si="26"/>
        <v>3277824.2911984921</v>
      </c>
      <c r="AA67" s="9"/>
      <c r="AB67" s="9">
        <f t="shared" si="27"/>
        <v>-29998851.20519042</v>
      </c>
      <c r="AC67" s="23"/>
      <c r="AD67" s="9"/>
      <c r="AE67" s="9"/>
      <c r="AF67" s="9"/>
      <c r="AG67" s="9">
        <f t="shared" si="23"/>
        <v>6417110731.2855387</v>
      </c>
      <c r="AH67" s="42">
        <f t="shared" si="33"/>
        <v>3.7814342931913303E-3</v>
      </c>
      <c r="AI67" s="42"/>
      <c r="AJ67" s="42">
        <f t="shared" si="28"/>
        <v>-4.6748221218836216E-3</v>
      </c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46">
        <f>workers_and_wage_central!C55</f>
        <v>12816854</v>
      </c>
      <c r="AX67" s="7"/>
      <c r="AY67" s="42">
        <f t="shared" si="29"/>
        <v>1.9985474490844942E-3</v>
      </c>
      <c r="AZ67" s="47">
        <f>workers_and_wage_central!B55</f>
        <v>7283.30394738012</v>
      </c>
      <c r="BA67" s="42">
        <f t="shared" si="30"/>
        <v>1.7793307671411355E-3</v>
      </c>
      <c r="BB67" s="7"/>
      <c r="BC67" s="7"/>
      <c r="BD67" s="7"/>
      <c r="BE67" s="7"/>
      <c r="BF67" s="7">
        <f t="shared" si="24"/>
        <v>122.20414738255289</v>
      </c>
      <c r="BG67" s="7"/>
      <c r="BH67" s="7">
        <f t="shared" si="34"/>
        <v>36</v>
      </c>
      <c r="BI67" s="42">
        <f t="shared" si="25"/>
        <v>1.4841775461762021E-2</v>
      </c>
      <c r="BJ67" s="7"/>
      <c r="BK67" s="7"/>
      <c r="BL67" s="7"/>
      <c r="BM67" s="7"/>
      <c r="BN67" s="7"/>
      <c r="BO67" s="7"/>
      <c r="BP67" s="7"/>
    </row>
    <row r="68" spans="1:68" x14ac:dyDescent="0.2">
      <c r="A68" s="7">
        <f t="shared" si="31"/>
        <v>2028</v>
      </c>
      <c r="B68" s="7">
        <f t="shared" si="32"/>
        <v>3</v>
      </c>
      <c r="C68" s="9"/>
      <c r="D68" s="9">
        <f>'Central pensions'!Q68</f>
        <v>120653535.18040591</v>
      </c>
      <c r="E68" s="9"/>
      <c r="F68" s="41">
        <f>'Central pensions'!I68</f>
        <v>21930208.222083308</v>
      </c>
      <c r="G68" s="9">
        <f>'Central pensions'!K68</f>
        <v>1812079.61299829</v>
      </c>
      <c r="H68" s="9">
        <f>'Central pensions'!V68</f>
        <v>9969527.3807945587</v>
      </c>
      <c r="I68" s="41">
        <f>'Central pensions'!M68</f>
        <v>56043.699371079914</v>
      </c>
      <c r="J68" s="9">
        <f>'Central pensions'!W68</f>
        <v>308335.89837508276</v>
      </c>
      <c r="K68" s="9"/>
      <c r="L68" s="41">
        <f>'Central pensions'!N68</f>
        <v>2611392.7491717646</v>
      </c>
      <c r="M68" s="41"/>
      <c r="N68" s="41">
        <f>'Central pensions'!L68</f>
        <v>991098.08623712137</v>
      </c>
      <c r="O68" s="9"/>
      <c r="P68" s="9">
        <f>'Central pensions'!X68</f>
        <v>19003258.638756961</v>
      </c>
      <c r="Q68" s="41"/>
      <c r="R68" s="41">
        <f>'Central SIPA income'!G63</f>
        <v>25041426.884799197</v>
      </c>
      <c r="S68" s="41"/>
      <c r="T68" s="9">
        <f>'Central SIPA income'!J63</f>
        <v>95748066.077068269</v>
      </c>
      <c r="U68" s="9"/>
      <c r="V68" s="41">
        <f>'Central SIPA income'!F63</f>
        <v>149285.658703861</v>
      </c>
      <c r="W68" s="41"/>
      <c r="X68" s="41">
        <f>'Central SIPA income'!M63</f>
        <v>374962.53441440925</v>
      </c>
      <c r="Y68" s="9"/>
      <c r="Z68" s="9">
        <f t="shared" si="26"/>
        <v>-341986.51398913562</v>
      </c>
      <c r="AA68" s="9"/>
      <c r="AB68" s="9">
        <f t="shared" si="27"/>
        <v>-43908727.742094606</v>
      </c>
      <c r="AC68" s="23"/>
      <c r="AD68" s="9"/>
      <c r="AE68" s="9"/>
      <c r="AF68" s="9"/>
      <c r="AG68" s="9">
        <f t="shared" si="23"/>
        <v>6468512371.3437405</v>
      </c>
      <c r="AH68" s="42">
        <f t="shared" si="33"/>
        <v>8.0100908665330928E-3</v>
      </c>
      <c r="AI68" s="42"/>
      <c r="AJ68" s="42">
        <f t="shared" si="28"/>
        <v>-6.7880720050278263E-3</v>
      </c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9"/>
      <c r="AW68" s="46">
        <f>workers_and_wage_central!C56</f>
        <v>12838000</v>
      </c>
      <c r="AY68" s="42">
        <f t="shared" si="29"/>
        <v>1.6498588499174603E-3</v>
      </c>
      <c r="AZ68" s="47">
        <f>workers_and_wage_central!B56</f>
        <v>7329.5511489781502</v>
      </c>
      <c r="BA68" s="42">
        <f t="shared" si="30"/>
        <v>6.349755815788216E-3</v>
      </c>
      <c r="BB68" s="7"/>
      <c r="BC68" s="7"/>
      <c r="BD68" s="7"/>
      <c r="BE68" s="7"/>
      <c r="BF68" s="7">
        <f t="shared" si="24"/>
        <v>123.18301370735433</v>
      </c>
      <c r="BG68" s="7"/>
      <c r="BH68">
        <f t="shared" si="34"/>
        <v>37</v>
      </c>
      <c r="BI68" s="42">
        <f t="shared" si="25"/>
        <v>1.7238612878108593E-2</v>
      </c>
    </row>
    <row r="69" spans="1:68" x14ac:dyDescent="0.2">
      <c r="A69" s="7">
        <f t="shared" si="31"/>
        <v>2028</v>
      </c>
      <c r="B69" s="7">
        <f t="shared" si="32"/>
        <v>4</v>
      </c>
      <c r="C69" s="9"/>
      <c r="D69" s="9">
        <f>'Central pensions'!Q69</f>
        <v>120885951.11403413</v>
      </c>
      <c r="E69" s="9"/>
      <c r="F69" s="41">
        <f>'Central pensions'!I69</f>
        <v>21972452.569179941</v>
      </c>
      <c r="G69" s="9">
        <f>'Central pensions'!K69</f>
        <v>1899287.14090036</v>
      </c>
      <c r="H69" s="9">
        <f>'Central pensions'!V69</f>
        <v>10449317.468931219</v>
      </c>
      <c r="I69" s="41">
        <f>'Central pensions'!M69</f>
        <v>58740.839409290114</v>
      </c>
      <c r="J69" s="9">
        <f>'Central pensions'!W69</f>
        <v>323174.76708035043</v>
      </c>
      <c r="K69" s="9"/>
      <c r="L69" s="41">
        <f>'Central pensions'!N69</f>
        <v>2639649.5446710344</v>
      </c>
      <c r="M69" s="41"/>
      <c r="N69" s="41">
        <f>'Central pensions'!L69</f>
        <v>995800.08366330713</v>
      </c>
      <c r="O69" s="9"/>
      <c r="P69" s="9">
        <f>'Central pensions'!X69</f>
        <v>19175752.287455175</v>
      </c>
      <c r="Q69" s="41"/>
      <c r="R69" s="41">
        <f>'Central SIPA income'!G64</f>
        <v>29119388.558054272</v>
      </c>
      <c r="S69" s="41"/>
      <c r="T69" s="9">
        <f>'Central SIPA income'!J64</f>
        <v>111340505.9786298</v>
      </c>
      <c r="U69" s="9"/>
      <c r="V69" s="41">
        <f>'Central SIPA income'!F64</f>
        <v>153745.935074471</v>
      </c>
      <c r="W69" s="41"/>
      <c r="X69" s="41">
        <f>'Central SIPA income'!M64</f>
        <v>386165.46272402169</v>
      </c>
      <c r="Y69" s="9"/>
      <c r="Z69" s="9">
        <f t="shared" si="26"/>
        <v>3665232.2956144623</v>
      </c>
      <c r="AA69" s="9"/>
      <c r="AB69" s="9">
        <f t="shared" si="27"/>
        <v>-28721197.422859505</v>
      </c>
      <c r="AC69" s="23"/>
      <c r="AD69" s="9"/>
      <c r="AE69" s="9"/>
      <c r="AF69" s="9"/>
      <c r="AG69" s="9">
        <f t="shared" si="23"/>
        <v>6533146848.5777168</v>
      </c>
      <c r="AH69" s="42">
        <f t="shared" si="33"/>
        <v>9.9921703049242958E-3</v>
      </c>
      <c r="AI69" s="42">
        <f>(AG69-AG65)/AG65</f>
        <v>3.5429469858085857E-2</v>
      </c>
      <c r="AJ69" s="42">
        <f t="shared" si="28"/>
        <v>-4.3962271304390146E-3</v>
      </c>
      <c r="AK69" s="49"/>
      <c r="AL69" s="7"/>
      <c r="AM69" s="7"/>
      <c r="AN69" s="7"/>
      <c r="AO69" s="7"/>
      <c r="AP69" s="7"/>
      <c r="AQ69" s="7"/>
      <c r="AR69" s="7"/>
      <c r="AS69" s="7"/>
      <c r="AT69" s="7"/>
      <c r="AW69" s="46">
        <f>workers_and_wage_central!C57</f>
        <v>12887656</v>
      </c>
      <c r="AY69" s="42">
        <f t="shared" si="29"/>
        <v>3.8678921950459572E-3</v>
      </c>
      <c r="AZ69" s="47">
        <f>workers_and_wage_central!B57</f>
        <v>7374.2664048459001</v>
      </c>
      <c r="BA69" s="42">
        <f t="shared" si="30"/>
        <v>6.1006813321691404E-3</v>
      </c>
      <c r="BB69" s="7"/>
      <c r="BC69" s="7"/>
      <c r="BD69" s="7"/>
      <c r="BE69" s="7"/>
      <c r="BF69" s="7">
        <f t="shared" si="24"/>
        <v>124.41387935899203</v>
      </c>
      <c r="BG69" s="49" t="e">
        <f>(BB69-BB65)/BB65</f>
        <v>#DIV/0!</v>
      </c>
      <c r="BH69">
        <f t="shared" si="34"/>
        <v>38</v>
      </c>
      <c r="BI69" s="42">
        <f t="shared" si="25"/>
        <v>1.5005044637840977E-2</v>
      </c>
    </row>
    <row r="70" spans="1:68" x14ac:dyDescent="0.2">
      <c r="A70" s="5">
        <f t="shared" si="31"/>
        <v>2029</v>
      </c>
      <c r="B70" s="5">
        <f t="shared" si="32"/>
        <v>1</v>
      </c>
      <c r="C70" s="6"/>
      <c r="D70" s="6">
        <f>'Central pensions'!Q70</f>
        <v>120928709.62960628</v>
      </c>
      <c r="E70" s="6"/>
      <c r="F70" s="8">
        <f>'Central pensions'!I70</f>
        <v>21980224.435527347</v>
      </c>
      <c r="G70" s="6">
        <f>'Central pensions'!K70</f>
        <v>1986201.29295425</v>
      </c>
      <c r="H70" s="6">
        <f>'Central pensions'!V70</f>
        <v>10927493.489711059</v>
      </c>
      <c r="I70" s="8">
        <f>'Central pensions'!M70</f>
        <v>61428.905967660015</v>
      </c>
      <c r="J70" s="6">
        <f>'Central pensions'!W70</f>
        <v>337963.71617664612</v>
      </c>
      <c r="K70" s="6"/>
      <c r="L70" s="8">
        <f>'Central pensions'!N70</f>
        <v>3224466.4972047312</v>
      </c>
      <c r="M70" s="8"/>
      <c r="N70" s="8">
        <f>'Central pensions'!L70</f>
        <v>997734.78894484043</v>
      </c>
      <c r="O70" s="6"/>
      <c r="P70" s="6">
        <f>'Central pensions'!X70</f>
        <v>22221014.41188401</v>
      </c>
      <c r="Q70" s="8"/>
      <c r="R70" s="8">
        <f>'Central SIPA income'!G65</f>
        <v>25601574.23839739</v>
      </c>
      <c r="S70" s="8"/>
      <c r="T70" s="6">
        <f>'Central SIPA income'!J65</f>
        <v>97889838.032474339</v>
      </c>
      <c r="U70" s="6"/>
      <c r="V70" s="8">
        <f>'Central SIPA income'!F65</f>
        <v>151796.611461016</v>
      </c>
      <c r="W70" s="8"/>
      <c r="X70" s="8">
        <f>'Central SIPA income'!M65</f>
        <v>381269.32381261507</v>
      </c>
      <c r="Y70" s="6"/>
      <c r="Z70" s="6">
        <f t="shared" si="26"/>
        <v>-449054.87181851268</v>
      </c>
      <c r="AA70" s="6"/>
      <c r="AB70" s="6">
        <f t="shared" si="27"/>
        <v>-45259886.009015948</v>
      </c>
      <c r="AC70" s="23"/>
      <c r="AD70" s="6"/>
      <c r="AE70" s="6"/>
      <c r="AF70" s="6"/>
      <c r="AG70" s="6">
        <f t="shared" ref="AG70:AG101" si="35">BF70/100*$AG$37</f>
        <v>6603308489.8345737</v>
      </c>
      <c r="AH70" s="35">
        <f t="shared" si="33"/>
        <v>1.0739333262060578E-2</v>
      </c>
      <c r="AI70" s="35"/>
      <c r="AJ70" s="35">
        <f t="shared" si="28"/>
        <v>-6.8541226081881568E-3</v>
      </c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35">
        <f>AVERAGE(AH70:AH73)</f>
        <v>8.6249394663731067E-3</v>
      </c>
      <c r="AV70" s="5"/>
      <c r="AW70" s="39">
        <f>workers_and_wage_central!C58</f>
        <v>12924089</v>
      </c>
      <c r="AX70" s="5"/>
      <c r="AY70" s="35">
        <f t="shared" si="29"/>
        <v>2.8269686900395229E-3</v>
      </c>
      <c r="AZ70" s="40">
        <f>workers_and_wage_central!B58</f>
        <v>7432.4498064376703</v>
      </c>
      <c r="BA70" s="35">
        <f t="shared" si="30"/>
        <v>7.8900596205116469E-3</v>
      </c>
      <c r="BB70" s="5"/>
      <c r="BC70" s="5"/>
      <c r="BD70" s="5"/>
      <c r="BE70" s="5"/>
      <c r="BF70" s="5">
        <f t="shared" ref="BF70:BF101" si="36">BF69*(1+AY70)*(1+BA70)*(1-BE70)</f>
        <v>125.75000147185408</v>
      </c>
      <c r="BG70" s="5"/>
      <c r="BH70" s="5">
        <f t="shared" si="34"/>
        <v>39</v>
      </c>
      <c r="BI70" s="35">
        <f t="shared" si="25"/>
        <v>1.7246179966673943E-2</v>
      </c>
      <c r="BJ70" s="5"/>
      <c r="BK70" s="5"/>
      <c r="BL70" s="5"/>
      <c r="BM70" s="5"/>
      <c r="BN70" s="5"/>
      <c r="BO70" s="5"/>
      <c r="BP70" s="5"/>
    </row>
    <row r="71" spans="1:68" x14ac:dyDescent="0.2">
      <c r="A71" s="7">
        <f t="shared" si="31"/>
        <v>2029</v>
      </c>
      <c r="B71" s="7">
        <f t="shared" si="32"/>
        <v>2</v>
      </c>
      <c r="C71" s="9"/>
      <c r="D71" s="9">
        <f>'Central pensions'!Q71</f>
        <v>121293836.14220433</v>
      </c>
      <c r="E71" s="9"/>
      <c r="F71" s="41">
        <f>'Central pensions'!I71</f>
        <v>22046590.501276731</v>
      </c>
      <c r="G71" s="9">
        <f>'Central pensions'!K71</f>
        <v>2057939.1910764701</v>
      </c>
      <c r="H71" s="9">
        <f>'Central pensions'!V71</f>
        <v>11322174.23907767</v>
      </c>
      <c r="I71" s="41">
        <f>'Central pensions'!M71</f>
        <v>63647.603847719729</v>
      </c>
      <c r="J71" s="9">
        <f>'Central pensions'!W71</f>
        <v>350170.33729102818</v>
      </c>
      <c r="K71" s="9"/>
      <c r="L71" s="41">
        <f>'Central pensions'!N71</f>
        <v>2602790.2932172795</v>
      </c>
      <c r="M71" s="41"/>
      <c r="N71" s="41">
        <f>'Central pensions'!L71</f>
        <v>1002236.4703511819</v>
      </c>
      <c r="O71" s="9"/>
      <c r="P71" s="9">
        <f>'Central pensions'!X71</f>
        <v>19019900.556955729</v>
      </c>
      <c r="Q71" s="41"/>
      <c r="R71" s="41">
        <f>'Central SIPA income'!G66</f>
        <v>29679109.684343509</v>
      </c>
      <c r="S71" s="41"/>
      <c r="T71" s="9">
        <f>'Central SIPA income'!J66</f>
        <v>113480648.21697824</v>
      </c>
      <c r="U71" s="9"/>
      <c r="V71" s="41">
        <f>'Central SIPA income'!F66</f>
        <v>156929.248530132</v>
      </c>
      <c r="W71" s="41"/>
      <c r="X71" s="41">
        <f>'Central SIPA income'!M66</f>
        <v>394161.02834990638</v>
      </c>
      <c r="Y71" s="9"/>
      <c r="Z71" s="9">
        <f t="shared" si="26"/>
        <v>4184421.6680284478</v>
      </c>
      <c r="AA71" s="9"/>
      <c r="AB71" s="9">
        <f t="shared" si="27"/>
        <v>-26833088.482181817</v>
      </c>
      <c r="AC71" s="23"/>
      <c r="AD71" s="9"/>
      <c r="AE71" s="9"/>
      <c r="AF71" s="9"/>
      <c r="AG71" s="9">
        <f t="shared" si="35"/>
        <v>6639076779.6295652</v>
      </c>
      <c r="AH71" s="42">
        <f t="shared" si="33"/>
        <v>5.416722518727512E-3</v>
      </c>
      <c r="AI71" s="42"/>
      <c r="AJ71" s="42">
        <f t="shared" si="28"/>
        <v>-4.0416897368189498E-3</v>
      </c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46">
        <f>workers_and_wage_central!C59</f>
        <v>12962921</v>
      </c>
      <c r="AX71" s="7"/>
      <c r="AY71" s="42">
        <f t="shared" si="29"/>
        <v>3.0046218344674043E-3</v>
      </c>
      <c r="AZ71" s="47">
        <f>workers_and_wage_central!B59</f>
        <v>7450.32391875337</v>
      </c>
      <c r="BA71" s="42">
        <f t="shared" si="30"/>
        <v>2.4048749444924452E-3</v>
      </c>
      <c r="BB71" s="7"/>
      <c r="BC71" s="7"/>
      <c r="BD71" s="7"/>
      <c r="BE71" s="7"/>
      <c r="BF71" s="7">
        <f t="shared" si="36"/>
        <v>126.43115433655667</v>
      </c>
      <c r="BG71" s="7"/>
      <c r="BH71" s="7">
        <f t="shared" si="34"/>
        <v>40</v>
      </c>
      <c r="BI71" s="42">
        <f t="shared" ref="BI71:BI102" si="37">T78/AG78</f>
        <v>1.4914204427014936E-2</v>
      </c>
      <c r="BJ71" s="7"/>
      <c r="BK71" s="7"/>
      <c r="BL71" s="7"/>
      <c r="BM71" s="7"/>
      <c r="BN71" s="7"/>
      <c r="BO71" s="7"/>
      <c r="BP71" s="7"/>
    </row>
    <row r="72" spans="1:68" x14ac:dyDescent="0.2">
      <c r="A72" s="7">
        <f t="shared" si="31"/>
        <v>2029</v>
      </c>
      <c r="B72" s="7">
        <f t="shared" si="32"/>
        <v>3</v>
      </c>
      <c r="C72" s="9"/>
      <c r="D72" s="9">
        <f>'Central pensions'!Q72</f>
        <v>121653395.80471011</v>
      </c>
      <c r="E72" s="9"/>
      <c r="F72" s="41">
        <f>'Central pensions'!I72</f>
        <v>22111944.726125788</v>
      </c>
      <c r="G72" s="9">
        <f>'Central pensions'!K72</f>
        <v>2129317.71033721</v>
      </c>
      <c r="H72" s="9">
        <f>'Central pensions'!V72</f>
        <v>11714877.791982325</v>
      </c>
      <c r="I72" s="41">
        <f>'Central pensions'!M72</f>
        <v>65855.186917650048</v>
      </c>
      <c r="J72" s="9">
        <f>'Central pensions'!W72</f>
        <v>362315.80799947743</v>
      </c>
      <c r="K72" s="9"/>
      <c r="L72" s="41">
        <f>'Central pensions'!N72</f>
        <v>2523202.4355787737</v>
      </c>
      <c r="M72" s="41"/>
      <c r="N72" s="41">
        <f>'Central pensions'!L72</f>
        <v>1007333.524522949</v>
      </c>
      <c r="O72" s="9"/>
      <c r="P72" s="9">
        <f>'Central pensions'!X72</f>
        <v>18634961.273503717</v>
      </c>
      <c r="Q72" s="41"/>
      <c r="R72" s="41">
        <f>'Central SIPA income'!G67</f>
        <v>25988079.321308151</v>
      </c>
      <c r="S72" s="41"/>
      <c r="T72" s="9">
        <f>'Central SIPA income'!J67</f>
        <v>99367673.71603623</v>
      </c>
      <c r="U72" s="9"/>
      <c r="V72" s="41">
        <f>'Central SIPA income'!F67</f>
        <v>158247.45752735401</v>
      </c>
      <c r="W72" s="41"/>
      <c r="X72" s="41">
        <f>'Central SIPA income'!M67</f>
        <v>397471.98930072848</v>
      </c>
      <c r="Y72" s="9"/>
      <c r="Z72" s="9">
        <f t="shared" si="26"/>
        <v>503846.09260799363</v>
      </c>
      <c r="AA72" s="9"/>
      <c r="AB72" s="9">
        <f t="shared" si="27"/>
        <v>-40920683.362177595</v>
      </c>
      <c r="AC72" s="23"/>
      <c r="AD72" s="9"/>
      <c r="AE72" s="9"/>
      <c r="AF72" s="9"/>
      <c r="AG72" s="9">
        <f t="shared" si="35"/>
        <v>6712907457.0948133</v>
      </c>
      <c r="AH72" s="42">
        <f t="shared" si="33"/>
        <v>1.112062413433447E-2</v>
      </c>
      <c r="AI72" s="42"/>
      <c r="AJ72" s="42">
        <f t="shared" si="28"/>
        <v>-6.0958211659731558E-3</v>
      </c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9"/>
      <c r="AW72" s="46">
        <f>workers_and_wage_central!C60</f>
        <v>13021673</v>
      </c>
      <c r="AY72" s="42">
        <f t="shared" si="29"/>
        <v>4.5323118145979601E-3</v>
      </c>
      <c r="AZ72" s="47">
        <f>workers_and_wage_central!B60</f>
        <v>7499.1875145607401</v>
      </c>
      <c r="BA72" s="42">
        <f t="shared" si="30"/>
        <v>6.5585867594796076E-3</v>
      </c>
      <c r="BB72" s="7"/>
      <c r="BC72" s="7"/>
      <c r="BD72" s="7"/>
      <c r="BE72" s="7"/>
      <c r="BF72" s="7">
        <f t="shared" si="36"/>
        <v>127.83714768280355</v>
      </c>
      <c r="BG72" s="7"/>
      <c r="BH72">
        <f t="shared" si="34"/>
        <v>41</v>
      </c>
      <c r="BI72" s="42">
        <f t="shared" si="37"/>
        <v>1.7181156943605631E-2</v>
      </c>
    </row>
    <row r="73" spans="1:68" x14ac:dyDescent="0.2">
      <c r="A73" s="7">
        <f t="shared" si="31"/>
        <v>2029</v>
      </c>
      <c r="B73" s="7">
        <f t="shared" si="32"/>
        <v>4</v>
      </c>
      <c r="C73" s="9"/>
      <c r="D73" s="9">
        <f>'Central pensions'!Q73</f>
        <v>121717413.05602127</v>
      </c>
      <c r="E73" s="9"/>
      <c r="F73" s="41">
        <f>'Central pensions'!I73</f>
        <v>22123580.619338199</v>
      </c>
      <c r="G73" s="9">
        <f>'Central pensions'!K73</f>
        <v>2208299.3275394002</v>
      </c>
      <c r="H73" s="9">
        <f>'Central pensions'!V73</f>
        <v>12149411.346484277</v>
      </c>
      <c r="I73" s="41">
        <f>'Central pensions'!M73</f>
        <v>68297.917346579954</v>
      </c>
      <c r="J73" s="9">
        <f>'Central pensions'!W73</f>
        <v>375754.99009745498</v>
      </c>
      <c r="K73" s="9"/>
      <c r="L73" s="41">
        <f>'Central pensions'!N73</f>
        <v>2547695.6450084639</v>
      </c>
      <c r="M73" s="41"/>
      <c r="N73" s="41">
        <f>'Central pensions'!L73</f>
        <v>1009614.3546697199</v>
      </c>
      <c r="O73" s="9"/>
      <c r="P73" s="9">
        <f>'Central pensions'!X73</f>
        <v>18774605.108184043</v>
      </c>
      <c r="Q73" s="41"/>
      <c r="R73" s="41">
        <f>'Central SIPA income'!G68</f>
        <v>30099002.646798052</v>
      </c>
      <c r="S73" s="41"/>
      <c r="T73" s="9">
        <f>'Central SIPA income'!J68</f>
        <v>115086145.35176006</v>
      </c>
      <c r="U73" s="9"/>
      <c r="V73" s="41">
        <f>'Central SIPA income'!F68</f>
        <v>158506.424665214</v>
      </c>
      <c r="W73" s="41"/>
      <c r="X73" s="41">
        <f>'Central SIPA income'!M68</f>
        <v>398122.44008873519</v>
      </c>
      <c r="Y73" s="9"/>
      <c r="Z73" s="9">
        <f t="shared" si="26"/>
        <v>4576618.4524468817</v>
      </c>
      <c r="AA73" s="9"/>
      <c r="AB73" s="9">
        <f t="shared" si="27"/>
        <v>-25405872.812445253</v>
      </c>
      <c r="AC73" s="23"/>
      <c r="AD73" s="9"/>
      <c r="AE73" s="9"/>
      <c r="AF73" s="9"/>
      <c r="AG73" s="9">
        <f t="shared" si="35"/>
        <v>6761395310.9310284</v>
      </c>
      <c r="AH73" s="42">
        <f t="shared" si="33"/>
        <v>7.2230779503698701E-3</v>
      </c>
      <c r="AI73" s="42">
        <f>(AG73-AG69)/AG69</f>
        <v>3.4936986362552346E-2</v>
      </c>
      <c r="AJ73" s="42">
        <f t="shared" si="28"/>
        <v>-3.757489636994309E-3</v>
      </c>
      <c r="AK73" s="49"/>
      <c r="AL73" s="7"/>
      <c r="AM73" s="7"/>
      <c r="AN73" s="7"/>
      <c r="AO73" s="7"/>
      <c r="AP73" s="7"/>
      <c r="AQ73" s="7"/>
      <c r="AR73" s="7"/>
      <c r="AS73" s="7"/>
      <c r="AT73" s="7"/>
      <c r="AW73" s="46">
        <f>workers_and_wage_central!C61</f>
        <v>13026425</v>
      </c>
      <c r="AY73" s="42">
        <f t="shared" si="29"/>
        <v>3.649300669737291E-4</v>
      </c>
      <c r="AZ73" s="47">
        <f>workers_and_wage_central!B61</f>
        <v>7550.5992898383201</v>
      </c>
      <c r="BA73" s="42">
        <f t="shared" si="30"/>
        <v>6.8556460520232104E-3</v>
      </c>
      <c r="BB73" s="7"/>
      <c r="BC73" s="7"/>
      <c r="BD73" s="7"/>
      <c r="BE73" s="7"/>
      <c r="BF73" s="7">
        <f t="shared" si="36"/>
        <v>128.76052536546939</v>
      </c>
      <c r="BG73" s="49" t="e">
        <f>(BB73-BB69)/BB69</f>
        <v>#DIV/0!</v>
      </c>
      <c r="BH73">
        <f t="shared" si="34"/>
        <v>42</v>
      </c>
      <c r="BI73" s="42">
        <f t="shared" si="37"/>
        <v>1.4955786790072161E-2</v>
      </c>
    </row>
    <row r="74" spans="1:68" x14ac:dyDescent="0.2">
      <c r="A74" s="5">
        <f t="shared" si="31"/>
        <v>2030</v>
      </c>
      <c r="B74" s="5">
        <f t="shared" si="32"/>
        <v>1</v>
      </c>
      <c r="C74" s="6"/>
      <c r="D74" s="6">
        <f>'Central pensions'!Q74</f>
        <v>121864626.90161304</v>
      </c>
      <c r="E74" s="6"/>
      <c r="F74" s="8">
        <f>'Central pensions'!I74</f>
        <v>22150338.47837792</v>
      </c>
      <c r="G74" s="6">
        <f>'Central pensions'!K74</f>
        <v>2300118.60562708</v>
      </c>
      <c r="H74" s="6">
        <f>'Central pensions'!V74</f>
        <v>12654573.923455875</v>
      </c>
      <c r="I74" s="8">
        <f>'Central pensions'!M74</f>
        <v>71137.688833820168</v>
      </c>
      <c r="J74" s="6">
        <f>'Central pensions'!W74</f>
        <v>391378.57495220483</v>
      </c>
      <c r="K74" s="6"/>
      <c r="L74" s="8">
        <f>'Central pensions'!N74</f>
        <v>3134833.3911952334</v>
      </c>
      <c r="M74" s="8"/>
      <c r="N74" s="8">
        <f>'Central pensions'!L74</f>
        <v>1012930.5468284786</v>
      </c>
      <c r="O74" s="6"/>
      <c r="P74" s="6">
        <f>'Central pensions'!X74</f>
        <v>21839510.375105228</v>
      </c>
      <c r="Q74" s="8"/>
      <c r="R74" s="8">
        <f>'Central SIPA income'!G69</f>
        <v>26435368.670715868</v>
      </c>
      <c r="S74" s="8"/>
      <c r="T74" s="6">
        <f>'Central SIPA income'!J69</f>
        <v>101077923.31082495</v>
      </c>
      <c r="U74" s="6"/>
      <c r="V74" s="8">
        <f>'Central SIPA income'!F69</f>
        <v>162095.948084612</v>
      </c>
      <c r="W74" s="8"/>
      <c r="X74" s="8">
        <f>'Central SIPA income'!M69</f>
        <v>407138.28802994499</v>
      </c>
      <c r="Y74" s="6"/>
      <c r="Z74" s="6">
        <f t="shared" si="26"/>
        <v>299362.20239884779</v>
      </c>
      <c r="AA74" s="6"/>
      <c r="AB74" s="6">
        <f t="shared" si="27"/>
        <v>-42626213.965893328</v>
      </c>
      <c r="AC74" s="23"/>
      <c r="AD74" s="6"/>
      <c r="AE74" s="6"/>
      <c r="AF74" s="6"/>
      <c r="AG74" s="6">
        <f t="shared" si="35"/>
        <v>6810366021.9924212</v>
      </c>
      <c r="AH74" s="35">
        <f t="shared" si="33"/>
        <v>7.242693084698465E-3</v>
      </c>
      <c r="AI74" s="35"/>
      <c r="AJ74" s="35">
        <f t="shared" si="28"/>
        <v>-6.259019534081184E-3</v>
      </c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35">
        <f>AVERAGE(AH74:AH77)</f>
        <v>5.2935611740161214E-3</v>
      </c>
      <c r="AV74" s="5"/>
      <c r="AW74" s="39">
        <f>workers_and_wage_central!C62</f>
        <v>13005863</v>
      </c>
      <c r="AX74" s="5"/>
      <c r="AY74" s="35">
        <f t="shared" si="29"/>
        <v>-1.5784837359444359E-3</v>
      </c>
      <c r="AZ74" s="40">
        <f>workers_and_wage_central!B62</f>
        <v>7617.3097626721901</v>
      </c>
      <c r="BA74" s="35">
        <f t="shared" si="30"/>
        <v>8.8351229184747849E-3</v>
      </c>
      <c r="BB74" s="5"/>
      <c r="BC74" s="5"/>
      <c r="BD74" s="5"/>
      <c r="BE74" s="5"/>
      <c r="BF74" s="5">
        <f t="shared" si="36"/>
        <v>129.69309833211602</v>
      </c>
      <c r="BG74" s="5"/>
      <c r="BH74" s="5">
        <f t="shared" si="34"/>
        <v>43</v>
      </c>
      <c r="BI74" s="35">
        <f t="shared" si="37"/>
        <v>1.7230713082594142E-2</v>
      </c>
      <c r="BJ74" s="5"/>
      <c r="BK74" s="5"/>
      <c r="BL74" s="5"/>
      <c r="BM74" s="5"/>
      <c r="BN74" s="5"/>
      <c r="BO74" s="5"/>
      <c r="BP74" s="5"/>
    </row>
    <row r="75" spans="1:68" x14ac:dyDescent="0.2">
      <c r="A75" s="7">
        <f t="shared" si="31"/>
        <v>2030</v>
      </c>
      <c r="B75" s="7">
        <f t="shared" si="32"/>
        <v>2</v>
      </c>
      <c r="C75" s="9"/>
      <c r="D75" s="9">
        <f>'Central pensions'!Q75</f>
        <v>122887424.65909575</v>
      </c>
      <c r="E75" s="9"/>
      <c r="F75" s="41">
        <f>'Central pensions'!I75</f>
        <v>22336244.077887598</v>
      </c>
      <c r="G75" s="9">
        <f>'Central pensions'!K75</f>
        <v>2379766.9570431001</v>
      </c>
      <c r="H75" s="9">
        <f>'Central pensions'!V75</f>
        <v>13092775.652883925</v>
      </c>
      <c r="I75" s="41">
        <f>'Central pensions'!M75</f>
        <v>73601.039908549748</v>
      </c>
      <c r="J75" s="9">
        <f>'Central pensions'!W75</f>
        <v>404931.20575929806</v>
      </c>
      <c r="K75" s="9"/>
      <c r="L75" s="41">
        <f>'Central pensions'!N75</f>
        <v>2506439.0377503685</v>
      </c>
      <c r="M75" s="41"/>
      <c r="N75" s="41">
        <f>'Central pensions'!L75</f>
        <v>1023942.1401305497</v>
      </c>
      <c r="O75" s="9"/>
      <c r="P75" s="9">
        <f>'Central pensions'!X75</f>
        <v>18639351.625221465</v>
      </c>
      <c r="Q75" s="41"/>
      <c r="R75" s="41">
        <f>'Central SIPA income'!G70</f>
        <v>30728168.078503866</v>
      </c>
      <c r="S75" s="41"/>
      <c r="T75" s="9">
        <f>'Central SIPA income'!J70</f>
        <v>117491813.91072479</v>
      </c>
      <c r="U75" s="9"/>
      <c r="V75" s="41">
        <f>'Central SIPA income'!F70</f>
        <v>157603.09447790199</v>
      </c>
      <c r="W75" s="41"/>
      <c r="X75" s="41">
        <f>'Central SIPA income'!M70</f>
        <v>395853.53509552707</v>
      </c>
      <c r="Y75" s="9"/>
      <c r="Z75" s="9">
        <f t="shared" si="26"/>
        <v>5019145.9172132537</v>
      </c>
      <c r="AA75" s="9"/>
      <c r="AB75" s="9">
        <f t="shared" si="27"/>
        <v>-24034962.373592421</v>
      </c>
      <c r="AC75" s="23"/>
      <c r="AD75" s="9"/>
      <c r="AE75" s="9"/>
      <c r="AF75" s="9"/>
      <c r="AG75" s="9">
        <f t="shared" si="35"/>
        <v>6815618793.7794161</v>
      </c>
      <c r="AH75" s="42">
        <f t="shared" si="33"/>
        <v>7.7129067219476675E-4</v>
      </c>
      <c r="AI75" s="42"/>
      <c r="AJ75" s="42">
        <f t="shared" si="28"/>
        <v>-3.5264534447743794E-3</v>
      </c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46">
        <f>workers_and_wage_central!C63</f>
        <v>13013345</v>
      </c>
      <c r="AX75" s="7"/>
      <c r="AY75" s="42">
        <f t="shared" si="29"/>
        <v>5.7527901070463373E-4</v>
      </c>
      <c r="AZ75" s="47">
        <f>workers_and_wage_central!B63</f>
        <v>7618.8019857702302</v>
      </c>
      <c r="BA75" s="42">
        <f t="shared" si="30"/>
        <v>1.9589896492756075E-4</v>
      </c>
      <c r="BB75" s="7"/>
      <c r="BC75" s="7"/>
      <c r="BD75" s="7"/>
      <c r="BE75" s="7"/>
      <c r="BF75" s="7">
        <f t="shared" si="36"/>
        <v>129.79312940910762</v>
      </c>
      <c r="BG75" s="7"/>
      <c r="BH75" s="7">
        <f t="shared" si="34"/>
        <v>44</v>
      </c>
      <c r="BI75" s="42">
        <f t="shared" si="37"/>
        <v>1.4922637515805375E-2</v>
      </c>
      <c r="BJ75" s="7"/>
      <c r="BK75" s="7"/>
      <c r="BL75" s="7"/>
      <c r="BM75" s="7"/>
      <c r="BN75" s="7"/>
      <c r="BO75" s="7"/>
      <c r="BP75" s="7"/>
    </row>
    <row r="76" spans="1:68" x14ac:dyDescent="0.2">
      <c r="A76" s="7">
        <f t="shared" si="31"/>
        <v>2030</v>
      </c>
      <c r="B76" s="7">
        <f t="shared" si="32"/>
        <v>3</v>
      </c>
      <c r="C76" s="9"/>
      <c r="D76" s="9">
        <f>'Central pensions'!Q76</f>
        <v>123278757.82237527</v>
      </c>
      <c r="E76" s="9"/>
      <c r="F76" s="41">
        <f>'Central pensions'!I76</f>
        <v>22407373.512612361</v>
      </c>
      <c r="G76" s="9">
        <f>'Central pensions'!K76</f>
        <v>2427257.1439637402</v>
      </c>
      <c r="H76" s="9">
        <f>'Central pensions'!V76</f>
        <v>13354052.649450863</v>
      </c>
      <c r="I76" s="41">
        <f>'Central pensions'!M76</f>
        <v>75069.808576199692</v>
      </c>
      <c r="J76" s="9">
        <f>'Central pensions'!W76</f>
        <v>413011.93761189084</v>
      </c>
      <c r="K76" s="9"/>
      <c r="L76" s="41">
        <f>'Central pensions'!N76</f>
        <v>2505794.2277068417</v>
      </c>
      <c r="M76" s="41"/>
      <c r="N76" s="41">
        <f>'Central pensions'!L76</f>
        <v>1029120.8749198988</v>
      </c>
      <c r="O76" s="9"/>
      <c r="P76" s="9">
        <f>'Central pensions'!X76</f>
        <v>18664497.573677517</v>
      </c>
      <c r="Q76" s="41"/>
      <c r="R76" s="41">
        <f>'Central SIPA income'!G71</f>
        <v>26872813.024182618</v>
      </c>
      <c r="S76" s="41"/>
      <c r="T76" s="9">
        <f>'Central SIPA income'!J71</f>
        <v>102750529.71035083</v>
      </c>
      <c r="U76" s="9"/>
      <c r="V76" s="41">
        <f>'Central SIPA income'!F71</f>
        <v>155099.12812411899</v>
      </c>
      <c r="W76" s="41"/>
      <c r="X76" s="41">
        <f>'Central SIPA income'!M71</f>
        <v>389564.29352835566</v>
      </c>
      <c r="Y76" s="9"/>
      <c r="Z76" s="9">
        <f t="shared" si="26"/>
        <v>1085623.5370676331</v>
      </c>
      <c r="AA76" s="9"/>
      <c r="AB76" s="9">
        <f t="shared" si="27"/>
        <v>-39192725.685701966</v>
      </c>
      <c r="AC76" s="23"/>
      <c r="AD76" s="9"/>
      <c r="AE76" s="9"/>
      <c r="AF76" s="9"/>
      <c r="AG76" s="9">
        <f t="shared" si="35"/>
        <v>6847732358.7046146</v>
      </c>
      <c r="AH76" s="42">
        <f t="shared" si="33"/>
        <v>4.7117607214928834E-3</v>
      </c>
      <c r="AI76" s="42"/>
      <c r="AJ76" s="42">
        <f t="shared" si="28"/>
        <v>-5.7234605023488471E-3</v>
      </c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9"/>
      <c r="AW76" s="46">
        <f>workers_and_wage_central!C64</f>
        <v>13032870</v>
      </c>
      <c r="AY76" s="42">
        <f t="shared" si="29"/>
        <v>1.5003828761936304E-3</v>
      </c>
      <c r="AZ76" s="47">
        <f>workers_and_wage_central!B64</f>
        <v>7643.2321830254295</v>
      </c>
      <c r="BA76" s="42">
        <f t="shared" si="30"/>
        <v>3.2065667674298468E-3</v>
      </c>
      <c r="BB76" s="7"/>
      <c r="BC76" s="7"/>
      <c r="BD76" s="7"/>
      <c r="BE76" s="7"/>
      <c r="BF76" s="7">
        <f t="shared" si="36"/>
        <v>130.4046835781771</v>
      </c>
      <c r="BG76" s="7"/>
      <c r="BH76">
        <f t="shared" si="34"/>
        <v>45</v>
      </c>
      <c r="BI76" s="42">
        <f t="shared" si="37"/>
        <v>1.7061475830254337E-2</v>
      </c>
    </row>
    <row r="77" spans="1:68" x14ac:dyDescent="0.2">
      <c r="A77" s="7">
        <f t="shared" si="31"/>
        <v>2030</v>
      </c>
      <c r="B77" s="7">
        <f t="shared" si="32"/>
        <v>4</v>
      </c>
      <c r="C77" s="9"/>
      <c r="D77" s="9">
        <f>'Central pensions'!Q77</f>
        <v>123466639.07538523</v>
      </c>
      <c r="E77" s="9"/>
      <c r="F77" s="41">
        <f>'Central pensions'!I77</f>
        <v>22441523.154339589</v>
      </c>
      <c r="G77" s="9">
        <f>'Central pensions'!K77</f>
        <v>2484102.2230663099</v>
      </c>
      <c r="H77" s="9">
        <f>'Central pensions'!V77</f>
        <v>13666797.502663357</v>
      </c>
      <c r="I77" s="41">
        <f>'Central pensions'!M77</f>
        <v>76827.903806169983</v>
      </c>
      <c r="J77" s="9">
        <f>'Central pensions'!W77</f>
        <v>422684.45884523343</v>
      </c>
      <c r="K77" s="9"/>
      <c r="L77" s="41">
        <f>'Central pensions'!N77</f>
        <v>2528159.4366911263</v>
      </c>
      <c r="M77" s="41"/>
      <c r="N77" s="41">
        <f>'Central pensions'!L77</f>
        <v>1032415.3395828307</v>
      </c>
      <c r="O77" s="9"/>
      <c r="P77" s="9">
        <f>'Central pensions'!X77</f>
        <v>18798675.921967931</v>
      </c>
      <c r="Q77" s="41"/>
      <c r="R77" s="41">
        <f>'Central SIPA income'!G72</f>
        <v>31147448.528167028</v>
      </c>
      <c r="S77" s="41"/>
      <c r="T77" s="9">
        <f>'Central SIPA income'!J72</f>
        <v>119094969.04976124</v>
      </c>
      <c r="U77" s="9"/>
      <c r="V77" s="41">
        <f>'Central SIPA income'!F72</f>
        <v>158092.074078818</v>
      </c>
      <c r="W77" s="41"/>
      <c r="X77" s="41">
        <f>'Central SIPA income'!M72</f>
        <v>397081.71087629726</v>
      </c>
      <c r="Y77" s="9"/>
      <c r="Z77" s="9">
        <f t="shared" si="26"/>
        <v>5303442.6716322973</v>
      </c>
      <c r="AA77" s="9"/>
      <c r="AB77" s="9">
        <f t="shared" si="27"/>
        <v>-23170345.947591916</v>
      </c>
      <c r="AC77" s="23"/>
      <c r="AD77" s="9"/>
      <c r="AE77" s="9"/>
      <c r="AF77" s="9"/>
      <c r="AG77" s="9">
        <f t="shared" si="35"/>
        <v>6905585427.0277338</v>
      </c>
      <c r="AH77" s="42">
        <f t="shared" si="33"/>
        <v>8.4485002176783713E-3</v>
      </c>
      <c r="AI77" s="42">
        <f>(AG77-AG73)/AG73</f>
        <v>2.1325497100220692E-2</v>
      </c>
      <c r="AJ77" s="42">
        <f t="shared" si="28"/>
        <v>-3.3553050921512929E-3</v>
      </c>
      <c r="AK77" s="49"/>
      <c r="AL77" s="7"/>
      <c r="AM77" s="7"/>
      <c r="AN77" s="7"/>
      <c r="AO77" s="7"/>
      <c r="AP77" s="7"/>
      <c r="AQ77" s="7"/>
      <c r="AR77" s="7"/>
      <c r="AS77" s="7"/>
      <c r="AT77" s="7"/>
      <c r="AW77" s="46">
        <f>workers_and_wage_central!C65</f>
        <v>13071719</v>
      </c>
      <c r="AY77" s="42">
        <f t="shared" si="29"/>
        <v>2.9808476567325538E-3</v>
      </c>
      <c r="AZ77" s="47">
        <f>workers_and_wage_central!B65</f>
        <v>7684.8985200417901</v>
      </c>
      <c r="BA77" s="42">
        <f t="shared" si="30"/>
        <v>5.4514027598030817E-3</v>
      </c>
      <c r="BB77" s="7"/>
      <c r="BC77" s="7"/>
      <c r="BD77" s="7"/>
      <c r="BE77" s="7"/>
      <c r="BF77" s="7">
        <f t="shared" si="36"/>
        <v>131.50640757577358</v>
      </c>
      <c r="BG77" s="49" t="e">
        <f>(BB77-BB73)/BB73</f>
        <v>#DIV/0!</v>
      </c>
      <c r="BH77">
        <f t="shared" si="34"/>
        <v>46</v>
      </c>
      <c r="BI77" s="42">
        <f t="shared" si="37"/>
        <v>1.4863596628820083E-2</v>
      </c>
    </row>
    <row r="78" spans="1:68" x14ac:dyDescent="0.2">
      <c r="A78" s="5">
        <f t="shared" si="31"/>
        <v>2031</v>
      </c>
      <c r="B78" s="5">
        <f t="shared" si="32"/>
        <v>1</v>
      </c>
      <c r="C78" s="6"/>
      <c r="D78" s="6">
        <f>'Central pensions'!Q78</f>
        <v>123615745.57249668</v>
      </c>
      <c r="E78" s="6"/>
      <c r="F78" s="8">
        <f>'Central pensions'!I78</f>
        <v>22468625.025196753</v>
      </c>
      <c r="G78" s="6">
        <f>'Central pensions'!K78</f>
        <v>2582663.07620175</v>
      </c>
      <c r="H78" s="6">
        <f>'Central pensions'!V78</f>
        <v>14209050.23646152</v>
      </c>
      <c r="I78" s="8">
        <f>'Central pensions'!M78</f>
        <v>79876.177614490036</v>
      </c>
      <c r="J78" s="6">
        <f>'Central pensions'!W78</f>
        <v>439455.16195243422</v>
      </c>
      <c r="K78" s="6"/>
      <c r="L78" s="8">
        <f>'Central pensions'!N78</f>
        <v>3028898.5654740026</v>
      </c>
      <c r="M78" s="8"/>
      <c r="N78" s="8">
        <f>'Central pensions'!L78</f>
        <v>1036199.3819790073</v>
      </c>
      <c r="O78" s="6"/>
      <c r="P78" s="6">
        <f>'Central pensions'!X78</f>
        <v>21417832.326426703</v>
      </c>
      <c r="Q78" s="8"/>
      <c r="R78" s="8">
        <f>'Central SIPA income'!G73</f>
        <v>27158916.671365485</v>
      </c>
      <c r="S78" s="8"/>
      <c r="T78" s="6">
        <f>'Central SIPA income'!J73</f>
        <v>103844471.802444</v>
      </c>
      <c r="U78" s="6"/>
      <c r="V78" s="8">
        <f>'Central SIPA income'!F73</f>
        <v>155267.861550881</v>
      </c>
      <c r="W78" s="8"/>
      <c r="X78" s="8">
        <f>'Central SIPA income'!M73</f>
        <v>389988.10324918508</v>
      </c>
      <c r="Y78" s="6"/>
      <c r="Z78" s="6">
        <f t="shared" ref="Z78:Z109" si="38">R78+V78-N78-L78-F78</f>
        <v>780461.56026660278</v>
      </c>
      <c r="AA78" s="6"/>
      <c r="AB78" s="6">
        <f t="shared" ref="AB78:AB109" si="39">T78-P78-D78</f>
        <v>-41189106.096479386</v>
      </c>
      <c r="AC78" s="23"/>
      <c r="AD78" s="6"/>
      <c r="AE78" s="6"/>
      <c r="AF78" s="6"/>
      <c r="AG78" s="6">
        <f t="shared" si="35"/>
        <v>6962789890.0423193</v>
      </c>
      <c r="AH78" s="35">
        <f t="shared" si="33"/>
        <v>8.2837963007007711E-3</v>
      </c>
      <c r="AI78" s="35"/>
      <c r="AJ78" s="35">
        <f t="shared" ref="AJ78:AJ109" si="40">AB78/AG78</f>
        <v>-5.915603766154868E-3</v>
      </c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35">
        <f>AVERAGE(AH78:AH81)</f>
        <v>6.4479891900145001E-3</v>
      </c>
      <c r="AV78" s="5"/>
      <c r="AW78" s="39">
        <f>workers_and_wage_central!C66</f>
        <v>13155280</v>
      </c>
      <c r="AX78" s="5"/>
      <c r="AY78" s="35">
        <f t="shared" si="29"/>
        <v>6.3925027764137219E-3</v>
      </c>
      <c r="AZ78" s="40">
        <f>workers_and_wage_central!B66</f>
        <v>7699.3405978252204</v>
      </c>
      <c r="BA78" s="35">
        <f t="shared" si="30"/>
        <v>1.879280220261349E-3</v>
      </c>
      <c r="BB78" s="5"/>
      <c r="BC78" s="5"/>
      <c r="BD78" s="5"/>
      <c r="BE78" s="5"/>
      <c r="BF78" s="5">
        <f t="shared" si="36"/>
        <v>132.59577986836823</v>
      </c>
      <c r="BG78" s="5"/>
      <c r="BH78" s="5">
        <f t="shared" si="34"/>
        <v>47</v>
      </c>
      <c r="BI78" s="35">
        <f t="shared" si="37"/>
        <v>1.7166694963629936E-2</v>
      </c>
      <c r="BJ78" s="5"/>
      <c r="BK78" s="5"/>
      <c r="BL78" s="5"/>
      <c r="BM78" s="5"/>
      <c r="BN78" s="5"/>
      <c r="BO78" s="5"/>
      <c r="BP78" s="5"/>
    </row>
    <row r="79" spans="1:68" x14ac:dyDescent="0.2">
      <c r="A79" s="7">
        <f t="shared" si="31"/>
        <v>2031</v>
      </c>
      <c r="B79" s="7">
        <f t="shared" si="32"/>
        <v>2</v>
      </c>
      <c r="C79" s="9"/>
      <c r="D79" s="9">
        <f>'Central pensions'!Q79</f>
        <v>123489357.75456551</v>
      </c>
      <c r="E79" s="9"/>
      <c r="F79" s="41">
        <f>'Central pensions'!I79</f>
        <v>22445652.543206722</v>
      </c>
      <c r="G79" s="9">
        <f>'Central pensions'!K79</f>
        <v>2641691.3979059798</v>
      </c>
      <c r="H79" s="9">
        <f>'Central pensions'!V79</f>
        <v>14533806.646307638</v>
      </c>
      <c r="I79" s="41">
        <f>'Central pensions'!M79</f>
        <v>81701.795811530203</v>
      </c>
      <c r="J79" s="9">
        <f>'Central pensions'!W79</f>
        <v>449499.17462809908</v>
      </c>
      <c r="K79" s="9"/>
      <c r="L79" s="41">
        <f>'Central pensions'!N79</f>
        <v>2455370.2539869305</v>
      </c>
      <c r="M79" s="41"/>
      <c r="N79" s="41">
        <f>'Central pensions'!L79</f>
        <v>1036348.3594917692</v>
      </c>
      <c r="O79" s="9"/>
      <c r="P79" s="9">
        <f>'Central pensions'!X79</f>
        <v>18442610.822001144</v>
      </c>
      <c r="Q79" s="41"/>
      <c r="R79" s="41">
        <f>'Central SIPA income'!G74</f>
        <v>31442294.647851147</v>
      </c>
      <c r="S79" s="41"/>
      <c r="T79" s="9">
        <f>'Central SIPA income'!J74</f>
        <v>120222338.74318789</v>
      </c>
      <c r="U79" s="9"/>
      <c r="V79" s="41">
        <f>'Central SIPA income'!F74</f>
        <v>155143.468284364</v>
      </c>
      <c r="W79" s="41"/>
      <c r="X79" s="41">
        <f>'Central SIPA income'!M74</f>
        <v>389675.66322726826</v>
      </c>
      <c r="Y79" s="9"/>
      <c r="Z79" s="9">
        <f t="shared" si="38"/>
        <v>5660066.9594500884</v>
      </c>
      <c r="AA79" s="9"/>
      <c r="AB79" s="9">
        <f t="shared" si="39"/>
        <v>-21709629.833378762</v>
      </c>
      <c r="AC79" s="23"/>
      <c r="AD79" s="9"/>
      <c r="AE79" s="9"/>
      <c r="AF79" s="9"/>
      <c r="AG79" s="9">
        <f t="shared" si="35"/>
        <v>6997336625.1061134</v>
      </c>
      <c r="AH79" s="42">
        <f t="shared" si="33"/>
        <v>4.9616225118612857E-3</v>
      </c>
      <c r="AI79" s="42"/>
      <c r="AJ79" s="42">
        <f t="shared" si="40"/>
        <v>-3.1025561576508462E-3</v>
      </c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46">
        <f>workers_and_wage_central!C67</f>
        <v>13149238</v>
      </c>
      <c r="AX79" s="7"/>
      <c r="AY79" s="42">
        <f t="shared" ref="AY79:AY110" si="41">(AW79-AW78)/AW78</f>
        <v>-4.592832687711702E-4</v>
      </c>
      <c r="AZ79" s="47">
        <f>workers_and_wage_central!B67</f>
        <v>7741.09717587669</v>
      </c>
      <c r="BA79" s="42">
        <f t="shared" ref="BA79:BA110" si="42">(AZ79-AZ78)/AZ78</f>
        <v>5.4233966559765331E-3</v>
      </c>
      <c r="BB79" s="7"/>
      <c r="BC79" s="7"/>
      <c r="BD79" s="7"/>
      <c r="BE79" s="7"/>
      <c r="BF79" s="7">
        <f t="shared" si="36"/>
        <v>133.25367007474094</v>
      </c>
      <c r="BG79" s="7"/>
      <c r="BH79" s="7">
        <f t="shared" si="34"/>
        <v>48</v>
      </c>
      <c r="BI79" s="42">
        <f t="shared" si="37"/>
        <v>1.4952793673288797E-2</v>
      </c>
      <c r="BJ79" s="7"/>
      <c r="BK79" s="7"/>
      <c r="BL79" s="7"/>
      <c r="BM79" s="7"/>
      <c r="BN79" s="7"/>
      <c r="BO79" s="7"/>
      <c r="BP79" s="7"/>
    </row>
    <row r="80" spans="1:68" x14ac:dyDescent="0.2">
      <c r="A80" s="7">
        <f t="shared" si="31"/>
        <v>2031</v>
      </c>
      <c r="B80" s="7">
        <f t="shared" si="32"/>
        <v>3</v>
      </c>
      <c r="C80" s="9"/>
      <c r="D80" s="9">
        <f>'Central pensions'!Q80</f>
        <v>123909040.37956089</v>
      </c>
      <c r="E80" s="9"/>
      <c r="F80" s="41">
        <f>'Central pensions'!I80</f>
        <v>22521934.828177299</v>
      </c>
      <c r="G80" s="9">
        <f>'Central pensions'!K80</f>
        <v>2702807.2796407999</v>
      </c>
      <c r="H80" s="9">
        <f>'Central pensions'!V80</f>
        <v>14870048.19551228</v>
      </c>
      <c r="I80" s="41">
        <f>'Central pensions'!M80</f>
        <v>83591.977720850147</v>
      </c>
      <c r="J80" s="9">
        <f>'Central pensions'!W80</f>
        <v>459898.39779935253</v>
      </c>
      <c r="K80" s="9"/>
      <c r="L80" s="41">
        <f>'Central pensions'!N80</f>
        <v>2414481.3873830787</v>
      </c>
      <c r="M80" s="41"/>
      <c r="N80" s="41">
        <f>'Central pensions'!L80</f>
        <v>1041397.1225996502</v>
      </c>
      <c r="O80" s="9"/>
      <c r="P80" s="9">
        <f>'Central pensions'!X80</f>
        <v>18258215.103809878</v>
      </c>
      <c r="Q80" s="41"/>
      <c r="R80" s="41">
        <f>'Central SIPA income'!G75</f>
        <v>27528529.963721994</v>
      </c>
      <c r="S80" s="41"/>
      <c r="T80" s="9">
        <f>'Central SIPA income'!J75</f>
        <v>105257720.26078151</v>
      </c>
      <c r="U80" s="9"/>
      <c r="V80" s="41">
        <f>'Central SIPA income'!F75</f>
        <v>164451.74242129401</v>
      </c>
      <c r="W80" s="41"/>
      <c r="X80" s="41">
        <f>'Central SIPA income'!M75</f>
        <v>413055.36420933658</v>
      </c>
      <c r="Y80" s="9"/>
      <c r="Z80" s="9">
        <f t="shared" si="38"/>
        <v>1715168.367983263</v>
      </c>
      <c r="AA80" s="9"/>
      <c r="AB80" s="9">
        <f t="shared" si="39"/>
        <v>-36909535.222589254</v>
      </c>
      <c r="AC80" s="23"/>
      <c r="AD80" s="9"/>
      <c r="AE80" s="9"/>
      <c r="AF80" s="9"/>
      <c r="AG80" s="9">
        <f t="shared" si="35"/>
        <v>7037925970.611784</v>
      </c>
      <c r="AH80" s="42">
        <f t="shared" si="33"/>
        <v>5.8006849863472187E-3</v>
      </c>
      <c r="AI80" s="42"/>
      <c r="AJ80" s="42">
        <f t="shared" si="40"/>
        <v>-5.2443767349517646E-3</v>
      </c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9"/>
      <c r="AW80" s="46">
        <f>workers_and_wage_central!C68</f>
        <v>13132614</v>
      </c>
      <c r="AY80" s="42">
        <f t="shared" si="41"/>
        <v>-1.2642557690415216E-3</v>
      </c>
      <c r="AZ80" s="47">
        <f>workers_and_wage_central!B68</f>
        <v>7795.8567989753801</v>
      </c>
      <c r="BA80" s="42">
        <f t="shared" si="42"/>
        <v>7.0738839539872455E-3</v>
      </c>
      <c r="BB80" s="7"/>
      <c r="BC80" s="7"/>
      <c r="BD80" s="7"/>
      <c r="BE80" s="7"/>
      <c r="BF80" s="7">
        <f t="shared" si="36"/>
        <v>134.02663263811917</v>
      </c>
      <c r="BG80" s="7"/>
      <c r="BH80">
        <f t="shared" si="34"/>
        <v>49</v>
      </c>
      <c r="BI80" s="42">
        <f t="shared" si="37"/>
        <v>1.714985849666625E-2</v>
      </c>
    </row>
    <row r="81" spans="1:68" x14ac:dyDescent="0.2">
      <c r="A81" s="7">
        <f t="shared" si="31"/>
        <v>2031</v>
      </c>
      <c r="B81" s="7">
        <f t="shared" si="32"/>
        <v>4</v>
      </c>
      <c r="C81" s="9"/>
      <c r="D81" s="9">
        <f>'Central pensions'!Q81</f>
        <v>124183255.04147549</v>
      </c>
      <c r="E81" s="9"/>
      <c r="F81" s="41">
        <f>'Central pensions'!I81</f>
        <v>22571776.588920932</v>
      </c>
      <c r="G81" s="9">
        <f>'Central pensions'!K81</f>
        <v>2745303.67071797</v>
      </c>
      <c r="H81" s="9">
        <f>'Central pensions'!V81</f>
        <v>15103850.800756425</v>
      </c>
      <c r="I81" s="41">
        <f>'Central pensions'!M81</f>
        <v>84906.299094370101</v>
      </c>
      <c r="J81" s="9">
        <f>'Central pensions'!W81</f>
        <v>467129.40620896098</v>
      </c>
      <c r="K81" s="9"/>
      <c r="L81" s="41">
        <f>'Central pensions'!N81</f>
        <v>2413486.8816423668</v>
      </c>
      <c r="M81" s="41"/>
      <c r="N81" s="41">
        <f>'Central pensions'!L81</f>
        <v>1044161.7182426266</v>
      </c>
      <c r="O81" s="9"/>
      <c r="P81" s="9">
        <f>'Central pensions'!X81</f>
        <v>18268264.598333716</v>
      </c>
      <c r="Q81" s="41"/>
      <c r="R81" s="41">
        <f>'Central SIPA income'!G76</f>
        <v>31929848.316386394</v>
      </c>
      <c r="S81" s="41"/>
      <c r="T81" s="9">
        <f>'Central SIPA income'!J76</f>
        <v>122086542.45193771</v>
      </c>
      <c r="U81" s="9"/>
      <c r="V81" s="41">
        <f>'Central SIPA income'!F76</f>
        <v>167345.499121295</v>
      </c>
      <c r="W81" s="41"/>
      <c r="X81" s="41">
        <f>'Central SIPA income'!M76</f>
        <v>420323.64674653235</v>
      </c>
      <c r="Y81" s="9"/>
      <c r="Z81" s="9">
        <f t="shared" si="38"/>
        <v>6067768.626701761</v>
      </c>
      <c r="AA81" s="9"/>
      <c r="AB81" s="9">
        <f t="shared" si="39"/>
        <v>-20364977.187871501</v>
      </c>
      <c r="AC81" s="23"/>
      <c r="AD81" s="9"/>
      <c r="AE81" s="9"/>
      <c r="AF81" s="9"/>
      <c r="AG81" s="9">
        <f t="shared" si="35"/>
        <v>7085402784.360981</v>
      </c>
      <c r="AH81" s="42">
        <f t="shared" si="33"/>
        <v>6.7458529611487232E-3</v>
      </c>
      <c r="AI81" s="42">
        <f>(AG81-AG77)/AG77</f>
        <v>2.6039408133228067E-2</v>
      </c>
      <c r="AJ81" s="42">
        <f t="shared" si="40"/>
        <v>-2.8742158784284527E-3</v>
      </c>
      <c r="AK81" s="49"/>
      <c r="AL81" s="7"/>
      <c r="AM81" s="7"/>
      <c r="AN81" s="7"/>
      <c r="AO81" s="7"/>
      <c r="AP81" s="7"/>
      <c r="AQ81" s="7"/>
      <c r="AR81" s="7"/>
      <c r="AS81" s="7"/>
      <c r="AT81" s="7"/>
      <c r="AW81" s="46">
        <f>workers_and_wage_central!C69</f>
        <v>13245339</v>
      </c>
      <c r="AY81" s="42">
        <f t="shared" si="41"/>
        <v>8.5835919642502246E-3</v>
      </c>
      <c r="AZ81" s="47">
        <f>workers_and_wage_central!B69</f>
        <v>7781.6519772667798</v>
      </c>
      <c r="BA81" s="42">
        <f t="shared" si="42"/>
        <v>-1.8220988500542081E-3</v>
      </c>
      <c r="BB81" s="7"/>
      <c r="BC81" s="7"/>
      <c r="BD81" s="7"/>
      <c r="BE81" s="7"/>
      <c r="BF81" s="7">
        <f t="shared" si="36"/>
        <v>134.93075659477381</v>
      </c>
      <c r="BG81" s="49" t="e">
        <f>(BB81-BB77)/BB77</f>
        <v>#DIV/0!</v>
      </c>
      <c r="BH81">
        <f t="shared" si="34"/>
        <v>50</v>
      </c>
      <c r="BI81" s="42">
        <f t="shared" si="37"/>
        <v>1.4977262167517297E-2</v>
      </c>
    </row>
    <row r="82" spans="1:68" x14ac:dyDescent="0.2">
      <c r="A82" s="5">
        <f t="shared" ref="A82:A113" si="43">A78+1</f>
        <v>2032</v>
      </c>
      <c r="B82" s="5">
        <f t="shared" ref="B82:B113" si="44">B78</f>
        <v>1</v>
      </c>
      <c r="C82" s="6"/>
      <c r="D82" s="6">
        <f>'Central pensions'!Q82</f>
        <v>125106477.9787247</v>
      </c>
      <c r="E82" s="6"/>
      <c r="F82" s="8">
        <f>'Central pensions'!I82</f>
        <v>22739583.286163621</v>
      </c>
      <c r="G82" s="6">
        <f>'Central pensions'!K82</f>
        <v>2767136.08427078</v>
      </c>
      <c r="H82" s="6">
        <f>'Central pensions'!V82</f>
        <v>15223966.29852058</v>
      </c>
      <c r="I82" s="8">
        <f>'Central pensions'!M82</f>
        <v>85581.528379510157</v>
      </c>
      <c r="J82" s="6">
        <f>'Central pensions'!W82</f>
        <v>470844.31851095404</v>
      </c>
      <c r="K82" s="6"/>
      <c r="L82" s="8">
        <f>'Central pensions'!N82</f>
        <v>3018613.9985196604</v>
      </c>
      <c r="M82" s="8"/>
      <c r="N82" s="8">
        <f>'Central pensions'!L82</f>
        <v>1052412.8360991888</v>
      </c>
      <c r="O82" s="6"/>
      <c r="P82" s="6">
        <f>'Central pensions'!X82</f>
        <v>21453667.300436739</v>
      </c>
      <c r="Q82" s="8"/>
      <c r="R82" s="8">
        <f>'Central SIPA income'!G77</f>
        <v>27847960.240712415</v>
      </c>
      <c r="S82" s="8"/>
      <c r="T82" s="6">
        <f>'Central SIPA income'!J77</f>
        <v>106479089.61041953</v>
      </c>
      <c r="U82" s="6"/>
      <c r="V82" s="8">
        <f>'Central SIPA income'!F77</f>
        <v>168910.46575440699</v>
      </c>
      <c r="W82" s="8"/>
      <c r="X82" s="8">
        <f>'Central SIPA income'!M77</f>
        <v>424254.39173650963</v>
      </c>
      <c r="Y82" s="6"/>
      <c r="Z82" s="6">
        <f t="shared" si="38"/>
        <v>1206260.5856843553</v>
      </c>
      <c r="AA82" s="6"/>
      <c r="AB82" s="6">
        <f t="shared" si="39"/>
        <v>-40081055.668741912</v>
      </c>
      <c r="AC82" s="23"/>
      <c r="AD82" s="6"/>
      <c r="AE82" s="6"/>
      <c r="AF82" s="6"/>
      <c r="AG82" s="6">
        <f t="shared" si="35"/>
        <v>7135406827.2208414</v>
      </c>
      <c r="AH82" s="35">
        <f t="shared" si="33"/>
        <v>7.0573324314363861E-3</v>
      </c>
      <c r="AI82" s="35"/>
      <c r="AJ82" s="35">
        <f t="shared" si="40"/>
        <v>-5.61720678852351E-3</v>
      </c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35">
        <f>AVERAGE(AH82:AH85)</f>
        <v>6.2015034139746399E-3</v>
      </c>
      <c r="AV82" s="5"/>
      <c r="AW82" s="39">
        <f>workers_and_wage_central!C70</f>
        <v>13272423</v>
      </c>
      <c r="AX82" s="5"/>
      <c r="AY82" s="35">
        <f t="shared" si="41"/>
        <v>2.0447947764870343E-3</v>
      </c>
      <c r="AZ82" s="40">
        <f>workers_and_wage_central!B70</f>
        <v>7820.5782046740696</v>
      </c>
      <c r="BA82" s="35">
        <f t="shared" si="42"/>
        <v>5.0023089597181205E-3</v>
      </c>
      <c r="BB82" s="5"/>
      <c r="BC82" s="5"/>
      <c r="BD82" s="5"/>
      <c r="BE82" s="5"/>
      <c r="BF82" s="5">
        <f t="shared" si="36"/>
        <v>135.88300779928835</v>
      </c>
      <c r="BG82" s="5"/>
      <c r="BH82" s="5">
        <f t="shared" si="34"/>
        <v>51</v>
      </c>
      <c r="BI82" s="35">
        <f t="shared" si="37"/>
        <v>1.7411736154525254E-2</v>
      </c>
      <c r="BJ82" s="5"/>
      <c r="BK82" s="5"/>
      <c r="BL82" s="5"/>
      <c r="BM82" s="5"/>
      <c r="BN82" s="5"/>
      <c r="BO82" s="5"/>
      <c r="BP82" s="5"/>
    </row>
    <row r="83" spans="1:68" x14ac:dyDescent="0.2">
      <c r="A83" s="7">
        <f t="shared" si="43"/>
        <v>2032</v>
      </c>
      <c r="B83" s="7">
        <f t="shared" si="44"/>
        <v>2</v>
      </c>
      <c r="C83" s="9"/>
      <c r="D83" s="9">
        <f>'Central pensions'!Q83</f>
        <v>125887002.08615351</v>
      </c>
      <c r="E83" s="9"/>
      <c r="F83" s="41">
        <f>'Central pensions'!I83</f>
        <v>22881452.781928293</v>
      </c>
      <c r="G83" s="9">
        <f>'Central pensions'!K83</f>
        <v>2752203.2955246102</v>
      </c>
      <c r="H83" s="9">
        <f>'Central pensions'!V83</f>
        <v>15141810.500724128</v>
      </c>
      <c r="I83" s="41">
        <f>'Central pensions'!M83</f>
        <v>85119.689552299678</v>
      </c>
      <c r="J83" s="9">
        <f>'Central pensions'!W83</f>
        <v>468303.41754812573</v>
      </c>
      <c r="K83" s="9"/>
      <c r="L83" s="41">
        <f>'Central pensions'!N83</f>
        <v>2391119.1652573659</v>
      </c>
      <c r="M83" s="41"/>
      <c r="N83" s="41">
        <f>'Central pensions'!L83</f>
        <v>1060477.425676696</v>
      </c>
      <c r="O83" s="9"/>
      <c r="P83" s="9">
        <f>'Central pensions'!X83</f>
        <v>18241962.620070592</v>
      </c>
      <c r="Q83" s="41"/>
      <c r="R83" s="41">
        <f>'Central SIPA income'!G78</f>
        <v>32017513.095501855</v>
      </c>
      <c r="S83" s="41"/>
      <c r="T83" s="9">
        <f>'Central SIPA income'!J78</f>
        <v>122421736.33294111</v>
      </c>
      <c r="U83" s="9"/>
      <c r="V83" s="41">
        <f>'Central SIPA income'!F78</f>
        <v>174713.72534306199</v>
      </c>
      <c r="W83" s="41"/>
      <c r="X83" s="41">
        <f>'Central SIPA income'!M78</f>
        <v>438830.50669704552</v>
      </c>
      <c r="Y83" s="9"/>
      <c r="Z83" s="9">
        <f t="shared" si="38"/>
        <v>5859177.4479825646</v>
      </c>
      <c r="AA83" s="9"/>
      <c r="AB83" s="9">
        <f t="shared" si="39"/>
        <v>-21707228.373282984</v>
      </c>
      <c r="AC83" s="23"/>
      <c r="AD83" s="9"/>
      <c r="AE83" s="9"/>
      <c r="AF83" s="9"/>
      <c r="AG83" s="9">
        <f t="shared" si="35"/>
        <v>7175330994.2775431</v>
      </c>
      <c r="AH83" s="42">
        <f t="shared" si="33"/>
        <v>5.5952194490712258E-3</v>
      </c>
      <c r="AI83" s="42"/>
      <c r="AJ83" s="42">
        <f t="shared" si="40"/>
        <v>-3.0252581226698663E-3</v>
      </c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46">
        <f>workers_and_wage_central!C71</f>
        <v>13271720</v>
      </c>
      <c r="AX83" s="7"/>
      <c r="AY83" s="42">
        <f t="shared" si="41"/>
        <v>-5.2966967674252096E-5</v>
      </c>
      <c r="AZ83" s="47">
        <f>workers_and_wage_central!B71</f>
        <v>7864.7526280460597</v>
      </c>
      <c r="BA83" s="42">
        <f t="shared" si="42"/>
        <v>5.6484855998995918E-3</v>
      </c>
      <c r="BB83" s="7"/>
      <c r="BC83" s="7"/>
      <c r="BD83" s="7"/>
      <c r="BE83" s="7"/>
      <c r="BF83" s="7">
        <f t="shared" si="36"/>
        <v>136.64330304732522</v>
      </c>
      <c r="BG83" s="7"/>
      <c r="BH83" s="7">
        <f t="shared" si="34"/>
        <v>52</v>
      </c>
      <c r="BI83" s="42">
        <f t="shared" si="37"/>
        <v>1.5240286551821606E-2</v>
      </c>
      <c r="BJ83" s="7"/>
      <c r="BK83" s="7"/>
      <c r="BL83" s="7"/>
      <c r="BM83" s="7"/>
      <c r="BN83" s="7"/>
      <c r="BO83" s="7"/>
      <c r="BP83" s="7"/>
    </row>
    <row r="84" spans="1:68" x14ac:dyDescent="0.2">
      <c r="A84" s="7">
        <f t="shared" si="43"/>
        <v>2032</v>
      </c>
      <c r="B84" s="7">
        <f t="shared" si="44"/>
        <v>3</v>
      </c>
      <c r="C84" s="9"/>
      <c r="D84" s="9">
        <f>'Central pensions'!Q84</f>
        <v>126777997.6789173</v>
      </c>
      <c r="E84" s="9"/>
      <c r="F84" s="41">
        <f>'Central pensions'!I84</f>
        <v>23043401.777828433</v>
      </c>
      <c r="G84" s="9">
        <f>'Central pensions'!K84</f>
        <v>2831077.7166167698</v>
      </c>
      <c r="H84" s="9">
        <f>'Central pensions'!V84</f>
        <v>15575754.293856658</v>
      </c>
      <c r="I84" s="41">
        <f>'Central pensions'!M84</f>
        <v>87559.104637640063</v>
      </c>
      <c r="J84" s="9">
        <f>'Central pensions'!W84</f>
        <v>481724.3596038582</v>
      </c>
      <c r="K84" s="9"/>
      <c r="L84" s="41">
        <f>'Central pensions'!N84</f>
        <v>2400962.3237665677</v>
      </c>
      <c r="M84" s="41"/>
      <c r="N84" s="41">
        <f>'Central pensions'!L84</f>
        <v>1069906.6638049558</v>
      </c>
      <c r="O84" s="9"/>
      <c r="P84" s="9">
        <f>'Central pensions'!X84</f>
        <v>18344915.702473912</v>
      </c>
      <c r="Q84" s="41"/>
      <c r="R84" s="41">
        <f>'Central SIPA income'!G79</f>
        <v>28110594.797381379</v>
      </c>
      <c r="S84" s="41"/>
      <c r="T84" s="9">
        <f>'Central SIPA income'!J79</f>
        <v>107483295.60082681</v>
      </c>
      <c r="U84" s="9"/>
      <c r="V84" s="41">
        <f>'Central SIPA income'!F79</f>
        <v>174467.74735317199</v>
      </c>
      <c r="W84" s="41"/>
      <c r="X84" s="41">
        <f>'Central SIPA income'!M79</f>
        <v>438212.68090386415</v>
      </c>
      <c r="Y84" s="9"/>
      <c r="Z84" s="9">
        <f t="shared" si="38"/>
        <v>1770791.7793345973</v>
      </c>
      <c r="AA84" s="9"/>
      <c r="AB84" s="9">
        <f t="shared" si="39"/>
        <v>-37639617.780564398</v>
      </c>
      <c r="AC84" s="23"/>
      <c r="AD84" s="9"/>
      <c r="AE84" s="9"/>
      <c r="AF84" s="9"/>
      <c r="AG84" s="9">
        <f t="shared" si="35"/>
        <v>7231311390.1664839</v>
      </c>
      <c r="AH84" s="42">
        <f t="shared" si="33"/>
        <v>7.801785859577237E-3</v>
      </c>
      <c r="AI84" s="42"/>
      <c r="AJ84" s="42">
        <f t="shared" si="40"/>
        <v>-5.2050887798510128E-3</v>
      </c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9"/>
      <c r="AW84" s="46">
        <f>workers_and_wage_central!C72</f>
        <v>13265038</v>
      </c>
      <c r="AY84" s="42">
        <f t="shared" si="41"/>
        <v>-5.0347656520782541E-4</v>
      </c>
      <c r="AZ84" s="47">
        <f>workers_and_wage_central!B72</f>
        <v>7930.1043655963504</v>
      </c>
      <c r="BA84" s="42">
        <f t="shared" si="42"/>
        <v>8.3094460361338527E-3</v>
      </c>
      <c r="BB84" s="7"/>
      <c r="BC84" s="7"/>
      <c r="BD84" s="7"/>
      <c r="BE84" s="7"/>
      <c r="BF84" s="7">
        <f t="shared" si="36"/>
        <v>137.70936483684577</v>
      </c>
      <c r="BG84" s="7"/>
      <c r="BH84">
        <f t="shared" si="34"/>
        <v>53</v>
      </c>
      <c r="BI84" s="42">
        <f t="shared" si="37"/>
        <v>1.7453951989122217E-2</v>
      </c>
    </row>
    <row r="85" spans="1:68" x14ac:dyDescent="0.2">
      <c r="A85" s="7">
        <f t="shared" si="43"/>
        <v>2032</v>
      </c>
      <c r="B85" s="7">
        <f t="shared" si="44"/>
        <v>4</v>
      </c>
      <c r="C85" s="9"/>
      <c r="D85" s="9">
        <f>'Central pensions'!Q85</f>
        <v>127390422.78920564</v>
      </c>
      <c r="E85" s="9"/>
      <c r="F85" s="41">
        <f>'Central pensions'!I85</f>
        <v>23154717.291037172</v>
      </c>
      <c r="G85" s="9">
        <f>'Central pensions'!K85</f>
        <v>2890380.7057283302</v>
      </c>
      <c r="H85" s="9">
        <f>'Central pensions'!V85</f>
        <v>15902021.842737922</v>
      </c>
      <c r="I85" s="41">
        <f>'Central pensions'!M85</f>
        <v>89393.217702929862</v>
      </c>
      <c r="J85" s="9">
        <f>'Central pensions'!W85</f>
        <v>491815.10853824124</v>
      </c>
      <c r="K85" s="9"/>
      <c r="L85" s="41">
        <f>'Central pensions'!N85</f>
        <v>2383049.7043406735</v>
      </c>
      <c r="M85" s="41"/>
      <c r="N85" s="41">
        <f>'Central pensions'!L85</f>
        <v>1076557.2481996678</v>
      </c>
      <c r="O85" s="9"/>
      <c r="P85" s="9">
        <f>'Central pensions'!X85</f>
        <v>18288556.588220011</v>
      </c>
      <c r="Q85" s="41"/>
      <c r="R85" s="41">
        <f>'Central SIPA income'!G80</f>
        <v>32607584.093056876</v>
      </c>
      <c r="S85" s="41"/>
      <c r="T85" s="9">
        <f>'Central SIPA income'!J80</f>
        <v>124677923.93454921</v>
      </c>
      <c r="U85" s="9"/>
      <c r="V85" s="41">
        <f>'Central SIPA income'!F80</f>
        <v>166505.10198203399</v>
      </c>
      <c r="W85" s="41"/>
      <c r="X85" s="41">
        <f>'Central SIPA income'!M80</f>
        <v>418212.81142592715</v>
      </c>
      <c r="Y85" s="9"/>
      <c r="Z85" s="9">
        <f t="shared" si="38"/>
        <v>6159764.9514613971</v>
      </c>
      <c r="AA85" s="9"/>
      <c r="AB85" s="9">
        <f t="shared" si="39"/>
        <v>-21001055.442876443</v>
      </c>
      <c r="AC85" s="23"/>
      <c r="AD85" s="9"/>
      <c r="AE85" s="9"/>
      <c r="AF85" s="9"/>
      <c r="AG85" s="9">
        <f t="shared" si="35"/>
        <v>7262779713.7828207</v>
      </c>
      <c r="AH85" s="42">
        <f t="shared" si="33"/>
        <v>4.3516759158137071E-3</v>
      </c>
      <c r="AI85" s="42">
        <f>(AG85-AG81)/AG81</f>
        <v>2.5034134941961102E-2</v>
      </c>
      <c r="AJ85" s="42">
        <f t="shared" si="40"/>
        <v>-2.8916002233995938E-3</v>
      </c>
      <c r="AK85" s="49"/>
      <c r="AL85" s="7"/>
      <c r="AM85" s="7"/>
      <c r="AN85" s="7"/>
      <c r="AO85" s="7"/>
      <c r="AP85" s="7"/>
      <c r="AQ85" s="7"/>
      <c r="AR85" s="7"/>
      <c r="AS85" s="7"/>
      <c r="AT85" s="7"/>
      <c r="AW85" s="46">
        <f>workers_and_wage_central!C73</f>
        <v>13276567</v>
      </c>
      <c r="AY85" s="42">
        <f t="shared" si="41"/>
        <v>8.6912679782749213E-4</v>
      </c>
      <c r="AZ85" s="47">
        <f>workers_and_wage_central!B73</f>
        <v>7957.6973617479098</v>
      </c>
      <c r="BA85" s="42">
        <f t="shared" si="42"/>
        <v>3.479524969591545E-3</v>
      </c>
      <c r="BB85" s="7"/>
      <c r="BC85" s="7"/>
      <c r="BD85" s="7"/>
      <c r="BE85" s="7"/>
      <c r="BF85" s="7">
        <f t="shared" si="36"/>
        <v>138.30863136318828</v>
      </c>
      <c r="BG85" s="49" t="e">
        <f>(BB85-BB81)/BB81</f>
        <v>#DIV/0!</v>
      </c>
      <c r="BH85">
        <f t="shared" si="34"/>
        <v>54</v>
      </c>
      <c r="BI85" s="42">
        <f t="shared" si="37"/>
        <v>1.531835576458382E-2</v>
      </c>
    </row>
    <row r="86" spans="1:68" x14ac:dyDescent="0.2">
      <c r="A86" s="5">
        <f t="shared" si="43"/>
        <v>2033</v>
      </c>
      <c r="B86" s="5">
        <f t="shared" si="44"/>
        <v>1</v>
      </c>
      <c r="C86" s="6"/>
      <c r="D86" s="6">
        <f>'Central pensions'!Q86</f>
        <v>127494874.20772633</v>
      </c>
      <c r="E86" s="6"/>
      <c r="F86" s="8">
        <f>'Central pensions'!I86</f>
        <v>23173702.572768249</v>
      </c>
      <c r="G86" s="6">
        <f>'Central pensions'!K86</f>
        <v>2945256.8654072499</v>
      </c>
      <c r="H86" s="6">
        <f>'Central pensions'!V86</f>
        <v>16203934.282206642</v>
      </c>
      <c r="I86" s="8">
        <f>'Central pensions'!M86</f>
        <v>91090.418517750222</v>
      </c>
      <c r="J86" s="6">
        <f>'Central pensions'!W86</f>
        <v>501152.60666618601</v>
      </c>
      <c r="K86" s="6"/>
      <c r="L86" s="8">
        <f>'Central pensions'!N86</f>
        <v>2952604.5526759238</v>
      </c>
      <c r="M86" s="8"/>
      <c r="N86" s="8">
        <f>'Central pensions'!L86</f>
        <v>1078030.2245140523</v>
      </c>
      <c r="O86" s="6"/>
      <c r="P86" s="6">
        <f>'Central pensions'!X86</f>
        <v>21252083.284864932</v>
      </c>
      <c r="Q86" s="8"/>
      <c r="R86" s="8">
        <f>'Central SIPA income'!G81</f>
        <v>28648813.912181407</v>
      </c>
      <c r="S86" s="8"/>
      <c r="T86" s="6">
        <f>'Central SIPA income'!J81</f>
        <v>109541223.03463037</v>
      </c>
      <c r="U86" s="6"/>
      <c r="V86" s="8">
        <f>'Central SIPA income'!F81</f>
        <v>165900.43420727801</v>
      </c>
      <c r="W86" s="8"/>
      <c r="X86" s="8">
        <f>'Central SIPA income'!M81</f>
        <v>416694.06030629692</v>
      </c>
      <c r="Y86" s="6"/>
      <c r="Z86" s="6">
        <f t="shared" si="38"/>
        <v>1610376.9964304604</v>
      </c>
      <c r="AA86" s="6"/>
      <c r="AB86" s="6">
        <f t="shared" si="39"/>
        <v>-39205734.457960889</v>
      </c>
      <c r="AC86" s="23"/>
      <c r="AD86" s="6"/>
      <c r="AE86" s="6"/>
      <c r="AF86" s="6"/>
      <c r="AG86" s="6">
        <f t="shared" si="35"/>
        <v>7325803152.7788277</v>
      </c>
      <c r="AH86" s="35">
        <f t="shared" si="33"/>
        <v>8.6775919798868836E-3</v>
      </c>
      <c r="AI86" s="35"/>
      <c r="AJ86" s="35">
        <f t="shared" si="40"/>
        <v>-5.3517319043836645E-3</v>
      </c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35">
        <f>AVERAGE(AH86:AH89)</f>
        <v>7.0712369536476442E-3</v>
      </c>
      <c r="AV86" s="5"/>
      <c r="AW86" s="39">
        <f>workers_and_wage_central!C74</f>
        <v>13316386</v>
      </c>
      <c r="AX86" s="5"/>
      <c r="AY86" s="35">
        <f t="shared" si="41"/>
        <v>2.9991939934472518E-3</v>
      </c>
      <c r="AZ86" s="40">
        <f>workers_and_wage_central!B74</f>
        <v>8002.7492151753604</v>
      </c>
      <c r="BA86" s="35">
        <f t="shared" si="42"/>
        <v>5.6614182946956122E-3</v>
      </c>
      <c r="BB86" s="5"/>
      <c r="BC86" s="5"/>
      <c r="BD86" s="5"/>
      <c r="BE86" s="5"/>
      <c r="BF86" s="5">
        <f t="shared" si="36"/>
        <v>139.50881723345461</v>
      </c>
      <c r="BG86" s="5"/>
      <c r="BH86" s="5">
        <f t="shared" si="34"/>
        <v>55</v>
      </c>
      <c r="BI86" s="35">
        <f t="shared" si="37"/>
        <v>1.7481184806467629E-2</v>
      </c>
      <c r="BJ86" s="5"/>
      <c r="BK86" s="5"/>
      <c r="BL86" s="5"/>
      <c r="BM86" s="5"/>
      <c r="BN86" s="5"/>
      <c r="BO86" s="5"/>
      <c r="BP86" s="5"/>
    </row>
    <row r="87" spans="1:68" x14ac:dyDescent="0.2">
      <c r="A87" s="7">
        <f t="shared" si="43"/>
        <v>2033</v>
      </c>
      <c r="B87" s="7">
        <f t="shared" si="44"/>
        <v>2</v>
      </c>
      <c r="C87" s="9"/>
      <c r="D87" s="9">
        <f>'Central pensions'!Q87</f>
        <v>128003695.30140954</v>
      </c>
      <c r="E87" s="9"/>
      <c r="F87" s="41">
        <f>'Central pensions'!I87</f>
        <v>23266186.82957495</v>
      </c>
      <c r="G87" s="9">
        <f>'Central pensions'!K87</f>
        <v>3029664.9575267499</v>
      </c>
      <c r="H87" s="9">
        <f>'Central pensions'!V87</f>
        <v>16668322.700634688</v>
      </c>
      <c r="I87" s="41">
        <f>'Central pensions'!M87</f>
        <v>93700.978067830205</v>
      </c>
      <c r="J87" s="9">
        <f>'Central pensions'!W87</f>
        <v>515515.13507113513</v>
      </c>
      <c r="K87" s="9"/>
      <c r="L87" s="41">
        <f>'Central pensions'!N87</f>
        <v>2339345.1337183593</v>
      </c>
      <c r="M87" s="41"/>
      <c r="N87" s="41">
        <f>'Central pensions'!L87</f>
        <v>1083964.1074309684</v>
      </c>
      <c r="O87" s="9"/>
      <c r="P87" s="9">
        <f>'Central pensions'!X87</f>
        <v>18102523.717611872</v>
      </c>
      <c r="Q87" s="41"/>
      <c r="R87" s="41">
        <f>'Central SIPA income'!G82</f>
        <v>33016248.847783834</v>
      </c>
      <c r="S87" s="41"/>
      <c r="T87" s="9">
        <f>'Central SIPA income'!J82</f>
        <v>126240489.04391676</v>
      </c>
      <c r="U87" s="9"/>
      <c r="V87" s="41">
        <f>'Central SIPA income'!F82</f>
        <v>173027.08405052201</v>
      </c>
      <c r="W87" s="41"/>
      <c r="X87" s="41">
        <f>'Central SIPA income'!M82</f>
        <v>434594.15004236286</v>
      </c>
      <c r="Y87" s="9"/>
      <c r="Z87" s="9">
        <f t="shared" si="38"/>
        <v>6499779.8611100763</v>
      </c>
      <c r="AA87" s="9"/>
      <c r="AB87" s="9">
        <f t="shared" si="39"/>
        <v>-19865729.97510466</v>
      </c>
      <c r="AC87" s="23"/>
      <c r="AD87" s="9"/>
      <c r="AE87" s="9"/>
      <c r="AF87" s="9"/>
      <c r="AG87" s="9">
        <f t="shared" si="35"/>
        <v>7361022195.5158739</v>
      </c>
      <c r="AH87" s="42">
        <f t="shared" si="33"/>
        <v>4.8075333178570238E-3</v>
      </c>
      <c r="AI87" s="42"/>
      <c r="AJ87" s="42">
        <f t="shared" si="40"/>
        <v>-2.6987732746148081E-3</v>
      </c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46">
        <f>workers_and_wage_central!C75</f>
        <v>13370647</v>
      </c>
      <c r="AX87" s="7"/>
      <c r="AY87" s="42">
        <f t="shared" si="41"/>
        <v>4.0747542163466878E-3</v>
      </c>
      <c r="AZ87" s="47">
        <f>workers_and_wage_central!B75</f>
        <v>8008.5896641607396</v>
      </c>
      <c r="BA87" s="42">
        <f t="shared" si="42"/>
        <v>7.2980532418836347E-4</v>
      </c>
      <c r="BB87" s="7"/>
      <c r="BC87" s="7"/>
      <c r="BD87" s="7"/>
      <c r="BE87" s="7"/>
      <c r="BF87" s="7">
        <f t="shared" si="36"/>
        <v>140.17951052043927</v>
      </c>
      <c r="BG87" s="7"/>
      <c r="BH87" s="7">
        <f t="shared" si="34"/>
        <v>56</v>
      </c>
      <c r="BI87" s="42">
        <f t="shared" si="37"/>
        <v>1.5085498256523439E-2</v>
      </c>
      <c r="BJ87" s="7"/>
      <c r="BK87" s="7"/>
      <c r="BL87" s="7"/>
      <c r="BM87" s="7"/>
      <c r="BN87" s="7"/>
      <c r="BO87" s="7"/>
      <c r="BP87" s="7"/>
    </row>
    <row r="88" spans="1:68" x14ac:dyDescent="0.2">
      <c r="A88" s="7">
        <f t="shared" si="43"/>
        <v>2033</v>
      </c>
      <c r="B88" s="7">
        <f t="shared" si="44"/>
        <v>3</v>
      </c>
      <c r="C88" s="9"/>
      <c r="D88" s="9">
        <f>'Central pensions'!Q88</f>
        <v>128163523.36238818</v>
      </c>
      <c r="E88" s="9"/>
      <c r="F88" s="41">
        <f>'Central pensions'!I88</f>
        <v>23295237.471578538</v>
      </c>
      <c r="G88" s="9">
        <f>'Central pensions'!K88</f>
        <v>3109066.4233407602</v>
      </c>
      <c r="H88" s="9">
        <f>'Central pensions'!V88</f>
        <v>17105166.138323508</v>
      </c>
      <c r="I88" s="41">
        <f>'Central pensions'!M88</f>
        <v>96156.693505389616</v>
      </c>
      <c r="J88" s="9">
        <f>'Central pensions'!W88</f>
        <v>529025.75685539527</v>
      </c>
      <c r="K88" s="9"/>
      <c r="L88" s="41">
        <f>'Central pensions'!N88</f>
        <v>2301713.7458709455</v>
      </c>
      <c r="M88" s="41"/>
      <c r="N88" s="41">
        <f>'Central pensions'!L88</f>
        <v>1087761.4138873145</v>
      </c>
      <c r="O88" s="9"/>
      <c r="P88" s="9">
        <f>'Central pensions'!X88</f>
        <v>17928145.926915828</v>
      </c>
      <c r="Q88" s="41"/>
      <c r="R88" s="41">
        <f>'Central SIPA income'!G83</f>
        <v>29118919.467158865</v>
      </c>
      <c r="S88" s="41"/>
      <c r="T88" s="9">
        <f>'Central SIPA income'!J83</f>
        <v>111338712.3689343</v>
      </c>
      <c r="U88" s="9"/>
      <c r="V88" s="41">
        <f>'Central SIPA income'!F83</f>
        <v>173495.26710233599</v>
      </c>
      <c r="W88" s="41"/>
      <c r="X88" s="41">
        <f>'Central SIPA income'!M83</f>
        <v>435770.09088760026</v>
      </c>
      <c r="Y88" s="9"/>
      <c r="Z88" s="9">
        <f t="shared" si="38"/>
        <v>2607702.1029244028</v>
      </c>
      <c r="AA88" s="9"/>
      <c r="AB88" s="9">
        <f t="shared" si="39"/>
        <v>-34752956.9203697</v>
      </c>
      <c r="AC88" s="23"/>
      <c r="AD88" s="9"/>
      <c r="AE88" s="9"/>
      <c r="AF88" s="9"/>
      <c r="AG88" s="9">
        <f t="shared" si="35"/>
        <v>7433849466.1865387</v>
      </c>
      <c r="AH88" s="42">
        <f t="shared" si="33"/>
        <v>9.8936355218476445E-3</v>
      </c>
      <c r="AI88" s="42"/>
      <c r="AJ88" s="42">
        <f t="shared" si="40"/>
        <v>-4.6749610788389398E-3</v>
      </c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9"/>
      <c r="AW88" s="46">
        <f>workers_and_wage_central!C76</f>
        <v>13432856</v>
      </c>
      <c r="AY88" s="42">
        <f t="shared" si="41"/>
        <v>4.6526544302605555E-3</v>
      </c>
      <c r="AZ88" s="47">
        <f>workers_and_wage_central!B76</f>
        <v>8050.3681503022499</v>
      </c>
      <c r="BA88" s="42">
        <f t="shared" si="42"/>
        <v>5.2167095448120244E-3</v>
      </c>
      <c r="BB88" s="7"/>
      <c r="BC88" s="7"/>
      <c r="BD88" s="7"/>
      <c r="BE88" s="7"/>
      <c r="BF88" s="7">
        <f t="shared" si="36"/>
        <v>141.56639550515951</v>
      </c>
      <c r="BG88" s="7"/>
      <c r="BH88">
        <f t="shared" si="34"/>
        <v>57</v>
      </c>
      <c r="BI88" s="42">
        <f t="shared" si="37"/>
        <v>1.7298653805419961E-2</v>
      </c>
    </row>
    <row r="89" spans="1:68" x14ac:dyDescent="0.2">
      <c r="A89" s="7">
        <f t="shared" si="43"/>
        <v>2033</v>
      </c>
      <c r="B89" s="7">
        <f t="shared" si="44"/>
        <v>4</v>
      </c>
      <c r="C89" s="9"/>
      <c r="D89" s="9">
        <f>'Central pensions'!Q89</f>
        <v>128487145.32602821</v>
      </c>
      <c r="E89" s="9"/>
      <c r="F89" s="41">
        <f>'Central pensions'!I89</f>
        <v>23354059.594256118</v>
      </c>
      <c r="G89" s="9">
        <f>'Central pensions'!K89</f>
        <v>3149185.2354743802</v>
      </c>
      <c r="H89" s="9">
        <f>'Central pensions'!V89</f>
        <v>17325888.005719438</v>
      </c>
      <c r="I89" s="41">
        <f>'Central pensions'!M89</f>
        <v>97397.481509509962</v>
      </c>
      <c r="J89" s="9">
        <f>'Central pensions'!W89</f>
        <v>535852.2063624186</v>
      </c>
      <c r="K89" s="9"/>
      <c r="L89" s="41">
        <f>'Central pensions'!N89</f>
        <v>2299721.0114806858</v>
      </c>
      <c r="M89" s="41"/>
      <c r="N89" s="41">
        <f>'Central pensions'!L89</f>
        <v>1092409.0899891928</v>
      </c>
      <c r="O89" s="9"/>
      <c r="P89" s="9">
        <f>'Central pensions'!X89</f>
        <v>17943375.761318102</v>
      </c>
      <c r="Q89" s="41"/>
      <c r="R89" s="41">
        <f>'Central SIPA income'!G84</f>
        <v>34018128.791673049</v>
      </c>
      <c r="S89" s="41"/>
      <c r="T89" s="9">
        <f>'Central SIPA income'!J84</f>
        <v>130071263.84401511</v>
      </c>
      <c r="U89" s="9"/>
      <c r="V89" s="41">
        <f>'Central SIPA income'!F84</f>
        <v>175858.796256645</v>
      </c>
      <c r="W89" s="41"/>
      <c r="X89" s="41">
        <f>'Central SIPA income'!M84</f>
        <v>441706.59469886107</v>
      </c>
      <c r="Y89" s="9"/>
      <c r="Z89" s="9">
        <f t="shared" si="38"/>
        <v>7447797.8922036998</v>
      </c>
      <c r="AA89" s="9"/>
      <c r="AB89" s="9">
        <f t="shared" si="39"/>
        <v>-16359257.243331209</v>
      </c>
      <c r="AC89" s="23"/>
      <c r="AD89" s="9"/>
      <c r="AE89" s="9"/>
      <c r="AF89" s="9"/>
      <c r="AG89" s="9">
        <f t="shared" si="35"/>
        <v>7470321321.7603235</v>
      </c>
      <c r="AH89" s="42">
        <f t="shared" si="33"/>
        <v>4.9061869949990232E-3</v>
      </c>
      <c r="AI89" s="42">
        <f>(AG89-AG85)/AG85</f>
        <v>2.8576057123644291E-2</v>
      </c>
      <c r="AJ89" s="42">
        <f t="shared" si="40"/>
        <v>-2.1899000777487678E-3</v>
      </c>
      <c r="AK89" s="49"/>
      <c r="AL89" s="7"/>
      <c r="AM89" s="7"/>
      <c r="AN89" s="7"/>
      <c r="AO89" s="7"/>
      <c r="AP89" s="7"/>
      <c r="AQ89" s="7"/>
      <c r="AR89" s="7"/>
      <c r="AS89" s="7"/>
      <c r="AT89" s="7"/>
      <c r="AW89" s="46">
        <f>workers_and_wage_central!C77</f>
        <v>13416702</v>
      </c>
      <c r="AY89" s="42">
        <f t="shared" si="41"/>
        <v>-1.202573749022546E-3</v>
      </c>
      <c r="AZ89" s="47">
        <f>workers_and_wage_central!B77</f>
        <v>8099.6051343382196</v>
      </c>
      <c r="BA89" s="42">
        <f t="shared" si="42"/>
        <v>6.116115824357813E-3</v>
      </c>
      <c r="BB89" s="7"/>
      <c r="BC89" s="7"/>
      <c r="BD89" s="7"/>
      <c r="BE89" s="7"/>
      <c r="BF89" s="7">
        <f t="shared" si="36"/>
        <v>142.26094671371581</v>
      </c>
      <c r="BG89" s="49" t="e">
        <f>(BB89-BB85)/BB85</f>
        <v>#DIV/0!</v>
      </c>
      <c r="BH89">
        <f t="shared" si="34"/>
        <v>58</v>
      </c>
      <c r="BI89" s="42">
        <f t="shared" si="37"/>
        <v>1.5114776328474298E-2</v>
      </c>
    </row>
    <row r="90" spans="1:68" x14ac:dyDescent="0.2">
      <c r="A90" s="5">
        <f t="shared" si="43"/>
        <v>2034</v>
      </c>
      <c r="B90" s="5">
        <f t="shared" si="44"/>
        <v>1</v>
      </c>
      <c r="C90" s="6"/>
      <c r="D90" s="6">
        <f>'Central pensions'!Q90</f>
        <v>129280798.97906688</v>
      </c>
      <c r="E90" s="6"/>
      <c r="F90" s="8">
        <f>'Central pensions'!I90</f>
        <v>23498315.540352769</v>
      </c>
      <c r="G90" s="6">
        <f>'Central pensions'!K90</f>
        <v>3216660.0194117301</v>
      </c>
      <c r="H90" s="6">
        <f>'Central pensions'!V90</f>
        <v>17697114.358662929</v>
      </c>
      <c r="I90" s="8">
        <f>'Central pensions'!M90</f>
        <v>99484.330497269984</v>
      </c>
      <c r="J90" s="6">
        <f>'Central pensions'!W90</f>
        <v>547333.43377308024</v>
      </c>
      <c r="K90" s="6"/>
      <c r="L90" s="8">
        <f>'Central pensions'!N90</f>
        <v>2901653.9175749896</v>
      </c>
      <c r="M90" s="8"/>
      <c r="N90" s="8">
        <f>'Central pensions'!L90</f>
        <v>1101109.8959558308</v>
      </c>
      <c r="O90" s="6"/>
      <c r="P90" s="6">
        <f>'Central pensions'!X90</f>
        <v>21114677.739785746</v>
      </c>
      <c r="Q90" s="8"/>
      <c r="R90" s="8">
        <f>'Central SIPA income'!G85</f>
        <v>29791612.750217255</v>
      </c>
      <c r="S90" s="8"/>
      <c r="T90" s="6">
        <f>'Central SIPA income'!J85</f>
        <v>113910813.44017848</v>
      </c>
      <c r="U90" s="6"/>
      <c r="V90" s="8">
        <f>'Central SIPA income'!F85</f>
        <v>170851.502689065</v>
      </c>
      <c r="W90" s="8"/>
      <c r="X90" s="8">
        <f>'Central SIPA income'!M85</f>
        <v>429129.716899894</v>
      </c>
      <c r="Y90" s="6"/>
      <c r="Z90" s="6">
        <f t="shared" si="38"/>
        <v>2461384.8990227282</v>
      </c>
      <c r="AA90" s="6"/>
      <c r="AB90" s="6">
        <f t="shared" si="39"/>
        <v>-36484663.278674141</v>
      </c>
      <c r="AC90" s="23"/>
      <c r="AD90" s="6"/>
      <c r="AE90" s="6"/>
      <c r="AF90" s="6"/>
      <c r="AG90" s="6">
        <f t="shared" si="35"/>
        <v>7474322287.3695383</v>
      </c>
      <c r="AH90" s="35">
        <f t="shared" ref="AH90:AH117" si="45">(AG90-AG89)/AG89</f>
        <v>5.3558146120975499E-4</v>
      </c>
      <c r="AI90" s="35"/>
      <c r="AJ90" s="35">
        <f t="shared" si="40"/>
        <v>-4.8813339692787457E-3</v>
      </c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35">
        <f>AVERAGE(AH90:AH93)</f>
        <v>3.5216287719739264E-3</v>
      </c>
      <c r="AV90" s="5"/>
      <c r="AW90" s="39">
        <f>workers_and_wage_central!C78</f>
        <v>13423308</v>
      </c>
      <c r="AX90" s="5"/>
      <c r="AY90" s="35">
        <f t="shared" si="41"/>
        <v>4.9237137412756131E-4</v>
      </c>
      <c r="AZ90" s="40">
        <f>workers_and_wage_central!B78</f>
        <v>8099.9549467437901</v>
      </c>
      <c r="BA90" s="35">
        <f t="shared" si="42"/>
        <v>4.3188822142380657E-5</v>
      </c>
      <c r="BB90" s="5"/>
      <c r="BC90" s="5"/>
      <c r="BD90" s="5"/>
      <c r="BE90" s="5"/>
      <c r="BF90" s="5">
        <f t="shared" si="36"/>
        <v>142.33713903942981</v>
      </c>
      <c r="BG90" s="5"/>
      <c r="BH90" s="5">
        <f t="shared" si="34"/>
        <v>59</v>
      </c>
      <c r="BI90" s="35">
        <f t="shared" si="37"/>
        <v>1.7389888846475004E-2</v>
      </c>
      <c r="BJ90" s="5"/>
      <c r="BK90" s="5"/>
      <c r="BL90" s="5"/>
      <c r="BM90" s="5"/>
      <c r="BN90" s="5"/>
      <c r="BO90" s="5"/>
      <c r="BP90" s="5"/>
    </row>
    <row r="91" spans="1:68" x14ac:dyDescent="0.2">
      <c r="A91" s="7">
        <f t="shared" si="43"/>
        <v>2034</v>
      </c>
      <c r="B91" s="7">
        <f t="shared" si="44"/>
        <v>2</v>
      </c>
      <c r="C91" s="9"/>
      <c r="D91" s="9">
        <f>'Central pensions'!Q91</f>
        <v>130193085.41528124</v>
      </c>
      <c r="E91" s="9"/>
      <c r="F91" s="41">
        <f>'Central pensions'!I91</f>
        <v>23664134.399074551</v>
      </c>
      <c r="G91" s="9">
        <f>'Central pensions'!K91</f>
        <v>3300753.3481962499</v>
      </c>
      <c r="H91" s="9">
        <f>'Central pensions'!V91</f>
        <v>18159771.042092115</v>
      </c>
      <c r="I91" s="41">
        <f>'Central pensions'!M91</f>
        <v>102085.15509884991</v>
      </c>
      <c r="J91" s="9">
        <f>'Central pensions'!W91</f>
        <v>561642.40336365614</v>
      </c>
      <c r="K91" s="9"/>
      <c r="L91" s="41">
        <f>'Central pensions'!N91</f>
        <v>2282176.0145041714</v>
      </c>
      <c r="M91" s="41"/>
      <c r="N91" s="41">
        <f>'Central pensions'!L91</f>
        <v>1110908.1920644492</v>
      </c>
      <c r="O91" s="9"/>
      <c r="P91" s="9">
        <f>'Central pensions'!X91</f>
        <v>17954111.290102102</v>
      </c>
      <c r="Q91" s="41"/>
      <c r="R91" s="41">
        <f>'Central SIPA income'!G86</f>
        <v>34390844.694192499</v>
      </c>
      <c r="S91" s="41"/>
      <c r="T91" s="9">
        <f>'Central SIPA income'!J86</f>
        <v>131496375.40121911</v>
      </c>
      <c r="U91" s="9"/>
      <c r="V91" s="41">
        <f>'Central SIPA income'!F86</f>
        <v>166013.106540009</v>
      </c>
      <c r="W91" s="41"/>
      <c r="X91" s="41">
        <f>'Central SIPA income'!M86</f>
        <v>416977.06072178227</v>
      </c>
      <c r="Y91" s="9"/>
      <c r="Z91" s="9">
        <f t="shared" si="38"/>
        <v>7499639.1950893365</v>
      </c>
      <c r="AA91" s="9"/>
      <c r="AB91" s="9">
        <f t="shared" si="39"/>
        <v>-16650821.304164231</v>
      </c>
      <c r="AC91" s="23"/>
      <c r="AD91" s="9"/>
      <c r="AE91" s="9"/>
      <c r="AF91" s="9"/>
      <c r="AG91" s="9">
        <f t="shared" si="35"/>
        <v>7533902664.7472897</v>
      </c>
      <c r="AH91" s="42">
        <f t="shared" si="45"/>
        <v>7.9713417600995179E-3</v>
      </c>
      <c r="AI91" s="42"/>
      <c r="AJ91" s="42">
        <f t="shared" si="40"/>
        <v>-2.2101189841590221E-3</v>
      </c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46">
        <f>workers_and_wage_central!C79</f>
        <v>13405704</v>
      </c>
      <c r="AX91" s="7"/>
      <c r="AY91" s="42">
        <f t="shared" si="41"/>
        <v>-1.3114502028859056E-3</v>
      </c>
      <c r="AZ91" s="47">
        <f>workers_and_wage_central!B79</f>
        <v>8175.2438811122202</v>
      </c>
      <c r="BA91" s="42">
        <f t="shared" si="42"/>
        <v>9.2949818688431718E-3</v>
      </c>
      <c r="BB91" s="7"/>
      <c r="BC91" s="7"/>
      <c r="BD91" s="7"/>
      <c r="BE91" s="7"/>
      <c r="BF91" s="7">
        <f t="shared" si="36"/>
        <v>143.47175701986791</v>
      </c>
      <c r="BG91" s="7"/>
      <c r="BH91" s="7">
        <f t="shared" si="34"/>
        <v>60</v>
      </c>
      <c r="BI91" s="42">
        <f t="shared" si="37"/>
        <v>1.5207077174471431E-2</v>
      </c>
      <c r="BJ91" s="7"/>
      <c r="BK91" s="7"/>
      <c r="BL91" s="7"/>
      <c r="BM91" s="7"/>
      <c r="BN91" s="7"/>
      <c r="BO91" s="7"/>
      <c r="BP91" s="7"/>
    </row>
    <row r="92" spans="1:68" x14ac:dyDescent="0.2">
      <c r="A92" s="7">
        <f t="shared" si="43"/>
        <v>2034</v>
      </c>
      <c r="B92" s="7">
        <f t="shared" si="44"/>
        <v>3</v>
      </c>
      <c r="C92" s="9"/>
      <c r="D92" s="9">
        <f>'Central pensions'!Q92</f>
        <v>130778202.48616652</v>
      </c>
      <c r="E92" s="9"/>
      <c r="F92" s="41">
        <f>'Central pensions'!I92</f>
        <v>23770486.352870379</v>
      </c>
      <c r="G92" s="9">
        <f>'Central pensions'!K92</f>
        <v>3329674.0092204199</v>
      </c>
      <c r="H92" s="9">
        <f>'Central pensions'!V92</f>
        <v>18318883.986072581</v>
      </c>
      <c r="I92" s="41">
        <f>'Central pensions'!M92</f>
        <v>102979.60853258986</v>
      </c>
      <c r="J92" s="9">
        <f>'Central pensions'!W92</f>
        <v>566563.4222496649</v>
      </c>
      <c r="K92" s="9"/>
      <c r="L92" s="41">
        <f>'Central pensions'!N92</f>
        <v>2290711.6285787201</v>
      </c>
      <c r="M92" s="41"/>
      <c r="N92" s="41">
        <f>'Central pensions'!L92</f>
        <v>1117458.5930306129</v>
      </c>
      <c r="O92" s="9"/>
      <c r="P92" s="9">
        <f>'Central pensions'!X92</f>
        <v>18034441.005546633</v>
      </c>
      <c r="Q92" s="41"/>
      <c r="R92" s="41">
        <f>'Central SIPA income'!G87</f>
        <v>30111920.97021509</v>
      </c>
      <c r="S92" s="41"/>
      <c r="T92" s="9">
        <f>'Central SIPA income'!J87</f>
        <v>115135539.68099816</v>
      </c>
      <c r="U92" s="9"/>
      <c r="V92" s="41">
        <f>'Central SIPA income'!F87</f>
        <v>171821.55202230299</v>
      </c>
      <c r="W92" s="41"/>
      <c r="X92" s="41">
        <f>'Central SIPA income'!M87</f>
        <v>431566.20115200465</v>
      </c>
      <c r="Y92" s="9"/>
      <c r="Z92" s="9">
        <f t="shared" si="38"/>
        <v>3105085.9477576837</v>
      </c>
      <c r="AA92" s="9"/>
      <c r="AB92" s="9">
        <f t="shared" si="39"/>
        <v>-33677103.81071499</v>
      </c>
      <c r="AC92" s="23"/>
      <c r="AD92" s="9"/>
      <c r="AE92" s="9"/>
      <c r="AF92" s="9"/>
      <c r="AG92" s="9">
        <f t="shared" si="35"/>
        <v>7516181335.0224304</v>
      </c>
      <c r="AH92" s="42">
        <f t="shared" si="45"/>
        <v>-2.3522111332524983E-3</v>
      </c>
      <c r="AI92" s="42"/>
      <c r="AJ92" s="42">
        <f t="shared" si="40"/>
        <v>-4.4806135336028967E-3</v>
      </c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9"/>
      <c r="AW92" s="46">
        <f>workers_and_wage_central!C80</f>
        <v>13414866</v>
      </c>
      <c r="AY92" s="42">
        <f t="shared" si="41"/>
        <v>6.8344042207705018E-4</v>
      </c>
      <c r="AZ92" s="47">
        <f>workers_and_wage_central!B80</f>
        <v>8150.4436387974001</v>
      </c>
      <c r="BA92" s="42">
        <f t="shared" si="42"/>
        <v>-3.0335782853056635E-3</v>
      </c>
      <c r="BB92" s="7"/>
      <c r="BC92" s="7"/>
      <c r="BD92" s="7"/>
      <c r="BE92" s="7"/>
      <c r="BF92" s="7">
        <f t="shared" si="36"/>
        <v>143.13428115569849</v>
      </c>
      <c r="BG92" s="7"/>
      <c r="BH92">
        <f t="shared" si="34"/>
        <v>61</v>
      </c>
      <c r="BI92" s="42">
        <f t="shared" si="37"/>
        <v>1.738616741186683E-2</v>
      </c>
    </row>
    <row r="93" spans="1:68" x14ac:dyDescent="0.2">
      <c r="A93" s="7">
        <f t="shared" si="43"/>
        <v>2034</v>
      </c>
      <c r="B93" s="7">
        <f t="shared" si="44"/>
        <v>4</v>
      </c>
      <c r="C93" s="9"/>
      <c r="D93" s="9">
        <f>'Central pensions'!Q93</f>
        <v>130738629.07307734</v>
      </c>
      <c r="E93" s="9"/>
      <c r="F93" s="41">
        <f>'Central pensions'!I93</f>
        <v>23763293.416602023</v>
      </c>
      <c r="G93" s="9">
        <f>'Central pensions'!K93</f>
        <v>3397916.6567588798</v>
      </c>
      <c r="H93" s="9">
        <f>'Central pensions'!V93</f>
        <v>18694334.897992987</v>
      </c>
      <c r="I93" s="41">
        <f>'Central pensions'!M93</f>
        <v>105090.20587914018</v>
      </c>
      <c r="J93" s="9">
        <f>'Central pensions'!W93</f>
        <v>578175.30612349208</v>
      </c>
      <c r="K93" s="9"/>
      <c r="L93" s="41">
        <f>'Central pensions'!N93</f>
        <v>2286539.1090246076</v>
      </c>
      <c r="M93" s="41"/>
      <c r="N93" s="41">
        <f>'Central pensions'!L93</f>
        <v>1118343.9887987599</v>
      </c>
      <c r="O93" s="9"/>
      <c r="P93" s="9">
        <f>'Central pensions'!X93</f>
        <v>18017660.968027376</v>
      </c>
      <c r="Q93" s="41"/>
      <c r="R93" s="41">
        <f>'Central SIPA income'!G88</f>
        <v>34636047.210010298</v>
      </c>
      <c r="S93" s="41"/>
      <c r="T93" s="9">
        <f>'Central SIPA income'!J88</f>
        <v>132433928.47256735</v>
      </c>
      <c r="U93" s="9"/>
      <c r="V93" s="41">
        <f>'Central SIPA income'!F88</f>
        <v>179168.16639199501</v>
      </c>
      <c r="W93" s="41"/>
      <c r="X93" s="41">
        <f>'Central SIPA income'!M88</f>
        <v>450018.77836097532</v>
      </c>
      <c r="Y93" s="9"/>
      <c r="Z93" s="9">
        <f t="shared" si="38"/>
        <v>7647038.8619769067</v>
      </c>
      <c r="AA93" s="9"/>
      <c r="AB93" s="9">
        <f t="shared" si="39"/>
        <v>-16322361.568537369</v>
      </c>
      <c r="AC93" s="23"/>
      <c r="AD93" s="9"/>
      <c r="AE93" s="9"/>
      <c r="AF93" s="9"/>
      <c r="AG93" s="9">
        <f t="shared" si="35"/>
        <v>7575798204.6828947</v>
      </c>
      <c r="AH93" s="42">
        <f t="shared" si="45"/>
        <v>7.9318029998389303E-3</v>
      </c>
      <c r="AI93" s="42">
        <f>(AG93-AG89)/AG89</f>
        <v>1.4119457300360993E-2</v>
      </c>
      <c r="AJ93" s="42">
        <f t="shared" si="40"/>
        <v>-2.1545401722089011E-3</v>
      </c>
      <c r="AK93" s="49"/>
      <c r="AL93" s="7"/>
      <c r="AM93" s="7"/>
      <c r="AN93" s="7"/>
      <c r="AO93" s="7"/>
      <c r="AP93" s="7"/>
      <c r="AQ93" s="7"/>
      <c r="AR93" s="7"/>
      <c r="AS93" s="7"/>
      <c r="AT93" s="7"/>
      <c r="AW93" s="46">
        <f>workers_and_wage_central!C81</f>
        <v>13425340</v>
      </c>
      <c r="AY93" s="42">
        <f t="shared" si="41"/>
        <v>7.8077559626760337E-4</v>
      </c>
      <c r="AZ93" s="47">
        <f>workers_and_wage_central!B81</f>
        <v>8208.6822133519308</v>
      </c>
      <c r="BA93" s="42">
        <f t="shared" si="42"/>
        <v>7.1454484118270434E-3</v>
      </c>
      <c r="BB93" s="7"/>
      <c r="BC93" s="7"/>
      <c r="BD93" s="7"/>
      <c r="BE93" s="7"/>
      <c r="BF93" s="7">
        <f t="shared" si="36"/>
        <v>144.26959407634905</v>
      </c>
      <c r="BG93" s="49" t="e">
        <f>(BB93-BB89)/BB89</f>
        <v>#DIV/0!</v>
      </c>
      <c r="BH93">
        <f t="shared" si="34"/>
        <v>62</v>
      </c>
      <c r="BI93" s="42">
        <f t="shared" si="37"/>
        <v>1.5136447186128948E-2</v>
      </c>
    </row>
    <row r="94" spans="1:68" x14ac:dyDescent="0.2">
      <c r="A94" s="5">
        <f t="shared" si="43"/>
        <v>2035</v>
      </c>
      <c r="B94" s="5">
        <f t="shared" si="44"/>
        <v>1</v>
      </c>
      <c r="C94" s="6"/>
      <c r="D94" s="6">
        <f>'Central pensions'!Q94</f>
        <v>131625339.14305659</v>
      </c>
      <c r="E94" s="6"/>
      <c r="F94" s="8">
        <f>'Central pensions'!I94</f>
        <v>23924463.468007371</v>
      </c>
      <c r="G94" s="6">
        <f>'Central pensions'!K94</f>
        <v>3475805.55862593</v>
      </c>
      <c r="H94" s="6">
        <f>'Central pensions'!V94</f>
        <v>19122856.655124146</v>
      </c>
      <c r="I94" s="8">
        <f>'Central pensions'!M94</f>
        <v>107499.14098843001</v>
      </c>
      <c r="J94" s="6">
        <f>'Central pensions'!W94</f>
        <v>591428.55634404125</v>
      </c>
      <c r="K94" s="6"/>
      <c r="L94" s="8">
        <f>'Central pensions'!N94</f>
        <v>2742507.4111008532</v>
      </c>
      <c r="M94" s="8"/>
      <c r="N94" s="8">
        <f>'Central pensions'!L94</f>
        <v>1127762.4755850695</v>
      </c>
      <c r="O94" s="6"/>
      <c r="P94" s="6">
        <f>'Central pensions'!X94</f>
        <v>20435500.390478544</v>
      </c>
      <c r="Q94" s="8"/>
      <c r="R94" s="8">
        <f>'Central SIPA income'!G89</f>
        <v>30148670.170067813</v>
      </c>
      <c r="S94" s="8"/>
      <c r="T94" s="6">
        <f>'Central SIPA income'!J89</f>
        <v>115276053.43175067</v>
      </c>
      <c r="U94" s="6"/>
      <c r="V94" s="8">
        <f>'Central SIPA income'!F89</f>
        <v>173929.79544069499</v>
      </c>
      <c r="W94" s="8"/>
      <c r="X94" s="8">
        <f>'Central SIPA income'!M89</f>
        <v>436861.50079556188</v>
      </c>
      <c r="Y94" s="6"/>
      <c r="Z94" s="6">
        <f t="shared" si="38"/>
        <v>2527866.6108152159</v>
      </c>
      <c r="AA94" s="6"/>
      <c r="AB94" s="6">
        <f t="shared" si="39"/>
        <v>-36784786.101784453</v>
      </c>
      <c r="AC94" s="23"/>
      <c r="AD94" s="6"/>
      <c r="AE94" s="6"/>
      <c r="AF94" s="6"/>
      <c r="AG94" s="6">
        <f t="shared" si="35"/>
        <v>7641514484.4090061</v>
      </c>
      <c r="AH94" s="35">
        <f t="shared" si="45"/>
        <v>8.6745024023329488E-3</v>
      </c>
      <c r="AI94" s="35"/>
      <c r="AJ94" s="35">
        <f t="shared" si="40"/>
        <v>-4.8138083329995005E-3</v>
      </c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35">
        <f>AVERAGE(AH94:AH97)</f>
        <v>6.6476883368513035E-3</v>
      </c>
      <c r="AV94" s="5"/>
      <c r="AW94" s="39">
        <f>workers_and_wage_central!C82</f>
        <v>13500387</v>
      </c>
      <c r="AX94" s="5"/>
      <c r="AY94" s="35">
        <f t="shared" si="41"/>
        <v>5.5899515394023536E-3</v>
      </c>
      <c r="AZ94" s="40">
        <f>workers_and_wage_central!B82</f>
        <v>8233.8615598300403</v>
      </c>
      <c r="BA94" s="35">
        <f t="shared" si="42"/>
        <v>3.0674042219777575E-3</v>
      </c>
      <c r="BB94" s="5"/>
      <c r="BC94" s="5"/>
      <c r="BD94" s="5"/>
      <c r="BE94" s="5"/>
      <c r="BF94" s="5">
        <f t="shared" si="36"/>
        <v>145.52106101674792</v>
      </c>
      <c r="BG94" s="5"/>
      <c r="BH94" s="5">
        <f t="shared" si="34"/>
        <v>63</v>
      </c>
      <c r="BI94" s="35">
        <f t="shared" si="37"/>
        <v>1.7230825070233616E-2</v>
      </c>
      <c r="BJ94" s="5"/>
      <c r="BK94" s="5"/>
      <c r="BL94" s="5"/>
      <c r="BM94" s="5"/>
      <c r="BN94" s="5"/>
      <c r="BO94" s="5"/>
      <c r="BP94" s="5"/>
    </row>
    <row r="95" spans="1:68" x14ac:dyDescent="0.2">
      <c r="A95" s="7">
        <f t="shared" si="43"/>
        <v>2035</v>
      </c>
      <c r="B95" s="7">
        <f t="shared" si="44"/>
        <v>2</v>
      </c>
      <c r="C95" s="9"/>
      <c r="D95" s="9">
        <f>'Central pensions'!Q95</f>
        <v>132063988.63682847</v>
      </c>
      <c r="E95" s="9"/>
      <c r="F95" s="41">
        <f>'Central pensions'!I95</f>
        <v>24004193.20589317</v>
      </c>
      <c r="G95" s="9">
        <f>'Central pensions'!K95</f>
        <v>3514107.1644506301</v>
      </c>
      <c r="H95" s="9">
        <f>'Central pensions'!V95</f>
        <v>19333580.789570943</v>
      </c>
      <c r="I95" s="41">
        <f>'Central pensions'!M95</f>
        <v>108683.72673559003</v>
      </c>
      <c r="J95" s="9">
        <f>'Central pensions'!W95</f>
        <v>597945.79761561553</v>
      </c>
      <c r="K95" s="9"/>
      <c r="L95" s="41">
        <f>'Central pensions'!N95</f>
        <v>2253408.0511754369</v>
      </c>
      <c r="M95" s="41"/>
      <c r="N95" s="41">
        <f>'Central pensions'!L95</f>
        <v>1132525.7144640125</v>
      </c>
      <c r="O95" s="9"/>
      <c r="P95" s="9">
        <f>'Central pensions'!X95</f>
        <v>17923767.421674289</v>
      </c>
      <c r="Q95" s="41"/>
      <c r="R95" s="41">
        <f>'Central SIPA income'!G90</f>
        <v>34873561.159568615</v>
      </c>
      <c r="S95" s="41"/>
      <c r="T95" s="9">
        <f>'Central SIPA income'!J90</f>
        <v>133342083.64444137</v>
      </c>
      <c r="U95" s="9"/>
      <c r="V95" s="41">
        <f>'Central SIPA income'!F90</f>
        <v>173727.93787697199</v>
      </c>
      <c r="W95" s="41"/>
      <c r="X95" s="41">
        <f>'Central SIPA income'!M90</f>
        <v>436354.49279264023</v>
      </c>
      <c r="Y95" s="9"/>
      <c r="Z95" s="9">
        <f t="shared" si="38"/>
        <v>7657162.1259129606</v>
      </c>
      <c r="AA95" s="9"/>
      <c r="AB95" s="9">
        <f t="shared" si="39"/>
        <v>-16645672.414061382</v>
      </c>
      <c r="AC95" s="23"/>
      <c r="AD95" s="9"/>
      <c r="AE95" s="9"/>
      <c r="AF95" s="9"/>
      <c r="AG95" s="9">
        <f t="shared" si="35"/>
        <v>7708234706.8338366</v>
      </c>
      <c r="AH95" s="42">
        <f t="shared" si="45"/>
        <v>8.7312825960036856E-3</v>
      </c>
      <c r="AI95" s="42"/>
      <c r="AJ95" s="42">
        <f t="shared" si="40"/>
        <v>-2.1594662133606209E-3</v>
      </c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46">
        <f>workers_and_wage_central!C83</f>
        <v>13527367</v>
      </c>
      <c r="AX95" s="7"/>
      <c r="AY95" s="42">
        <f t="shared" si="41"/>
        <v>1.9984612292966121E-3</v>
      </c>
      <c r="AZ95" s="47">
        <f>workers_and_wage_central!B83</f>
        <v>8289.1881109033002</v>
      </c>
      <c r="BA95" s="42">
        <f t="shared" si="42"/>
        <v>6.7193929204709549E-3</v>
      </c>
      <c r="BB95" s="7"/>
      <c r="BC95" s="7"/>
      <c r="BD95" s="7"/>
      <c r="BE95" s="7"/>
      <c r="BF95" s="7">
        <f t="shared" si="36"/>
        <v>146.79164652415545</v>
      </c>
      <c r="BG95" s="7"/>
      <c r="BH95" s="7">
        <f t="shared" si="34"/>
        <v>64</v>
      </c>
      <c r="BI95" s="42">
        <f t="shared" si="37"/>
        <v>1.5044297342484378E-2</v>
      </c>
      <c r="BJ95" s="7"/>
      <c r="BK95" s="7"/>
      <c r="BL95" s="7"/>
      <c r="BM95" s="7"/>
      <c r="BN95" s="7"/>
      <c r="BO95" s="7"/>
      <c r="BP95" s="7"/>
    </row>
    <row r="96" spans="1:68" x14ac:dyDescent="0.2">
      <c r="A96" s="7">
        <f t="shared" si="43"/>
        <v>2035</v>
      </c>
      <c r="B96" s="7">
        <f t="shared" si="44"/>
        <v>3</v>
      </c>
      <c r="C96" s="9"/>
      <c r="D96" s="9">
        <f>'Central pensions'!Q96</f>
        <v>132086809.05569117</v>
      </c>
      <c r="E96" s="9"/>
      <c r="F96" s="41">
        <f>'Central pensions'!I96</f>
        <v>24008341.0871519</v>
      </c>
      <c r="G96" s="9">
        <f>'Central pensions'!K96</f>
        <v>3572693.5615357999</v>
      </c>
      <c r="H96" s="9">
        <f>'Central pensions'!V96</f>
        <v>19655905.860551834</v>
      </c>
      <c r="I96" s="41">
        <f>'Central pensions'!M96</f>
        <v>110495.67716090009</v>
      </c>
      <c r="J96" s="9">
        <f>'Central pensions'!W96</f>
        <v>607914.61424386594</v>
      </c>
      <c r="K96" s="9"/>
      <c r="L96" s="41">
        <f>'Central pensions'!N96</f>
        <v>2177652.2727334783</v>
      </c>
      <c r="M96" s="41"/>
      <c r="N96" s="41">
        <f>'Central pensions'!L96</f>
        <v>1133023.3967180029</v>
      </c>
      <c r="O96" s="9"/>
      <c r="P96" s="9">
        <f>'Central pensions'!X96</f>
        <v>17533408.428132597</v>
      </c>
      <c r="Q96" s="41"/>
      <c r="R96" s="41">
        <f>'Central SIPA income'!G91</f>
        <v>30564709.641742211</v>
      </c>
      <c r="S96" s="41"/>
      <c r="T96" s="9">
        <f>'Central SIPA income'!J91</f>
        <v>116866816.410546</v>
      </c>
      <c r="U96" s="9"/>
      <c r="V96" s="41">
        <f>'Central SIPA income'!F91</f>
        <v>178417.74016569601</v>
      </c>
      <c r="W96" s="41"/>
      <c r="X96" s="41">
        <f>'Central SIPA income'!M91</f>
        <v>448133.92403439671</v>
      </c>
      <c r="Y96" s="9"/>
      <c r="Z96" s="9">
        <f t="shared" si="38"/>
        <v>3424110.6253045239</v>
      </c>
      <c r="AA96" s="9"/>
      <c r="AB96" s="9">
        <f t="shared" si="39"/>
        <v>-32753401.073277757</v>
      </c>
      <c r="AC96" s="23"/>
      <c r="AD96" s="9"/>
      <c r="AE96" s="9"/>
      <c r="AF96" s="9"/>
      <c r="AG96" s="9">
        <f t="shared" si="35"/>
        <v>7731958043.6254244</v>
      </c>
      <c r="AH96" s="42">
        <f t="shared" si="45"/>
        <v>3.0776614482892683E-3</v>
      </c>
      <c r="AI96" s="42"/>
      <c r="AJ96" s="42">
        <f t="shared" si="40"/>
        <v>-4.2361069328720868E-3</v>
      </c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9"/>
      <c r="AW96" s="46">
        <f>workers_and_wage_central!C84</f>
        <v>13535069</v>
      </c>
      <c r="AY96" s="42">
        <f t="shared" si="41"/>
        <v>5.6936431162102721E-4</v>
      </c>
      <c r="AZ96" s="47">
        <f>workers_and_wage_central!B84</f>
        <v>8309.9680263649207</v>
      </c>
      <c r="BA96" s="42">
        <f t="shared" si="42"/>
        <v>2.5068698144619641E-3</v>
      </c>
      <c r="BB96" s="7"/>
      <c r="BC96" s="7"/>
      <c r="BD96" s="7"/>
      <c r="BE96" s="7"/>
      <c r="BF96" s="7">
        <f t="shared" si="36"/>
        <v>147.24342151559375</v>
      </c>
      <c r="BG96" s="7"/>
      <c r="BH96">
        <f t="shared" si="34"/>
        <v>65</v>
      </c>
      <c r="BI96" s="42">
        <f t="shared" si="37"/>
        <v>1.7379874845244198E-2</v>
      </c>
    </row>
    <row r="97" spans="1:68" x14ac:dyDescent="0.2">
      <c r="A97" s="7">
        <f t="shared" si="43"/>
        <v>2035</v>
      </c>
      <c r="B97" s="7">
        <f t="shared" si="44"/>
        <v>4</v>
      </c>
      <c r="C97" s="9"/>
      <c r="D97" s="9">
        <f>'Central pensions'!Q97</f>
        <v>132246664.86078727</v>
      </c>
      <c r="E97" s="9"/>
      <c r="F97" s="41">
        <f>'Central pensions'!I97</f>
        <v>24037396.77197725</v>
      </c>
      <c r="G97" s="9">
        <f>'Central pensions'!K97</f>
        <v>3637077.8229568498</v>
      </c>
      <c r="H97" s="9">
        <f>'Central pensions'!V97</f>
        <v>20010129.070462205</v>
      </c>
      <c r="I97" s="41">
        <f>'Central pensions'!M97</f>
        <v>112486.94297805009</v>
      </c>
      <c r="J97" s="9">
        <f>'Central pensions'!W97</f>
        <v>618869.97125142592</v>
      </c>
      <c r="K97" s="9"/>
      <c r="L97" s="41">
        <f>'Central pensions'!N97</f>
        <v>2152759.3043015115</v>
      </c>
      <c r="M97" s="41"/>
      <c r="N97" s="41">
        <f>'Central pensions'!L97</f>
        <v>1135244.5085867494</v>
      </c>
      <c r="O97" s="9"/>
      <c r="P97" s="9">
        <f>'Central pensions'!X97</f>
        <v>17416458.598770823</v>
      </c>
      <c r="Q97" s="41"/>
      <c r="R97" s="41">
        <f>'Central SIPA income'!G92</f>
        <v>35380149.102082804</v>
      </c>
      <c r="S97" s="41"/>
      <c r="T97" s="9">
        <f>'Central SIPA income'!J92</f>
        <v>135279066.54948252</v>
      </c>
      <c r="U97" s="9"/>
      <c r="V97" s="41">
        <f>'Central SIPA income'!F92</f>
        <v>182038.899288566</v>
      </c>
      <c r="W97" s="41"/>
      <c r="X97" s="41">
        <f>'Central SIPA income'!M92</f>
        <v>457229.23174190172</v>
      </c>
      <c r="Y97" s="9"/>
      <c r="Z97" s="9">
        <f t="shared" si="38"/>
        <v>8236787.4165058583</v>
      </c>
      <c r="AA97" s="9"/>
      <c r="AB97" s="9">
        <f t="shared" si="39"/>
        <v>-14384056.910075575</v>
      </c>
      <c r="AC97" s="23"/>
      <c r="AD97" s="9"/>
      <c r="AE97" s="9"/>
      <c r="AF97" s="9"/>
      <c r="AG97" s="9">
        <f t="shared" si="35"/>
        <v>7779179484.341794</v>
      </c>
      <c r="AH97" s="42">
        <f t="shared" si="45"/>
        <v>6.1073069007793078E-3</v>
      </c>
      <c r="AI97" s="42">
        <f>(AG97-AG93)/AG93</f>
        <v>2.6846184938397837E-2</v>
      </c>
      <c r="AJ97" s="42">
        <f t="shared" si="40"/>
        <v>-1.8490455116800314E-3</v>
      </c>
      <c r="AK97" s="49"/>
      <c r="AL97" s="7"/>
      <c r="AM97" s="7"/>
      <c r="AN97" s="7"/>
      <c r="AO97" s="7"/>
      <c r="AP97" s="7"/>
      <c r="AQ97" s="7"/>
      <c r="AR97" s="7"/>
      <c r="AS97" s="7"/>
      <c r="AT97" s="7"/>
      <c r="AW97" s="46">
        <f>workers_and_wage_central!C85</f>
        <v>13535295</v>
      </c>
      <c r="AY97" s="42">
        <f t="shared" si="41"/>
        <v>1.6697365931418599E-5</v>
      </c>
      <c r="AZ97" s="47">
        <f>workers_and_wage_central!B85</f>
        <v>8360.57995177474</v>
      </c>
      <c r="BA97" s="42">
        <f t="shared" si="42"/>
        <v>6.0905078394096852E-3</v>
      </c>
      <c r="BB97" s="7"/>
      <c r="BC97" s="7"/>
      <c r="BD97" s="7"/>
      <c r="BE97" s="7"/>
      <c r="BF97" s="7">
        <f t="shared" si="36"/>
        <v>148.1426822799103</v>
      </c>
      <c r="BG97" s="49" t="e">
        <f>(BB97-BB93)/BB93</f>
        <v>#DIV/0!</v>
      </c>
      <c r="BH97">
        <f t="shared" ref="BH97:BH117" si="46">BH96+1</f>
        <v>66</v>
      </c>
      <c r="BI97" s="42">
        <f t="shared" si="37"/>
        <v>1.5129480120862198E-2</v>
      </c>
    </row>
    <row r="98" spans="1:68" x14ac:dyDescent="0.2">
      <c r="A98" s="5">
        <f t="shared" si="43"/>
        <v>2036</v>
      </c>
      <c r="B98" s="5">
        <f t="shared" si="44"/>
        <v>1</v>
      </c>
      <c r="C98" s="6"/>
      <c r="D98" s="6">
        <f>'Central pensions'!Q98</f>
        <v>133228863.11972742</v>
      </c>
      <c r="E98" s="6"/>
      <c r="F98" s="8">
        <f>'Central pensions'!I98</f>
        <v>24215922.932041422</v>
      </c>
      <c r="G98" s="6">
        <f>'Central pensions'!K98</f>
        <v>3670584.3360580802</v>
      </c>
      <c r="H98" s="6">
        <f>'Central pensions'!V98</f>
        <v>20194472.019525547</v>
      </c>
      <c r="I98" s="8">
        <f>'Central pensions'!M98</f>
        <v>113523.22688838979</v>
      </c>
      <c r="J98" s="6">
        <f>'Central pensions'!W98</f>
        <v>624571.29957293067</v>
      </c>
      <c r="K98" s="6"/>
      <c r="L98" s="8">
        <f>'Central pensions'!N98</f>
        <v>2591460.2378834053</v>
      </c>
      <c r="M98" s="8"/>
      <c r="N98" s="8">
        <f>'Central pensions'!L98</f>
        <v>1143773.5387685113</v>
      </c>
      <c r="O98" s="6"/>
      <c r="P98" s="6">
        <f>'Central pensions'!X98</f>
        <v>19739804.036213081</v>
      </c>
      <c r="Q98" s="8"/>
      <c r="R98" s="8">
        <f>'Central SIPA income'!G93</f>
        <v>31095211.443017073</v>
      </c>
      <c r="S98" s="8"/>
      <c r="T98" s="6">
        <f>'Central SIPA income'!J93</f>
        <v>118895236.02721341</v>
      </c>
      <c r="U98" s="6"/>
      <c r="V98" s="8">
        <f>'Central SIPA income'!F93</f>
        <v>184088.04934246899</v>
      </c>
      <c r="W98" s="8"/>
      <c r="X98" s="8">
        <f>'Central SIPA income'!M93</f>
        <v>462376.10589095228</v>
      </c>
      <c r="Y98" s="6"/>
      <c r="Z98" s="6">
        <f t="shared" si="38"/>
        <v>3328142.7836662047</v>
      </c>
      <c r="AA98" s="6"/>
      <c r="AB98" s="6">
        <f t="shared" si="39"/>
        <v>-34073431.128727093</v>
      </c>
      <c r="AC98" s="23"/>
      <c r="AD98" s="6"/>
      <c r="AE98" s="6"/>
      <c r="AF98" s="6"/>
      <c r="AG98" s="6">
        <f t="shared" si="35"/>
        <v>7818414719.8783436</v>
      </c>
      <c r="AH98" s="35">
        <f t="shared" si="45"/>
        <v>5.0436213247841404E-3</v>
      </c>
      <c r="AI98" s="35"/>
      <c r="AJ98" s="35">
        <f t="shared" si="40"/>
        <v>-4.3580997362669049E-3</v>
      </c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35">
        <f>AVERAGE(AH98:AH101)</f>
        <v>6.9277721337193138E-3</v>
      </c>
      <c r="AV98" s="5"/>
      <c r="AW98" s="39">
        <f>workers_and_wage_central!C86</f>
        <v>13584095</v>
      </c>
      <c r="AX98" s="5"/>
      <c r="AY98" s="35">
        <f t="shared" si="41"/>
        <v>3.6053887262893049E-3</v>
      </c>
      <c r="AZ98" s="40">
        <f>workers_and_wage_central!B86</f>
        <v>8372.5612132984807</v>
      </c>
      <c r="BA98" s="35">
        <f t="shared" si="42"/>
        <v>1.4330658390746319E-3</v>
      </c>
      <c r="BB98" s="5"/>
      <c r="BC98" s="5"/>
      <c r="BD98" s="5"/>
      <c r="BE98" s="5"/>
      <c r="BF98" s="5">
        <f t="shared" si="36"/>
        <v>148.88985787136798</v>
      </c>
      <c r="BG98" s="5"/>
      <c r="BH98" s="5">
        <f t="shared" si="46"/>
        <v>67</v>
      </c>
      <c r="BI98" s="35">
        <f t="shared" si="37"/>
        <v>1.750163506999694E-2</v>
      </c>
      <c r="BJ98" s="5"/>
      <c r="BK98" s="5"/>
      <c r="BL98" s="5"/>
      <c r="BM98" s="5"/>
      <c r="BN98" s="5"/>
      <c r="BO98" s="5"/>
      <c r="BP98" s="5"/>
    </row>
    <row r="99" spans="1:68" x14ac:dyDescent="0.2">
      <c r="A99" s="7">
        <f t="shared" si="43"/>
        <v>2036</v>
      </c>
      <c r="B99" s="7">
        <f t="shared" si="44"/>
        <v>2</v>
      </c>
      <c r="C99" s="9"/>
      <c r="D99" s="9">
        <f>'Central pensions'!Q99</f>
        <v>133525693.45130648</v>
      </c>
      <c r="E99" s="9"/>
      <c r="F99" s="41">
        <f>'Central pensions'!I99</f>
        <v>24269875.358453341</v>
      </c>
      <c r="G99" s="9">
        <f>'Central pensions'!K99</f>
        <v>3740223.1945604598</v>
      </c>
      <c r="H99" s="9">
        <f>'Central pensions'!V99</f>
        <v>20577604.472220607</v>
      </c>
      <c r="I99" s="41">
        <f>'Central pensions'!M99</f>
        <v>115677.00601734035</v>
      </c>
      <c r="J99" s="9">
        <f>'Central pensions'!W99</f>
        <v>636420.75687283825</v>
      </c>
      <c r="K99" s="9"/>
      <c r="L99" s="41">
        <f>'Central pensions'!N99</f>
        <v>2132516.8928406453</v>
      </c>
      <c r="M99" s="41"/>
      <c r="N99" s="41">
        <f>'Central pensions'!L99</f>
        <v>1147006.1750482582</v>
      </c>
      <c r="O99" s="9"/>
      <c r="P99" s="9">
        <f>'Central pensions'!X99</f>
        <v>17376129.848090596</v>
      </c>
      <c r="Q99" s="41"/>
      <c r="R99" s="41">
        <f>'Central SIPA income'!G94</f>
        <v>35901526.553991474</v>
      </c>
      <c r="S99" s="41"/>
      <c r="T99" s="9">
        <f>'Central SIPA income'!J94</f>
        <v>137272598.42552543</v>
      </c>
      <c r="U99" s="9"/>
      <c r="V99" s="41">
        <f>'Central SIPA income'!F94</f>
        <v>180253.79201045999</v>
      </c>
      <c r="W99" s="41"/>
      <c r="X99" s="41">
        <f>'Central SIPA income'!M94</f>
        <v>452745.55692000856</v>
      </c>
      <c r="Y99" s="9"/>
      <c r="Z99" s="9">
        <f t="shared" si="38"/>
        <v>8532381.9196596891</v>
      </c>
      <c r="AA99" s="9"/>
      <c r="AB99" s="9">
        <f t="shared" si="39"/>
        <v>-13629224.873871639</v>
      </c>
      <c r="AC99" s="23"/>
      <c r="AD99" s="9"/>
      <c r="AE99" s="9"/>
      <c r="AF99" s="9"/>
      <c r="AG99" s="9">
        <f t="shared" si="35"/>
        <v>7895506535.3754034</v>
      </c>
      <c r="AH99" s="42">
        <f t="shared" si="45"/>
        <v>9.860287316436879E-3</v>
      </c>
      <c r="AI99" s="42"/>
      <c r="AJ99" s="42">
        <f t="shared" si="40"/>
        <v>-1.7262001890324086E-3</v>
      </c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46">
        <f>workers_and_wage_central!C87</f>
        <v>13621582</v>
      </c>
      <c r="AX99" s="7"/>
      <c r="AY99" s="42">
        <f t="shared" si="41"/>
        <v>2.7596243989754196E-3</v>
      </c>
      <c r="AZ99" s="47">
        <f>workers_and_wage_central!B87</f>
        <v>8431.8483380339603</v>
      </c>
      <c r="BA99" s="42">
        <f t="shared" si="42"/>
        <v>7.0811216812976538E-3</v>
      </c>
      <c r="BB99" s="7"/>
      <c r="BC99" s="7"/>
      <c r="BD99" s="7"/>
      <c r="BE99" s="7"/>
      <c r="BF99" s="7">
        <f t="shared" si="36"/>
        <v>150.35795464848312</v>
      </c>
      <c r="BG99" s="7"/>
      <c r="BH99" s="7">
        <f t="shared" si="46"/>
        <v>68</v>
      </c>
      <c r="BI99" s="42">
        <f t="shared" si="37"/>
        <v>1.5260134746154782E-2</v>
      </c>
      <c r="BJ99" s="7"/>
      <c r="BK99" s="7"/>
      <c r="BL99" s="7"/>
      <c r="BM99" s="7"/>
      <c r="BN99" s="7"/>
      <c r="BO99" s="7"/>
      <c r="BP99" s="7"/>
    </row>
    <row r="100" spans="1:68" x14ac:dyDescent="0.2">
      <c r="A100" s="7">
        <f t="shared" si="43"/>
        <v>2036</v>
      </c>
      <c r="B100" s="7">
        <f t="shared" si="44"/>
        <v>3</v>
      </c>
      <c r="C100" s="9"/>
      <c r="D100" s="9">
        <f>'Central pensions'!Q100</f>
        <v>133961227.68912093</v>
      </c>
      <c r="E100" s="9"/>
      <c r="F100" s="41">
        <f>'Central pensions'!I100</f>
        <v>24349038.861692891</v>
      </c>
      <c r="G100" s="9">
        <f>'Central pensions'!K100</f>
        <v>3817703.0828049099</v>
      </c>
      <c r="H100" s="9">
        <f>'Central pensions'!V100</f>
        <v>21003875.957078751</v>
      </c>
      <c r="I100" s="41">
        <f>'Central pensions'!M100</f>
        <v>118073.29122077022</v>
      </c>
      <c r="J100" s="9">
        <f>'Central pensions'!W100</f>
        <v>649604.41104367166</v>
      </c>
      <c r="K100" s="9"/>
      <c r="L100" s="41">
        <f>'Central pensions'!N100</f>
        <v>2119449.7917906516</v>
      </c>
      <c r="M100" s="41"/>
      <c r="N100" s="41">
        <f>'Central pensions'!L100</f>
        <v>1152857.0363788307</v>
      </c>
      <c r="O100" s="9"/>
      <c r="P100" s="9">
        <f>'Central pensions'!X100</f>
        <v>17340514.311381426</v>
      </c>
      <c r="Q100" s="41"/>
      <c r="R100" s="41">
        <f>'Central SIPA income'!G95</f>
        <v>31468283.715176836</v>
      </c>
      <c r="S100" s="41"/>
      <c r="T100" s="9">
        <f>'Central SIPA income'!J95</f>
        <v>120321710.19462432</v>
      </c>
      <c r="U100" s="9"/>
      <c r="V100" s="41">
        <f>'Central SIPA income'!F95</f>
        <v>179226.111145665</v>
      </c>
      <c r="W100" s="41"/>
      <c r="X100" s="41">
        <f>'Central SIPA income'!M95</f>
        <v>450164.31887625827</v>
      </c>
      <c r="Y100" s="9"/>
      <c r="Z100" s="9">
        <f t="shared" si="38"/>
        <v>4026164.1364601254</v>
      </c>
      <c r="AA100" s="9"/>
      <c r="AB100" s="9">
        <f t="shared" si="39"/>
        <v>-30980031.805878043</v>
      </c>
      <c r="AC100" s="23"/>
      <c r="AD100" s="9"/>
      <c r="AE100" s="9"/>
      <c r="AF100" s="9"/>
      <c r="AG100" s="9">
        <f t="shared" si="35"/>
        <v>7949138177.2128954</v>
      </c>
      <c r="AH100" s="42">
        <f t="shared" si="45"/>
        <v>6.79267905069779E-3</v>
      </c>
      <c r="AI100" s="42"/>
      <c r="AJ100" s="42">
        <f t="shared" si="40"/>
        <v>-3.897281832977292E-3</v>
      </c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9"/>
      <c r="AW100" s="46">
        <f>workers_and_wage_central!C88</f>
        <v>13670538</v>
      </c>
      <c r="AY100" s="42">
        <f t="shared" si="41"/>
        <v>3.5940025174755765E-3</v>
      </c>
      <c r="AZ100" s="47">
        <f>workers_and_wage_central!B88</f>
        <v>8458.7225076113991</v>
      </c>
      <c r="BA100" s="42">
        <f t="shared" si="42"/>
        <v>3.1872216505859272E-3</v>
      </c>
      <c r="BB100" s="7"/>
      <c r="BC100" s="7"/>
      <c r="BD100" s="7"/>
      <c r="BE100" s="7"/>
      <c r="BF100" s="7">
        <f t="shared" si="36"/>
        <v>151.37928797712962</v>
      </c>
      <c r="BG100" s="7"/>
      <c r="BH100">
        <f t="shared" si="46"/>
        <v>69</v>
      </c>
      <c r="BI100" s="42">
        <f t="shared" si="37"/>
        <v>1.7543921008625812E-2</v>
      </c>
    </row>
    <row r="101" spans="1:68" x14ac:dyDescent="0.2">
      <c r="A101" s="7">
        <f t="shared" si="43"/>
        <v>2036</v>
      </c>
      <c r="B101" s="7">
        <f t="shared" si="44"/>
        <v>4</v>
      </c>
      <c r="C101" s="9"/>
      <c r="D101" s="9">
        <f>'Central pensions'!Q101</f>
        <v>134654278.04698834</v>
      </c>
      <c r="E101" s="9"/>
      <c r="F101" s="41">
        <f>'Central pensions'!I101</f>
        <v>24475008.968028322</v>
      </c>
      <c r="G101" s="9">
        <f>'Central pensions'!K101</f>
        <v>3905789.2965052798</v>
      </c>
      <c r="H101" s="9">
        <f>'Central pensions'!V101</f>
        <v>21488500.315223429</v>
      </c>
      <c r="I101" s="41">
        <f>'Central pensions'!M101</f>
        <v>120797.60710840998</v>
      </c>
      <c r="J101" s="9">
        <f>'Central pensions'!W101</f>
        <v>664592.79325432889</v>
      </c>
      <c r="K101" s="9"/>
      <c r="L101" s="41">
        <f>'Central pensions'!N101</f>
        <v>2103896.5442914912</v>
      </c>
      <c r="M101" s="41"/>
      <c r="N101" s="41">
        <f>'Central pensions'!L101</f>
        <v>1161041.3411935866</v>
      </c>
      <c r="O101" s="9"/>
      <c r="P101" s="9">
        <f>'Central pensions'!X101</f>
        <v>17304836.066501729</v>
      </c>
      <c r="Q101" s="41"/>
      <c r="R101" s="41">
        <f>'Central SIPA income'!G96</f>
        <v>36037895.479232602</v>
      </c>
      <c r="S101" s="41"/>
      <c r="T101" s="9">
        <f>'Central SIPA income'!J96</f>
        <v>137794016.83051148</v>
      </c>
      <c r="U101" s="9"/>
      <c r="V101" s="41">
        <f>'Central SIPA income'!F96</f>
        <v>181635.896084426</v>
      </c>
      <c r="W101" s="41"/>
      <c r="X101" s="41">
        <f>'Central SIPA income'!M96</f>
        <v>456217.00388214982</v>
      </c>
      <c r="Y101" s="9"/>
      <c r="Z101" s="9">
        <f t="shared" si="38"/>
        <v>8479584.5218036287</v>
      </c>
      <c r="AA101" s="9"/>
      <c r="AB101" s="9">
        <f t="shared" si="39"/>
        <v>-14165097.282978594</v>
      </c>
      <c r="AC101" s="23"/>
      <c r="AD101" s="9"/>
      <c r="AE101" s="9"/>
      <c r="AF101" s="9"/>
      <c r="AG101" s="9">
        <f t="shared" si="35"/>
        <v>7996948275.4805355</v>
      </c>
      <c r="AH101" s="42">
        <f t="shared" si="45"/>
        <v>6.0145008429584451E-3</v>
      </c>
      <c r="AI101" s="42">
        <f>(AG101-AG97)/AG97</f>
        <v>2.7993799548792282E-2</v>
      </c>
      <c r="AJ101" s="42">
        <f t="shared" si="40"/>
        <v>-1.7713128552313182E-3</v>
      </c>
      <c r="AK101" s="49"/>
      <c r="AL101" s="7"/>
      <c r="AM101" s="7"/>
      <c r="AN101" s="7"/>
      <c r="AO101" s="7"/>
      <c r="AP101" s="7"/>
      <c r="AQ101" s="7"/>
      <c r="AR101" s="7"/>
      <c r="AS101" s="7"/>
      <c r="AT101" s="7"/>
      <c r="AW101" s="46">
        <f>workers_and_wage_central!C89</f>
        <v>13696307</v>
      </c>
      <c r="AY101" s="42">
        <f t="shared" si="41"/>
        <v>1.8850026238908812E-3</v>
      </c>
      <c r="AZ101" s="47">
        <f>workers_and_wage_central!B89</f>
        <v>8493.5870673555692</v>
      </c>
      <c r="BA101" s="42">
        <f t="shared" si="42"/>
        <v>4.1217287495597492E-3</v>
      </c>
      <c r="BB101" s="7"/>
      <c r="BC101" s="7"/>
      <c r="BD101" s="7"/>
      <c r="BE101" s="7"/>
      <c r="BF101" s="7">
        <f t="shared" si="36"/>
        <v>152.28975883227454</v>
      </c>
      <c r="BG101" s="49" t="e">
        <f>(BB101-BB97)/BB97</f>
        <v>#DIV/0!</v>
      </c>
      <c r="BH101">
        <f t="shared" si="46"/>
        <v>70</v>
      </c>
      <c r="BI101" s="42">
        <f t="shared" si="37"/>
        <v>1.5156205012005949E-2</v>
      </c>
    </row>
    <row r="102" spans="1:68" x14ac:dyDescent="0.2">
      <c r="A102" s="5">
        <f t="shared" si="43"/>
        <v>2037</v>
      </c>
      <c r="B102" s="5">
        <f t="shared" si="44"/>
        <v>1</v>
      </c>
      <c r="C102" s="6"/>
      <c r="D102" s="6">
        <f>'Central pensions'!Q102</f>
        <v>135275931.42111921</v>
      </c>
      <c r="E102" s="6"/>
      <c r="F102" s="8">
        <f>'Central pensions'!I102</f>
        <v>24588001.82742748</v>
      </c>
      <c r="G102" s="6">
        <f>'Central pensions'!K102</f>
        <v>3954468.48035572</v>
      </c>
      <c r="H102" s="6">
        <f>'Central pensions'!V102</f>
        <v>21756318.822087321</v>
      </c>
      <c r="I102" s="8">
        <f>'Central pensions'!M102</f>
        <v>122303.14887697995</v>
      </c>
      <c r="J102" s="6">
        <f>'Central pensions'!W102</f>
        <v>672875.83985836478</v>
      </c>
      <c r="K102" s="6"/>
      <c r="L102" s="8">
        <f>'Central pensions'!N102</f>
        <v>2645188.7455980061</v>
      </c>
      <c r="M102" s="8"/>
      <c r="N102" s="8">
        <f>'Central pensions'!L102</f>
        <v>1167288.553081017</v>
      </c>
      <c r="O102" s="6"/>
      <c r="P102" s="6">
        <f>'Central pensions'!X102</f>
        <v>20147974.188855246</v>
      </c>
      <c r="Q102" s="8"/>
      <c r="R102" s="8">
        <f>'Central SIPA income'!G97</f>
        <v>31655308.737190083</v>
      </c>
      <c r="S102" s="8"/>
      <c r="T102" s="6">
        <f>'Central SIPA income'!J97</f>
        <v>121036816.57606857</v>
      </c>
      <c r="U102" s="6"/>
      <c r="V102" s="8">
        <f>'Central SIPA income'!F97</f>
        <v>182560.74838588201</v>
      </c>
      <c r="W102" s="8"/>
      <c r="X102" s="8">
        <f>'Central SIPA income'!M97</f>
        <v>458539.96622108994</v>
      </c>
      <c r="Y102" s="6"/>
      <c r="Z102" s="6">
        <f t="shared" si="38"/>
        <v>3437390.3594694622</v>
      </c>
      <c r="AA102" s="6"/>
      <c r="AB102" s="6">
        <f t="shared" si="39"/>
        <v>-34387089.033905894</v>
      </c>
      <c r="AC102" s="23"/>
      <c r="AD102" s="6"/>
      <c r="AE102" s="6"/>
      <c r="AF102" s="6"/>
      <c r="AG102" s="6">
        <f t="shared" ref="AG102:AG117" si="47">BF102/100*$AG$37</f>
        <v>8045361894.9863729</v>
      </c>
      <c r="AH102" s="35">
        <f t="shared" si="45"/>
        <v>6.0540118352745342E-3</v>
      </c>
      <c r="AI102" s="35"/>
      <c r="AJ102" s="35">
        <f t="shared" si="40"/>
        <v>-4.2741506824366584E-3</v>
      </c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35">
        <f>AVERAGE(AH102:AH105)</f>
        <v>4.6761356271952347E-3</v>
      </c>
      <c r="AV102" s="5"/>
      <c r="AW102" s="39">
        <f>workers_and_wage_central!C90</f>
        <v>13740136</v>
      </c>
      <c r="AX102" s="5"/>
      <c r="AY102" s="35">
        <f t="shared" si="41"/>
        <v>3.2000596949236025E-3</v>
      </c>
      <c r="AZ102" s="40">
        <f>workers_and_wage_central!B90</f>
        <v>8517.7500354055392</v>
      </c>
      <c r="BA102" s="35">
        <f t="shared" si="42"/>
        <v>2.8448484554704175E-3</v>
      </c>
      <c r="BB102" s="5"/>
      <c r="BC102" s="5"/>
      <c r="BD102" s="5"/>
      <c r="BE102" s="5"/>
      <c r="BF102" s="5">
        <f t="shared" ref="BF102:BF117" si="48">BF101*(1+AY102)*(1+BA102)*(1-BE102)</f>
        <v>153.21172283463622</v>
      </c>
      <c r="BG102" s="5"/>
      <c r="BH102" s="5">
        <f t="shared" si="46"/>
        <v>71</v>
      </c>
      <c r="BI102" s="35">
        <f t="shared" si="37"/>
        <v>1.7339796206407881E-2</v>
      </c>
      <c r="BJ102" s="5"/>
      <c r="BK102" s="5"/>
      <c r="BL102" s="5"/>
      <c r="BM102" s="5"/>
      <c r="BN102" s="5"/>
      <c r="BO102" s="5"/>
      <c r="BP102" s="5"/>
    </row>
    <row r="103" spans="1:68" x14ac:dyDescent="0.2">
      <c r="A103" s="7">
        <f t="shared" si="43"/>
        <v>2037</v>
      </c>
      <c r="B103" s="7">
        <f t="shared" si="44"/>
        <v>2</v>
      </c>
      <c r="C103" s="9"/>
      <c r="D103" s="9">
        <f>'Central pensions'!Q103</f>
        <v>136044558.13336304</v>
      </c>
      <c r="E103" s="9"/>
      <c r="F103" s="41">
        <f>'Central pensions'!I103</f>
        <v>24727708.83078514</v>
      </c>
      <c r="G103" s="9">
        <f>'Central pensions'!K103</f>
        <v>4025694.5409321599</v>
      </c>
      <c r="H103" s="9">
        <f>'Central pensions'!V103</f>
        <v>22148183.592293538</v>
      </c>
      <c r="I103" s="41">
        <f>'Central pensions'!M103</f>
        <v>124506.0167298601</v>
      </c>
      <c r="J103" s="9">
        <f>'Central pensions'!W103</f>
        <v>684995.36883381801</v>
      </c>
      <c r="K103" s="9"/>
      <c r="L103" s="41">
        <f>'Central pensions'!N103</f>
        <v>2145912.4751531114</v>
      </c>
      <c r="M103" s="41"/>
      <c r="N103" s="41">
        <f>'Central pensions'!L103</f>
        <v>1174569.2188477367</v>
      </c>
      <c r="O103" s="9"/>
      <c r="P103" s="9">
        <f>'Central pensions'!X103</f>
        <v>17597283.322961956</v>
      </c>
      <c r="Q103" s="41"/>
      <c r="R103" s="41">
        <f>'Central SIPA income'!G98</f>
        <v>36518850.920651041</v>
      </c>
      <c r="S103" s="41"/>
      <c r="T103" s="9">
        <f>'Central SIPA income'!J98</f>
        <v>139632991.64600059</v>
      </c>
      <c r="U103" s="9"/>
      <c r="V103" s="41">
        <f>'Central SIPA income'!F98</f>
        <v>187552.58253323301</v>
      </c>
      <c r="W103" s="41"/>
      <c r="X103" s="41">
        <f>'Central SIPA income'!M98</f>
        <v>471078.01441351633</v>
      </c>
      <c r="Y103" s="9"/>
      <c r="Z103" s="9">
        <f t="shared" si="38"/>
        <v>8658212.9783982858</v>
      </c>
      <c r="AA103" s="9"/>
      <c r="AB103" s="9">
        <f t="shared" si="39"/>
        <v>-14008849.810324401</v>
      </c>
      <c r="AC103" s="23"/>
      <c r="AD103" s="9"/>
      <c r="AE103" s="9"/>
      <c r="AF103" s="9"/>
      <c r="AG103" s="9">
        <f t="shared" si="47"/>
        <v>8034177051.8681011</v>
      </c>
      <c r="AH103" s="42">
        <f t="shared" si="45"/>
        <v>-1.3902224989085804E-3</v>
      </c>
      <c r="AI103" s="42"/>
      <c r="AJ103" s="42">
        <f t="shared" si="40"/>
        <v>-1.7436570939231507E-3</v>
      </c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46">
        <f>workers_and_wage_central!C91</f>
        <v>13715739</v>
      </c>
      <c r="AX103" s="7"/>
      <c r="AY103" s="42">
        <f t="shared" si="41"/>
        <v>-1.7756010566416518E-3</v>
      </c>
      <c r="AZ103" s="47">
        <f>workers_and_wage_central!B91</f>
        <v>8521.0384325106897</v>
      </c>
      <c r="BA103" s="42">
        <f t="shared" si="42"/>
        <v>3.8606405347442382E-4</v>
      </c>
      <c r="BB103" s="7"/>
      <c r="BC103" s="7"/>
      <c r="BD103" s="7"/>
      <c r="BE103" s="7"/>
      <c r="BF103" s="7">
        <f t="shared" si="48"/>
        <v>152.99872445045497</v>
      </c>
      <c r="BG103" s="7"/>
      <c r="BH103" s="7">
        <f t="shared" si="46"/>
        <v>72</v>
      </c>
      <c r="BI103" s="42">
        <f t="shared" ref="BI103:BI110" si="49">T110/AG110</f>
        <v>1.5181190684143853E-2</v>
      </c>
      <c r="BJ103" s="7"/>
      <c r="BK103" s="7"/>
      <c r="BL103" s="7"/>
      <c r="BM103" s="7"/>
      <c r="BN103" s="7"/>
      <c r="BO103" s="7"/>
      <c r="BP103" s="7"/>
    </row>
    <row r="104" spans="1:68" x14ac:dyDescent="0.2">
      <c r="A104" s="7">
        <f t="shared" si="43"/>
        <v>2037</v>
      </c>
      <c r="B104" s="7">
        <f t="shared" si="44"/>
        <v>3</v>
      </c>
      <c r="C104" s="9"/>
      <c r="D104" s="9">
        <f>'Central pensions'!Q104</f>
        <v>136147667.98855063</v>
      </c>
      <c r="E104" s="9"/>
      <c r="F104" s="41">
        <f>'Central pensions'!I104</f>
        <v>24746450.267500043</v>
      </c>
      <c r="G104" s="9">
        <f>'Central pensions'!K104</f>
        <v>4113596.6962697599</v>
      </c>
      <c r="H104" s="9">
        <f>'Central pensions'!V104</f>
        <v>22631795.315632258</v>
      </c>
      <c r="I104" s="41">
        <f>'Central pensions'!M104</f>
        <v>127224.64009082038</v>
      </c>
      <c r="J104" s="9">
        <f>'Central pensions'!W104</f>
        <v>699952.43244225159</v>
      </c>
      <c r="K104" s="9"/>
      <c r="L104" s="41">
        <f>'Central pensions'!N104</f>
        <v>2102334.5865913481</v>
      </c>
      <c r="M104" s="41"/>
      <c r="N104" s="41">
        <f>'Central pensions'!L104</f>
        <v>1176539.4798370749</v>
      </c>
      <c r="O104" s="9"/>
      <c r="P104" s="9">
        <f>'Central pensions'!X104</f>
        <v>17381997.246696763</v>
      </c>
      <c r="Q104" s="41"/>
      <c r="R104" s="41">
        <f>'Central SIPA income'!G99</f>
        <v>31988966.790989328</v>
      </c>
      <c r="S104" s="41"/>
      <c r="T104" s="9">
        <f>'Central SIPA income'!J99</f>
        <v>122312587.06348072</v>
      </c>
      <c r="U104" s="9"/>
      <c r="V104" s="41">
        <f>'Central SIPA income'!F99</f>
        <v>188303.132621528</v>
      </c>
      <c r="W104" s="41"/>
      <c r="X104" s="41">
        <f>'Central SIPA income'!M99</f>
        <v>472963.17984571849</v>
      </c>
      <c r="Y104" s="9"/>
      <c r="Z104" s="9">
        <f t="shared" si="38"/>
        <v>4151945.5896823891</v>
      </c>
      <c r="AA104" s="9"/>
      <c r="AB104" s="9">
        <f t="shared" si="39"/>
        <v>-31217078.171766669</v>
      </c>
      <c r="AC104" s="23"/>
      <c r="AD104" s="9"/>
      <c r="AE104" s="9"/>
      <c r="AF104" s="9"/>
      <c r="AG104" s="9">
        <f t="shared" si="47"/>
        <v>8084387968.8121347</v>
      </c>
      <c r="AH104" s="42">
        <f t="shared" si="45"/>
        <v>6.2496652264289613E-3</v>
      </c>
      <c r="AI104" s="42"/>
      <c r="AJ104" s="42">
        <f t="shared" si="40"/>
        <v>-3.8614027793069283E-3</v>
      </c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9"/>
      <c r="AW104" s="46">
        <f>workers_and_wage_central!C92</f>
        <v>13717762</v>
      </c>
      <c r="AY104" s="42">
        <f t="shared" si="41"/>
        <v>1.4749478682847493E-4</v>
      </c>
      <c r="AZ104" s="47">
        <f>workers_and_wage_central!B92</f>
        <v>8573.0275932180793</v>
      </c>
      <c r="BA104" s="42">
        <f t="shared" si="42"/>
        <v>6.1012705340035894E-3</v>
      </c>
      <c r="BB104" s="7"/>
      <c r="BC104" s="7"/>
      <c r="BD104" s="7"/>
      <c r="BE104" s="7"/>
      <c r="BF104" s="7">
        <f t="shared" si="48"/>
        <v>153.95491525834095</v>
      </c>
      <c r="BG104" s="7"/>
      <c r="BH104">
        <f t="shared" si="46"/>
        <v>73</v>
      </c>
      <c r="BI104" s="42">
        <f t="shared" si="49"/>
        <v>1.7435471144313704E-2</v>
      </c>
    </row>
    <row r="105" spans="1:68" x14ac:dyDescent="0.2">
      <c r="A105" s="7">
        <f t="shared" si="43"/>
        <v>2037</v>
      </c>
      <c r="B105" s="7">
        <f t="shared" si="44"/>
        <v>4</v>
      </c>
      <c r="C105" s="9"/>
      <c r="D105" s="9">
        <f>'Central pensions'!Q105</f>
        <v>136585830.04345211</v>
      </c>
      <c r="E105" s="9"/>
      <c r="F105" s="41">
        <f>'Central pensions'!I105</f>
        <v>24826091.407601219</v>
      </c>
      <c r="G105" s="9">
        <f>'Central pensions'!K105</f>
        <v>4178343.8709653802</v>
      </c>
      <c r="H105" s="9">
        <f>'Central pensions'!V105</f>
        <v>22988015.167302582</v>
      </c>
      <c r="I105" s="41">
        <f>'Central pensions'!M105</f>
        <v>129227.13002984971</v>
      </c>
      <c r="J105" s="9">
        <f>'Central pensions'!W105</f>
        <v>710969.54125674022</v>
      </c>
      <c r="K105" s="9"/>
      <c r="L105" s="41">
        <f>'Central pensions'!N105</f>
        <v>2126158.2002697517</v>
      </c>
      <c r="M105" s="41"/>
      <c r="N105" s="41">
        <f>'Central pensions'!L105</f>
        <v>1181157.1253484525</v>
      </c>
      <c r="O105" s="9"/>
      <c r="P105" s="9">
        <f>'Central pensions'!X105</f>
        <v>17531023.014504608</v>
      </c>
      <c r="Q105" s="41"/>
      <c r="R105" s="41">
        <f>'Central SIPA income'!G100</f>
        <v>37292830.353650324</v>
      </c>
      <c r="S105" s="41"/>
      <c r="T105" s="9">
        <f>'Central SIPA income'!J100</f>
        <v>142592369.0901866</v>
      </c>
      <c r="U105" s="9"/>
      <c r="V105" s="41">
        <f>'Central SIPA income'!F100</f>
        <v>188838.32465310799</v>
      </c>
      <c r="W105" s="41"/>
      <c r="X105" s="41">
        <f>'Central SIPA income'!M100</f>
        <v>474307.4279289032</v>
      </c>
      <c r="Y105" s="9"/>
      <c r="Z105" s="9">
        <f t="shared" si="38"/>
        <v>9348261.9450840168</v>
      </c>
      <c r="AA105" s="9"/>
      <c r="AB105" s="9">
        <f t="shared" si="39"/>
        <v>-11524483.967770129</v>
      </c>
      <c r="AC105" s="23"/>
      <c r="AD105" s="9"/>
      <c r="AE105" s="9"/>
      <c r="AF105" s="9"/>
      <c r="AG105" s="9">
        <f t="shared" si="47"/>
        <v>8147374146.4666214</v>
      </c>
      <c r="AH105" s="42">
        <f t="shared" si="45"/>
        <v>7.7910879459860234E-3</v>
      </c>
      <c r="AI105" s="42">
        <f>(AG105-AG101)/AG101</f>
        <v>1.8810409396707875E-2</v>
      </c>
      <c r="AJ105" s="42">
        <f t="shared" si="40"/>
        <v>-1.4145028521573547E-3</v>
      </c>
      <c r="AK105" s="49"/>
      <c r="AL105" s="7"/>
      <c r="AM105" s="7"/>
      <c r="AN105" s="7"/>
      <c r="AO105" s="7"/>
      <c r="AP105" s="7"/>
      <c r="AQ105" s="7"/>
      <c r="AR105" s="7"/>
      <c r="AS105" s="7"/>
      <c r="AT105" s="7"/>
      <c r="AW105" s="46">
        <f>workers_and_wage_central!C93</f>
        <v>13754077</v>
      </c>
      <c r="AY105" s="42">
        <f t="shared" si="41"/>
        <v>2.6472977151812374E-3</v>
      </c>
      <c r="AZ105" s="47">
        <f>workers_and_wage_central!B93</f>
        <v>8617.0090168781298</v>
      </c>
      <c r="BA105" s="42">
        <f t="shared" si="42"/>
        <v>5.1302090401345686E-3</v>
      </c>
      <c r="BB105" s="7"/>
      <c r="BC105" s="7"/>
      <c r="BD105" s="7"/>
      <c r="BE105" s="7"/>
      <c r="BF105" s="7">
        <f t="shared" si="48"/>
        <v>155.15439154283553</v>
      </c>
      <c r="BG105" s="49" t="e">
        <f>(BB105-BB101)/BB101</f>
        <v>#DIV/0!</v>
      </c>
      <c r="BH105">
        <f t="shared" si="46"/>
        <v>74</v>
      </c>
      <c r="BI105" s="42">
        <f t="shared" si="49"/>
        <v>1.5297783484380927E-2</v>
      </c>
    </row>
    <row r="106" spans="1:68" x14ac:dyDescent="0.2">
      <c r="A106" s="5">
        <f t="shared" si="43"/>
        <v>2038</v>
      </c>
      <c r="B106" s="5">
        <f t="shared" si="44"/>
        <v>1</v>
      </c>
      <c r="C106" s="6"/>
      <c r="D106" s="6">
        <f>'Central pensions'!Q106</f>
        <v>137319316.33790046</v>
      </c>
      <c r="E106" s="6"/>
      <c r="F106" s="8">
        <f>'Central pensions'!I106</f>
        <v>24959411.224059518</v>
      </c>
      <c r="G106" s="6">
        <f>'Central pensions'!K106</f>
        <v>4214669.7929131798</v>
      </c>
      <c r="H106" s="6">
        <f>'Central pensions'!V106</f>
        <v>23187869.671979658</v>
      </c>
      <c r="I106" s="8">
        <f>'Central pensions'!M106</f>
        <v>130350.6121519506</v>
      </c>
      <c r="J106" s="6">
        <f>'Central pensions'!W106</f>
        <v>717150.60841172317</v>
      </c>
      <c r="K106" s="6"/>
      <c r="L106" s="8">
        <f>'Central pensions'!N106</f>
        <v>2629486.4711094028</v>
      </c>
      <c r="M106" s="8"/>
      <c r="N106" s="8">
        <f>'Central pensions'!L106</f>
        <v>1188169.1473028511</v>
      </c>
      <c r="O106" s="6"/>
      <c r="P106" s="6">
        <f>'Central pensions'!X106</f>
        <v>20181373.880525641</v>
      </c>
      <c r="Q106" s="8"/>
      <c r="R106" s="8">
        <f>'Central SIPA income'!G101</f>
        <v>32810606.944181994</v>
      </c>
      <c r="S106" s="8"/>
      <c r="T106" s="6">
        <f>'Central SIPA income'!J101</f>
        <v>125454199.40216175</v>
      </c>
      <c r="U106" s="6"/>
      <c r="V106" s="8">
        <f>'Central SIPA income'!F101</f>
        <v>179691.79119115401</v>
      </c>
      <c r="W106" s="8"/>
      <c r="X106" s="8">
        <f>'Central SIPA income'!M101</f>
        <v>451333.97289124416</v>
      </c>
      <c r="Y106" s="6"/>
      <c r="Z106" s="6">
        <f t="shared" si="38"/>
        <v>4213231.8929013759</v>
      </c>
      <c r="AA106" s="6"/>
      <c r="AB106" s="6">
        <f t="shared" si="39"/>
        <v>-32046490.816264361</v>
      </c>
      <c r="AC106" s="23"/>
      <c r="AD106" s="6"/>
      <c r="AE106" s="6"/>
      <c r="AF106" s="6"/>
      <c r="AG106" s="6">
        <f t="shared" si="47"/>
        <v>8221041392.4276419</v>
      </c>
      <c r="AH106" s="35">
        <f t="shared" si="45"/>
        <v>9.0418390805053067E-3</v>
      </c>
      <c r="AI106" s="35"/>
      <c r="AJ106" s="35">
        <f t="shared" si="40"/>
        <v>-3.8981060046458611E-3</v>
      </c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35">
        <f>AVERAGE(AH106:AH109)</f>
        <v>6.7383426685838788E-3</v>
      </c>
      <c r="AV106" s="5"/>
      <c r="AW106" s="39">
        <f>workers_and_wage_central!C94</f>
        <v>13776212</v>
      </c>
      <c r="AX106" s="5"/>
      <c r="AY106" s="35">
        <f t="shared" si="41"/>
        <v>1.609340997582026E-3</v>
      </c>
      <c r="AZ106" s="40">
        <f>workers_and_wage_central!B94</f>
        <v>8680.9520137901709</v>
      </c>
      <c r="BA106" s="35">
        <f t="shared" si="42"/>
        <v>7.4205558781238303E-3</v>
      </c>
      <c r="BB106" s="5"/>
      <c r="BC106" s="5"/>
      <c r="BD106" s="5"/>
      <c r="BE106" s="5"/>
      <c r="BF106" s="5">
        <f t="shared" si="48"/>
        <v>156.55727258379954</v>
      </c>
      <c r="BG106" s="5"/>
      <c r="BH106" s="5">
        <f t="shared" si="46"/>
        <v>75</v>
      </c>
      <c r="BI106" s="35">
        <f t="shared" si="49"/>
        <v>1.7737683388136867E-2</v>
      </c>
      <c r="BJ106" s="5"/>
      <c r="BK106" s="5"/>
      <c r="BL106" s="5"/>
      <c r="BM106" s="5"/>
      <c r="BN106" s="5"/>
      <c r="BO106" s="5"/>
      <c r="BP106" s="5"/>
    </row>
    <row r="107" spans="1:68" x14ac:dyDescent="0.2">
      <c r="A107" s="7">
        <f t="shared" si="43"/>
        <v>2038</v>
      </c>
      <c r="B107" s="7">
        <f t="shared" si="44"/>
        <v>2</v>
      </c>
      <c r="C107" s="9"/>
      <c r="D107" s="9">
        <f>'Central pensions'!Q107</f>
        <v>138271621.99827194</v>
      </c>
      <c r="E107" s="9"/>
      <c r="F107" s="41">
        <f>'Central pensions'!I107</f>
        <v>25132504.05048842</v>
      </c>
      <c r="G107" s="9">
        <f>'Central pensions'!K107</f>
        <v>4235887.1148681799</v>
      </c>
      <c r="H107" s="9">
        <f>'Central pensions'!V107</f>
        <v>23304601.117254023</v>
      </c>
      <c r="I107" s="41">
        <f>'Central pensions'!M107</f>
        <v>131006.81798561011</v>
      </c>
      <c r="J107" s="9">
        <f>'Central pensions'!W107</f>
        <v>720760.85929649579</v>
      </c>
      <c r="K107" s="9"/>
      <c r="L107" s="41">
        <f>'Central pensions'!N107</f>
        <v>2144398.8116208394</v>
      </c>
      <c r="M107" s="41"/>
      <c r="N107" s="41">
        <f>'Central pensions'!L107</f>
        <v>1197017.2110343874</v>
      </c>
      <c r="O107" s="9"/>
      <c r="P107" s="9">
        <f>'Central pensions'!X107</f>
        <v>17712931.145479828</v>
      </c>
      <c r="Q107" s="41"/>
      <c r="R107" s="41">
        <f>'Central SIPA income'!G102</f>
        <v>37918510.326708168</v>
      </c>
      <c r="S107" s="41"/>
      <c r="T107" s="9">
        <f>'Central SIPA income'!J102</f>
        <v>144984710.69592017</v>
      </c>
      <c r="U107" s="9"/>
      <c r="V107" s="41">
        <f>'Central SIPA income'!F102</f>
        <v>189103.13103018899</v>
      </c>
      <c r="W107" s="41"/>
      <c r="X107" s="41">
        <f>'Central SIPA income'!M102</f>
        <v>474972.54520233371</v>
      </c>
      <c r="Y107" s="9"/>
      <c r="Z107" s="9">
        <f t="shared" si="38"/>
        <v>9633693.3845947087</v>
      </c>
      <c r="AA107" s="9"/>
      <c r="AB107" s="9">
        <f t="shared" si="39"/>
        <v>-10999842.447831601</v>
      </c>
      <c r="AC107" s="23"/>
      <c r="AD107" s="9"/>
      <c r="AE107" s="9"/>
      <c r="AF107" s="9"/>
      <c r="AG107" s="9">
        <f t="shared" si="47"/>
        <v>8264099606.0479059</v>
      </c>
      <c r="AH107" s="42">
        <f t="shared" si="45"/>
        <v>5.2375619541247835E-3</v>
      </c>
      <c r="AI107" s="42"/>
      <c r="AJ107" s="42">
        <f t="shared" si="40"/>
        <v>-1.3310394322669586E-3</v>
      </c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46">
        <f>workers_and_wage_central!C95</f>
        <v>13807917</v>
      </c>
      <c r="AX107" s="7"/>
      <c r="AY107" s="42">
        <f t="shared" si="41"/>
        <v>2.3014309013246891E-3</v>
      </c>
      <c r="AZ107" s="47">
        <f>workers_and_wage_central!B95</f>
        <v>8706.3819014364799</v>
      </c>
      <c r="BA107" s="42">
        <f t="shared" si="42"/>
        <v>2.9293892658215619E-3</v>
      </c>
      <c r="BB107" s="7"/>
      <c r="BC107" s="7"/>
      <c r="BD107" s="7"/>
      <c r="BE107" s="7"/>
      <c r="BF107" s="7">
        <f t="shared" si="48"/>
        <v>157.37725099832599</v>
      </c>
      <c r="BG107" s="7"/>
      <c r="BH107" s="7">
        <f t="shared" si="46"/>
        <v>76</v>
      </c>
      <c r="BI107" s="42">
        <f t="shared" si="49"/>
        <v>1.5576060287303156E-2</v>
      </c>
      <c r="BJ107" s="7"/>
      <c r="BK107" s="7"/>
      <c r="BL107" s="7"/>
      <c r="BM107" s="7"/>
      <c r="BN107" s="7"/>
      <c r="BO107" s="7"/>
      <c r="BP107" s="7"/>
    </row>
    <row r="108" spans="1:68" x14ac:dyDescent="0.2">
      <c r="A108" s="7">
        <f t="shared" si="43"/>
        <v>2038</v>
      </c>
      <c r="B108" s="7">
        <f t="shared" si="44"/>
        <v>3</v>
      </c>
      <c r="C108" s="9"/>
      <c r="D108" s="9">
        <f>'Central pensions'!Q108</f>
        <v>138223930.16610441</v>
      </c>
      <c r="E108" s="9"/>
      <c r="F108" s="41">
        <f>'Central pensions'!I108</f>
        <v>25123835.495453022</v>
      </c>
      <c r="G108" s="9">
        <f>'Central pensions'!K108</f>
        <v>4332682.9132190803</v>
      </c>
      <c r="H108" s="9">
        <f>'Central pensions'!V108</f>
        <v>23837143.040403005</v>
      </c>
      <c r="I108" s="41">
        <f>'Central pensions'!M108</f>
        <v>134000.50247068983</v>
      </c>
      <c r="J108" s="9">
        <f>'Central pensions'!W108</f>
        <v>737231.2280536826</v>
      </c>
      <c r="K108" s="9"/>
      <c r="L108" s="41">
        <f>'Central pensions'!N108</f>
        <v>2078831.7749045079</v>
      </c>
      <c r="M108" s="41"/>
      <c r="N108" s="41">
        <f>'Central pensions'!L108</f>
        <v>1196462.6215733066</v>
      </c>
      <c r="O108" s="9"/>
      <c r="P108" s="9">
        <f>'Central pensions'!X108</f>
        <v>17369652.292681687</v>
      </c>
      <c r="Q108" s="41"/>
      <c r="R108" s="41">
        <f>'Central SIPA income'!G103</f>
        <v>32970769.408689301</v>
      </c>
      <c r="S108" s="41"/>
      <c r="T108" s="9">
        <f>'Central SIPA income'!J103</f>
        <v>126066594.4667585</v>
      </c>
      <c r="U108" s="9"/>
      <c r="V108" s="41">
        <f>'Central SIPA income'!F103</f>
        <v>189176.86154843</v>
      </c>
      <c r="W108" s="41"/>
      <c r="X108" s="41">
        <f>'Central SIPA income'!M103</f>
        <v>475157.73500705685</v>
      </c>
      <c r="Y108" s="9"/>
      <c r="Z108" s="9">
        <f t="shared" si="38"/>
        <v>4760816.3783068955</v>
      </c>
      <c r="AA108" s="9"/>
      <c r="AB108" s="9">
        <f t="shared" si="39"/>
        <v>-29526987.992027581</v>
      </c>
      <c r="AC108" s="23"/>
      <c r="AD108" s="9"/>
      <c r="AE108" s="9"/>
      <c r="AF108" s="9"/>
      <c r="AG108" s="9">
        <f t="shared" si="47"/>
        <v>8317820613.2006779</v>
      </c>
      <c r="AH108" s="42">
        <f t="shared" si="45"/>
        <v>6.5005275485132546E-3</v>
      </c>
      <c r="AI108" s="42"/>
      <c r="AJ108" s="42">
        <f t="shared" si="40"/>
        <v>-3.5498466924337364E-3</v>
      </c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9"/>
      <c r="AW108" s="46">
        <f>workers_and_wage_central!C96</f>
        <v>13815304</v>
      </c>
      <c r="AY108" s="42">
        <f t="shared" si="41"/>
        <v>5.3498293768712546E-4</v>
      </c>
      <c r="AZ108" s="47">
        <f>workers_and_wage_central!B96</f>
        <v>8758.2924398160703</v>
      </c>
      <c r="BA108" s="42">
        <f t="shared" si="42"/>
        <v>5.9623548527116222E-3</v>
      </c>
      <c r="BB108" s="7"/>
      <c r="BC108" s="7"/>
      <c r="BD108" s="7"/>
      <c r="BE108" s="7"/>
      <c r="BF108" s="7">
        <f t="shared" si="48"/>
        <v>158.40028615394991</v>
      </c>
      <c r="BG108" s="7"/>
      <c r="BH108">
        <f t="shared" si="46"/>
        <v>77</v>
      </c>
      <c r="BI108" s="42">
        <f t="shared" si="49"/>
        <v>1.7909504730299314E-2</v>
      </c>
    </row>
    <row r="109" spans="1:68" x14ac:dyDescent="0.2">
      <c r="A109" s="7">
        <f t="shared" si="43"/>
        <v>2038</v>
      </c>
      <c r="B109" s="7">
        <f t="shared" si="44"/>
        <v>4</v>
      </c>
      <c r="C109" s="9"/>
      <c r="D109" s="9">
        <f>'Central pensions'!Q109</f>
        <v>138100374.89501974</v>
      </c>
      <c r="E109" s="9"/>
      <c r="F109" s="41">
        <f>'Central pensions'!I109</f>
        <v>25101377.862381838</v>
      </c>
      <c r="G109" s="9">
        <f>'Central pensions'!K109</f>
        <v>4379807.4621866597</v>
      </c>
      <c r="H109" s="9">
        <f>'Central pensions'!V109</f>
        <v>24096408.40483284</v>
      </c>
      <c r="I109" s="41">
        <f>'Central pensions'!M109</f>
        <v>135457.96274804045</v>
      </c>
      <c r="J109" s="9">
        <f>'Central pensions'!W109</f>
        <v>745249.74447936297</v>
      </c>
      <c r="K109" s="9"/>
      <c r="L109" s="41">
        <f>'Central pensions'!N109</f>
        <v>2061115.1123947327</v>
      </c>
      <c r="M109" s="41"/>
      <c r="N109" s="41">
        <f>'Central pensions'!L109</f>
        <v>1196117.2664134614</v>
      </c>
      <c r="O109" s="9"/>
      <c r="P109" s="9">
        <f>'Central pensions'!X109</f>
        <v>17275820.404503766</v>
      </c>
      <c r="Q109" s="41"/>
      <c r="R109" s="41">
        <f>'Central SIPA income'!G104</f>
        <v>37953816.16643437</v>
      </c>
      <c r="S109" s="41"/>
      <c r="T109" s="9">
        <f>'Central SIPA income'!J104</f>
        <v>145119705.63413045</v>
      </c>
      <c r="U109" s="9"/>
      <c r="V109" s="41">
        <f>'Central SIPA income'!F104</f>
        <v>188347.97957761399</v>
      </c>
      <c r="W109" s="41"/>
      <c r="X109" s="41">
        <f>'Central SIPA income'!M104</f>
        <v>473075.82246967027</v>
      </c>
      <c r="Y109" s="9"/>
      <c r="Z109" s="9">
        <f t="shared" si="38"/>
        <v>9783553.9048219547</v>
      </c>
      <c r="AA109" s="9"/>
      <c r="AB109" s="9">
        <f t="shared" si="39"/>
        <v>-10256489.665393054</v>
      </c>
      <c r="AC109" s="23"/>
      <c r="AD109" s="9"/>
      <c r="AE109" s="9"/>
      <c r="AF109" s="9"/>
      <c r="AG109" s="9">
        <f t="shared" si="47"/>
        <v>8369170197.0811968</v>
      </c>
      <c r="AH109" s="42">
        <f t="shared" si="45"/>
        <v>6.1734420911921679E-3</v>
      </c>
      <c r="AI109" s="42">
        <f>(AG109-AG105)/AG105</f>
        <v>2.7223010337725142E-2</v>
      </c>
      <c r="AJ109" s="42">
        <f t="shared" si="40"/>
        <v>-1.2255085538791018E-3</v>
      </c>
      <c r="AK109" s="49"/>
      <c r="AL109" s="7"/>
      <c r="AM109" s="7"/>
      <c r="AN109" s="7"/>
      <c r="AO109" s="7"/>
      <c r="AP109" s="7"/>
      <c r="AQ109" s="7"/>
      <c r="AR109" s="7"/>
      <c r="AS109" s="7"/>
      <c r="AT109" s="7"/>
      <c r="AW109" s="46">
        <f>workers_and_wage_central!C97</f>
        <v>13797544</v>
      </c>
      <c r="AY109" s="42">
        <f t="shared" si="41"/>
        <v>-1.2855308866167548E-3</v>
      </c>
      <c r="AZ109" s="47">
        <f>workers_and_wage_central!B97</f>
        <v>8823.7043955458503</v>
      </c>
      <c r="BA109" s="42">
        <f t="shared" si="42"/>
        <v>7.4685740604424986E-3</v>
      </c>
      <c r="BB109" s="7"/>
      <c r="BC109" s="7"/>
      <c r="BD109" s="7"/>
      <c r="BE109" s="7"/>
      <c r="BF109" s="7">
        <f t="shared" si="48"/>
        <v>159.37816114774958</v>
      </c>
      <c r="BG109" s="49" t="e">
        <f>(BB109-BB105)/BB105</f>
        <v>#DIV/0!</v>
      </c>
      <c r="BH109">
        <f t="shared" si="46"/>
        <v>78</v>
      </c>
      <c r="BI109" s="42">
        <f t="shared" si="49"/>
        <v>1.5552576111743415E-2</v>
      </c>
    </row>
    <row r="110" spans="1:68" x14ac:dyDescent="0.2">
      <c r="A110" s="5">
        <f t="shared" si="43"/>
        <v>2039</v>
      </c>
      <c r="B110" s="5">
        <f t="shared" si="44"/>
        <v>1</v>
      </c>
      <c r="C110" s="6"/>
      <c r="D110" s="6">
        <f>'Central pensions'!Q110</f>
        <v>138692164.72095329</v>
      </c>
      <c r="E110" s="6"/>
      <c r="F110" s="8">
        <f>'Central pensions'!I110</f>
        <v>25208942.668394588</v>
      </c>
      <c r="G110" s="6">
        <f>'Central pensions'!K110</f>
        <v>4501984.5244078096</v>
      </c>
      <c r="H110" s="6">
        <f>'Central pensions'!V110</f>
        <v>24768590.553112406</v>
      </c>
      <c r="I110" s="8">
        <f>'Central pensions'!M110</f>
        <v>139236.6347754905</v>
      </c>
      <c r="J110" s="6">
        <f>'Central pensions'!W110</f>
        <v>766038.88308590243</v>
      </c>
      <c r="K110" s="6"/>
      <c r="L110" s="8">
        <f>'Central pensions'!N110</f>
        <v>2575644.6749042524</v>
      </c>
      <c r="M110" s="8"/>
      <c r="N110" s="8">
        <f>'Central pensions'!L110</f>
        <v>1202466.9216326103</v>
      </c>
      <c r="O110" s="6"/>
      <c r="P110" s="6">
        <f>'Central pensions'!X110</f>
        <v>19980650.679900888</v>
      </c>
      <c r="Q110" s="8"/>
      <c r="R110" s="8">
        <f>'Central SIPA income'!G105</f>
        <v>33307286.82005547</v>
      </c>
      <c r="S110" s="8"/>
      <c r="T110" s="6">
        <f>'Central SIPA income'!J105</f>
        <v>127353297.95565318</v>
      </c>
      <c r="U110" s="6"/>
      <c r="V110" s="8">
        <f>'Central SIPA income'!F105</f>
        <v>191242.67539147299</v>
      </c>
      <c r="W110" s="8"/>
      <c r="X110" s="8">
        <f>'Central SIPA income'!M105</f>
        <v>480346.46379012341</v>
      </c>
      <c r="Y110" s="6"/>
      <c r="Z110" s="6">
        <f t="shared" ref="Z110:Z117" si="50">R110+V110-N110-L110-F110</f>
        <v>4511475.2305154912</v>
      </c>
      <c r="AA110" s="6"/>
      <c r="AB110" s="6">
        <f t="shared" ref="AB110:AB117" si="51">T110-P110-D110</f>
        <v>-31319517.445200995</v>
      </c>
      <c r="AC110" s="23"/>
      <c r="AD110" s="6"/>
      <c r="AE110" s="6"/>
      <c r="AF110" s="6"/>
      <c r="AG110" s="6">
        <f t="shared" si="47"/>
        <v>8388887314.9237633</v>
      </c>
      <c r="AH110" s="35">
        <f t="shared" si="45"/>
        <v>2.3559226755172171E-3</v>
      </c>
      <c r="AI110" s="35"/>
      <c r="AJ110" s="35">
        <f t="shared" ref="AJ110:AJ117" si="52">AB110/AG110</f>
        <v>-3.7334531111752837E-3</v>
      </c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35">
        <f>AVERAGE(AH110:AH113)</f>
        <v>2.0272760493704346E-3</v>
      </c>
      <c r="AV110" s="5"/>
      <c r="AW110" s="39">
        <f>workers_and_wage_central!C98</f>
        <v>13816278</v>
      </c>
      <c r="AX110" s="5"/>
      <c r="AY110" s="35">
        <f t="shared" si="41"/>
        <v>1.3577778769902817E-3</v>
      </c>
      <c r="AZ110" s="40">
        <f>workers_and_wage_central!B98</f>
        <v>8832.4997880027095</v>
      </c>
      <c r="BA110" s="35">
        <f t="shared" si="42"/>
        <v>9.9679137724729863E-4</v>
      </c>
      <c r="BB110" s="5"/>
      <c r="BC110" s="5"/>
      <c r="BD110" s="5"/>
      <c r="BE110" s="5"/>
      <c r="BF110" s="5">
        <f t="shared" si="48"/>
        <v>159.75364377157982</v>
      </c>
      <c r="BG110" s="5"/>
      <c r="BH110" s="5">
        <f t="shared" si="46"/>
        <v>79</v>
      </c>
      <c r="BI110" s="35">
        <f t="shared" si="49"/>
        <v>1.7861481439749281E-2</v>
      </c>
      <c r="BJ110" s="5"/>
      <c r="BK110" s="5"/>
      <c r="BL110" s="5"/>
      <c r="BM110" s="5"/>
      <c r="BN110" s="5"/>
      <c r="BO110" s="5"/>
      <c r="BP110" s="5"/>
    </row>
    <row r="111" spans="1:68" x14ac:dyDescent="0.2">
      <c r="A111" s="7">
        <f t="shared" si="43"/>
        <v>2039</v>
      </c>
      <c r="B111" s="7">
        <f t="shared" si="44"/>
        <v>2</v>
      </c>
      <c r="C111" s="9"/>
      <c r="D111" s="9">
        <f>'Central pensions'!Q111</f>
        <v>139932420.74856454</v>
      </c>
      <c r="E111" s="9"/>
      <c r="F111" s="41">
        <f>'Central pensions'!I111</f>
        <v>25434373.88260261</v>
      </c>
      <c r="G111" s="9">
        <f>'Central pensions'!K111</f>
        <v>4562588.7315312903</v>
      </c>
      <c r="H111" s="9">
        <f>'Central pensions'!V111</f>
        <v>25102017.019573875</v>
      </c>
      <c r="I111" s="41">
        <f>'Central pensions'!M111</f>
        <v>141110.99169683922</v>
      </c>
      <c r="J111" s="9">
        <f>'Central pensions'!W111</f>
        <v>776351.04184246447</v>
      </c>
      <c r="K111" s="9"/>
      <c r="L111" s="41">
        <f>'Central pensions'!N111</f>
        <v>1988378.5583825395</v>
      </c>
      <c r="M111" s="41"/>
      <c r="N111" s="41">
        <f>'Central pensions'!L111</f>
        <v>1213587.2648279592</v>
      </c>
      <c r="O111" s="9"/>
      <c r="P111" s="9">
        <f>'Central pensions'!X111</f>
        <v>16994504.856753185</v>
      </c>
      <c r="Q111" s="41"/>
      <c r="R111" s="41">
        <f>'Central SIPA income'!G106</f>
        <v>38304712.81988091</v>
      </c>
      <c r="S111" s="41"/>
      <c r="T111" s="9">
        <f>'Central SIPA income'!J106</f>
        <v>146461389.40139279</v>
      </c>
      <c r="U111" s="9"/>
      <c r="V111" s="41">
        <f>'Central SIPA income'!F106</f>
        <v>198614.17872627301</v>
      </c>
      <c r="W111" s="41"/>
      <c r="X111" s="41">
        <f>'Central SIPA income'!M106</f>
        <v>498861.55490375758</v>
      </c>
      <c r="Y111" s="9"/>
      <c r="Z111" s="9">
        <f t="shared" si="50"/>
        <v>9866987.2927940711</v>
      </c>
      <c r="AA111" s="9"/>
      <c r="AB111" s="9">
        <f t="shared" si="51"/>
        <v>-10465536.203924939</v>
      </c>
      <c r="AC111" s="23"/>
      <c r="AD111" s="9"/>
      <c r="AE111" s="9"/>
      <c r="AF111" s="9"/>
      <c r="AG111" s="9">
        <f t="shared" si="47"/>
        <v>8400196828.0139532</v>
      </c>
      <c r="AH111" s="42">
        <f t="shared" si="45"/>
        <v>1.3481541312481812E-3</v>
      </c>
      <c r="AI111" s="42"/>
      <c r="AJ111" s="42">
        <f t="shared" si="52"/>
        <v>-1.2458679740721375E-3</v>
      </c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46">
        <f>workers_and_wage_central!C99</f>
        <v>13824098</v>
      </c>
      <c r="AX111" s="7"/>
      <c r="AY111" s="42">
        <f t="shared" ref="AY111:AY117" si="53">(AW111-AW110)/AW110</f>
        <v>5.6599903389320918E-4</v>
      </c>
      <c r="AZ111" s="47">
        <f>workers_and_wage_central!B99</f>
        <v>8839.4042648070808</v>
      </c>
      <c r="BA111" s="42">
        <f t="shared" ref="BA111:BA117" si="54">(AZ111-AZ110)/AZ110</f>
        <v>7.8171264875090104E-4</v>
      </c>
      <c r="BB111" s="7"/>
      <c r="BC111" s="7"/>
      <c r="BD111" s="7"/>
      <c r="BE111" s="7"/>
      <c r="BF111" s="7">
        <f t="shared" si="48"/>
        <v>159.96901630641241</v>
      </c>
      <c r="BG111" s="7"/>
      <c r="BH111" s="7">
        <f t="shared" si="46"/>
        <v>80</v>
      </c>
      <c r="BI111" s="42"/>
      <c r="BJ111" s="7"/>
      <c r="BK111" s="7"/>
      <c r="BL111" s="7"/>
      <c r="BM111" s="7"/>
      <c r="BN111" s="7"/>
      <c r="BO111" s="7"/>
      <c r="BP111" s="7"/>
    </row>
    <row r="112" spans="1:68" x14ac:dyDescent="0.2">
      <c r="A112" s="7">
        <f t="shared" si="43"/>
        <v>2039</v>
      </c>
      <c r="B112" s="7">
        <f t="shared" si="44"/>
        <v>3</v>
      </c>
      <c r="C112" s="9"/>
      <c r="D112" s="9">
        <f>'Central pensions'!Q112</f>
        <v>140540011.30901161</v>
      </c>
      <c r="E112" s="9"/>
      <c r="F112" s="41">
        <f>'Central pensions'!I112</f>
        <v>25544810.659150042</v>
      </c>
      <c r="G112" s="9">
        <f>'Central pensions'!K112</f>
        <v>4602379.3930978598</v>
      </c>
      <c r="H112" s="9">
        <f>'Central pensions'!V112</f>
        <v>25320933.499369964</v>
      </c>
      <c r="I112" s="41">
        <f>'Central pensions'!M112</f>
        <v>142341.63071436994</v>
      </c>
      <c r="J112" s="9">
        <f>'Central pensions'!W112</f>
        <v>783121.65461970691</v>
      </c>
      <c r="K112" s="9"/>
      <c r="L112" s="41">
        <f>'Central pensions'!N112</f>
        <v>2014098.9081869014</v>
      </c>
      <c r="M112" s="41"/>
      <c r="N112" s="41">
        <f>'Central pensions'!L112</f>
        <v>1219825.427357126</v>
      </c>
      <c r="O112" s="9"/>
      <c r="P112" s="9">
        <f>'Central pensions'!X112</f>
        <v>17162288.403837383</v>
      </c>
      <c r="Q112" s="41"/>
      <c r="R112" s="41">
        <f>'Central SIPA income'!G107</f>
        <v>33704467.873128578</v>
      </c>
      <c r="S112" s="41"/>
      <c r="T112" s="9">
        <f>'Central SIPA income'!J107</f>
        <v>128871954.13643529</v>
      </c>
      <c r="U112" s="9"/>
      <c r="V112" s="41">
        <f>'Central SIPA income'!F107</f>
        <v>194431.52202988899</v>
      </c>
      <c r="W112" s="41"/>
      <c r="X112" s="41">
        <f>'Central SIPA income'!M107</f>
        <v>488355.92717582773</v>
      </c>
      <c r="Y112" s="9"/>
      <c r="Z112" s="9">
        <f t="shared" si="50"/>
        <v>5120164.4004644006</v>
      </c>
      <c r="AA112" s="9"/>
      <c r="AB112" s="9">
        <f t="shared" si="51"/>
        <v>-28830345.576413706</v>
      </c>
      <c r="AC112" s="23"/>
      <c r="AD112" s="9"/>
      <c r="AE112" s="9"/>
      <c r="AF112" s="9"/>
      <c r="AG112" s="9">
        <f t="shared" si="47"/>
        <v>8424223958.1972027</v>
      </c>
      <c r="AH112" s="42">
        <f t="shared" si="45"/>
        <v>2.8603056184494397E-3</v>
      </c>
      <c r="AI112" s="42"/>
      <c r="AJ112" s="42">
        <f t="shared" si="52"/>
        <v>-3.422314710467817E-3</v>
      </c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9"/>
      <c r="AW112" s="46">
        <f>workers_and_wage_central!C100</f>
        <v>13874054</v>
      </c>
      <c r="AY112" s="42">
        <f t="shared" si="53"/>
        <v>3.6136896598967976E-3</v>
      </c>
      <c r="AZ112" s="47">
        <f>workers_and_wage_central!B100</f>
        <v>8832.7687772906993</v>
      </c>
      <c r="BA112" s="42">
        <f t="shared" si="54"/>
        <v>-7.5067134815859262E-4</v>
      </c>
      <c r="BB112" s="7"/>
      <c r="BC112" s="7"/>
      <c r="BD112" s="7"/>
      <c r="BE112" s="7"/>
      <c r="BF112" s="7">
        <f t="shared" si="48"/>
        <v>160.42657658253148</v>
      </c>
      <c r="BG112" s="7"/>
      <c r="BH112">
        <f t="shared" si="46"/>
        <v>81</v>
      </c>
      <c r="BI112" s="42"/>
    </row>
    <row r="113" spans="1:68" x14ac:dyDescent="0.2">
      <c r="A113" s="7">
        <f t="shared" si="43"/>
        <v>2039</v>
      </c>
      <c r="B113" s="7">
        <f t="shared" si="44"/>
        <v>4</v>
      </c>
      <c r="C113" s="9"/>
      <c r="D113" s="9">
        <f>'Central pensions'!Q113</f>
        <v>140769555.08355689</v>
      </c>
      <c r="E113" s="9"/>
      <c r="F113" s="41">
        <f>'Central pensions'!I113</f>
        <v>25586532.957334958</v>
      </c>
      <c r="G113" s="9">
        <f>'Central pensions'!K113</f>
        <v>4689640.6303902399</v>
      </c>
      <c r="H113" s="9">
        <f>'Central pensions'!V113</f>
        <v>25801019.080725275</v>
      </c>
      <c r="I113" s="41">
        <f>'Central pensions'!M113</f>
        <v>145040.43186774012</v>
      </c>
      <c r="J113" s="9">
        <f>'Central pensions'!W113</f>
        <v>797969.6622904765</v>
      </c>
      <c r="K113" s="9"/>
      <c r="L113" s="41">
        <f>'Central pensions'!N113</f>
        <v>2045847.5762748739</v>
      </c>
      <c r="M113" s="41"/>
      <c r="N113" s="41">
        <f>'Central pensions'!L113</f>
        <v>1223021.9765587635</v>
      </c>
      <c r="O113" s="9"/>
      <c r="P113" s="9">
        <f>'Central pensions'!X113</f>
        <v>17344618.864045613</v>
      </c>
      <c r="Q113" s="41"/>
      <c r="R113" s="41">
        <f>'Central SIPA income'!G108</f>
        <v>39140485.659770779</v>
      </c>
      <c r="S113" s="41"/>
      <c r="T113" s="9">
        <f>'Central SIPA income'!J108</f>
        <v>149657039.29256454</v>
      </c>
      <c r="U113" s="9"/>
      <c r="V113" s="41">
        <f>'Central SIPA income'!F108</f>
        <v>188023.59280116399</v>
      </c>
      <c r="W113" s="41"/>
      <c r="X113" s="41">
        <f>'Central SIPA income'!M108</f>
        <v>472261.05641053064</v>
      </c>
      <c r="Y113" s="9"/>
      <c r="Z113" s="9">
        <f t="shared" si="50"/>
        <v>10473106.742403351</v>
      </c>
      <c r="AA113" s="9"/>
      <c r="AB113" s="9">
        <f t="shared" si="51"/>
        <v>-8457134.6550379694</v>
      </c>
      <c r="AC113" s="23"/>
      <c r="AD113" s="9"/>
      <c r="AE113" s="9"/>
      <c r="AF113" s="9"/>
      <c r="AG113" s="9">
        <f t="shared" si="47"/>
        <v>8437237040.3598824</v>
      </c>
      <c r="AH113" s="42">
        <f t="shared" si="45"/>
        <v>1.5447217722669012E-3</v>
      </c>
      <c r="AI113" s="42">
        <f>(AG113-AG109)/AG109</f>
        <v>8.133045651577778E-3</v>
      </c>
      <c r="AJ113" s="42">
        <f t="shared" si="52"/>
        <v>-1.0023583093117933E-3</v>
      </c>
      <c r="AK113" s="49"/>
      <c r="AL113" s="7"/>
      <c r="AM113" s="7"/>
      <c r="AN113" s="7"/>
      <c r="AO113" s="7"/>
      <c r="AP113" s="7"/>
      <c r="AQ113" s="7"/>
      <c r="AR113" s="7"/>
      <c r="AS113" s="7"/>
      <c r="AT113" s="7"/>
      <c r="AW113" s="46">
        <f>workers_and_wage_central!C101</f>
        <v>13882904</v>
      </c>
      <c r="AY113" s="42">
        <f t="shared" si="53"/>
        <v>6.3788132870176229E-4</v>
      </c>
      <c r="AZ113" s="47">
        <f>workers_and_wage_central!B101</f>
        <v>8840.7735831304199</v>
      </c>
      <c r="BA113" s="42">
        <f t="shared" si="54"/>
        <v>9.0626235572940157E-4</v>
      </c>
      <c r="BB113" s="7"/>
      <c r="BC113" s="7"/>
      <c r="BD113" s="7"/>
      <c r="BE113" s="7"/>
      <c r="BF113" s="7">
        <f t="shared" si="48"/>
        <v>160.67439100822875</v>
      </c>
      <c r="BG113" s="49" t="e">
        <f>(BB113-BB109)/BB109</f>
        <v>#DIV/0!</v>
      </c>
      <c r="BH113">
        <f t="shared" si="46"/>
        <v>82</v>
      </c>
      <c r="BI113" s="42"/>
    </row>
    <row r="114" spans="1:68" x14ac:dyDescent="0.2">
      <c r="A114" s="5">
        <f t="shared" ref="A114:A117" si="55">A110+1</f>
        <v>2040</v>
      </c>
      <c r="B114" s="5">
        <f t="shared" ref="B114:B117" si="56">B110</f>
        <v>1</v>
      </c>
      <c r="C114" s="6"/>
      <c r="D114" s="6">
        <f>'Central pensions'!Q114</f>
        <v>141215637.04519212</v>
      </c>
      <c r="E114" s="6"/>
      <c r="F114" s="8">
        <f>'Central pensions'!I114</f>
        <v>25667613.634234712</v>
      </c>
      <c r="G114" s="6">
        <f>'Central pensions'!K114</f>
        <v>4788304.5323837902</v>
      </c>
      <c r="H114" s="6">
        <f>'Central pensions'!V114</f>
        <v>26343838.758936435</v>
      </c>
      <c r="I114" s="8">
        <f>'Central pensions'!M114</f>
        <v>148091.89275413938</v>
      </c>
      <c r="J114" s="6">
        <f>'Central pensions'!W114</f>
        <v>814757.89976092905</v>
      </c>
      <c r="K114" s="6"/>
      <c r="L114" s="8">
        <f>'Central pensions'!N114</f>
        <v>2504098.2373036197</v>
      </c>
      <c r="M114" s="8"/>
      <c r="N114" s="8">
        <f>'Central pensions'!L114</f>
        <v>1228583.6761730574</v>
      </c>
      <c r="O114" s="6"/>
      <c r="P114" s="6">
        <f>'Central pensions'!X114</f>
        <v>19753082.552866932</v>
      </c>
      <c r="Q114" s="8"/>
      <c r="R114" s="8">
        <f>'Central SIPA income'!G109</f>
        <v>34363382.693568751</v>
      </c>
      <c r="S114" s="8"/>
      <c r="T114" s="6">
        <f>'Central SIPA income'!J109</f>
        <v>131391372.06165592</v>
      </c>
      <c r="U114" s="6"/>
      <c r="V114" s="8">
        <f>'Central SIPA income'!F109</f>
        <v>188437.447268221</v>
      </c>
      <c r="W114" s="8"/>
      <c r="X114" s="8">
        <f>'Central SIPA income'!M109</f>
        <v>473300.53951422416</v>
      </c>
      <c r="Y114" s="6"/>
      <c r="Z114" s="6">
        <f t="shared" si="50"/>
        <v>5151524.5931255817</v>
      </c>
      <c r="AA114" s="6"/>
      <c r="AB114" s="6">
        <f t="shared" si="51"/>
        <v>-29577347.536403134</v>
      </c>
      <c r="AC114" s="23"/>
      <c r="AD114" s="6"/>
      <c r="AE114" s="6"/>
      <c r="AF114" s="6"/>
      <c r="AG114" s="6">
        <f t="shared" si="47"/>
        <v>8435468895.094079</v>
      </c>
      <c r="AH114" s="35">
        <f t="shared" si="45"/>
        <v>-2.095644886288413E-4</v>
      </c>
      <c r="AI114" s="35"/>
      <c r="AJ114" s="35">
        <f t="shared" si="52"/>
        <v>-3.5063074624819969E-3</v>
      </c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35">
        <f>AVERAGE(AH114:AH117)</f>
        <v>4.6782900378050194E-3</v>
      </c>
      <c r="AV114" s="5"/>
      <c r="AW114" s="39">
        <f>workers_and_wage_central!C102</f>
        <v>13878875</v>
      </c>
      <c r="AX114" s="5"/>
      <c r="AY114" s="35">
        <f t="shared" si="53"/>
        <v>-2.9021305628851139E-4</v>
      </c>
      <c r="AZ114" s="40">
        <f>workers_and_wage_central!B102</f>
        <v>8841.4867858376401</v>
      </c>
      <c r="BA114" s="35">
        <f t="shared" si="54"/>
        <v>8.0671979721453813E-5</v>
      </c>
      <c r="BB114" s="5"/>
      <c r="BC114" s="5"/>
      <c r="BD114" s="5"/>
      <c r="BE114" s="5"/>
      <c r="BF114" s="5">
        <f t="shared" si="48"/>
        <v>160.64071936164137</v>
      </c>
      <c r="BG114" s="5"/>
      <c r="BH114" s="5">
        <f t="shared" si="46"/>
        <v>83</v>
      </c>
      <c r="BI114" s="35"/>
      <c r="BJ114" s="5"/>
      <c r="BK114" s="5"/>
      <c r="BL114" s="5"/>
      <c r="BM114" s="5"/>
      <c r="BN114" s="5"/>
      <c r="BO114" s="5"/>
      <c r="BP114" s="5"/>
    </row>
    <row r="115" spans="1:68" x14ac:dyDescent="0.2">
      <c r="A115" s="7">
        <f t="shared" si="55"/>
        <v>2040</v>
      </c>
      <c r="B115" s="7">
        <f t="shared" si="56"/>
        <v>2</v>
      </c>
      <c r="C115" s="9"/>
      <c r="D115" s="9">
        <f>'Central pensions'!Q115</f>
        <v>142084263.23828962</v>
      </c>
      <c r="E115" s="9"/>
      <c r="F115" s="41">
        <f>'Central pensions'!I115</f>
        <v>25825496.726953886</v>
      </c>
      <c r="G115" s="9">
        <f>'Central pensions'!K115</f>
        <v>4822600.06053981</v>
      </c>
      <c r="H115" s="9">
        <f>'Central pensions'!V115</f>
        <v>26532522.636034153</v>
      </c>
      <c r="I115" s="41">
        <f>'Central pensions'!M115</f>
        <v>149152.57919195015</v>
      </c>
      <c r="J115" s="9">
        <f>'Central pensions'!W115</f>
        <v>820593.48358867003</v>
      </c>
      <c r="K115" s="9"/>
      <c r="L115" s="41">
        <f>'Central pensions'!N115</f>
        <v>2064737.3957462765</v>
      </c>
      <c r="M115" s="41"/>
      <c r="N115" s="41">
        <f>'Central pensions'!L115</f>
        <v>1236670.6287835538</v>
      </c>
      <c r="O115" s="9"/>
      <c r="P115" s="9">
        <f>'Central pensions'!X115</f>
        <v>17517729.084618494</v>
      </c>
      <c r="Q115" s="41"/>
      <c r="R115" s="41">
        <f>'Central SIPA income'!G110</f>
        <v>39724075.312905841</v>
      </c>
      <c r="S115" s="41"/>
      <c r="T115" s="9">
        <f>'Central SIPA income'!J110</f>
        <v>151888444.9120338</v>
      </c>
      <c r="U115" s="9"/>
      <c r="V115" s="41">
        <f>'Central SIPA income'!F110</f>
        <v>187846.27110365001</v>
      </c>
      <c r="W115" s="41"/>
      <c r="X115" s="41">
        <f>'Central SIPA income'!M110</f>
        <v>471815.67542963946</v>
      </c>
      <c r="Y115" s="9"/>
      <c r="Z115" s="9">
        <f t="shared" si="50"/>
        <v>10785016.832525775</v>
      </c>
      <c r="AA115" s="9"/>
      <c r="AB115" s="9">
        <f t="shared" si="51"/>
        <v>-7713547.410874337</v>
      </c>
      <c r="AC115" s="23"/>
      <c r="AD115" s="9"/>
      <c r="AE115" s="9"/>
      <c r="AF115" s="9"/>
      <c r="AG115" s="9">
        <f t="shared" si="47"/>
        <v>8480884714.5319891</v>
      </c>
      <c r="AH115" s="42">
        <f t="shared" si="45"/>
        <v>5.3839116713859407E-3</v>
      </c>
      <c r="AI115" s="42"/>
      <c r="AJ115" s="42">
        <f t="shared" si="52"/>
        <v>-9.0952154999314873E-4</v>
      </c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46">
        <f>workers_and_wage_central!C103</f>
        <v>13869127</v>
      </c>
      <c r="AX115" s="7"/>
      <c r="AY115" s="42">
        <f t="shared" si="53"/>
        <v>-7.0236240329277406E-4</v>
      </c>
      <c r="AZ115" s="47">
        <f>workers_and_wage_central!B103</f>
        <v>8895.3363195317997</v>
      </c>
      <c r="BA115" s="42">
        <f t="shared" si="54"/>
        <v>6.0905518493129694E-3</v>
      </c>
      <c r="BB115" s="7"/>
      <c r="BC115" s="7"/>
      <c r="BD115" s="7"/>
      <c r="BE115" s="7"/>
      <c r="BF115" s="7">
        <f t="shared" si="48"/>
        <v>161.50559480551235</v>
      </c>
      <c r="BG115" s="7"/>
      <c r="BH115" s="7">
        <f t="shared" si="46"/>
        <v>84</v>
      </c>
      <c r="BI115" s="42"/>
      <c r="BJ115" s="7"/>
      <c r="BK115" s="7"/>
      <c r="BL115" s="7"/>
      <c r="BM115" s="7"/>
      <c r="BN115" s="7"/>
      <c r="BO115" s="7"/>
      <c r="BP115" s="7"/>
    </row>
    <row r="116" spans="1:68" x14ac:dyDescent="0.2">
      <c r="A116" s="7">
        <f t="shared" si="55"/>
        <v>2040</v>
      </c>
      <c r="B116" s="7">
        <f t="shared" si="56"/>
        <v>3</v>
      </c>
      <c r="C116" s="9"/>
      <c r="D116" s="9">
        <f>'Central pensions'!Q116</f>
        <v>142745321.14502281</v>
      </c>
      <c r="E116" s="9"/>
      <c r="F116" s="41">
        <f>'Central pensions'!I116</f>
        <v>25945651.826593827</v>
      </c>
      <c r="G116" s="9">
        <f>'Central pensions'!K116</f>
        <v>4903809.6842410704</v>
      </c>
      <c r="H116" s="9">
        <f>'Central pensions'!V116</f>
        <v>26979314.024925794</v>
      </c>
      <c r="I116" s="41">
        <f>'Central pensions'!M116</f>
        <v>151664.2170383893</v>
      </c>
      <c r="J116" s="9">
        <f>'Central pensions'!W116</f>
        <v>834411.77396680845</v>
      </c>
      <c r="K116" s="9"/>
      <c r="L116" s="41">
        <f>'Central pensions'!N116</f>
        <v>2008081.4345200963</v>
      </c>
      <c r="M116" s="41"/>
      <c r="N116" s="41">
        <f>'Central pensions'!L116</f>
        <v>1243692.5005417131</v>
      </c>
      <c r="O116" s="9"/>
      <c r="P116" s="9">
        <f>'Central pensions'!X116</f>
        <v>17262373.299111016</v>
      </c>
      <c r="Q116" s="41"/>
      <c r="R116" s="41">
        <f>'Central SIPA income'!G111</f>
        <v>34751614.424653903</v>
      </c>
      <c r="S116" s="41"/>
      <c r="T116" s="9">
        <f>'Central SIPA income'!J111</f>
        <v>132875809.73416413</v>
      </c>
      <c r="U116" s="9"/>
      <c r="V116" s="41">
        <f>'Central SIPA income'!F111</f>
        <v>190417.36993456699</v>
      </c>
      <c r="W116" s="41"/>
      <c r="X116" s="41">
        <f>'Central SIPA income'!M111</f>
        <v>478273.53442454117</v>
      </c>
      <c r="Y116" s="9"/>
      <c r="Z116" s="9">
        <f t="shared" si="50"/>
        <v>5744606.0329328366</v>
      </c>
      <c r="AA116" s="9"/>
      <c r="AB116" s="9">
        <f t="shared" si="51"/>
        <v>-27131884.709969699</v>
      </c>
      <c r="AC116" s="23"/>
      <c r="AD116" s="9"/>
      <c r="AE116" s="9"/>
      <c r="AF116" s="9"/>
      <c r="AG116" s="9">
        <f t="shared" si="47"/>
        <v>8543652754.3390369</v>
      </c>
      <c r="AH116" s="42">
        <f t="shared" si="45"/>
        <v>7.4011193312762359E-3</v>
      </c>
      <c r="AI116" s="42"/>
      <c r="AJ116" s="42">
        <f t="shared" si="52"/>
        <v>-3.1756773701026551E-3</v>
      </c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9"/>
      <c r="AW116" s="46">
        <f>workers_and_wage_central!C104</f>
        <v>13921910</v>
      </c>
      <c r="AY116" s="42">
        <f t="shared" si="53"/>
        <v>3.8057910926909818E-3</v>
      </c>
      <c r="AZ116" s="47">
        <f>workers_and_wage_central!B104</f>
        <v>8927.1967193672208</v>
      </c>
      <c r="BA116" s="42">
        <f t="shared" si="54"/>
        <v>3.5816970478636159E-3</v>
      </c>
      <c r="BB116" s="7"/>
      <c r="BC116" s="7"/>
      <c r="BD116" s="7"/>
      <c r="BE116" s="7"/>
      <c r="BF116" s="7">
        <f t="shared" si="48"/>
        <v>162.70091698533668</v>
      </c>
      <c r="BG116" s="7"/>
      <c r="BH116">
        <f t="shared" si="46"/>
        <v>85</v>
      </c>
      <c r="BI116" s="42"/>
    </row>
    <row r="117" spans="1:68" x14ac:dyDescent="0.2">
      <c r="A117" s="7">
        <f t="shared" si="55"/>
        <v>2040</v>
      </c>
      <c r="B117" s="7">
        <f t="shared" si="56"/>
        <v>4</v>
      </c>
      <c r="C117" s="9"/>
      <c r="D117" s="9">
        <f>'Central pensions'!Q117</f>
        <v>143845006.73487145</v>
      </c>
      <c r="E117" s="9"/>
      <c r="F117" s="41">
        <f>'Central pensions'!I117</f>
        <v>26145532.699774589</v>
      </c>
      <c r="G117" s="9">
        <f>'Central pensions'!K117</f>
        <v>5008301.7830118099</v>
      </c>
      <c r="H117" s="9">
        <f>'Central pensions'!V117</f>
        <v>27554198.722208995</v>
      </c>
      <c r="I117" s="41">
        <f>'Central pensions'!M117</f>
        <v>154895.93143334985</v>
      </c>
      <c r="J117" s="9">
        <f>'Central pensions'!W117</f>
        <v>852191.71305798204</v>
      </c>
      <c r="K117" s="9"/>
      <c r="L117" s="41">
        <f>'Central pensions'!N117</f>
        <v>2036558.1045591081</v>
      </c>
      <c r="M117" s="41"/>
      <c r="N117" s="41">
        <f>'Central pensions'!L117</f>
        <v>1255221.395633053</v>
      </c>
      <c r="O117" s="9"/>
      <c r="P117" s="9">
        <f>'Central pensions'!X117</f>
        <v>17473567.454534415</v>
      </c>
      <c r="Q117" s="41"/>
      <c r="R117" s="41">
        <f>'Central SIPA income'!G112</f>
        <v>40155731.886855796</v>
      </c>
      <c r="S117" s="41"/>
      <c r="T117" s="9">
        <f>'Central SIPA income'!J112</f>
        <v>153538921.23494053</v>
      </c>
      <c r="U117" s="9"/>
      <c r="V117" s="41">
        <f>'Central SIPA income'!F112</f>
        <v>193606.19678614801</v>
      </c>
      <c r="W117" s="41"/>
      <c r="X117" s="41">
        <f>'Central SIPA income'!M112</f>
        <v>486282.94811142079</v>
      </c>
      <c r="Y117" s="9"/>
      <c r="Z117" s="9">
        <f t="shared" si="50"/>
        <v>10912025.883675192</v>
      </c>
      <c r="AA117" s="9"/>
      <c r="AB117" s="9">
        <f t="shared" si="51"/>
        <v>-7779652.9544653296</v>
      </c>
      <c r="AC117" s="23"/>
      <c r="AD117" s="9"/>
      <c r="AE117" s="9"/>
      <c r="AF117" s="9"/>
      <c r="AG117" s="9">
        <f t="shared" si="47"/>
        <v>8596091077.4876766</v>
      </c>
      <c r="AH117" s="42">
        <f t="shared" si="45"/>
        <v>6.1376936371867405E-3</v>
      </c>
      <c r="AI117" s="42">
        <f>(AG117-AG113)/AG113</f>
        <v>1.8827731918388595E-2</v>
      </c>
      <c r="AJ117" s="42">
        <f t="shared" si="52"/>
        <v>-9.0502216464870657E-4</v>
      </c>
      <c r="AK117" s="49"/>
      <c r="AL117" s="54"/>
      <c r="AM117" s="7"/>
      <c r="AN117" s="7"/>
      <c r="AO117" s="7"/>
      <c r="AP117" s="7"/>
      <c r="AQ117" s="7"/>
      <c r="AR117" s="7"/>
      <c r="AS117" s="7"/>
      <c r="AT117" s="7"/>
      <c r="AW117" s="46">
        <f>workers_and_wage_central!C105</f>
        <v>13930707</v>
      </c>
      <c r="AY117" s="42">
        <f t="shared" si="53"/>
        <v>6.3188168864760654E-4</v>
      </c>
      <c r="AZ117" s="47">
        <f>workers_and_wage_central!B105</f>
        <v>8976.3171474326391</v>
      </c>
      <c r="BA117" s="42">
        <f t="shared" si="54"/>
        <v>5.5023351237296443E-3</v>
      </c>
      <c r="BB117" s="7"/>
      <c r="BC117" s="7"/>
      <c r="BD117" s="7"/>
      <c r="BE117" s="7"/>
      <c r="BF117" s="7">
        <f t="shared" si="48"/>
        <v>163.69952536828202</v>
      </c>
      <c r="BG117" s="49" t="e">
        <f>(BB117-BB113)/BB113</f>
        <v>#DIV/0!</v>
      </c>
      <c r="BH117">
        <f t="shared" si="46"/>
        <v>86</v>
      </c>
      <c r="BI117" s="42"/>
    </row>
    <row r="118" spans="1:68" x14ac:dyDescent="0.2">
      <c r="AK118" s="5"/>
      <c r="AL118" s="34"/>
      <c r="BF118" t="e">
        <f>BF117/BF31-1</f>
        <v>#DIV/0!</v>
      </c>
      <c r="BG118" s="5"/>
    </row>
    <row r="119" spans="1:68" x14ac:dyDescent="0.2">
      <c r="AI119" s="26">
        <f>AVERAGE(AI29:AI117)</f>
        <v>2.588467459564613E-2</v>
      </c>
      <c r="AK119" s="7"/>
      <c r="BF119" t="e">
        <f>BF117/BF31</f>
        <v>#DIV/0!</v>
      </c>
    </row>
    <row r="120" spans="1:68" x14ac:dyDescent="0.2">
      <c r="AK120" s="7"/>
      <c r="BB120" t="e">
        <f>BF31*BF120^86</f>
        <v>#DIV/0!</v>
      </c>
      <c r="BF120" t="e">
        <f>BF119^(1/BH117)</f>
        <v>#DIV/0!</v>
      </c>
      <c r="BG120" s="26"/>
    </row>
    <row r="121" spans="1:68" x14ac:dyDescent="0.2">
      <c r="AK121" s="49"/>
      <c r="BF121" s="26" t="e">
        <f>BF120^4-1</f>
        <v>#DIV/0!</v>
      </c>
    </row>
    <row r="122" spans="1:68" x14ac:dyDescent="0.2">
      <c r="AK122" s="5"/>
    </row>
    <row r="123" spans="1:68" x14ac:dyDescent="0.2">
      <c r="AK123" s="7"/>
    </row>
    <row r="124" spans="1:68" x14ac:dyDescent="0.2">
      <c r="AK124" s="7"/>
      <c r="BB124" t="s">
        <v>59</v>
      </c>
    </row>
    <row r="125" spans="1:68" x14ac:dyDescent="0.2">
      <c r="AK125" s="49"/>
    </row>
    <row r="127" spans="1:68" x14ac:dyDescent="0.2">
      <c r="AF127" s="5">
        <v>2015</v>
      </c>
      <c r="AG127" s="6">
        <f t="shared" ref="AG127:AG158" si="57">AG14</f>
        <v>4908764962.1220083</v>
      </c>
    </row>
    <row r="128" spans="1:68" x14ac:dyDescent="0.2">
      <c r="AF128" s="7">
        <v>2015</v>
      </c>
      <c r="AG128" s="9">
        <f t="shared" si="57"/>
        <v>5773307281.0336723</v>
      </c>
    </row>
    <row r="129" spans="32:48" x14ac:dyDescent="0.2">
      <c r="AF129" s="7">
        <v>2015</v>
      </c>
      <c r="AG129" s="9">
        <f t="shared" si="57"/>
        <v>5240988327.4358244</v>
      </c>
    </row>
    <row r="130" spans="32:48" x14ac:dyDescent="0.2">
      <c r="AF130" s="7">
        <v>2015</v>
      </c>
      <c r="AG130" s="9">
        <f t="shared" si="57"/>
        <v>5134460463.6352301</v>
      </c>
      <c r="AH130" s="26"/>
      <c r="AI130" s="26"/>
    </row>
    <row r="131" spans="32:48" x14ac:dyDescent="0.2">
      <c r="AF131" s="5">
        <f t="shared" ref="AF131:AF162" si="58">AF127+1</f>
        <v>2016</v>
      </c>
      <c r="AG131" s="6">
        <f t="shared" si="57"/>
        <v>4944534766.466361</v>
      </c>
    </row>
    <row r="132" spans="32:48" x14ac:dyDescent="0.2">
      <c r="AF132" s="7">
        <f t="shared" si="58"/>
        <v>2016</v>
      </c>
      <c r="AG132" s="9">
        <f t="shared" si="57"/>
        <v>5550523456.0453796</v>
      </c>
    </row>
    <row r="133" spans="32:48" x14ac:dyDescent="0.2">
      <c r="AF133" s="7">
        <f t="shared" si="58"/>
        <v>2016</v>
      </c>
      <c r="AG133" s="9">
        <f t="shared" si="57"/>
        <v>5066609175.7806692</v>
      </c>
    </row>
    <row r="134" spans="32:48" x14ac:dyDescent="0.2">
      <c r="AF134" s="7">
        <f t="shared" si="58"/>
        <v>2016</v>
      </c>
      <c r="AG134" s="9">
        <f t="shared" si="57"/>
        <v>5057788161.4944935</v>
      </c>
      <c r="AJ134" s="26"/>
    </row>
    <row r="135" spans="32:48" x14ac:dyDescent="0.2">
      <c r="AF135" s="5">
        <f t="shared" si="58"/>
        <v>2017</v>
      </c>
      <c r="AG135" s="6">
        <f t="shared" si="57"/>
        <v>4959041644.8252344</v>
      </c>
      <c r="AH135" s="26"/>
      <c r="AI135" s="26"/>
    </row>
    <row r="136" spans="32:48" x14ac:dyDescent="0.2">
      <c r="AF136" s="7">
        <f t="shared" si="58"/>
        <v>2017</v>
      </c>
      <c r="AG136" s="9">
        <f t="shared" si="57"/>
        <v>5665901320.8227959</v>
      </c>
    </row>
    <row r="137" spans="32:48" x14ac:dyDescent="0.2">
      <c r="AF137" s="7">
        <f t="shared" si="58"/>
        <v>2017</v>
      </c>
      <c r="AG137" s="9">
        <f t="shared" si="57"/>
        <v>5260049751.4820948</v>
      </c>
    </row>
    <row r="138" spans="32:48" x14ac:dyDescent="0.2">
      <c r="AF138" s="7">
        <f t="shared" si="58"/>
        <v>2017</v>
      </c>
      <c r="AG138" s="9">
        <f t="shared" si="57"/>
        <v>5284711650.7124662</v>
      </c>
      <c r="AJ138" s="26">
        <f>(AG138-AG134)/AG134</f>
        <v>4.4866151363468845E-2</v>
      </c>
      <c r="AK138" s="26">
        <f>AVERAGE(AJ138:AJ230)</f>
        <v>2.3062375669065105E-2</v>
      </c>
    </row>
    <row r="139" spans="32:48" x14ac:dyDescent="0.2">
      <c r="AF139" s="5">
        <f t="shared" si="58"/>
        <v>2018</v>
      </c>
      <c r="AG139" s="6">
        <f t="shared" si="57"/>
        <v>5162809755.5819197</v>
      </c>
      <c r="AH139" s="26"/>
      <c r="AI139" s="26"/>
    </row>
    <row r="140" spans="32:48" x14ac:dyDescent="0.2">
      <c r="AF140" s="7">
        <f t="shared" si="58"/>
        <v>2018</v>
      </c>
      <c r="AG140" s="9">
        <f t="shared" si="57"/>
        <v>5450235053.7402563</v>
      </c>
    </row>
    <row r="141" spans="32:48" x14ac:dyDescent="0.2">
      <c r="AF141" s="7">
        <f t="shared" si="58"/>
        <v>2018</v>
      </c>
      <c r="AG141" s="9">
        <f t="shared" si="57"/>
        <v>5068039238.7415113</v>
      </c>
    </row>
    <row r="142" spans="32:48" x14ac:dyDescent="0.2">
      <c r="AF142" s="7">
        <f t="shared" si="58"/>
        <v>2018</v>
      </c>
      <c r="AG142" s="9">
        <f t="shared" si="57"/>
        <v>4963232196.242033</v>
      </c>
      <c r="AJ142" s="26">
        <f>(AG142-AG138)/AG138</f>
        <v>-6.0831976410121169E-2</v>
      </c>
    </row>
    <row r="143" spans="32:48" x14ac:dyDescent="0.2">
      <c r="AF143" s="5">
        <f t="shared" si="58"/>
        <v>2019</v>
      </c>
      <c r="AG143" s="6">
        <f t="shared" si="57"/>
        <v>4861591469.2917519</v>
      </c>
      <c r="AH143" s="26"/>
      <c r="AI143" s="26"/>
    </row>
    <row r="144" spans="32:48" x14ac:dyDescent="0.2">
      <c r="AF144" s="7">
        <f t="shared" si="58"/>
        <v>2019</v>
      </c>
      <c r="AG144" s="9">
        <f t="shared" si="57"/>
        <v>5485627117.5218229</v>
      </c>
      <c r="AK144">
        <v>1.0014888795000001</v>
      </c>
      <c r="AL144">
        <v>1.0014888795000001</v>
      </c>
      <c r="AU144">
        <v>1.0014888795000001</v>
      </c>
      <c r="AV144">
        <v>1.0014888795000001</v>
      </c>
    </row>
    <row r="145" spans="32:46" x14ac:dyDescent="0.2">
      <c r="AF145" s="7">
        <f t="shared" si="58"/>
        <v>2019</v>
      </c>
      <c r="AG145" s="9">
        <f t="shared" si="57"/>
        <v>5069990023.3072987</v>
      </c>
    </row>
    <row r="146" spans="32:46" x14ac:dyDescent="0.2">
      <c r="AF146" s="7">
        <f t="shared" si="58"/>
        <v>2019</v>
      </c>
      <c r="AG146" s="9">
        <f t="shared" si="57"/>
        <v>4587133830.6113644</v>
      </c>
      <c r="AJ146" s="26">
        <f>(AG146-AG142)/AG142</f>
        <v>-7.5776903187289066E-2</v>
      </c>
    </row>
    <row r="147" spans="32:46" x14ac:dyDescent="0.2">
      <c r="AF147" s="5">
        <f t="shared" si="58"/>
        <v>2020</v>
      </c>
      <c r="AG147" s="6">
        <f t="shared" si="57"/>
        <v>4751031329.6739063</v>
      </c>
      <c r="AH147" s="26"/>
      <c r="AI147" s="26"/>
      <c r="AK147">
        <f>100*AK144*AL144*AU144*AV144</f>
        <v>100.59688317798745</v>
      </c>
      <c r="AL147" s="26">
        <f>(AK147-100)/100</f>
        <v>5.9688317798745061E-3</v>
      </c>
      <c r="AM147" s="26"/>
      <c r="AN147" s="26"/>
      <c r="AO147" s="26"/>
      <c r="AP147" s="26"/>
      <c r="AQ147" s="26"/>
      <c r="AR147" s="26"/>
      <c r="AS147" s="26"/>
      <c r="AT147" s="26"/>
    </row>
    <row r="148" spans="32:46" x14ac:dyDescent="0.2">
      <c r="AF148" s="7">
        <f t="shared" si="58"/>
        <v>2020</v>
      </c>
      <c r="AG148" s="9">
        <f t="shared" si="57"/>
        <v>4876058469.928483</v>
      </c>
    </row>
    <row r="149" spans="32:46" x14ac:dyDescent="0.2">
      <c r="AF149" s="7">
        <f t="shared" si="58"/>
        <v>2020</v>
      </c>
      <c r="AG149" s="9">
        <f t="shared" si="57"/>
        <v>5126112750.4376354</v>
      </c>
      <c r="AH149" s="26">
        <f>AVERAGE(AJ138:AJ158)</f>
        <v>1.0570470617512207E-2</v>
      </c>
      <c r="AI149" s="26"/>
    </row>
    <row r="150" spans="32:46" x14ac:dyDescent="0.2">
      <c r="AF150" s="7">
        <f t="shared" si="58"/>
        <v>2020</v>
      </c>
      <c r="AG150" s="9">
        <f t="shared" si="57"/>
        <v>5251139890.6922131</v>
      </c>
      <c r="AJ150" s="26">
        <f>(AG150-AG146)/AG146</f>
        <v>0.14475401952516201</v>
      </c>
    </row>
    <row r="151" spans="32:46" x14ac:dyDescent="0.2">
      <c r="AF151" s="5">
        <f t="shared" si="58"/>
        <v>2021</v>
      </c>
      <c r="AG151" s="6">
        <f t="shared" si="57"/>
        <v>5230375545.8432121</v>
      </c>
      <c r="AH151" s="26"/>
      <c r="AI151" s="26"/>
    </row>
    <row r="152" spans="32:46" x14ac:dyDescent="0.2">
      <c r="AF152" s="7">
        <f t="shared" si="58"/>
        <v>2021</v>
      </c>
      <c r="AG152" s="9">
        <f t="shared" si="57"/>
        <v>5165910920.692009</v>
      </c>
    </row>
    <row r="153" spans="32:46" x14ac:dyDescent="0.2">
      <c r="AF153" s="7">
        <f t="shared" si="58"/>
        <v>2021</v>
      </c>
      <c r="AG153" s="9">
        <f t="shared" si="57"/>
        <v>5158692836.0709238</v>
      </c>
    </row>
    <row r="154" spans="32:46" x14ac:dyDescent="0.2">
      <c r="AF154" s="7">
        <f t="shared" si="58"/>
        <v>2021</v>
      </c>
      <c r="AG154" s="9">
        <f t="shared" si="57"/>
        <v>5170237762.388978</v>
      </c>
      <c r="AJ154" s="26">
        <f>(AG154-AG150)/AG150</f>
        <v>-1.5406584091700976E-2</v>
      </c>
    </row>
    <row r="155" spans="32:46" x14ac:dyDescent="0.2">
      <c r="AF155" s="5">
        <f t="shared" si="58"/>
        <v>2022</v>
      </c>
      <c r="AG155" s="6">
        <f t="shared" si="57"/>
        <v>5182683753.9924898</v>
      </c>
      <c r="AH155" s="26"/>
      <c r="AI155" s="26"/>
    </row>
    <row r="156" spans="32:46" x14ac:dyDescent="0.2">
      <c r="AF156" s="7">
        <f t="shared" si="58"/>
        <v>2022</v>
      </c>
      <c r="AG156" s="9">
        <f t="shared" si="57"/>
        <v>5212055943.4159765</v>
      </c>
    </row>
    <row r="157" spans="32:46" x14ac:dyDescent="0.2">
      <c r="AF157" s="7">
        <f t="shared" si="58"/>
        <v>2022</v>
      </c>
      <c r="AG157" s="9">
        <f t="shared" si="57"/>
        <v>5270247001.0214491</v>
      </c>
    </row>
    <row r="158" spans="32:46" x14ac:dyDescent="0.2">
      <c r="AF158" s="7">
        <f t="shared" si="58"/>
        <v>2022</v>
      </c>
      <c r="AG158" s="9">
        <f t="shared" si="57"/>
        <v>5303723563.2997494</v>
      </c>
      <c r="AJ158" s="26">
        <f>(AG158-AG154)/AG154</f>
        <v>2.5818116505553598E-2</v>
      </c>
    </row>
    <row r="159" spans="32:46" x14ac:dyDescent="0.2">
      <c r="AF159" s="5">
        <f t="shared" si="58"/>
        <v>2023</v>
      </c>
      <c r="AG159" s="6">
        <f t="shared" ref="AG159:AG190" si="59">AG46</f>
        <v>5367543385.6537476</v>
      </c>
      <c r="AH159" s="26"/>
      <c r="AI159" s="26"/>
    </row>
    <row r="160" spans="32:46" x14ac:dyDescent="0.2">
      <c r="AF160" s="7">
        <f t="shared" si="58"/>
        <v>2023</v>
      </c>
      <c r="AG160" s="9">
        <f t="shared" si="59"/>
        <v>5401415244.7296429</v>
      </c>
    </row>
    <row r="161" spans="32:36" x14ac:dyDescent="0.2">
      <c r="AF161" s="7">
        <f t="shared" si="58"/>
        <v>2023</v>
      </c>
      <c r="AG161" s="9">
        <f t="shared" si="59"/>
        <v>5462034895.8994951</v>
      </c>
    </row>
    <row r="162" spans="32:36" x14ac:dyDescent="0.2">
      <c r="AF162" s="7">
        <f t="shared" si="58"/>
        <v>2023</v>
      </c>
      <c r="AG162" s="9">
        <f t="shared" si="59"/>
        <v>5538765552.8547363</v>
      </c>
      <c r="AJ162" s="26">
        <f>(AG162-AG158)/AG158</f>
        <v>4.4316410301134528E-2</v>
      </c>
    </row>
    <row r="163" spans="32:36" x14ac:dyDescent="0.2">
      <c r="AF163" s="5">
        <f t="shared" ref="AF163:AF194" si="60">AF159+1</f>
        <v>2024</v>
      </c>
      <c r="AG163" s="6">
        <f t="shared" si="59"/>
        <v>5620861404.8366632</v>
      </c>
      <c r="AH163" s="26"/>
      <c r="AI163" s="26"/>
    </row>
    <row r="164" spans="32:36" x14ac:dyDescent="0.2">
      <c r="AF164" s="7">
        <f t="shared" si="60"/>
        <v>2024</v>
      </c>
      <c r="AG164" s="9">
        <f t="shared" si="59"/>
        <v>5639450470.1017923</v>
      </c>
    </row>
    <row r="165" spans="32:36" x14ac:dyDescent="0.2">
      <c r="AF165" s="7">
        <f t="shared" si="60"/>
        <v>2024</v>
      </c>
      <c r="AG165" s="9">
        <f t="shared" si="59"/>
        <v>5667258891.313715</v>
      </c>
    </row>
    <row r="166" spans="32:36" x14ac:dyDescent="0.2">
      <c r="AF166" s="7">
        <f t="shared" si="60"/>
        <v>2024</v>
      </c>
      <c r="AG166" s="9">
        <f t="shared" si="59"/>
        <v>5711909491.3604212</v>
      </c>
      <c r="AJ166" s="26">
        <f>(AG166-AG162)/AG162</f>
        <v>3.1260384078983933E-2</v>
      </c>
    </row>
    <row r="167" spans="32:36" x14ac:dyDescent="0.2">
      <c r="AF167" s="5">
        <f t="shared" si="60"/>
        <v>2025</v>
      </c>
      <c r="AG167" s="6">
        <f t="shared" si="59"/>
        <v>5753492032.1339474</v>
      </c>
      <c r="AH167" s="26"/>
      <c r="AI167" s="26"/>
    </row>
    <row r="168" spans="32:36" x14ac:dyDescent="0.2">
      <c r="AF168" s="7">
        <f t="shared" si="60"/>
        <v>2025</v>
      </c>
      <c r="AG168" s="9">
        <f t="shared" si="59"/>
        <v>5799841639.1297216</v>
      </c>
    </row>
    <row r="169" spans="32:36" x14ac:dyDescent="0.2">
      <c r="AF169" s="7">
        <f t="shared" si="60"/>
        <v>2025</v>
      </c>
      <c r="AG169" s="9">
        <f t="shared" si="59"/>
        <v>5835033108.4463663</v>
      </c>
    </row>
    <row r="170" spans="32:36" x14ac:dyDescent="0.2">
      <c r="AF170" s="7">
        <f t="shared" si="60"/>
        <v>2025</v>
      </c>
      <c r="AG170" s="9">
        <f t="shared" si="59"/>
        <v>5926114639.7665825</v>
      </c>
      <c r="AJ170" s="26">
        <f>(AG170-AG166)/AG166</f>
        <v>3.7501495555935967E-2</v>
      </c>
    </row>
    <row r="171" spans="32:36" x14ac:dyDescent="0.2">
      <c r="AF171" s="5">
        <f t="shared" si="60"/>
        <v>2026</v>
      </c>
      <c r="AG171" s="6">
        <f t="shared" si="59"/>
        <v>5961328548.8660555</v>
      </c>
      <c r="AH171" s="26"/>
      <c r="AI171" s="26"/>
    </row>
    <row r="172" spans="32:36" x14ac:dyDescent="0.2">
      <c r="AF172" s="7">
        <f t="shared" si="60"/>
        <v>2026</v>
      </c>
      <c r="AG172" s="9">
        <f t="shared" si="59"/>
        <v>6043680416.7803421</v>
      </c>
    </row>
    <row r="173" spans="32:36" x14ac:dyDescent="0.2">
      <c r="AF173" s="7">
        <f t="shared" si="60"/>
        <v>2026</v>
      </c>
      <c r="AG173" s="9">
        <f t="shared" si="59"/>
        <v>6074194127.9637251</v>
      </c>
    </row>
    <row r="174" spans="32:36" x14ac:dyDescent="0.2">
      <c r="AF174" s="7">
        <f t="shared" si="60"/>
        <v>2026</v>
      </c>
      <c r="AG174" s="9">
        <f t="shared" si="59"/>
        <v>6103179167.4032373</v>
      </c>
      <c r="AJ174" s="26">
        <f>(AG174-AG170)/AG170</f>
        <v>2.9878687538118408E-2</v>
      </c>
    </row>
    <row r="175" spans="32:36" x14ac:dyDescent="0.2">
      <c r="AF175" s="5">
        <f t="shared" si="60"/>
        <v>2027</v>
      </c>
      <c r="AG175" s="6">
        <f t="shared" si="59"/>
        <v>6166822204.04006</v>
      </c>
      <c r="AH175" s="26"/>
      <c r="AI175" s="26"/>
    </row>
    <row r="176" spans="32:36" x14ac:dyDescent="0.2">
      <c r="AF176" s="7">
        <f t="shared" si="60"/>
        <v>2027</v>
      </c>
      <c r="AG176" s="9">
        <f t="shared" si="59"/>
        <v>6210413448.0212355</v>
      </c>
    </row>
    <row r="177" spans="32:36" x14ac:dyDescent="0.2">
      <c r="AF177" s="7">
        <f t="shared" si="60"/>
        <v>2027</v>
      </c>
      <c r="AG177" s="9">
        <f t="shared" si="59"/>
        <v>6254056275.1257858</v>
      </c>
    </row>
    <row r="178" spans="32:36" x14ac:dyDescent="0.2">
      <c r="AF178" s="7">
        <f t="shared" si="60"/>
        <v>2027</v>
      </c>
      <c r="AG178" s="9">
        <f t="shared" si="59"/>
        <v>6309601029.1006479</v>
      </c>
      <c r="AJ178" s="26">
        <f>(AG178-AG174)/AG174</f>
        <v>3.3822022266673572E-2</v>
      </c>
    </row>
    <row r="179" spans="32:36" x14ac:dyDescent="0.2">
      <c r="AF179" s="5">
        <f t="shared" si="60"/>
        <v>2028</v>
      </c>
      <c r="AG179" s="6">
        <f t="shared" si="59"/>
        <v>6392936262.8669472</v>
      </c>
      <c r="AH179" s="26"/>
      <c r="AI179" s="26"/>
    </row>
    <row r="180" spans="32:36" x14ac:dyDescent="0.2">
      <c r="AF180" s="7">
        <f t="shared" si="60"/>
        <v>2028</v>
      </c>
      <c r="AG180" s="9">
        <f t="shared" si="59"/>
        <v>6417110731.2855387</v>
      </c>
    </row>
    <row r="181" spans="32:36" x14ac:dyDescent="0.2">
      <c r="AF181" s="7">
        <f t="shared" si="60"/>
        <v>2028</v>
      </c>
      <c r="AG181" s="9">
        <f t="shared" si="59"/>
        <v>6468512371.3437405</v>
      </c>
    </row>
    <row r="182" spans="32:36" x14ac:dyDescent="0.2">
      <c r="AF182" s="7">
        <f t="shared" si="60"/>
        <v>2028</v>
      </c>
      <c r="AG182" s="9">
        <f t="shared" si="59"/>
        <v>6533146848.5777168</v>
      </c>
      <c r="AJ182" s="26">
        <f>(AG182-AG178)/AG178</f>
        <v>3.5429469858085857E-2</v>
      </c>
    </row>
    <row r="183" spans="32:36" x14ac:dyDescent="0.2">
      <c r="AF183" s="5">
        <f t="shared" si="60"/>
        <v>2029</v>
      </c>
      <c r="AG183" s="6">
        <f t="shared" si="59"/>
        <v>6603308489.8345737</v>
      </c>
      <c r="AH183" s="26"/>
      <c r="AI183" s="26"/>
    </row>
    <row r="184" spans="32:36" x14ac:dyDescent="0.2">
      <c r="AF184" s="7">
        <f t="shared" si="60"/>
        <v>2029</v>
      </c>
      <c r="AG184" s="9">
        <f t="shared" si="59"/>
        <v>6639076779.6295652</v>
      </c>
    </row>
    <row r="185" spans="32:36" x14ac:dyDescent="0.2">
      <c r="AF185" s="7">
        <f t="shared" si="60"/>
        <v>2029</v>
      </c>
      <c r="AG185" s="9">
        <f t="shared" si="59"/>
        <v>6712907457.0948133</v>
      </c>
    </row>
    <row r="186" spans="32:36" x14ac:dyDescent="0.2">
      <c r="AF186" s="7">
        <f t="shared" si="60"/>
        <v>2029</v>
      </c>
      <c r="AG186" s="9">
        <f t="shared" si="59"/>
        <v>6761395310.9310284</v>
      </c>
      <c r="AJ186" s="26">
        <f>(AG186-AG182)/AG182</f>
        <v>3.4936986362552346E-2</v>
      </c>
    </row>
    <row r="187" spans="32:36" x14ac:dyDescent="0.2">
      <c r="AF187" s="5">
        <f t="shared" si="60"/>
        <v>2030</v>
      </c>
      <c r="AG187" s="6">
        <f t="shared" si="59"/>
        <v>6810366021.9924212</v>
      </c>
      <c r="AH187" s="26"/>
      <c r="AI187" s="26"/>
    </row>
    <row r="188" spans="32:36" x14ac:dyDescent="0.2">
      <c r="AF188" s="7">
        <f t="shared" si="60"/>
        <v>2030</v>
      </c>
      <c r="AG188" s="9">
        <f t="shared" si="59"/>
        <v>6815618793.7794161</v>
      </c>
    </row>
    <row r="189" spans="32:36" x14ac:dyDescent="0.2">
      <c r="AF189" s="7">
        <f t="shared" si="60"/>
        <v>2030</v>
      </c>
      <c r="AG189" s="9">
        <f t="shared" si="59"/>
        <v>6847732358.7046146</v>
      </c>
    </row>
    <row r="190" spans="32:36" x14ac:dyDescent="0.2">
      <c r="AF190" s="7">
        <f t="shared" si="60"/>
        <v>2030</v>
      </c>
      <c r="AG190" s="9">
        <f t="shared" si="59"/>
        <v>6905585427.0277338</v>
      </c>
      <c r="AJ190" s="26">
        <f>(AG190-AG186)/AG186</f>
        <v>2.1325497100220692E-2</v>
      </c>
    </row>
    <row r="191" spans="32:36" x14ac:dyDescent="0.2">
      <c r="AF191" s="5">
        <f t="shared" si="60"/>
        <v>2031</v>
      </c>
      <c r="AG191" s="6">
        <f t="shared" ref="AG191:AG222" si="61">AG78</f>
        <v>6962789890.0423193</v>
      </c>
      <c r="AH191" s="26"/>
      <c r="AI191" s="26"/>
    </row>
    <row r="192" spans="32:36" x14ac:dyDescent="0.2">
      <c r="AF192" s="7">
        <f t="shared" si="60"/>
        <v>2031</v>
      </c>
      <c r="AG192" s="9">
        <f t="shared" si="61"/>
        <v>6997336625.1061134</v>
      </c>
    </row>
    <row r="193" spans="32:36" x14ac:dyDescent="0.2">
      <c r="AF193" s="7">
        <f t="shared" si="60"/>
        <v>2031</v>
      </c>
      <c r="AG193" s="9">
        <f t="shared" si="61"/>
        <v>7037925970.611784</v>
      </c>
    </row>
    <row r="194" spans="32:36" x14ac:dyDescent="0.2">
      <c r="AF194" s="7">
        <f t="shared" si="60"/>
        <v>2031</v>
      </c>
      <c r="AG194" s="9">
        <f t="shared" si="61"/>
        <v>7085402784.360981</v>
      </c>
      <c r="AJ194" s="26">
        <f>(AG194-AG190)/AG190</f>
        <v>2.6039408133228067E-2</v>
      </c>
    </row>
    <row r="195" spans="32:36" x14ac:dyDescent="0.2">
      <c r="AF195" s="5">
        <f t="shared" ref="AF195:AF226" si="62">AF191+1</f>
        <v>2032</v>
      </c>
      <c r="AG195" s="6">
        <f t="shared" si="61"/>
        <v>7135406827.2208414</v>
      </c>
      <c r="AH195" s="26"/>
      <c r="AI195" s="26"/>
    </row>
    <row r="196" spans="32:36" x14ac:dyDescent="0.2">
      <c r="AF196" s="7">
        <f t="shared" si="62"/>
        <v>2032</v>
      </c>
      <c r="AG196" s="9">
        <f t="shared" si="61"/>
        <v>7175330994.2775431</v>
      </c>
    </row>
    <row r="197" spans="32:36" x14ac:dyDescent="0.2">
      <c r="AF197" s="7">
        <f t="shared" si="62"/>
        <v>2032</v>
      </c>
      <c r="AG197" s="9">
        <f t="shared" si="61"/>
        <v>7231311390.1664839</v>
      </c>
    </row>
    <row r="198" spans="32:36" x14ac:dyDescent="0.2">
      <c r="AF198" s="7">
        <f t="shared" si="62"/>
        <v>2032</v>
      </c>
      <c r="AG198" s="9">
        <f t="shared" si="61"/>
        <v>7262779713.7828207</v>
      </c>
      <c r="AJ198" s="26">
        <f>(AG198-AG194)/AG194</f>
        <v>2.5034134941961102E-2</v>
      </c>
    </row>
    <row r="199" spans="32:36" x14ac:dyDescent="0.2">
      <c r="AF199" s="5">
        <f t="shared" si="62"/>
        <v>2033</v>
      </c>
      <c r="AG199" s="6">
        <f t="shared" si="61"/>
        <v>7325803152.7788277</v>
      </c>
      <c r="AH199" s="26"/>
      <c r="AI199" s="26"/>
    </row>
    <row r="200" spans="32:36" x14ac:dyDescent="0.2">
      <c r="AF200" s="7">
        <f t="shared" si="62"/>
        <v>2033</v>
      </c>
      <c r="AG200" s="9">
        <f t="shared" si="61"/>
        <v>7361022195.5158739</v>
      </c>
    </row>
    <row r="201" spans="32:36" x14ac:dyDescent="0.2">
      <c r="AF201" s="7">
        <f t="shared" si="62"/>
        <v>2033</v>
      </c>
      <c r="AG201" s="9">
        <f t="shared" si="61"/>
        <v>7433849466.1865387</v>
      </c>
    </row>
    <row r="202" spans="32:36" x14ac:dyDescent="0.2">
      <c r="AF202" s="7">
        <f t="shared" si="62"/>
        <v>2033</v>
      </c>
      <c r="AG202" s="9">
        <f t="shared" si="61"/>
        <v>7470321321.7603235</v>
      </c>
      <c r="AJ202" s="26">
        <f>(AG202-AG198)/AG198</f>
        <v>2.8576057123644291E-2</v>
      </c>
    </row>
    <row r="203" spans="32:36" x14ac:dyDescent="0.2">
      <c r="AF203" s="5">
        <f t="shared" si="62"/>
        <v>2034</v>
      </c>
      <c r="AG203" s="6">
        <f t="shared" si="61"/>
        <v>7474322287.3695383</v>
      </c>
      <c r="AH203" s="26"/>
      <c r="AI203" s="26"/>
    </row>
    <row r="204" spans="32:36" x14ac:dyDescent="0.2">
      <c r="AF204" s="7">
        <f t="shared" si="62"/>
        <v>2034</v>
      </c>
      <c r="AG204" s="9">
        <f t="shared" si="61"/>
        <v>7533902664.7472897</v>
      </c>
    </row>
    <row r="205" spans="32:36" x14ac:dyDescent="0.2">
      <c r="AF205" s="7">
        <f t="shared" si="62"/>
        <v>2034</v>
      </c>
      <c r="AG205" s="9">
        <f t="shared" si="61"/>
        <v>7516181335.0224304</v>
      </c>
    </row>
    <row r="206" spans="32:36" x14ac:dyDescent="0.2">
      <c r="AF206" s="7">
        <f t="shared" si="62"/>
        <v>2034</v>
      </c>
      <c r="AG206" s="9">
        <f t="shared" si="61"/>
        <v>7575798204.6828947</v>
      </c>
      <c r="AJ206" s="26">
        <f>(AG206-AG202)/AG202</f>
        <v>1.4119457300360993E-2</v>
      </c>
    </row>
    <row r="207" spans="32:36" x14ac:dyDescent="0.2">
      <c r="AF207" s="5">
        <f t="shared" si="62"/>
        <v>2035</v>
      </c>
      <c r="AG207" s="6">
        <f t="shared" si="61"/>
        <v>7641514484.4090061</v>
      </c>
      <c r="AH207" s="26"/>
      <c r="AI207" s="26"/>
    </row>
    <row r="208" spans="32:36" x14ac:dyDescent="0.2">
      <c r="AF208" s="7">
        <f t="shared" si="62"/>
        <v>2035</v>
      </c>
      <c r="AG208" s="9">
        <f t="shared" si="61"/>
        <v>7708234706.8338366</v>
      </c>
    </row>
    <row r="209" spans="32:36" x14ac:dyDescent="0.2">
      <c r="AF209" s="7">
        <f t="shared" si="62"/>
        <v>2035</v>
      </c>
      <c r="AG209" s="9">
        <f t="shared" si="61"/>
        <v>7731958043.6254244</v>
      </c>
    </row>
    <row r="210" spans="32:36" x14ac:dyDescent="0.2">
      <c r="AF210" s="7">
        <f t="shared" si="62"/>
        <v>2035</v>
      </c>
      <c r="AG210" s="9">
        <f t="shared" si="61"/>
        <v>7779179484.341794</v>
      </c>
      <c r="AJ210" s="26">
        <f>(AG210-AG206)/AG206</f>
        <v>2.6846184938397837E-2</v>
      </c>
    </row>
    <row r="211" spans="32:36" x14ac:dyDescent="0.2">
      <c r="AF211" s="5">
        <f t="shared" si="62"/>
        <v>2036</v>
      </c>
      <c r="AG211" s="6">
        <f t="shared" si="61"/>
        <v>7818414719.8783436</v>
      </c>
      <c r="AH211" s="26"/>
      <c r="AI211" s="26"/>
    </row>
    <row r="212" spans="32:36" x14ac:dyDescent="0.2">
      <c r="AF212" s="7">
        <f t="shared" si="62"/>
        <v>2036</v>
      </c>
      <c r="AG212" s="9">
        <f t="shared" si="61"/>
        <v>7895506535.3754034</v>
      </c>
    </row>
    <row r="213" spans="32:36" x14ac:dyDescent="0.2">
      <c r="AF213" s="7">
        <f t="shared" si="62"/>
        <v>2036</v>
      </c>
      <c r="AG213" s="9">
        <f t="shared" si="61"/>
        <v>7949138177.2128954</v>
      </c>
    </row>
    <row r="214" spans="32:36" x14ac:dyDescent="0.2">
      <c r="AF214" s="7">
        <f t="shared" si="62"/>
        <v>2036</v>
      </c>
      <c r="AG214" s="9">
        <f t="shared" si="61"/>
        <v>7996948275.4805355</v>
      </c>
      <c r="AJ214" s="26">
        <f>(AG214-AG210)/AG210</f>
        <v>2.7993799548792282E-2</v>
      </c>
    </row>
    <row r="215" spans="32:36" x14ac:dyDescent="0.2">
      <c r="AF215" s="5">
        <f t="shared" si="62"/>
        <v>2037</v>
      </c>
      <c r="AG215" s="6">
        <f t="shared" si="61"/>
        <v>8045361894.9863729</v>
      </c>
      <c r="AH215" s="26"/>
      <c r="AI215" s="26"/>
    </row>
    <row r="216" spans="32:36" x14ac:dyDescent="0.2">
      <c r="AF216" s="7">
        <f t="shared" si="62"/>
        <v>2037</v>
      </c>
      <c r="AG216" s="9">
        <f t="shared" si="61"/>
        <v>8034177051.8681011</v>
      </c>
    </row>
    <row r="217" spans="32:36" x14ac:dyDescent="0.2">
      <c r="AF217" s="7">
        <f t="shared" si="62"/>
        <v>2037</v>
      </c>
      <c r="AG217" s="9">
        <f t="shared" si="61"/>
        <v>8084387968.8121347</v>
      </c>
    </row>
    <row r="218" spans="32:36" x14ac:dyDescent="0.2">
      <c r="AF218" s="7">
        <f t="shared" si="62"/>
        <v>2037</v>
      </c>
      <c r="AG218" s="9">
        <f t="shared" si="61"/>
        <v>8147374146.4666214</v>
      </c>
      <c r="AJ218" s="26">
        <f>(AG218-AG214)/AG214</f>
        <v>1.8810409396707875E-2</v>
      </c>
    </row>
    <row r="219" spans="32:36" x14ac:dyDescent="0.2">
      <c r="AF219" s="5">
        <f t="shared" si="62"/>
        <v>2038</v>
      </c>
      <c r="AG219" s="6">
        <f t="shared" si="61"/>
        <v>8221041392.4276419</v>
      </c>
      <c r="AH219" s="26"/>
      <c r="AI219" s="26"/>
    </row>
    <row r="220" spans="32:36" x14ac:dyDescent="0.2">
      <c r="AF220" s="7">
        <f t="shared" si="62"/>
        <v>2038</v>
      </c>
      <c r="AG220" s="9">
        <f t="shared" si="61"/>
        <v>8264099606.0479059</v>
      </c>
    </row>
    <row r="221" spans="32:36" x14ac:dyDescent="0.2">
      <c r="AF221" s="7">
        <f t="shared" si="62"/>
        <v>2038</v>
      </c>
      <c r="AG221" s="9">
        <f t="shared" si="61"/>
        <v>8317820613.2006779</v>
      </c>
    </row>
    <row r="222" spans="32:36" x14ac:dyDescent="0.2">
      <c r="AF222" s="7">
        <f t="shared" si="62"/>
        <v>2038</v>
      </c>
      <c r="AG222" s="9">
        <f t="shared" si="61"/>
        <v>8369170197.0811968</v>
      </c>
      <c r="AJ222" s="26">
        <f>(AG222-AG218)/AG218</f>
        <v>2.7223010337725142E-2</v>
      </c>
    </row>
    <row r="223" spans="32:36" x14ac:dyDescent="0.2">
      <c r="AF223" s="5">
        <f t="shared" si="62"/>
        <v>2039</v>
      </c>
      <c r="AG223" s="6">
        <f t="shared" ref="AG223:AG230" si="63">AG110</f>
        <v>8388887314.9237633</v>
      </c>
      <c r="AH223" s="26"/>
      <c r="AI223" s="26"/>
    </row>
    <row r="224" spans="32:36" x14ac:dyDescent="0.2">
      <c r="AF224" s="7">
        <f t="shared" si="62"/>
        <v>2039</v>
      </c>
      <c r="AG224" s="9">
        <f t="shared" si="63"/>
        <v>8400196828.0139532</v>
      </c>
    </row>
    <row r="225" spans="32:36" x14ac:dyDescent="0.2">
      <c r="AF225" s="7">
        <f t="shared" si="62"/>
        <v>2039</v>
      </c>
      <c r="AG225" s="9">
        <f t="shared" si="63"/>
        <v>8424223958.1972027</v>
      </c>
    </row>
    <row r="226" spans="32:36" x14ac:dyDescent="0.2">
      <c r="AF226" s="7">
        <f t="shared" si="62"/>
        <v>2039</v>
      </c>
      <c r="AG226" s="9">
        <f t="shared" si="63"/>
        <v>8437237040.3598824</v>
      </c>
      <c r="AJ226" s="26">
        <f>(AG226-AG222)/AG222</f>
        <v>8.133045651577778E-3</v>
      </c>
    </row>
    <row r="227" spans="32:36" x14ac:dyDescent="0.2">
      <c r="AF227" s="5">
        <f t="shared" ref="AF227:AF230" si="64">AF223+1</f>
        <v>2040</v>
      </c>
      <c r="AG227" s="6">
        <f t="shared" si="63"/>
        <v>8435468895.094079</v>
      </c>
      <c r="AH227" s="26"/>
      <c r="AI227" s="26"/>
    </row>
    <row r="228" spans="32:36" x14ac:dyDescent="0.2">
      <c r="AF228" s="7">
        <f t="shared" si="64"/>
        <v>2040</v>
      </c>
      <c r="AG228" s="9">
        <f t="shared" si="63"/>
        <v>8480884714.5319891</v>
      </c>
    </row>
    <row r="229" spans="32:36" x14ac:dyDescent="0.2">
      <c r="AF229" s="7">
        <f t="shared" si="64"/>
        <v>2040</v>
      </c>
      <c r="AG229" s="9">
        <f t="shared" si="63"/>
        <v>8543652754.3390369</v>
      </c>
    </row>
    <row r="230" spans="32:36" x14ac:dyDescent="0.2">
      <c r="AF230" s="7">
        <f t="shared" si="64"/>
        <v>2040</v>
      </c>
      <c r="AG230" s="9">
        <f t="shared" si="63"/>
        <v>8596091077.4876766</v>
      </c>
      <c r="AJ230" s="26">
        <f>(AG230-AG226)/AG226</f>
        <v>1.8827731918388595E-2</v>
      </c>
    </row>
  </sheetData>
  <mergeCells count="3">
    <mergeCell ref="AM1:AN1"/>
    <mergeCell ref="AQ1:AR1"/>
    <mergeCell ref="AS1:AT1"/>
  </mergeCells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  <drawing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5"/>
  <sheetViews>
    <sheetView topLeftCell="Q1" zoomScaleNormal="100" workbookViewId="0">
      <selection activeCell="D20" sqref="D20"/>
    </sheetView>
  </sheetViews>
  <sheetFormatPr baseColWidth="10" defaultColWidth="11.5703125" defaultRowHeight="12.75" x14ac:dyDescent="0.2"/>
  <sheetData>
    <row r="1" spans="1:10" x14ac:dyDescent="0.2">
      <c r="A1" t="s">
        <v>167</v>
      </c>
      <c r="B1" t="s">
        <v>184</v>
      </c>
      <c r="C1" t="s">
        <v>185</v>
      </c>
      <c r="D1" t="s">
        <v>186</v>
      </c>
      <c r="E1" t="s">
        <v>187</v>
      </c>
      <c r="F1" t="s">
        <v>188</v>
      </c>
      <c r="G1" t="s">
        <v>189</v>
      </c>
      <c r="H1" t="s">
        <v>190</v>
      </c>
      <c r="I1" t="s">
        <v>191</v>
      </c>
      <c r="J1" t="s">
        <v>192</v>
      </c>
    </row>
    <row r="2" spans="1:10" x14ac:dyDescent="0.2">
      <c r="A2">
        <v>49</v>
      </c>
      <c r="B2" s="126">
        <v>2734350.1604342898</v>
      </c>
      <c r="C2" s="126">
        <v>769150.97015674401</v>
      </c>
      <c r="D2" s="126">
        <v>1347875.48370656</v>
      </c>
      <c r="E2" s="126">
        <v>183870.104000691</v>
      </c>
      <c r="F2" s="126">
        <v>338093.92603819299</v>
      </c>
      <c r="G2" s="126">
        <v>31526.3823338806</v>
      </c>
      <c r="H2" s="126">
        <v>24077.130585327901</v>
      </c>
      <c r="I2" s="126">
        <v>31658.693543247198</v>
      </c>
      <c r="J2" s="126">
        <v>9202.3032489415109</v>
      </c>
    </row>
    <row r="3" spans="1:10" x14ac:dyDescent="0.2">
      <c r="A3">
        <v>50</v>
      </c>
      <c r="B3" s="126">
        <v>2477379.0710721002</v>
      </c>
      <c r="C3" s="126">
        <v>691195.42951627099</v>
      </c>
      <c r="D3" s="126">
        <v>1268052.4844006</v>
      </c>
      <c r="E3" s="126">
        <v>184400.11982974401</v>
      </c>
      <c r="F3" s="126">
        <v>245542.07630445599</v>
      </c>
      <c r="G3" s="126">
        <v>20998.508450175101</v>
      </c>
      <c r="H3" s="126">
        <v>29210.9064576864</v>
      </c>
      <c r="I3" s="126">
        <v>27931.670872308299</v>
      </c>
      <c r="J3" s="126">
        <v>10914.713194792101</v>
      </c>
    </row>
    <row r="4" spans="1:10" x14ac:dyDescent="0.2">
      <c r="A4">
        <v>51</v>
      </c>
      <c r="B4" s="126">
        <v>2917699.6469918601</v>
      </c>
      <c r="C4" s="126">
        <v>904566.57250971603</v>
      </c>
      <c r="D4" s="126">
        <v>1553931.86249794</v>
      </c>
      <c r="E4" s="126">
        <v>353100.647166009</v>
      </c>
      <c r="F4" s="126">
        <v>0</v>
      </c>
      <c r="G4" s="126">
        <v>3427.6882918648798</v>
      </c>
      <c r="H4" s="126">
        <v>28272.242477303898</v>
      </c>
      <c r="I4" s="126">
        <v>68274.6358079497</v>
      </c>
      <c r="J4" s="126">
        <v>7563.1135975167399</v>
      </c>
    </row>
    <row r="5" spans="1:10" x14ac:dyDescent="0.2">
      <c r="A5">
        <v>52</v>
      </c>
      <c r="B5" s="126">
        <v>2756313.5613886402</v>
      </c>
      <c r="C5" s="126">
        <v>868035.63624845503</v>
      </c>
      <c r="D5" s="126">
        <v>1446456.0985642199</v>
      </c>
      <c r="E5" s="126">
        <v>332075.99567223602</v>
      </c>
      <c r="F5" s="126">
        <v>0</v>
      </c>
      <c r="G5" s="126">
        <v>7651.38230010397</v>
      </c>
      <c r="H5" s="126">
        <v>38436.7963471556</v>
      </c>
      <c r="I5" s="126">
        <v>54213.397702074901</v>
      </c>
      <c r="J5" s="126">
        <v>10193.263057149101</v>
      </c>
    </row>
    <row r="6" spans="1:10" x14ac:dyDescent="0.2">
      <c r="A6">
        <v>53</v>
      </c>
      <c r="B6" s="126">
        <v>2795174.2785474602</v>
      </c>
      <c r="C6" s="126">
        <v>651983.94109105796</v>
      </c>
      <c r="D6" s="126">
        <v>1253642.50840363</v>
      </c>
      <c r="E6" s="126">
        <v>284415.40358836699</v>
      </c>
      <c r="F6" s="126">
        <v>535174.73604386998</v>
      </c>
      <c r="G6" s="126">
        <v>2963.3455188183898</v>
      </c>
      <c r="H6" s="126">
        <v>21138.0436511109</v>
      </c>
      <c r="I6" s="126">
        <v>39227.975011861599</v>
      </c>
      <c r="J6" s="126">
        <v>7113.0239142170503</v>
      </c>
    </row>
    <row r="7" spans="1:10" x14ac:dyDescent="0.2">
      <c r="A7">
        <v>54</v>
      </c>
      <c r="B7" s="126">
        <v>2827291.4696274698</v>
      </c>
      <c r="C7" s="126">
        <v>1170083.2953331</v>
      </c>
      <c r="D7" s="126">
        <v>1281417.8311383801</v>
      </c>
      <c r="E7" s="126">
        <v>283463.506387765</v>
      </c>
      <c r="F7" s="126">
        <v>0</v>
      </c>
      <c r="G7" s="126">
        <v>4262.2798932742899</v>
      </c>
      <c r="H7" s="126">
        <v>40692.4994081849</v>
      </c>
      <c r="I7" s="126">
        <v>41562.537068552003</v>
      </c>
      <c r="J7" s="126">
        <v>6701.7371039345298</v>
      </c>
    </row>
    <row r="8" spans="1:10" x14ac:dyDescent="0.2">
      <c r="A8">
        <v>55</v>
      </c>
      <c r="B8" s="126">
        <v>2477332.11619084</v>
      </c>
      <c r="C8" s="126">
        <v>912108.96168096201</v>
      </c>
      <c r="D8" s="126">
        <v>1195744.49461844</v>
      </c>
      <c r="E8" s="126">
        <v>265506.85023041401</v>
      </c>
      <c r="F8" s="126">
        <v>0</v>
      </c>
      <c r="G8" s="126">
        <v>3313.7921943367901</v>
      </c>
      <c r="H8" s="126">
        <v>44329.353283418503</v>
      </c>
      <c r="I8" s="126">
        <v>50876.204629566397</v>
      </c>
      <c r="J8" s="126">
        <v>5933.3474534431298</v>
      </c>
    </row>
    <row r="9" spans="1:10" x14ac:dyDescent="0.2">
      <c r="A9">
        <v>56</v>
      </c>
      <c r="B9" s="126">
        <v>3910348.4398604999</v>
      </c>
      <c r="C9" s="126">
        <v>2134725.58721156</v>
      </c>
      <c r="D9" s="126">
        <v>1259565.9398380099</v>
      </c>
      <c r="E9" s="126">
        <v>345441.10718408198</v>
      </c>
      <c r="F9" s="126">
        <v>0</v>
      </c>
      <c r="G9" s="126">
        <v>6017.2083657851399</v>
      </c>
      <c r="H9" s="126">
        <v>88039.777341046196</v>
      </c>
      <c r="I9" s="126">
        <v>63419.974456047501</v>
      </c>
      <c r="J9" s="126">
        <v>13138.845463973399</v>
      </c>
    </row>
    <row r="10" spans="1:10" x14ac:dyDescent="0.2">
      <c r="A10">
        <v>57</v>
      </c>
      <c r="B10" s="126">
        <v>4298955.2818495603</v>
      </c>
      <c r="C10" s="126">
        <v>1860159.2830527199</v>
      </c>
      <c r="D10" s="126">
        <v>1247158.55143378</v>
      </c>
      <c r="E10" s="126">
        <v>324705.61349666998</v>
      </c>
      <c r="F10" s="126">
        <v>748947.79747651401</v>
      </c>
      <c r="G10" s="126">
        <v>5410.3119628129198</v>
      </c>
      <c r="H10" s="126">
        <v>73375.670961486496</v>
      </c>
      <c r="I10" s="126">
        <v>29279.8648550301</v>
      </c>
      <c r="J10" s="126">
        <v>10554.2742020238</v>
      </c>
    </row>
    <row r="11" spans="1:10" x14ac:dyDescent="0.2">
      <c r="A11">
        <v>58</v>
      </c>
      <c r="B11" s="126">
        <v>3938877.9385907399</v>
      </c>
      <c r="C11" s="126">
        <v>2230764.05068608</v>
      </c>
      <c r="D11" s="126">
        <v>1220883.1962009601</v>
      </c>
      <c r="E11" s="126">
        <v>356978.10376777902</v>
      </c>
      <c r="F11" s="126">
        <v>0</v>
      </c>
      <c r="G11" s="126">
        <v>9241.4314699725201</v>
      </c>
      <c r="H11" s="126">
        <v>64519.830333290003</v>
      </c>
      <c r="I11" s="126">
        <v>48573.108992106601</v>
      </c>
      <c r="J11" s="126">
        <v>8445.2629139734199</v>
      </c>
    </row>
    <row r="12" spans="1:10" x14ac:dyDescent="0.2">
      <c r="A12">
        <v>59</v>
      </c>
      <c r="B12" s="126">
        <v>3599109.6687936001</v>
      </c>
      <c r="C12" s="126">
        <v>1918501.0977874701</v>
      </c>
      <c r="D12" s="126">
        <v>1188096.3688737999</v>
      </c>
      <c r="E12" s="126">
        <v>338899.42995552497</v>
      </c>
      <c r="F12" s="126">
        <v>0</v>
      </c>
      <c r="G12" s="126">
        <v>6384.1577092603302</v>
      </c>
      <c r="H12" s="126">
        <v>87888.102756436696</v>
      </c>
      <c r="I12" s="126">
        <v>49450.610055502999</v>
      </c>
      <c r="J12" s="126">
        <v>10394.7851948797</v>
      </c>
    </row>
    <row r="13" spans="1:10" x14ac:dyDescent="0.2">
      <c r="A13">
        <v>60</v>
      </c>
      <c r="B13" s="126">
        <v>4011961.89295399</v>
      </c>
      <c r="C13" s="126">
        <v>2267425.7876067101</v>
      </c>
      <c r="D13" s="126">
        <v>1215955.5322420001</v>
      </c>
      <c r="E13" s="126">
        <v>356955.85452758003</v>
      </c>
      <c r="F13" s="126">
        <v>0</v>
      </c>
      <c r="G13" s="126">
        <v>8826.3347645486501</v>
      </c>
      <c r="H13" s="126">
        <v>94195.999445809401</v>
      </c>
      <c r="I13" s="126">
        <v>57454.140355548698</v>
      </c>
      <c r="J13" s="126">
        <v>11693.7191805119</v>
      </c>
    </row>
    <row r="14" spans="1:10" x14ac:dyDescent="0.2">
      <c r="A14">
        <v>61</v>
      </c>
      <c r="B14" s="126">
        <v>4266309.0881141396</v>
      </c>
      <c r="C14" s="126">
        <v>1928232.3305719499</v>
      </c>
      <c r="D14" s="126">
        <v>1138999.25175111</v>
      </c>
      <c r="E14" s="126">
        <v>330167.47012015502</v>
      </c>
      <c r="F14" s="126">
        <v>751592.02600721503</v>
      </c>
      <c r="G14" s="126">
        <v>7111.3847304971196</v>
      </c>
      <c r="H14" s="126">
        <v>70362.409533424201</v>
      </c>
      <c r="I14" s="126">
        <v>30362.2381592399</v>
      </c>
      <c r="J14" s="126">
        <v>9401.8887272460397</v>
      </c>
    </row>
    <row r="15" spans="1:10" x14ac:dyDescent="0.2">
      <c r="A15">
        <v>62</v>
      </c>
      <c r="B15" s="126">
        <v>3381171.9076419398</v>
      </c>
      <c r="C15" s="126">
        <v>1760055.19447752</v>
      </c>
      <c r="D15" s="126">
        <v>1203221.7802499901</v>
      </c>
      <c r="E15" s="126">
        <v>303010.35263953602</v>
      </c>
      <c r="F15" s="126">
        <v>0</v>
      </c>
      <c r="G15" s="126">
        <v>5731.1748018523704</v>
      </c>
      <c r="H15" s="126">
        <v>61480.511532752898</v>
      </c>
      <c r="I15" s="126">
        <v>40145.211063717499</v>
      </c>
      <c r="J15" s="126">
        <v>7527.6828765807804</v>
      </c>
    </row>
    <row r="16" spans="1:10" x14ac:dyDescent="0.2">
      <c r="A16">
        <v>63</v>
      </c>
      <c r="B16" s="126">
        <v>3202284.51980686</v>
      </c>
      <c r="C16" s="126">
        <v>1650605.4874675099</v>
      </c>
      <c r="D16" s="126">
        <v>1128289.4808683</v>
      </c>
      <c r="E16" s="126">
        <v>304202.81445459399</v>
      </c>
      <c r="F16" s="126">
        <v>0</v>
      </c>
      <c r="G16" s="126">
        <v>6998.3735356965599</v>
      </c>
      <c r="H16" s="126">
        <v>59194.503470797703</v>
      </c>
      <c r="I16" s="126">
        <v>44619.146161516997</v>
      </c>
      <c r="J16" s="126">
        <v>8301.3282202095106</v>
      </c>
    </row>
    <row r="17" spans="1:10" x14ac:dyDescent="0.2">
      <c r="A17">
        <v>64</v>
      </c>
      <c r="B17" s="126">
        <v>3094422.0848161099</v>
      </c>
      <c r="C17" s="126">
        <v>1631090.2463114001</v>
      </c>
      <c r="D17" s="126">
        <v>1067520.7644215701</v>
      </c>
      <c r="E17" s="126">
        <v>290199.66397496301</v>
      </c>
      <c r="F17" s="126">
        <v>0</v>
      </c>
      <c r="G17" s="126">
        <v>8729.5321517894899</v>
      </c>
      <c r="H17" s="126">
        <v>45863.2774661453</v>
      </c>
      <c r="I17" s="126">
        <v>43419.257478473097</v>
      </c>
      <c r="J17" s="126">
        <v>7638.2604606453096</v>
      </c>
    </row>
    <row r="18" spans="1:10" x14ac:dyDescent="0.2">
      <c r="A18">
        <v>65</v>
      </c>
      <c r="B18" s="126">
        <v>3259346.22416976</v>
      </c>
      <c r="C18" s="126">
        <v>1392902.4701723999</v>
      </c>
      <c r="D18" s="126">
        <v>924786.69167026097</v>
      </c>
      <c r="E18" s="126">
        <v>262146.66705242603</v>
      </c>
      <c r="F18" s="126">
        <v>581421.04141712398</v>
      </c>
      <c r="G18" s="126">
        <v>3600.5191196702899</v>
      </c>
      <c r="H18" s="126">
        <v>56100.702337887102</v>
      </c>
      <c r="I18" s="126">
        <v>31390.9564292344</v>
      </c>
      <c r="J18" s="126">
        <v>7538.0824646804704</v>
      </c>
    </row>
    <row r="19" spans="1:10" x14ac:dyDescent="0.2">
      <c r="A19">
        <v>66</v>
      </c>
      <c r="B19" s="126">
        <v>2983961.9475735398</v>
      </c>
      <c r="C19" s="126">
        <v>1319457.73217813</v>
      </c>
      <c r="D19" s="126">
        <v>1303521.122</v>
      </c>
      <c r="E19" s="126">
        <v>262100.962664791</v>
      </c>
      <c r="F19" s="126">
        <v>0</v>
      </c>
      <c r="G19" s="126">
        <v>6226.8337983413203</v>
      </c>
      <c r="H19" s="126">
        <v>57000.390473340602</v>
      </c>
      <c r="I19" s="126">
        <v>28836.220393227701</v>
      </c>
      <c r="J19" s="126">
        <v>6853.9645250144104</v>
      </c>
    </row>
    <row r="20" spans="1:10" x14ac:dyDescent="0.2">
      <c r="A20">
        <v>67</v>
      </c>
      <c r="B20" s="126">
        <v>2898475.5343221901</v>
      </c>
      <c r="C20" s="126">
        <v>1328813.60378935</v>
      </c>
      <c r="D20" s="126">
        <v>1217859.45838</v>
      </c>
      <c r="E20" s="126">
        <v>261585.41992676299</v>
      </c>
      <c r="F20" s="126">
        <v>0</v>
      </c>
      <c r="G20" s="126">
        <v>7957.9775431091302</v>
      </c>
      <c r="H20" s="126">
        <v>44365.563583325202</v>
      </c>
      <c r="I20" s="126">
        <v>32640.328922518402</v>
      </c>
      <c r="J20" s="126">
        <v>6036.8824848500499</v>
      </c>
    </row>
    <row r="21" spans="1:10" x14ac:dyDescent="0.2">
      <c r="A21">
        <v>68</v>
      </c>
      <c r="B21" s="126">
        <v>3099126.45636561</v>
      </c>
      <c r="C21" s="126">
        <v>1415633.72806566</v>
      </c>
      <c r="D21" s="126">
        <v>1329992.93142</v>
      </c>
      <c r="E21" s="126">
        <v>267548.65829524002</v>
      </c>
      <c r="F21" s="126">
        <v>0</v>
      </c>
      <c r="G21" s="126">
        <v>3839.7653984714202</v>
      </c>
      <c r="H21" s="126">
        <v>45504.9043145783</v>
      </c>
      <c r="I21" s="126">
        <v>30887.770629774401</v>
      </c>
      <c r="J21" s="126">
        <v>5875.6312061465596</v>
      </c>
    </row>
    <row r="22" spans="1:10" x14ac:dyDescent="0.2">
      <c r="A22">
        <v>69</v>
      </c>
      <c r="B22" s="126">
        <v>3405935.7178099002</v>
      </c>
      <c r="C22" s="126">
        <v>1341330.1005749099</v>
      </c>
      <c r="D22" s="126">
        <v>1146912.9419398</v>
      </c>
      <c r="E22" s="126">
        <v>260030.743273067</v>
      </c>
      <c r="F22" s="126">
        <v>560332.93465637194</v>
      </c>
      <c r="G22" s="126">
        <v>6639.1253124402701</v>
      </c>
      <c r="H22" s="126">
        <v>53458.128646459998</v>
      </c>
      <c r="I22" s="126">
        <v>30651.582323635601</v>
      </c>
      <c r="J22" s="126">
        <v>6820.9044036557798</v>
      </c>
    </row>
    <row r="23" spans="1:10" x14ac:dyDescent="0.2">
      <c r="A23">
        <v>70</v>
      </c>
      <c r="B23" s="126">
        <v>2525999.0208238899</v>
      </c>
      <c r="C23" s="126">
        <v>1269267.7113676399</v>
      </c>
      <c r="D23" s="126">
        <v>921758.41761683696</v>
      </c>
      <c r="E23" s="126">
        <v>246952.25010797501</v>
      </c>
      <c r="F23" s="126">
        <v>0</v>
      </c>
      <c r="G23" s="126">
        <v>2635.8934443002599</v>
      </c>
      <c r="H23" s="126">
        <v>41757.841462060402</v>
      </c>
      <c r="I23" s="126">
        <v>38238.084744208303</v>
      </c>
      <c r="J23" s="126">
        <v>5423.20253057625</v>
      </c>
    </row>
    <row r="24" spans="1:10" x14ac:dyDescent="0.2">
      <c r="A24">
        <v>71</v>
      </c>
      <c r="B24" s="126">
        <v>2488087.7885496598</v>
      </c>
      <c r="C24" s="126">
        <v>1250119.8221016999</v>
      </c>
      <c r="D24" s="126">
        <v>903426.79672071303</v>
      </c>
      <c r="E24" s="126">
        <v>247495.70214231301</v>
      </c>
      <c r="F24" s="126">
        <v>0</v>
      </c>
      <c r="G24" s="126">
        <v>5805.2913319932604</v>
      </c>
      <c r="H24" s="126">
        <v>47274.448958740701</v>
      </c>
      <c r="I24" s="126">
        <v>26472.997023400101</v>
      </c>
      <c r="J24" s="126">
        <v>7609.9656522000996</v>
      </c>
    </row>
    <row r="25" spans="1:10" x14ac:dyDescent="0.2">
      <c r="A25">
        <v>72</v>
      </c>
      <c r="B25" s="126">
        <v>2440069.9704746301</v>
      </c>
      <c r="C25" s="126">
        <v>1183255.42999445</v>
      </c>
      <c r="D25" s="126">
        <v>918419.07346800796</v>
      </c>
      <c r="E25" s="126">
        <v>242864.89757285401</v>
      </c>
      <c r="F25" s="126">
        <v>0</v>
      </c>
      <c r="G25" s="126">
        <v>6031.3403576237797</v>
      </c>
      <c r="H25" s="126">
        <v>36013.316800079599</v>
      </c>
      <c r="I25" s="126">
        <v>47737.318566801398</v>
      </c>
      <c r="J25" s="126">
        <v>5864.5205582727303</v>
      </c>
    </row>
    <row r="26" spans="1:10" x14ac:dyDescent="0.2">
      <c r="A26">
        <v>73</v>
      </c>
      <c r="B26" s="126">
        <v>2993575.4548451002</v>
      </c>
      <c r="C26" s="126">
        <v>1219225.8982444601</v>
      </c>
      <c r="D26" s="126">
        <v>894760.59959165496</v>
      </c>
      <c r="E26" s="126">
        <v>244659.332574862</v>
      </c>
      <c r="F26" s="126">
        <v>539536.83653709502</v>
      </c>
      <c r="G26" s="126">
        <v>4674.5909118523596</v>
      </c>
      <c r="H26" s="126">
        <v>39287.758801286902</v>
      </c>
      <c r="I26" s="126">
        <v>45783.136078100702</v>
      </c>
      <c r="J26" s="126">
        <v>5847.8334682146497</v>
      </c>
    </row>
    <row r="27" spans="1:10" x14ac:dyDescent="0.2">
      <c r="A27">
        <v>74</v>
      </c>
      <c r="B27" s="126">
        <v>2714204.96872357</v>
      </c>
      <c r="C27" s="126">
        <v>1394198.60564695</v>
      </c>
      <c r="D27" s="126">
        <v>943294.34664562799</v>
      </c>
      <c r="E27" s="126">
        <v>256241.979542077</v>
      </c>
      <c r="F27" s="126">
        <v>0</v>
      </c>
      <c r="G27" s="126">
        <v>5995.6863518894697</v>
      </c>
      <c r="H27" s="126">
        <v>55623.666068314502</v>
      </c>
      <c r="I27" s="126">
        <v>52644.550029316502</v>
      </c>
      <c r="J27" s="126">
        <v>6145.2547531468899</v>
      </c>
    </row>
    <row r="28" spans="1:10" x14ac:dyDescent="0.2">
      <c r="A28">
        <v>75</v>
      </c>
      <c r="B28" s="126">
        <v>2586523.5526245302</v>
      </c>
      <c r="C28" s="126">
        <v>1297891.51453871</v>
      </c>
      <c r="D28" s="126">
        <v>929161.83252175304</v>
      </c>
      <c r="E28" s="126">
        <v>253348.26023804399</v>
      </c>
      <c r="F28" s="126">
        <v>0</v>
      </c>
      <c r="G28" s="126">
        <v>4006.9471669827299</v>
      </c>
      <c r="H28" s="126">
        <v>58655.154205761602</v>
      </c>
      <c r="I28" s="126">
        <v>35606.849142423198</v>
      </c>
      <c r="J28" s="126">
        <v>7792.4766459379598</v>
      </c>
    </row>
    <row r="29" spans="1:10" x14ac:dyDescent="0.2">
      <c r="A29">
        <v>76</v>
      </c>
      <c r="B29" s="126">
        <v>2600338.0526545998</v>
      </c>
      <c r="C29" s="126">
        <v>1334126.59640407</v>
      </c>
      <c r="D29" s="126">
        <v>916324.31894234603</v>
      </c>
      <c r="E29" s="126">
        <v>253934.98248790199</v>
      </c>
      <c r="F29" s="126">
        <v>0</v>
      </c>
      <c r="G29" s="126">
        <v>6221.6973010352503</v>
      </c>
      <c r="H29" s="126">
        <v>53980.827334974201</v>
      </c>
      <c r="I29" s="126">
        <v>27370.7770785826</v>
      </c>
      <c r="J29" s="126">
        <v>8415.3399019905501</v>
      </c>
    </row>
    <row r="30" spans="1:10" x14ac:dyDescent="0.2">
      <c r="A30">
        <v>77</v>
      </c>
      <c r="B30" s="126">
        <v>3189411.4635069501</v>
      </c>
      <c r="C30" s="126">
        <v>1282576.17313917</v>
      </c>
      <c r="D30" s="126">
        <v>974922.03724334901</v>
      </c>
      <c r="E30" s="126">
        <v>255640.64770475199</v>
      </c>
      <c r="F30" s="126">
        <v>573460.30732915399</v>
      </c>
      <c r="G30" s="126">
        <v>6510.7154469961397</v>
      </c>
      <c r="H30" s="126">
        <v>55104.537050620696</v>
      </c>
      <c r="I30" s="126">
        <v>34617.238356677699</v>
      </c>
      <c r="J30" s="126">
        <v>6666.0918367824297</v>
      </c>
    </row>
    <row r="31" spans="1:10" x14ac:dyDescent="0.2">
      <c r="A31">
        <v>78</v>
      </c>
      <c r="B31" s="126">
        <v>2663518.93236872</v>
      </c>
      <c r="C31" s="126">
        <v>1412947.1054299199</v>
      </c>
      <c r="D31" s="126">
        <v>882941.41506928904</v>
      </c>
      <c r="E31" s="126">
        <v>254289.81817055799</v>
      </c>
      <c r="F31" s="126">
        <v>0</v>
      </c>
      <c r="G31" s="126">
        <v>6508.45888099283</v>
      </c>
      <c r="H31" s="126">
        <v>63339.720509998202</v>
      </c>
      <c r="I31" s="126">
        <v>34931.667247674697</v>
      </c>
      <c r="J31" s="126">
        <v>8616.9459405285506</v>
      </c>
    </row>
    <row r="32" spans="1:10" x14ac:dyDescent="0.2">
      <c r="A32">
        <v>79</v>
      </c>
      <c r="B32" s="126">
        <v>2721816.71542355</v>
      </c>
      <c r="C32" s="126">
        <v>1446112.45295071</v>
      </c>
      <c r="D32" s="126">
        <v>894224.732952466</v>
      </c>
      <c r="E32" s="126">
        <v>258226.714438575</v>
      </c>
      <c r="F32" s="126">
        <v>0</v>
      </c>
      <c r="G32" s="126">
        <v>9450.7297646295792</v>
      </c>
      <c r="H32" s="126">
        <v>55013.685760226101</v>
      </c>
      <c r="I32" s="126">
        <v>49696.461256085502</v>
      </c>
      <c r="J32" s="126">
        <v>9249.0747595417797</v>
      </c>
    </row>
    <row r="33" spans="1:10" x14ac:dyDescent="0.2">
      <c r="A33">
        <v>80</v>
      </c>
      <c r="B33" s="126">
        <v>2745367.33114621</v>
      </c>
      <c r="C33" s="126">
        <v>1498848.2765543801</v>
      </c>
      <c r="D33" s="126">
        <v>884660.48973419203</v>
      </c>
      <c r="E33" s="126">
        <v>260333.844007134</v>
      </c>
      <c r="F33" s="126">
        <v>0</v>
      </c>
      <c r="G33" s="126">
        <v>5752.7035136866598</v>
      </c>
      <c r="H33" s="126">
        <v>55492.752073600503</v>
      </c>
      <c r="I33" s="126">
        <v>32570.372490811598</v>
      </c>
      <c r="J33" s="126">
        <v>7766.3363077878903</v>
      </c>
    </row>
    <row r="34" spans="1:10" x14ac:dyDescent="0.2">
      <c r="A34">
        <v>81</v>
      </c>
      <c r="B34" s="126">
        <v>3286002.5795242898</v>
      </c>
      <c r="C34" s="126">
        <v>1438372.4533633401</v>
      </c>
      <c r="D34" s="126">
        <v>892285.25977687805</v>
      </c>
      <c r="E34" s="126">
        <v>262951.50743711903</v>
      </c>
      <c r="F34" s="126">
        <v>586104.78142878995</v>
      </c>
      <c r="G34" s="126">
        <v>7609.56196567598</v>
      </c>
      <c r="H34" s="126">
        <v>57961.280632334303</v>
      </c>
      <c r="I34" s="126">
        <v>33110.127841539899</v>
      </c>
      <c r="J34" s="126">
        <v>7819.47825571667</v>
      </c>
    </row>
    <row r="35" spans="1:10" x14ac:dyDescent="0.2">
      <c r="A35">
        <v>82</v>
      </c>
      <c r="B35" s="126">
        <v>2775336.96494686</v>
      </c>
      <c r="C35" s="126">
        <v>1473231.9510219099</v>
      </c>
      <c r="D35" s="126">
        <v>934006.65148978797</v>
      </c>
      <c r="E35" s="126">
        <v>263763.455837966</v>
      </c>
      <c r="F35" s="126">
        <v>0</v>
      </c>
      <c r="G35" s="126">
        <v>8741.7702764768892</v>
      </c>
      <c r="H35" s="126">
        <v>49260.810245007997</v>
      </c>
      <c r="I35" s="126">
        <v>39187.4397983772</v>
      </c>
      <c r="J35" s="126">
        <v>7235.4446546117497</v>
      </c>
    </row>
    <row r="36" spans="1:10" x14ac:dyDescent="0.2">
      <c r="A36">
        <v>83</v>
      </c>
      <c r="B36" s="126">
        <v>2772575.6518691201</v>
      </c>
      <c r="C36" s="126">
        <v>1506768.4302740199</v>
      </c>
      <c r="D36" s="126">
        <v>906963.44692257803</v>
      </c>
      <c r="E36" s="126">
        <v>261753.743490297</v>
      </c>
      <c r="F36" s="126">
        <v>0</v>
      </c>
      <c r="G36" s="126">
        <v>5272.5430012487504</v>
      </c>
      <c r="H36" s="126">
        <v>35682.767567685099</v>
      </c>
      <c r="I36" s="126">
        <v>50312.397193659999</v>
      </c>
      <c r="J36" s="126">
        <v>5756.0667940520398</v>
      </c>
    </row>
    <row r="37" spans="1:10" x14ac:dyDescent="0.2">
      <c r="A37">
        <v>84</v>
      </c>
      <c r="B37" s="126">
        <v>2771037.8028255198</v>
      </c>
      <c r="C37" s="126">
        <v>1475877.6944846599</v>
      </c>
      <c r="D37" s="126">
        <v>921908.91849940096</v>
      </c>
      <c r="E37" s="126">
        <v>260807.182579585</v>
      </c>
      <c r="F37" s="126">
        <v>0</v>
      </c>
      <c r="G37" s="126">
        <v>5096.5631803490996</v>
      </c>
      <c r="H37" s="126">
        <v>46836.477576139201</v>
      </c>
      <c r="I37" s="126">
        <v>53027.267297225997</v>
      </c>
      <c r="J37" s="126">
        <v>7413.9114185961098</v>
      </c>
    </row>
    <row r="38" spans="1:10" x14ac:dyDescent="0.2">
      <c r="A38">
        <v>85</v>
      </c>
      <c r="B38" s="126">
        <v>3344804.8025938398</v>
      </c>
      <c r="C38" s="126">
        <v>1466888.68978582</v>
      </c>
      <c r="D38" s="126">
        <v>904811.72644718003</v>
      </c>
      <c r="E38" s="126">
        <v>265010.72823275899</v>
      </c>
      <c r="F38" s="126">
        <v>594325.05259276903</v>
      </c>
      <c r="G38" s="126">
        <v>6247.96030470595</v>
      </c>
      <c r="H38" s="126">
        <v>54044.573976948799</v>
      </c>
      <c r="I38" s="126">
        <v>46660.861352964901</v>
      </c>
      <c r="J38" s="126">
        <v>6744.5905838232502</v>
      </c>
    </row>
    <row r="39" spans="1:10" x14ac:dyDescent="0.2">
      <c r="A39">
        <v>86</v>
      </c>
      <c r="B39" s="126">
        <v>2808143.8890133002</v>
      </c>
      <c r="C39" s="126">
        <v>1480987.8213687399</v>
      </c>
      <c r="D39" s="126">
        <v>940863.89927808696</v>
      </c>
      <c r="E39" s="126">
        <v>263364.73224489501</v>
      </c>
      <c r="F39" s="126">
        <v>0</v>
      </c>
      <c r="G39" s="126">
        <v>8023.0178792646302</v>
      </c>
      <c r="H39" s="126">
        <v>56954.491120124199</v>
      </c>
      <c r="I39" s="126">
        <v>50047.981507634198</v>
      </c>
      <c r="J39" s="126">
        <v>8001.3648898703796</v>
      </c>
    </row>
    <row r="40" spans="1:10" x14ac:dyDescent="0.2">
      <c r="A40">
        <v>87</v>
      </c>
      <c r="B40" s="126">
        <v>2754317.3965952401</v>
      </c>
      <c r="C40" s="126">
        <v>1478733.5437198</v>
      </c>
      <c r="D40" s="126">
        <v>894952.14638665097</v>
      </c>
      <c r="E40" s="126">
        <v>264154.98704049102</v>
      </c>
      <c r="F40" s="126">
        <v>0</v>
      </c>
      <c r="G40" s="126">
        <v>8879.2453777671199</v>
      </c>
      <c r="H40" s="126">
        <v>54059.586469201196</v>
      </c>
      <c r="I40" s="126">
        <v>46457.538165725498</v>
      </c>
      <c r="J40" s="126">
        <v>7080.34943560188</v>
      </c>
    </row>
    <row r="41" spans="1:10" x14ac:dyDescent="0.2">
      <c r="A41">
        <v>88</v>
      </c>
      <c r="B41" s="126">
        <v>2778794.1646482898</v>
      </c>
      <c r="C41" s="126">
        <v>1491630.71967616</v>
      </c>
      <c r="D41" s="126">
        <v>906000.889988221</v>
      </c>
      <c r="E41" s="126">
        <v>266367.57412898203</v>
      </c>
      <c r="F41" s="126">
        <v>0</v>
      </c>
      <c r="G41" s="126">
        <v>7162.0740836679697</v>
      </c>
      <c r="H41" s="126">
        <v>59591.727308775298</v>
      </c>
      <c r="I41" s="126">
        <v>39589.095921109903</v>
      </c>
      <c r="J41" s="126">
        <v>8238.2795431262603</v>
      </c>
    </row>
    <row r="42" spans="1:10" x14ac:dyDescent="0.2">
      <c r="A42">
        <v>89</v>
      </c>
      <c r="B42" s="126">
        <v>3323361.32131411</v>
      </c>
      <c r="C42" s="126">
        <v>1514799.88038238</v>
      </c>
      <c r="D42" s="126">
        <v>857025.86250326899</v>
      </c>
      <c r="E42" s="126">
        <v>268182.64677146601</v>
      </c>
      <c r="F42" s="126">
        <v>586162.089294996</v>
      </c>
      <c r="G42" s="126">
        <v>7704.5070105447303</v>
      </c>
      <c r="H42" s="126">
        <v>55190.269443163299</v>
      </c>
      <c r="I42" s="126">
        <v>27402.221863914699</v>
      </c>
      <c r="J42" s="126">
        <v>6699.9687890708501</v>
      </c>
    </row>
    <row r="43" spans="1:10" x14ac:dyDescent="0.2">
      <c r="A43">
        <v>90</v>
      </c>
      <c r="B43" s="126">
        <v>2836904.5936078299</v>
      </c>
      <c r="C43" s="126">
        <v>1536306.0616601601</v>
      </c>
      <c r="D43" s="126">
        <v>906173.64004689106</v>
      </c>
      <c r="E43" s="126">
        <v>270411.51309278799</v>
      </c>
      <c r="F43" s="126">
        <v>0</v>
      </c>
      <c r="G43" s="126">
        <v>6210.2931625748097</v>
      </c>
      <c r="H43" s="126">
        <v>57177.314923022801</v>
      </c>
      <c r="I43" s="126">
        <v>53352.753737950603</v>
      </c>
      <c r="J43" s="126">
        <v>7195.3134161941498</v>
      </c>
    </row>
    <row r="44" spans="1:10" x14ac:dyDescent="0.2">
      <c r="A44">
        <v>91</v>
      </c>
      <c r="B44" s="126">
        <v>2814876.5476746601</v>
      </c>
      <c r="C44" s="126">
        <v>1583931.5366663199</v>
      </c>
      <c r="D44" s="126">
        <v>862225.16819247894</v>
      </c>
      <c r="E44" s="126">
        <v>267900.17919031001</v>
      </c>
      <c r="F44" s="126">
        <v>0</v>
      </c>
      <c r="G44" s="126">
        <v>6382.4627427885198</v>
      </c>
      <c r="H44" s="126">
        <v>51108.4080273527</v>
      </c>
      <c r="I44" s="126">
        <v>35103.7824892106</v>
      </c>
      <c r="J44" s="126">
        <v>8225.0103661986104</v>
      </c>
    </row>
    <row r="45" spans="1:10" x14ac:dyDescent="0.2">
      <c r="A45">
        <v>92</v>
      </c>
      <c r="B45" s="126">
        <v>2800244.42586328</v>
      </c>
      <c r="C45" s="126">
        <v>1537407.9350224501</v>
      </c>
      <c r="D45" s="126">
        <v>894825.75581354997</v>
      </c>
      <c r="E45" s="126">
        <v>269969.61109247699</v>
      </c>
      <c r="F45" s="126">
        <v>0</v>
      </c>
      <c r="G45" s="126">
        <v>7250.91283769644</v>
      </c>
      <c r="H45" s="126">
        <v>54328.976443186802</v>
      </c>
      <c r="I45" s="126">
        <v>28222.709216503001</v>
      </c>
      <c r="J45" s="126">
        <v>8229.8367107697304</v>
      </c>
    </row>
    <row r="46" spans="1:10" x14ac:dyDescent="0.2">
      <c r="A46">
        <v>93</v>
      </c>
      <c r="B46" s="126">
        <v>3365901.7054506</v>
      </c>
      <c r="C46" s="126">
        <v>1549968.02562816</v>
      </c>
      <c r="D46" s="126">
        <v>850072.96972185699</v>
      </c>
      <c r="E46" s="126">
        <v>271180.63240383699</v>
      </c>
      <c r="F46" s="126">
        <v>596505.15874325705</v>
      </c>
      <c r="G46" s="126">
        <v>5250.0785288296001</v>
      </c>
      <c r="H46" s="126">
        <v>51678.565897847599</v>
      </c>
      <c r="I46" s="126">
        <v>34587.724148973197</v>
      </c>
      <c r="J46" s="126">
        <v>6764.88345418667</v>
      </c>
    </row>
    <row r="47" spans="1:10" x14ac:dyDescent="0.2">
      <c r="A47">
        <v>94</v>
      </c>
      <c r="B47" s="126">
        <v>2825970.02720743</v>
      </c>
      <c r="C47" s="126">
        <v>1602114.17895627</v>
      </c>
      <c r="D47" s="126">
        <v>827226.45106599899</v>
      </c>
      <c r="E47" s="126">
        <v>271063.91349271999</v>
      </c>
      <c r="F47" s="126">
        <v>0</v>
      </c>
      <c r="G47" s="126">
        <v>8782.4313623090002</v>
      </c>
      <c r="H47" s="126">
        <v>65028.993917351203</v>
      </c>
      <c r="I47" s="126">
        <v>43461.564751530103</v>
      </c>
      <c r="J47" s="126">
        <v>8429.1796755109699</v>
      </c>
    </row>
    <row r="48" spans="1:10" x14ac:dyDescent="0.2">
      <c r="A48">
        <v>95</v>
      </c>
      <c r="B48" s="126">
        <v>2772747.7682754798</v>
      </c>
      <c r="C48" s="126">
        <v>1530078.3267681701</v>
      </c>
      <c r="D48" s="126">
        <v>864912.23769368604</v>
      </c>
      <c r="E48" s="126">
        <v>267902.35094368103</v>
      </c>
      <c r="F48" s="126">
        <v>0</v>
      </c>
      <c r="G48" s="126">
        <v>6069.6613218068796</v>
      </c>
      <c r="H48" s="126">
        <v>51335.096604173603</v>
      </c>
      <c r="I48" s="126">
        <v>44804.023249043203</v>
      </c>
      <c r="J48" s="126">
        <v>7791.6461688187001</v>
      </c>
    </row>
    <row r="49" spans="1:10" x14ac:dyDescent="0.2">
      <c r="A49">
        <v>96</v>
      </c>
      <c r="B49" s="126">
        <v>2716718.0873253602</v>
      </c>
      <c r="C49" s="126">
        <v>1454201.2051140601</v>
      </c>
      <c r="D49" s="126">
        <v>900898.07934206899</v>
      </c>
      <c r="E49" s="126">
        <v>266146.811693992</v>
      </c>
      <c r="F49" s="126">
        <v>0</v>
      </c>
      <c r="G49" s="126">
        <v>4115.0610404110203</v>
      </c>
      <c r="H49" s="126">
        <v>49425.421215720897</v>
      </c>
      <c r="I49" s="126">
        <v>36456.1555533438</v>
      </c>
      <c r="J49" s="126">
        <v>6146.8058926739805</v>
      </c>
    </row>
    <row r="50" spans="1:10" x14ac:dyDescent="0.2">
      <c r="A50">
        <v>97</v>
      </c>
      <c r="B50" s="126">
        <v>3298960.0597018399</v>
      </c>
      <c r="C50" s="126">
        <v>1421112.97833611</v>
      </c>
      <c r="D50" s="126">
        <v>929349.52610741998</v>
      </c>
      <c r="E50" s="126">
        <v>264080.41819287703</v>
      </c>
      <c r="F50" s="126">
        <v>587920.03708338295</v>
      </c>
      <c r="G50" s="126">
        <v>5446.5485950826096</v>
      </c>
      <c r="H50" s="126">
        <v>50332.403816475402</v>
      </c>
      <c r="I50" s="126">
        <v>40008.718325105401</v>
      </c>
      <c r="J50" s="126">
        <v>7497.6274102398302</v>
      </c>
    </row>
    <row r="51" spans="1:10" x14ac:dyDescent="0.2">
      <c r="A51">
        <v>98</v>
      </c>
      <c r="B51" s="126">
        <v>2720131.5209379899</v>
      </c>
      <c r="C51" s="126">
        <v>1490376.45665052</v>
      </c>
      <c r="D51" s="126">
        <v>859502.71222703101</v>
      </c>
      <c r="E51" s="126">
        <v>263340.85008821101</v>
      </c>
      <c r="F51" s="126">
        <v>0</v>
      </c>
      <c r="G51" s="126">
        <v>4608.0627144320997</v>
      </c>
      <c r="H51" s="126">
        <v>57454.4822141927</v>
      </c>
      <c r="I51" s="126">
        <v>38357.597717267803</v>
      </c>
      <c r="J51" s="126">
        <v>7447.5325078339902</v>
      </c>
    </row>
    <row r="52" spans="1:10" x14ac:dyDescent="0.2">
      <c r="A52">
        <v>99</v>
      </c>
      <c r="B52" s="126">
        <v>2718303.5255623399</v>
      </c>
      <c r="C52" s="126">
        <v>1531681.96159676</v>
      </c>
      <c r="D52" s="126">
        <v>817058.93460941501</v>
      </c>
      <c r="E52" s="126">
        <v>265919.71298119699</v>
      </c>
      <c r="F52" s="126">
        <v>0</v>
      </c>
      <c r="G52" s="126">
        <v>7763.6956071182803</v>
      </c>
      <c r="H52" s="126">
        <v>52529.762447065499</v>
      </c>
      <c r="I52" s="126">
        <v>40800.799872030802</v>
      </c>
      <c r="J52" s="126">
        <v>8321.5427941585403</v>
      </c>
    </row>
    <row r="53" spans="1:10" x14ac:dyDescent="0.2">
      <c r="A53">
        <v>100</v>
      </c>
      <c r="B53" s="126">
        <v>2649455.6283675199</v>
      </c>
      <c r="C53" s="126">
        <v>1472303.5655080101</v>
      </c>
      <c r="D53" s="126">
        <v>821531.73949183803</v>
      </c>
      <c r="E53" s="126">
        <v>267863.18865011702</v>
      </c>
      <c r="F53" s="126">
        <v>0</v>
      </c>
      <c r="G53" s="126">
        <v>4736.4757798951496</v>
      </c>
      <c r="H53" s="126">
        <v>48768.864578344997</v>
      </c>
      <c r="I53" s="126">
        <v>33287.690061461697</v>
      </c>
      <c r="J53" s="126">
        <v>6639.2754490268499</v>
      </c>
    </row>
    <row r="54" spans="1:10" x14ac:dyDescent="0.2">
      <c r="A54">
        <v>101</v>
      </c>
      <c r="B54" s="126">
        <v>3261022.2520727301</v>
      </c>
      <c r="C54" s="126">
        <v>1492376.5730113699</v>
      </c>
      <c r="D54" s="126">
        <v>828342.52959991596</v>
      </c>
      <c r="E54" s="126">
        <v>267934.68642325199</v>
      </c>
      <c r="F54" s="126">
        <v>588324.01952622703</v>
      </c>
      <c r="G54" s="126">
        <v>6450.1564541517</v>
      </c>
      <c r="H54" s="126">
        <v>44721.174115961097</v>
      </c>
      <c r="I54" s="126">
        <v>32933.196780341801</v>
      </c>
      <c r="J54" s="126">
        <v>7263.69477936559</v>
      </c>
    </row>
    <row r="55" spans="1:10" x14ac:dyDescent="0.2">
      <c r="A55">
        <v>102</v>
      </c>
      <c r="B55" s="126">
        <v>2623228.5723278699</v>
      </c>
      <c r="C55" s="126">
        <v>1458283.41905785</v>
      </c>
      <c r="D55" s="126">
        <v>821758.32432716899</v>
      </c>
      <c r="E55" s="126">
        <v>267983.977936699</v>
      </c>
      <c r="F55" s="126">
        <v>0</v>
      </c>
      <c r="G55" s="126">
        <v>9170.97437202724</v>
      </c>
      <c r="H55" s="126">
        <v>41322.087028628201</v>
      </c>
      <c r="I55" s="126">
        <v>23612.876055242901</v>
      </c>
      <c r="J55" s="126">
        <v>6867.5411130243701</v>
      </c>
    </row>
    <row r="56" spans="1:10" x14ac:dyDescent="0.2">
      <c r="A56">
        <v>103</v>
      </c>
      <c r="B56" s="126">
        <v>2604663.5541501399</v>
      </c>
      <c r="C56" s="126">
        <v>1463525.7971783599</v>
      </c>
      <c r="D56" s="126">
        <v>799438.75637048006</v>
      </c>
      <c r="E56" s="126">
        <v>265214.35367433401</v>
      </c>
      <c r="F56" s="126">
        <v>0</v>
      </c>
      <c r="G56" s="126">
        <v>6200.0857027195298</v>
      </c>
      <c r="H56" s="126">
        <v>47357.437172414997</v>
      </c>
      <c r="I56" s="126">
        <v>21705.001604525802</v>
      </c>
      <c r="J56" s="126">
        <v>7951.3174689299904</v>
      </c>
    </row>
    <row r="57" spans="1:10" x14ac:dyDescent="0.2">
      <c r="A57">
        <v>104</v>
      </c>
      <c r="B57" s="126">
        <v>2633155.13932213</v>
      </c>
      <c r="C57" s="126">
        <v>1513142.92502661</v>
      </c>
      <c r="D57" s="126">
        <v>776234.94458534801</v>
      </c>
      <c r="E57" s="126">
        <v>263034.15938369499</v>
      </c>
      <c r="F57" s="126">
        <v>0</v>
      </c>
      <c r="G57" s="126">
        <v>4901.2137844610097</v>
      </c>
      <c r="H57" s="126">
        <v>50667.8774936548</v>
      </c>
      <c r="I57" s="126">
        <v>24894.742527048398</v>
      </c>
      <c r="J57" s="126">
        <v>6773.6818702167402</v>
      </c>
    </row>
    <row r="58" spans="1:10" x14ac:dyDescent="0.2">
      <c r="A58">
        <v>105</v>
      </c>
      <c r="B58" s="126">
        <v>3217000.3620819901</v>
      </c>
      <c r="C58" s="126">
        <v>1544693.89315683</v>
      </c>
      <c r="D58" s="126">
        <v>741039.41190382699</v>
      </c>
      <c r="E58" s="126">
        <v>259235.741948315</v>
      </c>
      <c r="F58" s="126">
        <v>588225.07410767605</v>
      </c>
      <c r="G58" s="126">
        <v>5119.7595354404402</v>
      </c>
      <c r="H58" s="126">
        <v>55078.341284578397</v>
      </c>
      <c r="I58" s="126">
        <v>22500.767722398199</v>
      </c>
      <c r="J58" s="126">
        <v>8573.5075456674203</v>
      </c>
    </row>
    <row r="59" spans="1:10" x14ac:dyDescent="0.2">
      <c r="A59">
        <v>106</v>
      </c>
      <c r="B59" s="126">
        <v>2603003.3070610701</v>
      </c>
      <c r="C59" s="126">
        <v>1492531.7534322401</v>
      </c>
      <c r="D59" s="126">
        <v>764145.23711019801</v>
      </c>
      <c r="E59" s="126">
        <v>259954.83056345399</v>
      </c>
      <c r="F59" s="126">
        <v>0</v>
      </c>
      <c r="G59" s="126">
        <v>6306.1578749844803</v>
      </c>
      <c r="H59" s="126">
        <v>48488.688672279997</v>
      </c>
      <c r="I59" s="126">
        <v>24453.326539100701</v>
      </c>
      <c r="J59" s="126">
        <v>6910.2990250222601</v>
      </c>
    </row>
    <row r="60" spans="1:10" x14ac:dyDescent="0.2">
      <c r="A60">
        <v>107</v>
      </c>
      <c r="B60" s="126">
        <v>2522509.9872310702</v>
      </c>
      <c r="C60" s="126">
        <v>1382548.62407183</v>
      </c>
      <c r="D60" s="126">
        <v>792356.27685588202</v>
      </c>
      <c r="E60" s="126">
        <v>256689.785761137</v>
      </c>
      <c r="F60" s="126">
        <v>0</v>
      </c>
      <c r="G60" s="126">
        <v>8705.7446917238503</v>
      </c>
      <c r="H60" s="126">
        <v>48058.1383446572</v>
      </c>
      <c r="I60" s="126">
        <v>28445.857311501299</v>
      </c>
      <c r="J60" s="126">
        <v>6398.0085420421201</v>
      </c>
    </row>
    <row r="61" spans="1:10" x14ac:dyDescent="0.2">
      <c r="A61">
        <v>108</v>
      </c>
      <c r="B61" s="126">
        <v>2541885.4210006702</v>
      </c>
      <c r="C61" s="126">
        <v>1399801.5325443801</v>
      </c>
      <c r="D61" s="126">
        <v>805455.74226019497</v>
      </c>
      <c r="E61" s="126">
        <v>257293.07721515701</v>
      </c>
      <c r="F61" s="126">
        <v>0</v>
      </c>
      <c r="G61" s="126">
        <v>8071.0176237944397</v>
      </c>
      <c r="H61" s="126">
        <v>46905.048516303199</v>
      </c>
      <c r="I61" s="126">
        <v>24001.859898507799</v>
      </c>
      <c r="J61" s="126">
        <v>6167.3669501268896</v>
      </c>
    </row>
    <row r="62" spans="1:10" x14ac:dyDescent="0.2">
      <c r="A62">
        <v>109</v>
      </c>
      <c r="B62" s="126">
        <v>3127925.94550446</v>
      </c>
      <c r="C62" s="126">
        <v>1377940.71051881</v>
      </c>
      <c r="D62" s="126">
        <v>827235.15319097601</v>
      </c>
      <c r="E62" s="126">
        <v>254916.92859891901</v>
      </c>
      <c r="F62" s="126">
        <v>581069.31553044496</v>
      </c>
      <c r="G62" s="126">
        <v>7557.2789231440502</v>
      </c>
      <c r="H62" s="126">
        <v>56304.975189881799</v>
      </c>
      <c r="I62" s="126">
        <v>21293.2852669696</v>
      </c>
      <c r="J62" s="126">
        <v>8515.7439760878406</v>
      </c>
    </row>
    <row r="63" spans="1:10" x14ac:dyDescent="0.2">
      <c r="A63">
        <v>110</v>
      </c>
      <c r="B63" s="126">
        <v>2501260.3961401898</v>
      </c>
      <c r="C63" s="126">
        <v>1302206.0829423401</v>
      </c>
      <c r="D63" s="126">
        <v>854200.77447559999</v>
      </c>
      <c r="E63" s="126">
        <v>253696.91338678601</v>
      </c>
      <c r="F63" s="126">
        <v>0</v>
      </c>
      <c r="G63" s="126">
        <v>4017.70065273315</v>
      </c>
      <c r="H63" s="126">
        <v>53325.043429411096</v>
      </c>
      <c r="I63" s="126">
        <v>32348.469718026299</v>
      </c>
      <c r="J63" s="126">
        <v>6644.0531454717702</v>
      </c>
    </row>
    <row r="64" spans="1:10" x14ac:dyDescent="0.2">
      <c r="A64">
        <v>111</v>
      </c>
      <c r="B64" s="126">
        <v>2500309.6209170599</v>
      </c>
      <c r="C64" s="126">
        <v>1398908.5372826401</v>
      </c>
      <c r="D64" s="126">
        <v>766508.57224480505</v>
      </c>
      <c r="E64" s="126">
        <v>254005.230646821</v>
      </c>
      <c r="F64" s="126">
        <v>0</v>
      </c>
      <c r="G64" s="126">
        <v>5708.67615527818</v>
      </c>
      <c r="H64" s="126">
        <v>48486.237708027402</v>
      </c>
      <c r="I64" s="126">
        <v>24081.436275035001</v>
      </c>
      <c r="J64" s="126">
        <v>8095.5373942344904</v>
      </c>
    </row>
    <row r="65" spans="1:10" x14ac:dyDescent="0.2">
      <c r="A65">
        <v>112</v>
      </c>
      <c r="B65" s="126">
        <v>2523079.7903453899</v>
      </c>
      <c r="C65" s="126">
        <v>1390479.0371387401</v>
      </c>
      <c r="D65" s="126">
        <v>801925.65823498298</v>
      </c>
      <c r="E65" s="126">
        <v>253049.181926032</v>
      </c>
      <c r="F65" s="126">
        <v>0</v>
      </c>
      <c r="G65" s="126">
        <v>6361.6219784200803</v>
      </c>
      <c r="H65" s="126">
        <v>50433.009229076801</v>
      </c>
      <c r="I65" s="126">
        <v>17155.1921976505</v>
      </c>
      <c r="J65" s="126">
        <v>8755.7359862228695</v>
      </c>
    </row>
    <row r="66" spans="1:10" x14ac:dyDescent="0.2">
      <c r="A66">
        <v>113</v>
      </c>
      <c r="B66" s="126">
        <v>3021949.2640672498</v>
      </c>
      <c r="C66" s="126">
        <v>1349545.9412839401</v>
      </c>
      <c r="D66" s="126">
        <v>754299.33529219998</v>
      </c>
      <c r="E66" s="126">
        <v>252828.095516178</v>
      </c>
      <c r="F66" s="126">
        <v>560332.70953126601</v>
      </c>
      <c r="G66" s="126">
        <v>9179.4131760912896</v>
      </c>
      <c r="H66" s="126">
        <v>66708.444196836295</v>
      </c>
      <c r="I66" s="126">
        <v>26362.942927672299</v>
      </c>
      <c r="J66" s="126">
        <v>9641.6835498187302</v>
      </c>
    </row>
    <row r="67" spans="1:10" x14ac:dyDescent="0.2">
      <c r="A67">
        <v>114</v>
      </c>
      <c r="B67" s="126">
        <v>2451091.8532886798</v>
      </c>
      <c r="C67" s="126">
        <v>1383481.2218077199</v>
      </c>
      <c r="D67" s="126">
        <v>749565.79781014705</v>
      </c>
      <c r="E67" s="126">
        <v>250792.27559307899</v>
      </c>
      <c r="F67" s="126">
        <v>0</v>
      </c>
      <c r="G67" s="126">
        <v>5967.4634713981304</v>
      </c>
      <c r="H67" s="126">
        <v>36684.139375403101</v>
      </c>
      <c r="I67" s="126">
        <v>23692.941686858099</v>
      </c>
      <c r="J67" s="126">
        <v>5186.4142423254598</v>
      </c>
    </row>
    <row r="68" spans="1:10" x14ac:dyDescent="0.2">
      <c r="A68">
        <v>115</v>
      </c>
      <c r="B68" s="126">
        <v>2409263.7826527501</v>
      </c>
      <c r="C68" s="126">
        <v>1384694.28693384</v>
      </c>
      <c r="D68" s="126">
        <v>692904.93397218396</v>
      </c>
      <c r="E68" s="126">
        <v>250872.16536819001</v>
      </c>
      <c r="F68" s="126">
        <v>0</v>
      </c>
      <c r="G68" s="126">
        <v>8261.5447374536798</v>
      </c>
      <c r="H68" s="126">
        <v>46635.592596202398</v>
      </c>
      <c r="I68" s="126">
        <v>24523.258534076602</v>
      </c>
      <c r="J68" s="126">
        <v>6589.6052411319697</v>
      </c>
    </row>
    <row r="69" spans="1:10" x14ac:dyDescent="0.2">
      <c r="A69">
        <v>116</v>
      </c>
      <c r="B69" s="126">
        <v>2408228.54767698</v>
      </c>
      <c r="C69" s="126">
        <v>1395896.1702679901</v>
      </c>
      <c r="D69" s="126">
        <v>678149.344302463</v>
      </c>
      <c r="E69" s="126">
        <v>253503.62869967899</v>
      </c>
      <c r="F69" s="126">
        <v>0</v>
      </c>
      <c r="G69" s="126">
        <v>9203.0585544973492</v>
      </c>
      <c r="H69" s="126">
        <v>46146.060781997599</v>
      </c>
      <c r="I69" s="126">
        <v>22781.7151322764</v>
      </c>
      <c r="J69" s="126">
        <v>7806.9039034628704</v>
      </c>
    </row>
    <row r="70" spans="1:10" x14ac:dyDescent="0.2">
      <c r="A70">
        <v>117</v>
      </c>
      <c r="B70" s="126">
        <v>3012476.6073453301</v>
      </c>
      <c r="C70" s="126">
        <v>1395277.3428626901</v>
      </c>
      <c r="D70" s="126">
        <v>706933.02404750697</v>
      </c>
      <c r="E70" s="126">
        <v>253548.53861131199</v>
      </c>
      <c r="F70" s="126">
        <v>562227.76512798504</v>
      </c>
      <c r="G70" s="126">
        <v>10336.627527005699</v>
      </c>
      <c r="H70" s="126">
        <v>57801.594014504699</v>
      </c>
      <c r="I70" s="126">
        <v>23362.2543919694</v>
      </c>
      <c r="J70" s="126">
        <v>9126.8519366868695</v>
      </c>
    </row>
    <row r="71" spans="1:10" x14ac:dyDescent="0.2">
      <c r="A71">
        <v>118</v>
      </c>
      <c r="B71" s="126">
        <v>2385147.2669955501</v>
      </c>
      <c r="C71" s="126">
        <v>1347022.45183124</v>
      </c>
      <c r="D71" s="126">
        <v>702059.68624627998</v>
      </c>
      <c r="E71" s="126">
        <v>252231.47183375299</v>
      </c>
      <c r="F71" s="126">
        <v>0</v>
      </c>
      <c r="G71" s="126">
        <v>8313.4152278260808</v>
      </c>
      <c r="H71" s="126">
        <v>46046.672783153801</v>
      </c>
      <c r="I71" s="126">
        <v>29209.362050551601</v>
      </c>
      <c r="J71" s="126">
        <v>6236.1052845620798</v>
      </c>
    </row>
    <row r="72" spans="1:10" x14ac:dyDescent="0.2">
      <c r="A72">
        <v>119</v>
      </c>
      <c r="B72" s="126">
        <v>2399805.9130778802</v>
      </c>
      <c r="C72" s="126">
        <v>1322970.9202058599</v>
      </c>
      <c r="D72" s="126">
        <v>742599.438761089</v>
      </c>
      <c r="E72" s="126">
        <v>251394.73024117801</v>
      </c>
      <c r="F72" s="126">
        <v>0</v>
      </c>
      <c r="G72" s="126">
        <v>6613.0276829152499</v>
      </c>
      <c r="H72" s="126">
        <v>45600.657510790799</v>
      </c>
      <c r="I72" s="126">
        <v>24995.0003746722</v>
      </c>
      <c r="J72" s="126">
        <v>6788.5489900622497</v>
      </c>
    </row>
    <row r="73" spans="1:10" x14ac:dyDescent="0.2">
      <c r="A73">
        <v>120</v>
      </c>
      <c r="B73" s="126">
        <v>2377267.2871029498</v>
      </c>
      <c r="C73" s="126">
        <v>1344324.76559081</v>
      </c>
      <c r="D73" s="126">
        <v>696760.57834593102</v>
      </c>
      <c r="E73" s="126">
        <v>251033.94890989401</v>
      </c>
      <c r="F73" s="126">
        <v>0</v>
      </c>
      <c r="G73" s="126">
        <v>7310.1065644494602</v>
      </c>
      <c r="H73" s="126">
        <v>48668.187222200097</v>
      </c>
      <c r="I73" s="126">
        <v>28599.636375955899</v>
      </c>
      <c r="J73" s="126">
        <v>6352.4813314332496</v>
      </c>
    </row>
    <row r="74" spans="1:10" x14ac:dyDescent="0.2">
      <c r="A74">
        <v>121</v>
      </c>
      <c r="B74" s="126">
        <v>2946293.9959543399</v>
      </c>
      <c r="C74" s="126">
        <v>1357258.4365691601</v>
      </c>
      <c r="D74" s="126">
        <v>690794.15854369698</v>
      </c>
      <c r="E74" s="126">
        <v>251366.860662794</v>
      </c>
      <c r="F74" s="126">
        <v>554374.65936221904</v>
      </c>
      <c r="G74" s="126">
        <v>5786.8295885762</v>
      </c>
      <c r="H74" s="126">
        <v>60080.653101377196</v>
      </c>
      <c r="I74" s="126">
        <v>22706.510977239399</v>
      </c>
      <c r="J74" s="126">
        <v>10236.443870860499</v>
      </c>
    </row>
    <row r="75" spans="1:10" x14ac:dyDescent="0.2">
      <c r="A75">
        <v>122</v>
      </c>
      <c r="B75" s="126">
        <v>2334284.6492057801</v>
      </c>
      <c r="C75" s="126">
        <v>1340600.6746166099</v>
      </c>
      <c r="D75" s="126">
        <v>667477.69480196701</v>
      </c>
      <c r="E75" s="126">
        <v>250195.604985499</v>
      </c>
      <c r="F75" s="126">
        <v>0</v>
      </c>
      <c r="G75" s="126">
        <v>5364.4706881521497</v>
      </c>
      <c r="H75" s="126">
        <v>43309.170259051702</v>
      </c>
      <c r="I75" s="126">
        <v>23678.5004412323</v>
      </c>
      <c r="J75" s="126">
        <v>8719.0179258476292</v>
      </c>
    </row>
    <row r="76" spans="1:10" x14ac:dyDescent="0.2">
      <c r="A76">
        <v>123</v>
      </c>
      <c r="B76" s="126">
        <v>2297461.7794499998</v>
      </c>
      <c r="C76" s="126">
        <v>1306919.1510946699</v>
      </c>
      <c r="D76" s="126">
        <v>673928.66849830805</v>
      </c>
      <c r="E76" s="126">
        <v>248811.97474913401</v>
      </c>
      <c r="F76" s="126">
        <v>0</v>
      </c>
      <c r="G76" s="126">
        <v>6636.8670723298701</v>
      </c>
      <c r="H76" s="126">
        <v>35740.284248251002</v>
      </c>
      <c r="I76" s="126">
        <v>22939.040399187699</v>
      </c>
      <c r="J76" s="126">
        <v>6737.7598090649399</v>
      </c>
    </row>
    <row r="77" spans="1:10" x14ac:dyDescent="0.2">
      <c r="A77">
        <v>124</v>
      </c>
      <c r="B77" s="126">
        <v>2296123.3663973799</v>
      </c>
      <c r="C77" s="126">
        <v>1326727.35763199</v>
      </c>
      <c r="D77" s="126">
        <v>640756.55070529401</v>
      </c>
      <c r="E77" s="126">
        <v>249951.485746633</v>
      </c>
      <c r="F77" s="126">
        <v>0</v>
      </c>
      <c r="G77" s="126">
        <v>5412.7985561226196</v>
      </c>
      <c r="H77" s="126">
        <v>51314.750135586699</v>
      </c>
      <c r="I77" s="126">
        <v>18337.833449855301</v>
      </c>
      <c r="J77" s="126">
        <v>7220.2352552046104</v>
      </c>
    </row>
    <row r="78" spans="1:10" x14ac:dyDescent="0.2">
      <c r="A78">
        <v>125</v>
      </c>
      <c r="B78" s="126">
        <v>2895334.2938657999</v>
      </c>
      <c r="C78" s="126">
        <v>1279174.07896991</v>
      </c>
      <c r="D78" s="126">
        <v>729585.08687041502</v>
      </c>
      <c r="E78" s="126">
        <v>246494.82493070001</v>
      </c>
      <c r="F78" s="126">
        <v>550232.99950276304</v>
      </c>
      <c r="G78" s="126">
        <v>6813.4415560344796</v>
      </c>
      <c r="H78" s="126">
        <v>58266.942880462899</v>
      </c>
      <c r="I78" s="126">
        <v>21013.8057993168</v>
      </c>
      <c r="J78" s="126">
        <v>10072.737065387601</v>
      </c>
    </row>
    <row r="79" spans="1:10" x14ac:dyDescent="0.2">
      <c r="A79">
        <v>126</v>
      </c>
      <c r="B79" s="126">
        <v>2282339.2818542998</v>
      </c>
      <c r="C79" s="126">
        <v>1364328.82049236</v>
      </c>
      <c r="D79" s="126">
        <v>577974.52357554203</v>
      </c>
      <c r="E79" s="126">
        <v>245334.91914114601</v>
      </c>
      <c r="F79" s="126">
        <v>0</v>
      </c>
      <c r="G79" s="126">
        <v>7728.9857723377399</v>
      </c>
      <c r="H79" s="126">
        <v>56485.7775387984</v>
      </c>
      <c r="I79" s="126">
        <v>21782.053843723301</v>
      </c>
      <c r="J79" s="126">
        <v>8540.9341402639893</v>
      </c>
    </row>
    <row r="80" spans="1:10" x14ac:dyDescent="0.2">
      <c r="A80">
        <v>127</v>
      </c>
      <c r="B80" s="126">
        <v>2289902.5556429899</v>
      </c>
      <c r="C80" s="126">
        <v>1380036.6129169301</v>
      </c>
      <c r="D80" s="126">
        <v>578744.818751193</v>
      </c>
      <c r="E80" s="126">
        <v>243191.59051230201</v>
      </c>
      <c r="F80" s="126">
        <v>0</v>
      </c>
      <c r="G80" s="126">
        <v>9209.1782635135696</v>
      </c>
      <c r="H80" s="126">
        <v>46844.300037736597</v>
      </c>
      <c r="I80" s="126">
        <v>25716.0728209999</v>
      </c>
      <c r="J80" s="126">
        <v>6969.0552760452201</v>
      </c>
    </row>
    <row r="81" spans="1:10" x14ac:dyDescent="0.2">
      <c r="A81">
        <v>128</v>
      </c>
      <c r="B81" s="126">
        <v>2286077.8968911301</v>
      </c>
      <c r="C81" s="126">
        <v>1412307.7882665901</v>
      </c>
      <c r="D81" s="126">
        <v>547441.65866543294</v>
      </c>
      <c r="E81" s="126">
        <v>242127.819841952</v>
      </c>
      <c r="F81" s="126">
        <v>0</v>
      </c>
      <c r="G81" s="126">
        <v>8187.9304747702899</v>
      </c>
      <c r="H81" s="126">
        <v>42995.520056319598</v>
      </c>
      <c r="I81" s="126">
        <v>26797.213056838202</v>
      </c>
      <c r="J81" s="126">
        <v>6681.1786627046704</v>
      </c>
    </row>
    <row r="82" spans="1:10" x14ac:dyDescent="0.2">
      <c r="A82">
        <v>129</v>
      </c>
      <c r="B82" s="126">
        <v>2738468.21887971</v>
      </c>
      <c r="C82" s="126">
        <v>1317580.8740719301</v>
      </c>
      <c r="D82" s="126">
        <v>579588.71214227099</v>
      </c>
      <c r="E82" s="126">
        <v>238909.900394656</v>
      </c>
      <c r="F82" s="126">
        <v>523450.36279662</v>
      </c>
      <c r="G82" s="126">
        <v>4967.5685768883104</v>
      </c>
      <c r="H82" s="126">
        <v>48222.349761119804</v>
      </c>
      <c r="I82" s="126">
        <v>22621.356010922798</v>
      </c>
      <c r="J82" s="126">
        <v>7166.2873464455597</v>
      </c>
    </row>
    <row r="83" spans="1:10" x14ac:dyDescent="0.2">
      <c r="A83">
        <v>130</v>
      </c>
      <c r="B83" s="126">
        <v>2250504.8428421002</v>
      </c>
      <c r="C83" s="126">
        <v>1295911.20122121</v>
      </c>
      <c r="D83" s="126">
        <v>637928.44940746995</v>
      </c>
      <c r="E83" s="126">
        <v>238293.176638668</v>
      </c>
      <c r="F83" s="126">
        <v>0</v>
      </c>
      <c r="G83" s="126">
        <v>6658.3572509912801</v>
      </c>
      <c r="H83" s="126">
        <v>45447.302429753501</v>
      </c>
      <c r="I83" s="126">
        <v>20543.8568513059</v>
      </c>
      <c r="J83" s="126">
        <v>8625.7073760388703</v>
      </c>
    </row>
    <row r="84" spans="1:10" x14ac:dyDescent="0.2">
      <c r="A84">
        <v>131</v>
      </c>
      <c r="B84" s="126">
        <v>2175143.8098694398</v>
      </c>
      <c r="C84" s="126">
        <v>1230745.21370841</v>
      </c>
      <c r="D84" s="126">
        <v>629163.45827263</v>
      </c>
      <c r="E84" s="126">
        <v>236598.68035328999</v>
      </c>
      <c r="F84" s="126">
        <v>0</v>
      </c>
      <c r="G84" s="126">
        <v>4565.1412095065398</v>
      </c>
      <c r="H84" s="126">
        <v>45481.984838780503</v>
      </c>
      <c r="I84" s="126">
        <v>22216.393522312901</v>
      </c>
      <c r="J84" s="126">
        <v>8881.4008285489308</v>
      </c>
    </row>
    <row r="85" spans="1:10" x14ac:dyDescent="0.2">
      <c r="A85">
        <v>132</v>
      </c>
      <c r="B85" s="126">
        <v>2152062.5074409698</v>
      </c>
      <c r="C85" s="126">
        <v>1232282.88615028</v>
      </c>
      <c r="D85" s="126">
        <v>597319.92109823297</v>
      </c>
      <c r="E85" s="126">
        <v>234359.82477722099</v>
      </c>
      <c r="F85" s="126">
        <v>0</v>
      </c>
      <c r="G85" s="126">
        <v>6581.5421843342601</v>
      </c>
      <c r="H85" s="126">
        <v>38227.978670356897</v>
      </c>
      <c r="I85" s="126">
        <v>36514.715605356803</v>
      </c>
      <c r="J85" s="126">
        <v>7472.4358157296301</v>
      </c>
    </row>
    <row r="86" spans="1:10" x14ac:dyDescent="0.2">
      <c r="A86">
        <v>133</v>
      </c>
      <c r="B86" s="126">
        <v>2596422.2540969099</v>
      </c>
      <c r="C86" s="126">
        <v>1200340.7542909801</v>
      </c>
      <c r="D86" s="126">
        <v>575200.95895726501</v>
      </c>
      <c r="E86" s="126">
        <v>236059.49857828399</v>
      </c>
      <c r="F86" s="126">
        <v>510174.95416015998</v>
      </c>
      <c r="G86" s="126">
        <v>7294.6781952205902</v>
      </c>
      <c r="H86" s="126">
        <v>43641.796150405498</v>
      </c>
      <c r="I86" s="126">
        <v>11384.6966074877</v>
      </c>
      <c r="J86" s="126">
        <v>7362.90094360283</v>
      </c>
    </row>
    <row r="87" spans="1:10" x14ac:dyDescent="0.2">
      <c r="A87">
        <v>134</v>
      </c>
      <c r="B87" s="126">
        <v>2134305.0809167898</v>
      </c>
      <c r="C87" s="126">
        <v>1280245.52063939</v>
      </c>
      <c r="D87" s="126">
        <v>541934.38126974297</v>
      </c>
      <c r="E87" s="126">
        <v>234602.92053130199</v>
      </c>
      <c r="F87" s="126">
        <v>0</v>
      </c>
      <c r="G87" s="126">
        <v>8114.1803256182802</v>
      </c>
      <c r="H87" s="126">
        <v>41803.386874514603</v>
      </c>
      <c r="I87" s="126">
        <v>18088.608516976201</v>
      </c>
      <c r="J87" s="126">
        <v>7727.89468310131</v>
      </c>
    </row>
    <row r="88" spans="1:10" x14ac:dyDescent="0.2">
      <c r="A88">
        <v>135</v>
      </c>
      <c r="B88" s="126">
        <v>2123152.8241084302</v>
      </c>
      <c r="C88" s="126">
        <v>1202286.6153364601</v>
      </c>
      <c r="D88" s="126">
        <v>588136.05640828097</v>
      </c>
      <c r="E88" s="126">
        <v>231857.37411426101</v>
      </c>
      <c r="F88" s="126">
        <v>0</v>
      </c>
      <c r="G88" s="126">
        <v>6383.5723512841296</v>
      </c>
      <c r="H88" s="126">
        <v>61243.809498404902</v>
      </c>
      <c r="I88" s="126">
        <v>20584.520640282601</v>
      </c>
      <c r="J88" s="126">
        <v>8957.8434416782893</v>
      </c>
    </row>
    <row r="89" spans="1:10" x14ac:dyDescent="0.2">
      <c r="A89">
        <v>136</v>
      </c>
      <c r="B89" s="126">
        <v>2104570.6554997698</v>
      </c>
      <c r="C89" s="126">
        <v>1211580.4359653499</v>
      </c>
      <c r="D89" s="126">
        <v>571814.61258592003</v>
      </c>
      <c r="E89" s="126">
        <v>232048.81830721899</v>
      </c>
      <c r="F89" s="126">
        <v>0</v>
      </c>
      <c r="G89" s="126">
        <v>6788.5119587724703</v>
      </c>
      <c r="H89" s="126">
        <v>47476.5161644482</v>
      </c>
      <c r="I89" s="126">
        <v>28111.2431119379</v>
      </c>
      <c r="J89" s="126">
        <v>6076.4061978438303</v>
      </c>
    </row>
    <row r="90" spans="1:10" x14ac:dyDescent="0.2">
      <c r="A90">
        <v>137</v>
      </c>
      <c r="B90" s="126">
        <v>2647406.8936721501</v>
      </c>
      <c r="C90" s="126">
        <v>1242692.5822014799</v>
      </c>
      <c r="D90" s="126">
        <v>571700.87239362497</v>
      </c>
      <c r="E90" s="126">
        <v>229878.87135537501</v>
      </c>
      <c r="F90" s="126">
        <v>512398.23310597899</v>
      </c>
      <c r="G90" s="126">
        <v>6753.0093704486198</v>
      </c>
      <c r="H90" s="126">
        <v>57714.912064809403</v>
      </c>
      <c r="I90" s="126">
        <v>16925.637396327998</v>
      </c>
      <c r="J90" s="126">
        <v>7124.6277099609197</v>
      </c>
    </row>
    <row r="91" spans="1:10" x14ac:dyDescent="0.2">
      <c r="A91">
        <v>138</v>
      </c>
      <c r="B91" s="126">
        <v>2145336.5232414701</v>
      </c>
      <c r="C91" s="126">
        <v>1238251.8250116899</v>
      </c>
      <c r="D91" s="126">
        <v>575461.49297821894</v>
      </c>
      <c r="E91" s="126">
        <v>227997.73868004701</v>
      </c>
      <c r="F91" s="126">
        <v>0</v>
      </c>
      <c r="G91" s="126">
        <v>6889.11863061442</v>
      </c>
      <c r="H91" s="126">
        <v>58343.132248118403</v>
      </c>
      <c r="I91" s="126">
        <v>28735.7414386614</v>
      </c>
      <c r="J91" s="126">
        <v>10233.426165761301</v>
      </c>
    </row>
    <row r="92" spans="1:10" x14ac:dyDescent="0.2">
      <c r="A92">
        <v>139</v>
      </c>
      <c r="B92" s="126">
        <v>2103878.44029747</v>
      </c>
      <c r="C92" s="126">
        <v>1269951.85302134</v>
      </c>
      <c r="D92" s="126">
        <v>526946.60985572601</v>
      </c>
      <c r="E92" s="126">
        <v>227357.961242044</v>
      </c>
      <c r="F92" s="126">
        <v>0</v>
      </c>
      <c r="G92" s="126">
        <v>9674.4667305900002</v>
      </c>
      <c r="H92" s="126">
        <v>46836.995593649001</v>
      </c>
      <c r="I92" s="126">
        <v>14161.823269684701</v>
      </c>
      <c r="J92" s="126">
        <v>7404.8768783142305</v>
      </c>
    </row>
    <row r="93" spans="1:10" x14ac:dyDescent="0.2">
      <c r="A93">
        <v>140</v>
      </c>
      <c r="B93" s="126">
        <v>2126934.8124281699</v>
      </c>
      <c r="C93" s="126">
        <v>1237891.1778452401</v>
      </c>
      <c r="D93" s="126">
        <v>555365.25690858695</v>
      </c>
      <c r="E93" s="126">
        <v>231282.38712925301</v>
      </c>
      <c r="F93" s="126">
        <v>0</v>
      </c>
      <c r="G93" s="126">
        <v>8776.1709221111505</v>
      </c>
      <c r="H93" s="126">
        <v>61905.136482668502</v>
      </c>
      <c r="I93" s="126">
        <v>22967.370042996201</v>
      </c>
      <c r="J93" s="126">
        <v>7970.7009388956803</v>
      </c>
    </row>
    <row r="94" spans="1:10" x14ac:dyDescent="0.2">
      <c r="A94">
        <v>141</v>
      </c>
      <c r="B94" s="126">
        <v>2631779.4956245199</v>
      </c>
      <c r="C94" s="126">
        <v>1243775.89402994</v>
      </c>
      <c r="D94" s="126">
        <v>567320.243475019</v>
      </c>
      <c r="E94" s="126">
        <v>231983.844114612</v>
      </c>
      <c r="F94" s="126">
        <v>509103.55890384701</v>
      </c>
      <c r="G94" s="126">
        <v>10231.3281104458</v>
      </c>
      <c r="H94" s="126">
        <v>38129.936894728497</v>
      </c>
      <c r="I94" s="126">
        <v>23142.533982058601</v>
      </c>
      <c r="J94" s="126">
        <v>5799.1315987521002</v>
      </c>
    </row>
    <row r="95" spans="1:10" x14ac:dyDescent="0.2">
      <c r="A95">
        <v>142</v>
      </c>
      <c r="B95" s="126">
        <v>2142452.7705973499</v>
      </c>
      <c r="C95" s="126">
        <v>1268680.4155347999</v>
      </c>
      <c r="D95" s="126">
        <v>544401.58458254905</v>
      </c>
      <c r="E95" s="126">
        <v>232892.71704129499</v>
      </c>
      <c r="F95" s="126">
        <v>0</v>
      </c>
      <c r="G95" s="126">
        <v>7307.9473064633203</v>
      </c>
      <c r="H95" s="126">
        <v>62463.118785578801</v>
      </c>
      <c r="I95" s="126">
        <v>19512.232438010498</v>
      </c>
      <c r="J95" s="126">
        <v>9140.7959321425406</v>
      </c>
    </row>
    <row r="96" spans="1:10" x14ac:dyDescent="0.2">
      <c r="A96">
        <v>143</v>
      </c>
      <c r="B96" s="126">
        <v>2079131.24557928</v>
      </c>
      <c r="C96" s="126">
        <v>1244651.38788688</v>
      </c>
      <c r="D96" s="126">
        <v>516649.06759564299</v>
      </c>
      <c r="E96" s="126">
        <v>236305.98752654</v>
      </c>
      <c r="F96" s="126">
        <v>0</v>
      </c>
      <c r="G96" s="126">
        <v>10758.238916693101</v>
      </c>
      <c r="H96" s="126">
        <v>44746.240043768499</v>
      </c>
      <c r="I96" s="126">
        <v>18807.963850696298</v>
      </c>
      <c r="J96" s="126">
        <v>6912.8890842873197</v>
      </c>
    </row>
    <row r="97" spans="1:10" x14ac:dyDescent="0.2">
      <c r="A97">
        <v>144</v>
      </c>
      <c r="B97" s="126">
        <v>2062932.2744086499</v>
      </c>
      <c r="C97" s="126">
        <v>1180359.6429175299</v>
      </c>
      <c r="D97" s="126">
        <v>556046.61959219701</v>
      </c>
      <c r="E97" s="126">
        <v>237297.975338933</v>
      </c>
      <c r="F97" s="126">
        <v>0</v>
      </c>
      <c r="G97" s="126">
        <v>7322.9117005479402</v>
      </c>
      <c r="H97" s="126">
        <v>47501.244138128102</v>
      </c>
      <c r="I97" s="126">
        <v>23648.396618684299</v>
      </c>
      <c r="J97" s="126">
        <v>8938.3220887123098</v>
      </c>
    </row>
    <row r="98" spans="1:10" x14ac:dyDescent="0.2">
      <c r="A98">
        <v>145</v>
      </c>
      <c r="B98" s="126">
        <v>2581298.6745028999</v>
      </c>
      <c r="C98" s="126">
        <v>1278259.9283062699</v>
      </c>
      <c r="D98" s="126">
        <v>477092.96333675197</v>
      </c>
      <c r="E98" s="126">
        <v>237520.15883637901</v>
      </c>
      <c r="F98" s="126">
        <v>497912.73817143001</v>
      </c>
      <c r="G98" s="126">
        <v>5809.2310337857298</v>
      </c>
      <c r="H98" s="126">
        <v>49185.301927449502</v>
      </c>
      <c r="I98" s="126">
        <v>22902.448902958698</v>
      </c>
      <c r="J98" s="126">
        <v>6961.9043892277896</v>
      </c>
    </row>
    <row r="99" spans="1:10" x14ac:dyDescent="0.2">
      <c r="A99">
        <v>146</v>
      </c>
      <c r="B99" s="126">
        <v>1989588.79195355</v>
      </c>
      <c r="C99" s="126">
        <v>1192217.4381709299</v>
      </c>
      <c r="D99" s="126">
        <v>479608.767918973</v>
      </c>
      <c r="E99" s="126">
        <v>239707.672960959</v>
      </c>
      <c r="F99" s="126">
        <v>0</v>
      </c>
      <c r="G99" s="126">
        <v>8562.8292580151992</v>
      </c>
      <c r="H99" s="126">
        <v>42839.870291137799</v>
      </c>
      <c r="I99" s="126">
        <v>18399.130995553602</v>
      </c>
      <c r="J99" s="126">
        <v>7042.8487869709597</v>
      </c>
    </row>
    <row r="100" spans="1:10" x14ac:dyDescent="0.2">
      <c r="A100">
        <v>147</v>
      </c>
      <c r="B100" s="126">
        <v>2011469.48186202</v>
      </c>
      <c r="C100" s="126">
        <v>1239195.1127243501</v>
      </c>
      <c r="D100" s="126">
        <v>465476.73231047601</v>
      </c>
      <c r="E100" s="126">
        <v>239609.06897230301</v>
      </c>
      <c r="F100" s="126">
        <v>0</v>
      </c>
      <c r="G100" s="126">
        <v>8520.5812386573907</v>
      </c>
      <c r="H100" s="126">
        <v>38276.125099842902</v>
      </c>
      <c r="I100" s="126">
        <v>16903.501198613802</v>
      </c>
      <c r="J100" s="126">
        <v>6117.7866426580704</v>
      </c>
    </row>
    <row r="101" spans="1:10" x14ac:dyDescent="0.2">
      <c r="A101">
        <v>148</v>
      </c>
      <c r="B101" s="126">
        <v>2046810.62339472</v>
      </c>
      <c r="C101" s="126">
        <v>1239738.46366487</v>
      </c>
      <c r="D101" s="126">
        <v>476377.26450042601</v>
      </c>
      <c r="E101" s="126">
        <v>239739.14412560599</v>
      </c>
      <c r="F101" s="126">
        <v>0</v>
      </c>
      <c r="G101" s="126">
        <v>4410.1531161652601</v>
      </c>
      <c r="H101" s="126">
        <v>56595.603874624801</v>
      </c>
      <c r="I101" s="126">
        <v>20062.122902549199</v>
      </c>
      <c r="J101" s="126">
        <v>8924.8240906330302</v>
      </c>
    </row>
    <row r="102" spans="1:10" x14ac:dyDescent="0.2">
      <c r="A102">
        <v>149</v>
      </c>
      <c r="B102" s="126">
        <v>2503534.7400093498</v>
      </c>
      <c r="C102" s="126">
        <v>1254245.55956126</v>
      </c>
      <c r="D102" s="126">
        <v>443515.45946849597</v>
      </c>
      <c r="E102" s="126">
        <v>239557.208325246</v>
      </c>
      <c r="F102" s="126">
        <v>481266.905835971</v>
      </c>
      <c r="G102" s="126">
        <v>8862.5472868090892</v>
      </c>
      <c r="H102" s="126">
        <v>55534.702006830303</v>
      </c>
      <c r="I102" s="126">
        <v>14144.5704192139</v>
      </c>
      <c r="J102" s="126">
        <v>6971.2843997938699</v>
      </c>
    </row>
    <row r="103" spans="1:10" x14ac:dyDescent="0.2">
      <c r="A103">
        <v>150</v>
      </c>
      <c r="B103" s="126">
        <v>2067199.1215341401</v>
      </c>
      <c r="C103" s="126">
        <v>1273355.9746858701</v>
      </c>
      <c r="D103" s="126">
        <v>469990.02189816901</v>
      </c>
      <c r="E103" s="126">
        <v>239196.729657216</v>
      </c>
      <c r="F103" s="126">
        <v>0</v>
      </c>
      <c r="G103" s="126">
        <v>9490.9061004269697</v>
      </c>
      <c r="H103" s="126">
        <v>54965.908509306297</v>
      </c>
      <c r="I103" s="126">
        <v>10917.971867836701</v>
      </c>
      <c r="J103" s="126">
        <v>6819.8830274512002</v>
      </c>
    </row>
    <row r="104" spans="1:10" x14ac:dyDescent="0.2">
      <c r="A104">
        <v>151</v>
      </c>
      <c r="B104" s="126">
        <v>2006179.99803583</v>
      </c>
      <c r="C104" s="126">
        <v>1233150.6706278899</v>
      </c>
      <c r="D104" s="126">
        <v>445773.64272119</v>
      </c>
      <c r="E104" s="126">
        <v>236722.11112004099</v>
      </c>
      <c r="F104" s="126">
        <v>0</v>
      </c>
      <c r="G104" s="126">
        <v>10342.966454265101</v>
      </c>
      <c r="H104" s="126">
        <v>53295.521178927702</v>
      </c>
      <c r="I104" s="126">
        <v>21602.0854595169</v>
      </c>
      <c r="J104" s="126">
        <v>7194.43695826561</v>
      </c>
    </row>
    <row r="105" spans="1:10" x14ac:dyDescent="0.2">
      <c r="A105">
        <v>152</v>
      </c>
      <c r="B105" s="126">
        <v>2033516.28770041</v>
      </c>
      <c r="C105" s="126">
        <v>1196606.27218727</v>
      </c>
      <c r="D105" s="126">
        <v>517374.66533286998</v>
      </c>
      <c r="E105" s="126">
        <v>238300.315579544</v>
      </c>
      <c r="F105" s="126">
        <v>0</v>
      </c>
      <c r="G105" s="126">
        <v>5927.69875574868</v>
      </c>
      <c r="H105" s="126">
        <v>51505.712702165198</v>
      </c>
      <c r="I105" s="126">
        <v>19640.341686957399</v>
      </c>
      <c r="J105" s="126">
        <v>7203.09831455314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5"/>
  <sheetViews>
    <sheetView zoomScaleNormal="100" workbookViewId="0">
      <selection activeCell="H14" sqref="H14"/>
    </sheetView>
  </sheetViews>
  <sheetFormatPr baseColWidth="10" defaultColWidth="11.5703125" defaultRowHeight="12.75" x14ac:dyDescent="0.2"/>
  <sheetData>
    <row r="1" spans="1:10" x14ac:dyDescent="0.2">
      <c r="A1" t="s">
        <v>167</v>
      </c>
      <c r="B1" t="s">
        <v>184</v>
      </c>
      <c r="C1" t="s">
        <v>185</v>
      </c>
      <c r="D1" t="s">
        <v>186</v>
      </c>
      <c r="E1" t="s">
        <v>187</v>
      </c>
      <c r="F1" t="s">
        <v>188</v>
      </c>
      <c r="G1" t="s">
        <v>189</v>
      </c>
      <c r="H1" t="s">
        <v>190</v>
      </c>
      <c r="I1" t="s">
        <v>191</v>
      </c>
      <c r="J1" t="s">
        <v>192</v>
      </c>
    </row>
    <row r="2" spans="1:10" x14ac:dyDescent="0.2">
      <c r="A2">
        <v>49</v>
      </c>
      <c r="B2" s="126">
        <v>2734350.1604342898</v>
      </c>
      <c r="C2" s="126">
        <v>769150.97015674401</v>
      </c>
      <c r="D2" s="126">
        <v>1347875.48370656</v>
      </c>
      <c r="E2" s="126">
        <v>183870.104000691</v>
      </c>
      <c r="F2" s="126">
        <v>338093.92603819299</v>
      </c>
      <c r="G2" s="126">
        <v>31526.3823338806</v>
      </c>
      <c r="H2" s="126">
        <v>24077.130585327901</v>
      </c>
      <c r="I2" s="126">
        <v>31658.693543247198</v>
      </c>
      <c r="J2" s="126">
        <v>9202.3032489415109</v>
      </c>
    </row>
    <row r="3" spans="1:10" x14ac:dyDescent="0.2">
      <c r="A3">
        <v>50</v>
      </c>
      <c r="B3" s="126">
        <v>2477379.0710721002</v>
      </c>
      <c r="C3" s="126">
        <v>691195.42951627099</v>
      </c>
      <c r="D3" s="126">
        <v>1268052.4844006</v>
      </c>
      <c r="E3" s="126">
        <v>184400.11982974401</v>
      </c>
      <c r="F3" s="126">
        <v>245542.07630445599</v>
      </c>
      <c r="G3" s="126">
        <v>20998.508450175101</v>
      </c>
      <c r="H3" s="126">
        <v>29210.9064576864</v>
      </c>
      <c r="I3" s="126">
        <v>27931.670872308299</v>
      </c>
      <c r="J3" s="126">
        <v>10914.713194792101</v>
      </c>
    </row>
    <row r="4" spans="1:10" x14ac:dyDescent="0.2">
      <c r="A4">
        <v>51</v>
      </c>
      <c r="B4" s="126">
        <v>2917699.6469918601</v>
      </c>
      <c r="C4" s="126">
        <v>904566.57250971603</v>
      </c>
      <c r="D4" s="126">
        <v>1553931.86249794</v>
      </c>
      <c r="E4" s="126">
        <v>353100.647166009</v>
      </c>
      <c r="F4" s="126">
        <v>0</v>
      </c>
      <c r="G4" s="126">
        <v>3427.6882918648798</v>
      </c>
      <c r="H4" s="126">
        <v>28272.242477303898</v>
      </c>
      <c r="I4" s="126">
        <v>68274.6358079497</v>
      </c>
      <c r="J4" s="126">
        <v>7563.1135975167399</v>
      </c>
    </row>
    <row r="5" spans="1:10" x14ac:dyDescent="0.2">
      <c r="A5">
        <v>52</v>
      </c>
      <c r="B5" s="126">
        <v>2756313.5613886402</v>
      </c>
      <c r="C5" s="126">
        <v>868035.63624845503</v>
      </c>
      <c r="D5" s="126">
        <v>1446456.0985642199</v>
      </c>
      <c r="E5" s="126">
        <v>332075.99567223602</v>
      </c>
      <c r="F5" s="126">
        <v>0</v>
      </c>
      <c r="G5" s="126">
        <v>7651.38230010397</v>
      </c>
      <c r="H5" s="126">
        <v>38436.7963471556</v>
      </c>
      <c r="I5" s="126">
        <v>54213.397702074901</v>
      </c>
      <c r="J5" s="126">
        <v>10193.263057149101</v>
      </c>
    </row>
    <row r="6" spans="1:10" x14ac:dyDescent="0.2">
      <c r="A6">
        <v>53</v>
      </c>
      <c r="B6" s="126">
        <v>2795174.2785474602</v>
      </c>
      <c r="C6" s="126">
        <v>651983.94109105796</v>
      </c>
      <c r="D6" s="126">
        <v>1253642.50840363</v>
      </c>
      <c r="E6" s="126">
        <v>284415.40358836699</v>
      </c>
      <c r="F6" s="126">
        <v>535174.73604386998</v>
      </c>
      <c r="G6" s="126">
        <v>2963.3455188183898</v>
      </c>
      <c r="H6" s="126">
        <v>21138.0436511109</v>
      </c>
      <c r="I6" s="126">
        <v>39227.975011861599</v>
      </c>
      <c r="J6" s="126">
        <v>7113.0239142170503</v>
      </c>
    </row>
    <row r="7" spans="1:10" x14ac:dyDescent="0.2">
      <c r="A7">
        <v>54</v>
      </c>
      <c r="B7" s="126">
        <v>2827291.4696274698</v>
      </c>
      <c r="C7" s="126">
        <v>1170083.2953331</v>
      </c>
      <c r="D7" s="126">
        <v>1281417.8311383801</v>
      </c>
      <c r="E7" s="126">
        <v>283463.506387765</v>
      </c>
      <c r="F7" s="126">
        <v>0</v>
      </c>
      <c r="G7" s="126">
        <v>4262.2798932742899</v>
      </c>
      <c r="H7" s="126">
        <v>40692.4994081849</v>
      </c>
      <c r="I7" s="126">
        <v>41562.537068552003</v>
      </c>
      <c r="J7" s="126">
        <v>6701.7371039345298</v>
      </c>
    </row>
    <row r="8" spans="1:10" x14ac:dyDescent="0.2">
      <c r="A8">
        <v>55</v>
      </c>
      <c r="B8" s="126">
        <v>2477332.11619084</v>
      </c>
      <c r="C8" s="126">
        <v>912108.96168096201</v>
      </c>
      <c r="D8" s="126">
        <v>1195744.49461844</v>
      </c>
      <c r="E8" s="126">
        <v>265506.85023041401</v>
      </c>
      <c r="F8" s="126">
        <v>0</v>
      </c>
      <c r="G8" s="126">
        <v>3313.7921943367901</v>
      </c>
      <c r="H8" s="126">
        <v>44329.353283418503</v>
      </c>
      <c r="I8" s="126">
        <v>50876.204629566397</v>
      </c>
      <c r="J8" s="126">
        <v>5933.3474534431298</v>
      </c>
    </row>
    <row r="9" spans="1:10" x14ac:dyDescent="0.2">
      <c r="A9">
        <v>56</v>
      </c>
      <c r="B9" s="126">
        <v>3910348.4398604999</v>
      </c>
      <c r="C9" s="126">
        <v>2134725.58721156</v>
      </c>
      <c r="D9" s="126">
        <v>1259565.9398380099</v>
      </c>
      <c r="E9" s="126">
        <v>345441.10718408198</v>
      </c>
      <c r="F9" s="126">
        <v>0</v>
      </c>
      <c r="G9" s="126">
        <v>6017.2083657851399</v>
      </c>
      <c r="H9" s="126">
        <v>88039.777341046196</v>
      </c>
      <c r="I9" s="126">
        <v>63419.974456047501</v>
      </c>
      <c r="J9" s="126">
        <v>13138.845463973399</v>
      </c>
    </row>
    <row r="10" spans="1:10" x14ac:dyDescent="0.2">
      <c r="A10">
        <v>57</v>
      </c>
      <c r="B10" s="126">
        <v>4298955.2818495603</v>
      </c>
      <c r="C10" s="126">
        <v>1860159.2830527199</v>
      </c>
      <c r="D10" s="126">
        <v>1247158.55143378</v>
      </c>
      <c r="E10" s="126">
        <v>324705.61349666998</v>
      </c>
      <c r="F10" s="126">
        <v>748947.79747651401</v>
      </c>
      <c r="G10" s="126">
        <v>5410.3119628129198</v>
      </c>
      <c r="H10" s="126">
        <v>73375.670961486496</v>
      </c>
      <c r="I10" s="126">
        <v>29279.8648550301</v>
      </c>
      <c r="J10" s="126">
        <v>10554.2742020238</v>
      </c>
    </row>
    <row r="11" spans="1:10" x14ac:dyDescent="0.2">
      <c r="A11">
        <v>58</v>
      </c>
      <c r="B11" s="126">
        <v>3938877.9385907399</v>
      </c>
      <c r="C11" s="126">
        <v>2230764.05068608</v>
      </c>
      <c r="D11" s="126">
        <v>1220883.1962009601</v>
      </c>
      <c r="E11" s="126">
        <v>356978.10376777902</v>
      </c>
      <c r="F11" s="126">
        <v>0</v>
      </c>
      <c r="G11" s="126">
        <v>9241.4314699725201</v>
      </c>
      <c r="H11" s="126">
        <v>64519.830333290003</v>
      </c>
      <c r="I11" s="126">
        <v>48573.108992106601</v>
      </c>
      <c r="J11" s="126">
        <v>8445.2629139734199</v>
      </c>
    </row>
    <row r="12" spans="1:10" x14ac:dyDescent="0.2">
      <c r="A12">
        <v>59</v>
      </c>
      <c r="B12" s="126">
        <v>3599109.6687936001</v>
      </c>
      <c r="C12" s="126">
        <v>1918501.0977874701</v>
      </c>
      <c r="D12" s="126">
        <v>1188096.3688737999</v>
      </c>
      <c r="E12" s="126">
        <v>338899.42995552497</v>
      </c>
      <c r="F12" s="126">
        <v>0</v>
      </c>
      <c r="G12" s="126">
        <v>6384.1577092603302</v>
      </c>
      <c r="H12" s="126">
        <v>87888.102756436696</v>
      </c>
      <c r="I12" s="126">
        <v>49450.610055502999</v>
      </c>
      <c r="J12" s="126">
        <v>10394.7851948797</v>
      </c>
    </row>
    <row r="13" spans="1:10" x14ac:dyDescent="0.2">
      <c r="A13">
        <v>60</v>
      </c>
      <c r="B13" s="126">
        <v>4011961.89295399</v>
      </c>
      <c r="C13" s="126">
        <v>2267425.7876067101</v>
      </c>
      <c r="D13" s="126">
        <v>1215955.5322420001</v>
      </c>
      <c r="E13" s="126">
        <v>356955.85452758003</v>
      </c>
      <c r="F13" s="126">
        <v>0</v>
      </c>
      <c r="G13" s="126">
        <v>8826.3347645486501</v>
      </c>
      <c r="H13" s="126">
        <v>94195.999445809401</v>
      </c>
      <c r="I13" s="126">
        <v>57454.140355548698</v>
      </c>
      <c r="J13" s="126">
        <v>11693.7191805119</v>
      </c>
    </row>
    <row r="14" spans="1:10" x14ac:dyDescent="0.2">
      <c r="A14">
        <v>61</v>
      </c>
      <c r="B14" s="126">
        <v>4266309.0881141396</v>
      </c>
      <c r="C14" s="126">
        <v>1928232.3305719499</v>
      </c>
      <c r="D14" s="126">
        <v>1138999.25175111</v>
      </c>
      <c r="E14" s="126">
        <v>330167.47012015502</v>
      </c>
      <c r="F14" s="126">
        <v>751592.02600721503</v>
      </c>
      <c r="G14" s="126">
        <v>7111.3847304971196</v>
      </c>
      <c r="H14" s="126">
        <v>70362.409533424201</v>
      </c>
      <c r="I14" s="126">
        <v>30362.2381592399</v>
      </c>
      <c r="J14" s="126">
        <v>9401.8887272460397</v>
      </c>
    </row>
    <row r="15" spans="1:10" x14ac:dyDescent="0.2">
      <c r="A15">
        <v>62</v>
      </c>
      <c r="B15" s="126">
        <v>3381171.9076419398</v>
      </c>
      <c r="C15" s="126">
        <v>1760055.19447752</v>
      </c>
      <c r="D15" s="126">
        <v>1203221.7802499901</v>
      </c>
      <c r="E15" s="126">
        <v>303010.35263953602</v>
      </c>
      <c r="F15" s="126">
        <v>0</v>
      </c>
      <c r="G15" s="126">
        <v>5731.1748018523704</v>
      </c>
      <c r="H15" s="126">
        <v>61480.511532752898</v>
      </c>
      <c r="I15" s="126">
        <v>40145.211063717499</v>
      </c>
      <c r="J15" s="126">
        <v>7527.6828765807804</v>
      </c>
    </row>
    <row r="16" spans="1:10" x14ac:dyDescent="0.2">
      <c r="A16">
        <v>63</v>
      </c>
      <c r="B16" s="126">
        <v>3202284.51980686</v>
      </c>
      <c r="C16" s="126">
        <v>1650605.4874675099</v>
      </c>
      <c r="D16" s="126">
        <v>1128289.4808683</v>
      </c>
      <c r="E16" s="126">
        <v>304202.81445459399</v>
      </c>
      <c r="F16" s="126">
        <v>0</v>
      </c>
      <c r="G16" s="126">
        <v>6998.3735356965599</v>
      </c>
      <c r="H16" s="126">
        <v>59194.503470797703</v>
      </c>
      <c r="I16" s="126">
        <v>44619.146161516997</v>
      </c>
      <c r="J16" s="126">
        <v>8301.3282202095106</v>
      </c>
    </row>
    <row r="17" spans="1:10" x14ac:dyDescent="0.2">
      <c r="A17">
        <v>64</v>
      </c>
      <c r="B17" s="126">
        <v>3094422.0848161099</v>
      </c>
      <c r="C17" s="126">
        <v>1631090.2463114001</v>
      </c>
      <c r="D17" s="126">
        <v>1067520.7644215701</v>
      </c>
      <c r="E17" s="126">
        <v>290199.66397496301</v>
      </c>
      <c r="F17" s="126">
        <v>0</v>
      </c>
      <c r="G17" s="126">
        <v>8729.5321517894899</v>
      </c>
      <c r="H17" s="126">
        <v>45863.2774661453</v>
      </c>
      <c r="I17" s="126">
        <v>43419.257478473097</v>
      </c>
      <c r="J17" s="126">
        <v>7638.2604606453096</v>
      </c>
    </row>
    <row r="18" spans="1:10" x14ac:dyDescent="0.2">
      <c r="A18">
        <v>65</v>
      </c>
      <c r="B18" s="126">
        <v>3259346.22416976</v>
      </c>
      <c r="C18" s="126">
        <v>1392902.4701723999</v>
      </c>
      <c r="D18" s="126">
        <v>924786.69167026097</v>
      </c>
      <c r="E18" s="126">
        <v>262146.66705242603</v>
      </c>
      <c r="F18" s="126">
        <v>581421.04141712398</v>
      </c>
      <c r="G18" s="126">
        <v>3600.5191196702899</v>
      </c>
      <c r="H18" s="126">
        <v>56100.702337887102</v>
      </c>
      <c r="I18" s="126">
        <v>31390.9564292344</v>
      </c>
      <c r="J18" s="126">
        <v>7538.0824646804704</v>
      </c>
    </row>
    <row r="19" spans="1:10" x14ac:dyDescent="0.2">
      <c r="A19">
        <v>66</v>
      </c>
      <c r="B19" s="126">
        <v>2983961.9475735398</v>
      </c>
      <c r="C19" s="126">
        <v>1319457.73217813</v>
      </c>
      <c r="D19" s="126">
        <v>1303521.122</v>
      </c>
      <c r="E19" s="126">
        <v>262100.962664791</v>
      </c>
      <c r="F19" s="126">
        <v>0</v>
      </c>
      <c r="G19" s="126">
        <v>6226.8337983413203</v>
      </c>
      <c r="H19" s="126">
        <v>57000.390473340602</v>
      </c>
      <c r="I19" s="126">
        <v>28836.220393227701</v>
      </c>
      <c r="J19" s="126">
        <v>6853.9645250144104</v>
      </c>
    </row>
    <row r="20" spans="1:10" x14ac:dyDescent="0.2">
      <c r="A20">
        <v>67</v>
      </c>
      <c r="B20" s="126">
        <v>2898475.5343221901</v>
      </c>
      <c r="C20" s="126">
        <v>1328813.60378935</v>
      </c>
      <c r="D20" s="126">
        <v>1217859.45838</v>
      </c>
      <c r="E20" s="126">
        <v>261585.41992676299</v>
      </c>
      <c r="F20" s="126">
        <v>0</v>
      </c>
      <c r="G20" s="126">
        <v>7957.9775431091302</v>
      </c>
      <c r="H20" s="126">
        <v>44365.563583325202</v>
      </c>
      <c r="I20" s="126">
        <v>32640.328922518402</v>
      </c>
      <c r="J20" s="126">
        <v>6036.8824848500499</v>
      </c>
    </row>
    <row r="21" spans="1:10" x14ac:dyDescent="0.2">
      <c r="A21">
        <v>68</v>
      </c>
      <c r="B21" s="126">
        <v>3099126.45636561</v>
      </c>
      <c r="C21" s="126">
        <v>1415633.72806566</v>
      </c>
      <c r="D21" s="126">
        <v>1329992.93142</v>
      </c>
      <c r="E21" s="126">
        <v>267548.65829524002</v>
      </c>
      <c r="F21" s="126">
        <v>0</v>
      </c>
      <c r="G21" s="126">
        <v>3839.7653984714202</v>
      </c>
      <c r="H21" s="126">
        <v>45504.9043145783</v>
      </c>
      <c r="I21" s="126">
        <v>30887.770629774401</v>
      </c>
      <c r="J21" s="126">
        <v>5875.6312061465596</v>
      </c>
    </row>
    <row r="22" spans="1:10" x14ac:dyDescent="0.2">
      <c r="A22">
        <v>69</v>
      </c>
      <c r="B22" s="126">
        <v>3411290.53533943</v>
      </c>
      <c r="C22" s="126">
        <v>1345242.0711346001</v>
      </c>
      <c r="D22" s="126">
        <v>1146912.9419398</v>
      </c>
      <c r="E22" s="126">
        <v>260052.344625011</v>
      </c>
      <c r="F22" s="126">
        <v>561599.921733647</v>
      </c>
      <c r="G22" s="126">
        <v>6639.1253124402701</v>
      </c>
      <c r="H22" s="126">
        <v>53575.014570376297</v>
      </c>
      <c r="I22" s="126">
        <v>30651.582323635601</v>
      </c>
      <c r="J22" s="126">
        <v>6858.2770203547498</v>
      </c>
    </row>
    <row r="23" spans="1:10" x14ac:dyDescent="0.2">
      <c r="A23">
        <v>70</v>
      </c>
      <c r="B23" s="126">
        <v>2533823.93692121</v>
      </c>
      <c r="C23" s="126">
        <v>1276798.6301629599</v>
      </c>
      <c r="D23" s="126">
        <v>921758.41761683696</v>
      </c>
      <c r="E23" s="126">
        <v>247182.21325620401</v>
      </c>
      <c r="F23" s="126">
        <v>0</v>
      </c>
      <c r="G23" s="126">
        <v>2666.38314713723</v>
      </c>
      <c r="H23" s="126">
        <v>41791.385912988299</v>
      </c>
      <c r="I23" s="126">
        <v>38238.084744208303</v>
      </c>
      <c r="J23" s="126">
        <v>5423.20253057625</v>
      </c>
    </row>
    <row r="24" spans="1:10" x14ac:dyDescent="0.2">
      <c r="A24">
        <v>71</v>
      </c>
      <c r="B24" s="126">
        <v>2502968.8181568002</v>
      </c>
      <c r="C24" s="126">
        <v>1260793.33565794</v>
      </c>
      <c r="D24" s="126">
        <v>906874.66117316904</v>
      </c>
      <c r="E24" s="126">
        <v>247712.85667823901</v>
      </c>
      <c r="F24" s="126">
        <v>0</v>
      </c>
      <c r="G24" s="126">
        <v>5805.2913319932604</v>
      </c>
      <c r="H24" s="126">
        <v>47719.862621396998</v>
      </c>
      <c r="I24" s="126">
        <v>26472.997023400101</v>
      </c>
      <c r="J24" s="126">
        <v>7707.0490520567801</v>
      </c>
    </row>
    <row r="25" spans="1:10" x14ac:dyDescent="0.2">
      <c r="A25">
        <v>72</v>
      </c>
      <c r="B25" s="126">
        <v>2459845.3593839798</v>
      </c>
      <c r="C25" s="126">
        <v>1201338.09648865</v>
      </c>
      <c r="D25" s="126">
        <v>919309.76964050205</v>
      </c>
      <c r="E25" s="126">
        <v>242981.69853030099</v>
      </c>
      <c r="F25" s="126">
        <v>0</v>
      </c>
      <c r="G25" s="126">
        <v>6026.5783992627803</v>
      </c>
      <c r="H25" s="126">
        <v>36540.120078619198</v>
      </c>
      <c r="I25" s="126">
        <v>47699.628250917704</v>
      </c>
      <c r="J25" s="126">
        <v>6065.3033108116697</v>
      </c>
    </row>
    <row r="26" spans="1:10" x14ac:dyDescent="0.2">
      <c r="A26">
        <v>73</v>
      </c>
      <c r="B26" s="126">
        <v>3011036.6570846699</v>
      </c>
      <c r="C26" s="126">
        <v>1229681.71508421</v>
      </c>
      <c r="D26" s="126">
        <v>899959.50148348697</v>
      </c>
      <c r="E26" s="126">
        <v>244436.301207374</v>
      </c>
      <c r="F26" s="126">
        <v>541441.28786328598</v>
      </c>
      <c r="G26" s="126">
        <v>4665.5674742051697</v>
      </c>
      <c r="H26" s="126">
        <v>39565.003626344696</v>
      </c>
      <c r="I26" s="126">
        <v>45694.760157836601</v>
      </c>
      <c r="J26" s="126">
        <v>5792.66446144767</v>
      </c>
    </row>
    <row r="27" spans="1:10" x14ac:dyDescent="0.2">
      <c r="A27">
        <v>74</v>
      </c>
      <c r="B27" s="126">
        <v>2731438.73645559</v>
      </c>
      <c r="C27" s="126">
        <v>1405737.6484080099</v>
      </c>
      <c r="D27" s="126">
        <v>949218.41945041099</v>
      </c>
      <c r="E27" s="126">
        <v>256374.08941614101</v>
      </c>
      <c r="F27" s="126">
        <v>0</v>
      </c>
      <c r="G27" s="126">
        <v>6015.5210695905798</v>
      </c>
      <c r="H27" s="126">
        <v>55439.614104430999</v>
      </c>
      <c r="I27" s="126">
        <v>52918.181858523603</v>
      </c>
      <c r="J27" s="126">
        <v>6185.8372463376099</v>
      </c>
    </row>
    <row r="28" spans="1:10" x14ac:dyDescent="0.2">
      <c r="A28">
        <v>75</v>
      </c>
      <c r="B28" s="126">
        <v>2623611.6167480601</v>
      </c>
      <c r="C28" s="126">
        <v>1327223.9211460601</v>
      </c>
      <c r="D28" s="126">
        <v>941158.25310640305</v>
      </c>
      <c r="E28" s="126">
        <v>253141.103848025</v>
      </c>
      <c r="F28" s="126">
        <v>0</v>
      </c>
      <c r="G28" s="126">
        <v>4630.4487230671803</v>
      </c>
      <c r="H28" s="126">
        <v>43294.982659892899</v>
      </c>
      <c r="I28" s="126">
        <v>48113.527529657396</v>
      </c>
      <c r="J28" s="126">
        <v>6400.3256868190701</v>
      </c>
    </row>
    <row r="29" spans="1:10" x14ac:dyDescent="0.2">
      <c r="A29">
        <v>76</v>
      </c>
      <c r="B29" s="126">
        <v>2663551.5919629498</v>
      </c>
      <c r="C29" s="126">
        <v>1364261.00929961</v>
      </c>
      <c r="D29" s="126">
        <v>953050.34098838398</v>
      </c>
      <c r="E29" s="126">
        <v>251129.032371237</v>
      </c>
      <c r="F29" s="126">
        <v>0</v>
      </c>
      <c r="G29" s="126">
        <v>7506.2356834230904</v>
      </c>
      <c r="H29" s="126">
        <v>43439.794052802397</v>
      </c>
      <c r="I29" s="126">
        <v>37598.8137221094</v>
      </c>
      <c r="J29" s="126">
        <v>6505.9020650125503</v>
      </c>
    </row>
    <row r="30" spans="1:10" x14ac:dyDescent="0.2">
      <c r="A30">
        <v>77</v>
      </c>
      <c r="B30" s="126">
        <v>3169341.0427664099</v>
      </c>
      <c r="C30" s="126">
        <v>1332719.1134820699</v>
      </c>
      <c r="D30" s="126">
        <v>913402.60694519803</v>
      </c>
      <c r="E30" s="126">
        <v>254215.986816997</v>
      </c>
      <c r="F30" s="126">
        <v>565934.32025693101</v>
      </c>
      <c r="G30" s="126">
        <v>4223.1633545571403</v>
      </c>
      <c r="H30" s="126">
        <v>44986.0367621681</v>
      </c>
      <c r="I30" s="126">
        <v>47578.799162005002</v>
      </c>
      <c r="J30" s="126">
        <v>6337.6646213558797</v>
      </c>
    </row>
    <row r="31" spans="1:10" x14ac:dyDescent="0.2">
      <c r="A31">
        <v>78</v>
      </c>
      <c r="B31" s="126">
        <v>2724619.5858558998</v>
      </c>
      <c r="C31" s="126">
        <v>1344401.2489930701</v>
      </c>
      <c r="D31" s="126">
        <v>1002984.87543602</v>
      </c>
      <c r="E31" s="126">
        <v>254793.19547332099</v>
      </c>
      <c r="F31" s="126">
        <v>0</v>
      </c>
      <c r="G31" s="126">
        <v>3443.4065256488102</v>
      </c>
      <c r="H31" s="126">
        <v>54477.467470676398</v>
      </c>
      <c r="I31" s="126">
        <v>58339.645101344402</v>
      </c>
      <c r="J31" s="126">
        <v>6634.9715573214198</v>
      </c>
    </row>
    <row r="32" spans="1:10" x14ac:dyDescent="0.2">
      <c r="A32">
        <v>79</v>
      </c>
      <c r="B32" s="126">
        <v>2672756.8103799699</v>
      </c>
      <c r="C32" s="126">
        <v>1331944.07900884</v>
      </c>
      <c r="D32" s="126">
        <v>983249.58716641099</v>
      </c>
      <c r="E32" s="126">
        <v>259636.393566107</v>
      </c>
      <c r="F32" s="126">
        <v>0</v>
      </c>
      <c r="G32" s="126">
        <v>6074.4317042873499</v>
      </c>
      <c r="H32" s="126">
        <v>39814.537710750301</v>
      </c>
      <c r="I32" s="126">
        <v>45951.970941786501</v>
      </c>
      <c r="J32" s="126">
        <v>6123.0732644377804</v>
      </c>
    </row>
    <row r="33" spans="1:10" x14ac:dyDescent="0.2">
      <c r="A33">
        <v>80</v>
      </c>
      <c r="B33" s="126">
        <v>2706857.6772134001</v>
      </c>
      <c r="C33" s="126">
        <v>1366806.1067022199</v>
      </c>
      <c r="D33" s="126">
        <v>986619.40394130605</v>
      </c>
      <c r="E33" s="126">
        <v>257816.76116177699</v>
      </c>
      <c r="F33" s="126">
        <v>0</v>
      </c>
      <c r="G33" s="126">
        <v>4555.3626683148104</v>
      </c>
      <c r="H33" s="126">
        <v>50268.952262019098</v>
      </c>
      <c r="I33" s="126">
        <v>34290.314897182398</v>
      </c>
      <c r="J33" s="126">
        <v>6538.3221967151603</v>
      </c>
    </row>
    <row r="34" spans="1:10" x14ac:dyDescent="0.2">
      <c r="A34">
        <v>81</v>
      </c>
      <c r="B34" s="126">
        <v>3304009.6373079699</v>
      </c>
      <c r="C34" s="126">
        <v>1374758.28968348</v>
      </c>
      <c r="D34" s="126">
        <v>982081.77101776097</v>
      </c>
      <c r="E34" s="126">
        <v>260683.680085498</v>
      </c>
      <c r="F34" s="126">
        <v>587838.88654053002</v>
      </c>
      <c r="G34" s="126">
        <v>7362.86769748182</v>
      </c>
      <c r="H34" s="126">
        <v>45005.853481853999</v>
      </c>
      <c r="I34" s="126">
        <v>40268.542865017203</v>
      </c>
      <c r="J34" s="126">
        <v>6154.8476446186596</v>
      </c>
    </row>
    <row r="35" spans="1:10" x14ac:dyDescent="0.2">
      <c r="A35">
        <v>82</v>
      </c>
      <c r="B35" s="126">
        <v>2770321.77523391</v>
      </c>
      <c r="C35" s="126">
        <v>1447144.51196854</v>
      </c>
      <c r="D35" s="126">
        <v>955449.24815530505</v>
      </c>
      <c r="E35" s="126">
        <v>259203.79321122399</v>
      </c>
      <c r="F35" s="126">
        <v>0</v>
      </c>
      <c r="G35" s="126">
        <v>5565.40381350802</v>
      </c>
      <c r="H35" s="126">
        <v>56151.0113393992</v>
      </c>
      <c r="I35" s="126">
        <v>38340.849518054703</v>
      </c>
      <c r="J35" s="126">
        <v>8466.9572278760897</v>
      </c>
    </row>
    <row r="36" spans="1:10" x14ac:dyDescent="0.2">
      <c r="A36">
        <v>83</v>
      </c>
      <c r="B36" s="126">
        <v>2746475.9488139502</v>
      </c>
      <c r="C36" s="126">
        <v>1396747.8179603</v>
      </c>
      <c r="D36" s="126">
        <v>984374.90100825403</v>
      </c>
      <c r="E36" s="126">
        <v>259303.96109049901</v>
      </c>
      <c r="F36" s="126">
        <v>0</v>
      </c>
      <c r="G36" s="126">
        <v>6027.3014907110201</v>
      </c>
      <c r="H36" s="126">
        <v>49937.051306579102</v>
      </c>
      <c r="I36" s="126">
        <v>44494.887977081402</v>
      </c>
      <c r="J36" s="126">
        <v>5908.2502018401701</v>
      </c>
    </row>
    <row r="37" spans="1:10" x14ac:dyDescent="0.2">
      <c r="A37">
        <v>84</v>
      </c>
      <c r="B37" s="126">
        <v>2763205.18736566</v>
      </c>
      <c r="C37" s="126">
        <v>1411733.3338504699</v>
      </c>
      <c r="D37" s="126">
        <v>987505.94806388498</v>
      </c>
      <c r="E37" s="126">
        <v>257713.57525767601</v>
      </c>
      <c r="F37" s="126">
        <v>0</v>
      </c>
      <c r="G37" s="126">
        <v>7522.3221642463104</v>
      </c>
      <c r="H37" s="126">
        <v>51112.521864719201</v>
      </c>
      <c r="I37" s="126">
        <v>39929.526319203404</v>
      </c>
      <c r="J37" s="126">
        <v>7687.95984546208</v>
      </c>
    </row>
    <row r="38" spans="1:10" x14ac:dyDescent="0.2">
      <c r="A38">
        <v>85</v>
      </c>
      <c r="B38" s="126">
        <v>3377653.5233690599</v>
      </c>
      <c r="C38" s="126">
        <v>1465994.6047567199</v>
      </c>
      <c r="D38" s="126">
        <v>945003.26278626896</v>
      </c>
      <c r="E38" s="126">
        <v>257185.685218075</v>
      </c>
      <c r="F38" s="126">
        <v>605374.57475747506</v>
      </c>
      <c r="G38" s="126">
        <v>7964.6563552849502</v>
      </c>
      <c r="H38" s="126">
        <v>59582.673216573603</v>
      </c>
      <c r="I38" s="126">
        <v>29211.934415866701</v>
      </c>
      <c r="J38" s="126">
        <v>7783.2726193015296</v>
      </c>
    </row>
    <row r="39" spans="1:10" x14ac:dyDescent="0.2">
      <c r="A39">
        <v>86</v>
      </c>
      <c r="B39" s="126">
        <v>2754718.2170134801</v>
      </c>
      <c r="C39" s="126">
        <v>1444357.7073267901</v>
      </c>
      <c r="D39" s="126">
        <v>958600.44302439701</v>
      </c>
      <c r="E39" s="126">
        <v>259840.65931842499</v>
      </c>
      <c r="F39" s="126">
        <v>0</v>
      </c>
      <c r="G39" s="126">
        <v>4201.4896769062198</v>
      </c>
      <c r="H39" s="126">
        <v>62689.652724959902</v>
      </c>
      <c r="I39" s="126">
        <v>16403.515508280801</v>
      </c>
      <c r="J39" s="126">
        <v>8844.6310951590494</v>
      </c>
    </row>
    <row r="40" spans="1:10" x14ac:dyDescent="0.2">
      <c r="A40">
        <v>87</v>
      </c>
      <c r="B40" s="126">
        <v>2773494.5869987099</v>
      </c>
      <c r="C40" s="126">
        <v>1481861.23448723</v>
      </c>
      <c r="D40" s="126">
        <v>942627.41800347797</v>
      </c>
      <c r="E40" s="126">
        <v>259754.09891839899</v>
      </c>
      <c r="F40" s="126">
        <v>0</v>
      </c>
      <c r="G40" s="126">
        <v>4966.7015212239403</v>
      </c>
      <c r="H40" s="126">
        <v>51058.784053875897</v>
      </c>
      <c r="I40" s="126">
        <v>25993.586174981101</v>
      </c>
      <c r="J40" s="126">
        <v>7341.7869811495702</v>
      </c>
    </row>
    <row r="41" spans="1:10" x14ac:dyDescent="0.2">
      <c r="A41">
        <v>88</v>
      </c>
      <c r="B41" s="126">
        <v>2786380.0001052301</v>
      </c>
      <c r="C41" s="126">
        <v>1436985.03863031</v>
      </c>
      <c r="D41" s="126">
        <v>989402.43587442196</v>
      </c>
      <c r="E41" s="126">
        <v>260262.08307315101</v>
      </c>
      <c r="F41" s="126">
        <v>0</v>
      </c>
      <c r="G41" s="126">
        <v>3899.7872491029102</v>
      </c>
      <c r="H41" s="126">
        <v>44843.852713569097</v>
      </c>
      <c r="I41" s="126">
        <v>45799.307419866702</v>
      </c>
      <c r="J41" s="126">
        <v>6928.1097903872296</v>
      </c>
    </row>
    <row r="42" spans="1:10" x14ac:dyDescent="0.2">
      <c r="A42">
        <v>89</v>
      </c>
      <c r="B42" s="126">
        <v>3400563.95129376</v>
      </c>
      <c r="C42" s="126">
        <v>1443118.62806498</v>
      </c>
      <c r="D42" s="126">
        <v>976235.30573454802</v>
      </c>
      <c r="E42" s="126">
        <v>259505.80110493</v>
      </c>
      <c r="F42" s="126">
        <v>607308.10188849305</v>
      </c>
      <c r="G42" s="126">
        <v>8282.0741574060794</v>
      </c>
      <c r="H42" s="126">
        <v>47965.320865482201</v>
      </c>
      <c r="I42" s="126">
        <v>53534.078184056903</v>
      </c>
      <c r="J42" s="126">
        <v>6446.3587265528904</v>
      </c>
    </row>
    <row r="43" spans="1:10" x14ac:dyDescent="0.2">
      <c r="A43">
        <v>90</v>
      </c>
      <c r="B43" s="126">
        <v>2803516.3350159498</v>
      </c>
      <c r="C43" s="126">
        <v>1460095.7459075199</v>
      </c>
      <c r="D43" s="126">
        <v>975314.98478943901</v>
      </c>
      <c r="E43" s="126">
        <v>259436.74444637401</v>
      </c>
      <c r="F43" s="126">
        <v>0</v>
      </c>
      <c r="G43" s="126">
        <v>7016.8614800319301</v>
      </c>
      <c r="H43" s="126">
        <v>49808.904019945803</v>
      </c>
      <c r="I43" s="126">
        <v>43888.59426682</v>
      </c>
      <c r="J43" s="126">
        <v>7970.9055237285402</v>
      </c>
    </row>
    <row r="44" spans="1:10" x14ac:dyDescent="0.2">
      <c r="A44">
        <v>91</v>
      </c>
      <c r="B44" s="126">
        <v>2804138.3551973798</v>
      </c>
      <c r="C44" s="126">
        <v>1508327.6789009101</v>
      </c>
      <c r="D44" s="126">
        <v>923922.38509581599</v>
      </c>
      <c r="E44" s="126">
        <v>260481.87734352599</v>
      </c>
      <c r="F44" s="126">
        <v>0</v>
      </c>
      <c r="G44" s="126">
        <v>5865.2560250060496</v>
      </c>
      <c r="H44" s="126">
        <v>51293.201638894701</v>
      </c>
      <c r="I44" s="126">
        <v>47354.141823382102</v>
      </c>
      <c r="J44" s="126">
        <v>7520.5591848287404</v>
      </c>
    </row>
    <row r="45" spans="1:10" x14ac:dyDescent="0.2">
      <c r="A45">
        <v>92</v>
      </c>
      <c r="B45" s="126">
        <v>2828281.45261914</v>
      </c>
      <c r="C45" s="126">
        <v>1508710.7879291901</v>
      </c>
      <c r="D45" s="126">
        <v>955493.41954394896</v>
      </c>
      <c r="E45" s="126">
        <v>263688.51086829801</v>
      </c>
      <c r="F45" s="126">
        <v>0</v>
      </c>
      <c r="G45" s="126">
        <v>5784.1283852334</v>
      </c>
      <c r="H45" s="126">
        <v>56433.431240972903</v>
      </c>
      <c r="I45" s="126">
        <v>31153.084786763699</v>
      </c>
      <c r="J45" s="126">
        <v>7643.0298925854504</v>
      </c>
    </row>
    <row r="46" spans="1:10" x14ac:dyDescent="0.2">
      <c r="A46">
        <v>93</v>
      </c>
      <c r="B46" s="126">
        <v>3416804.4075612901</v>
      </c>
      <c r="C46" s="126">
        <v>1458851.2972188001</v>
      </c>
      <c r="D46" s="126">
        <v>980777.58978968102</v>
      </c>
      <c r="E46" s="126">
        <v>263004.96208602597</v>
      </c>
      <c r="F46" s="126">
        <v>604491.38944392302</v>
      </c>
      <c r="G46" s="126">
        <v>7576.6090567131696</v>
      </c>
      <c r="H46" s="126">
        <v>53539.1394059589</v>
      </c>
      <c r="I46" s="126">
        <v>39904.244426669502</v>
      </c>
      <c r="J46" s="126">
        <v>5971.4503449132599</v>
      </c>
    </row>
    <row r="47" spans="1:10" x14ac:dyDescent="0.2">
      <c r="A47">
        <v>94</v>
      </c>
      <c r="B47" s="126">
        <v>2817071.4357775501</v>
      </c>
      <c r="C47" s="126">
        <v>1471891.79937978</v>
      </c>
      <c r="D47" s="126">
        <v>977647.73930638097</v>
      </c>
      <c r="E47" s="126">
        <v>261615.13017113</v>
      </c>
      <c r="F47" s="126">
        <v>0</v>
      </c>
      <c r="G47" s="126">
        <v>6741.1238306511004</v>
      </c>
      <c r="H47" s="126">
        <v>52437.250511138503</v>
      </c>
      <c r="I47" s="126">
        <v>36858.309647465103</v>
      </c>
      <c r="J47" s="126">
        <v>7893.2017455082796</v>
      </c>
    </row>
    <row r="48" spans="1:10" x14ac:dyDescent="0.2">
      <c r="A48">
        <v>95</v>
      </c>
      <c r="B48" s="126">
        <v>2781214.2197871599</v>
      </c>
      <c r="C48" s="126">
        <v>1450142.6003342399</v>
      </c>
      <c r="D48" s="126">
        <v>957742.07534233003</v>
      </c>
      <c r="E48" s="126">
        <v>262717.36991864402</v>
      </c>
      <c r="F48" s="126">
        <v>0</v>
      </c>
      <c r="G48" s="126">
        <v>5317.0552466543204</v>
      </c>
      <c r="H48" s="126">
        <v>46526.622415391503</v>
      </c>
      <c r="I48" s="126">
        <v>52591.012192675997</v>
      </c>
      <c r="J48" s="126">
        <v>6478.7107536705598</v>
      </c>
    </row>
    <row r="49" spans="1:10" x14ac:dyDescent="0.2">
      <c r="A49">
        <v>96</v>
      </c>
      <c r="B49" s="126">
        <v>2754078.8439488499</v>
      </c>
      <c r="C49" s="126">
        <v>1436880.8658680499</v>
      </c>
      <c r="D49" s="126">
        <v>960351.42595248297</v>
      </c>
      <c r="E49" s="126">
        <v>260947.724936207</v>
      </c>
      <c r="F49" s="126">
        <v>0</v>
      </c>
      <c r="G49" s="126">
        <v>5674.1868757408101</v>
      </c>
      <c r="H49" s="126">
        <v>49031.899886992403</v>
      </c>
      <c r="I49" s="126">
        <v>32775.6046075103</v>
      </c>
      <c r="J49" s="126">
        <v>7663.2098048140597</v>
      </c>
    </row>
    <row r="50" spans="1:10" x14ac:dyDescent="0.2">
      <c r="A50">
        <v>97</v>
      </c>
      <c r="B50" s="126">
        <v>3392429.4370448198</v>
      </c>
      <c r="C50" s="126">
        <v>1438473.28064373</v>
      </c>
      <c r="D50" s="126">
        <v>980093.59866968601</v>
      </c>
      <c r="E50" s="126">
        <v>259046.61360942101</v>
      </c>
      <c r="F50" s="126">
        <v>600011.76527151198</v>
      </c>
      <c r="G50" s="126">
        <v>4366.5040795021696</v>
      </c>
      <c r="H50" s="126">
        <v>62146.8416504462</v>
      </c>
      <c r="I50" s="126">
        <v>40653.619865995497</v>
      </c>
      <c r="J50" s="126">
        <v>8015.1700648117603</v>
      </c>
    </row>
    <row r="51" spans="1:10" x14ac:dyDescent="0.2">
      <c r="A51">
        <v>98</v>
      </c>
      <c r="B51" s="126">
        <v>2748284.62919831</v>
      </c>
      <c r="C51" s="126">
        <v>1407574.55062885</v>
      </c>
      <c r="D51" s="126">
        <v>982326.18676409603</v>
      </c>
      <c r="E51" s="126">
        <v>255083.59701470801</v>
      </c>
      <c r="F51" s="126">
        <v>0</v>
      </c>
      <c r="G51" s="126">
        <v>5715.1955876415996</v>
      </c>
      <c r="H51" s="126">
        <v>56991.937170877398</v>
      </c>
      <c r="I51" s="126">
        <v>33297.0265307093</v>
      </c>
      <c r="J51" s="126">
        <v>7161.67818537943</v>
      </c>
    </row>
    <row r="52" spans="1:10" x14ac:dyDescent="0.2">
      <c r="A52">
        <v>99</v>
      </c>
      <c r="B52" s="126">
        <v>2748540.5123552601</v>
      </c>
      <c r="C52" s="126">
        <v>1456882.3061973101</v>
      </c>
      <c r="D52" s="126">
        <v>931821.98047029995</v>
      </c>
      <c r="E52" s="126">
        <v>252656.458290448</v>
      </c>
      <c r="F52" s="126">
        <v>0</v>
      </c>
      <c r="G52" s="126">
        <v>6209.1687833080596</v>
      </c>
      <c r="H52" s="126">
        <v>64383.976964415902</v>
      </c>
      <c r="I52" s="126">
        <v>29093.143716631799</v>
      </c>
      <c r="J52" s="126">
        <v>6891.5136576941504</v>
      </c>
    </row>
    <row r="53" spans="1:10" x14ac:dyDescent="0.2">
      <c r="A53">
        <v>100</v>
      </c>
      <c r="B53" s="126">
        <v>2781878.52427861</v>
      </c>
      <c r="C53" s="126">
        <v>1453649.0353797399</v>
      </c>
      <c r="D53" s="126">
        <v>974209.55177952803</v>
      </c>
      <c r="E53" s="126">
        <v>251835.41145865101</v>
      </c>
      <c r="F53" s="126">
        <v>0</v>
      </c>
      <c r="G53" s="126">
        <v>7813.5006969978504</v>
      </c>
      <c r="H53" s="126">
        <v>59077.6955504379</v>
      </c>
      <c r="I53" s="126">
        <v>29376.203266398799</v>
      </c>
      <c r="J53" s="126">
        <v>6117.1329491454999</v>
      </c>
    </row>
    <row r="54" spans="1:10" x14ac:dyDescent="0.2">
      <c r="A54">
        <v>101</v>
      </c>
      <c r="B54" s="126">
        <v>3326736.1239982201</v>
      </c>
      <c r="C54" s="126">
        <v>1474077.8433598001</v>
      </c>
      <c r="D54" s="126">
        <v>905225.39427996206</v>
      </c>
      <c r="E54" s="126">
        <v>253141.04329152199</v>
      </c>
      <c r="F54" s="126">
        <v>583335.22993000702</v>
      </c>
      <c r="G54" s="126">
        <v>6247.9608667598504</v>
      </c>
      <c r="H54" s="126">
        <v>59062.552302582902</v>
      </c>
      <c r="I54" s="126">
        <v>41816.130174840699</v>
      </c>
      <c r="J54" s="126">
        <v>6625.9614963284002</v>
      </c>
    </row>
    <row r="55" spans="1:10" x14ac:dyDescent="0.2">
      <c r="A55">
        <v>102</v>
      </c>
      <c r="B55" s="126">
        <v>2684223.2539045298</v>
      </c>
      <c r="C55" s="126">
        <v>1395018.4890463599</v>
      </c>
      <c r="D55" s="126">
        <v>942890.07842724805</v>
      </c>
      <c r="E55" s="126">
        <v>250805.69915210301</v>
      </c>
      <c r="F55" s="126">
        <v>0</v>
      </c>
      <c r="G55" s="126">
        <v>9027.3129237368594</v>
      </c>
      <c r="H55" s="126">
        <v>42017.547159682901</v>
      </c>
      <c r="I55" s="126">
        <v>40781.1332532819</v>
      </c>
      <c r="J55" s="126">
        <v>4148.1061505388798</v>
      </c>
    </row>
    <row r="56" spans="1:10" x14ac:dyDescent="0.2">
      <c r="A56">
        <v>103</v>
      </c>
      <c r="B56" s="126">
        <v>2675777.21172811</v>
      </c>
      <c r="C56" s="126">
        <v>1379617.3295952999</v>
      </c>
      <c r="D56" s="126">
        <v>936663.82180927903</v>
      </c>
      <c r="E56" s="126">
        <v>249316.27417309399</v>
      </c>
      <c r="F56" s="126">
        <v>0</v>
      </c>
      <c r="G56" s="126">
        <v>8673.3581435739197</v>
      </c>
      <c r="H56" s="126">
        <v>69884.795746245305</v>
      </c>
      <c r="I56" s="126">
        <v>26193.186955922301</v>
      </c>
      <c r="J56" s="126">
        <v>8335.8152944147696</v>
      </c>
    </row>
    <row r="57" spans="1:10" x14ac:dyDescent="0.2">
      <c r="A57">
        <v>104</v>
      </c>
      <c r="B57" s="126">
        <v>2625080.19574901</v>
      </c>
      <c r="C57" s="126">
        <v>1391298.74172098</v>
      </c>
      <c r="D57" s="126">
        <v>902343.437227824</v>
      </c>
      <c r="E57" s="126">
        <v>245106.26774690999</v>
      </c>
      <c r="F57" s="126">
        <v>0</v>
      </c>
      <c r="G57" s="126">
        <v>5623.0600196744899</v>
      </c>
      <c r="H57" s="126">
        <v>46793.652240155097</v>
      </c>
      <c r="I57" s="126">
        <v>29507.993776787</v>
      </c>
      <c r="J57" s="126">
        <v>6330.8176951228397</v>
      </c>
    </row>
    <row r="58" spans="1:10" x14ac:dyDescent="0.2">
      <c r="A58">
        <v>105</v>
      </c>
      <c r="B58" s="126">
        <v>3237466.8056886899</v>
      </c>
      <c r="C58" s="126">
        <v>1426602.5123099</v>
      </c>
      <c r="D58" s="126">
        <v>884436.83813395805</v>
      </c>
      <c r="E58" s="126">
        <v>245938.98777497801</v>
      </c>
      <c r="F58" s="126">
        <v>583939.93319719797</v>
      </c>
      <c r="G58" s="126">
        <v>6285.6288497074702</v>
      </c>
      <c r="H58" s="126">
        <v>49819.737982319501</v>
      </c>
      <c r="I58" s="126">
        <v>32554.316003715401</v>
      </c>
      <c r="J58" s="126">
        <v>8074.7314796496803</v>
      </c>
    </row>
    <row r="59" spans="1:10" x14ac:dyDescent="0.2">
      <c r="A59">
        <v>106</v>
      </c>
      <c r="B59" s="126">
        <v>2639577.1157333301</v>
      </c>
      <c r="C59" s="126">
        <v>1399189.30977083</v>
      </c>
      <c r="D59" s="126">
        <v>889945.809910674</v>
      </c>
      <c r="E59" s="126">
        <v>244831.91088419699</v>
      </c>
      <c r="F59" s="126">
        <v>0</v>
      </c>
      <c r="G59" s="126">
        <v>6588.7736122341003</v>
      </c>
      <c r="H59" s="126">
        <v>53258.734049505903</v>
      </c>
      <c r="I59" s="126">
        <v>36925.532386586798</v>
      </c>
      <c r="J59" s="126">
        <v>8771.5741262995798</v>
      </c>
    </row>
    <row r="60" spans="1:10" x14ac:dyDescent="0.2">
      <c r="A60">
        <v>107</v>
      </c>
      <c r="B60" s="126">
        <v>2673840.74090527</v>
      </c>
      <c r="C60" s="126">
        <v>1417849.7860159499</v>
      </c>
      <c r="D60" s="126">
        <v>901820.46067409799</v>
      </c>
      <c r="E60" s="126">
        <v>246308.56850299801</v>
      </c>
      <c r="F60" s="126">
        <v>0</v>
      </c>
      <c r="G60" s="126">
        <v>7273.2942791757496</v>
      </c>
      <c r="H60" s="126">
        <v>65586.000346839006</v>
      </c>
      <c r="I60" s="126">
        <v>25783.607016708502</v>
      </c>
      <c r="J60" s="126">
        <v>8848.6868227650702</v>
      </c>
    </row>
    <row r="61" spans="1:10" x14ac:dyDescent="0.2">
      <c r="A61">
        <v>108</v>
      </c>
      <c r="B61" s="126">
        <v>2641441.1061165901</v>
      </c>
      <c r="C61" s="126">
        <v>1432384.3630810999</v>
      </c>
      <c r="D61" s="126">
        <v>865584.02667400194</v>
      </c>
      <c r="E61" s="126">
        <v>246422.617478723</v>
      </c>
      <c r="F61" s="126">
        <v>0</v>
      </c>
      <c r="G61" s="126">
        <v>10435.0358668156</v>
      </c>
      <c r="H61" s="126">
        <v>45693.141269015803</v>
      </c>
      <c r="I61" s="126">
        <v>35452.724797611401</v>
      </c>
      <c r="J61" s="126">
        <v>6675.8196513991097</v>
      </c>
    </row>
    <row r="62" spans="1:10" x14ac:dyDescent="0.2">
      <c r="A62">
        <v>109</v>
      </c>
      <c r="B62" s="126">
        <v>3149990.5311222398</v>
      </c>
      <c r="C62" s="126">
        <v>1423481.8541145001</v>
      </c>
      <c r="D62" s="126">
        <v>819618.86052254995</v>
      </c>
      <c r="E62" s="126">
        <v>245679.65500158499</v>
      </c>
      <c r="F62" s="126">
        <v>566237.77816077298</v>
      </c>
      <c r="G62" s="126">
        <v>8310.7802073753501</v>
      </c>
      <c r="H62" s="126">
        <v>49977.2203666274</v>
      </c>
      <c r="I62" s="126">
        <v>31047.7175085091</v>
      </c>
      <c r="J62" s="126">
        <v>7619.4345587961197</v>
      </c>
    </row>
    <row r="63" spans="1:10" x14ac:dyDescent="0.2">
      <c r="A63">
        <v>110</v>
      </c>
      <c r="B63" s="126">
        <v>2522166.97854775</v>
      </c>
      <c r="C63" s="126">
        <v>1369105.8121760599</v>
      </c>
      <c r="D63" s="126">
        <v>823223.14719568205</v>
      </c>
      <c r="E63" s="126">
        <v>242806.69279342101</v>
      </c>
      <c r="F63" s="126">
        <v>0</v>
      </c>
      <c r="G63" s="126">
        <v>8244.0217795366607</v>
      </c>
      <c r="H63" s="126">
        <v>44674.836140883403</v>
      </c>
      <c r="I63" s="126">
        <v>27025.732742215401</v>
      </c>
      <c r="J63" s="126">
        <v>7590.4914232824303</v>
      </c>
    </row>
    <row r="64" spans="1:10" x14ac:dyDescent="0.2">
      <c r="A64">
        <v>111</v>
      </c>
      <c r="B64" s="126">
        <v>2568657.6630701199</v>
      </c>
      <c r="C64" s="126">
        <v>1367097.7968008299</v>
      </c>
      <c r="D64" s="126">
        <v>849209.24723468802</v>
      </c>
      <c r="E64" s="126">
        <v>240566.97096416901</v>
      </c>
      <c r="F64" s="126">
        <v>0</v>
      </c>
      <c r="G64" s="126">
        <v>4757.2660649563204</v>
      </c>
      <c r="H64" s="126">
        <v>60027.453789617903</v>
      </c>
      <c r="I64" s="126">
        <v>38231.972642669898</v>
      </c>
      <c r="J64" s="126">
        <v>7570.20579656264</v>
      </c>
    </row>
    <row r="65" spans="1:10" x14ac:dyDescent="0.2">
      <c r="A65">
        <v>112</v>
      </c>
      <c r="B65" s="126">
        <v>2555618.2905001999</v>
      </c>
      <c r="C65" s="126">
        <v>1372544.5843410401</v>
      </c>
      <c r="D65" s="126">
        <v>853144.19869742903</v>
      </c>
      <c r="E65" s="126">
        <v>240895.85994592699</v>
      </c>
      <c r="F65" s="126">
        <v>0</v>
      </c>
      <c r="G65" s="126">
        <v>7181.5328140741203</v>
      </c>
      <c r="H65" s="126">
        <v>36770.085615456599</v>
      </c>
      <c r="I65" s="126">
        <v>36350.505913000401</v>
      </c>
      <c r="J65" s="126">
        <v>7509.6251205022199</v>
      </c>
    </row>
    <row r="66" spans="1:10" x14ac:dyDescent="0.2">
      <c r="A66">
        <v>113</v>
      </c>
      <c r="B66" s="126">
        <v>3138109.3306565001</v>
      </c>
      <c r="C66" s="126">
        <v>1392152.3082580599</v>
      </c>
      <c r="D66" s="126">
        <v>837361.52707180497</v>
      </c>
      <c r="E66" s="126">
        <v>240866.27236472501</v>
      </c>
      <c r="F66" s="126">
        <v>559510.13855351799</v>
      </c>
      <c r="G66" s="126">
        <v>5420.5844956206602</v>
      </c>
      <c r="H66" s="126">
        <v>54804.973538329003</v>
      </c>
      <c r="I66" s="126">
        <v>39682.785943819101</v>
      </c>
      <c r="J66" s="126">
        <v>7708.0851684705704</v>
      </c>
    </row>
    <row r="67" spans="1:10" x14ac:dyDescent="0.2">
      <c r="A67">
        <v>114</v>
      </c>
      <c r="B67" s="126">
        <v>2476013.0141212801</v>
      </c>
      <c r="C67" s="126">
        <v>1321985.8377497899</v>
      </c>
      <c r="D67" s="126">
        <v>821899.15814272605</v>
      </c>
      <c r="E67" s="126">
        <v>237725.71703269801</v>
      </c>
      <c r="F67" s="126">
        <v>0</v>
      </c>
      <c r="G67" s="126">
        <v>6583.6020555687801</v>
      </c>
      <c r="H67" s="126">
        <v>42114.758133879302</v>
      </c>
      <c r="I67" s="126">
        <v>38171.029732136398</v>
      </c>
      <c r="J67" s="126">
        <v>6922.1995443878504</v>
      </c>
    </row>
    <row r="68" spans="1:10" x14ac:dyDescent="0.2">
      <c r="A68">
        <v>115</v>
      </c>
      <c r="B68" s="126">
        <v>2541053.1206048499</v>
      </c>
      <c r="C68" s="126">
        <v>1433655.0322257699</v>
      </c>
      <c r="D68" s="126">
        <v>759694.92190971703</v>
      </c>
      <c r="E68" s="126">
        <v>239616.83895265701</v>
      </c>
      <c r="F68" s="126">
        <v>0</v>
      </c>
      <c r="G68" s="126">
        <v>6611.9877388290197</v>
      </c>
      <c r="H68" s="126">
        <v>54222.293922862496</v>
      </c>
      <c r="I68" s="126">
        <v>37203.653291444702</v>
      </c>
      <c r="J68" s="126">
        <v>9430.5023613016801</v>
      </c>
    </row>
    <row r="69" spans="1:10" x14ac:dyDescent="0.2">
      <c r="A69">
        <v>116</v>
      </c>
      <c r="B69" s="126">
        <v>2501867.1523731402</v>
      </c>
      <c r="C69" s="126">
        <v>1315100.84792307</v>
      </c>
      <c r="D69" s="126">
        <v>851042.15009720903</v>
      </c>
      <c r="E69" s="126">
        <v>237669.683318497</v>
      </c>
      <c r="F69" s="126">
        <v>0</v>
      </c>
      <c r="G69" s="126">
        <v>7303.6945868735502</v>
      </c>
      <c r="H69" s="126">
        <v>50004.067222522099</v>
      </c>
      <c r="I69" s="126">
        <v>34210.747637755099</v>
      </c>
      <c r="J69" s="126">
        <v>6745.3537158088602</v>
      </c>
    </row>
    <row r="70" spans="1:10" x14ac:dyDescent="0.2">
      <c r="A70">
        <v>117</v>
      </c>
      <c r="B70" s="126">
        <v>3076103.87627589</v>
      </c>
      <c r="C70" s="126">
        <v>1345573.1792697201</v>
      </c>
      <c r="D70" s="126">
        <v>836785.89306535397</v>
      </c>
      <c r="E70" s="126">
        <v>235139.52804716601</v>
      </c>
      <c r="F70" s="126">
        <v>551494.85560068104</v>
      </c>
      <c r="G70" s="126">
        <v>3799.6415516274401</v>
      </c>
      <c r="H70" s="126">
        <v>60117.981929881797</v>
      </c>
      <c r="I70" s="126">
        <v>35308.952479196603</v>
      </c>
      <c r="J70" s="126">
        <v>8556.40603914643</v>
      </c>
    </row>
    <row r="71" spans="1:10" x14ac:dyDescent="0.2">
      <c r="A71">
        <v>118</v>
      </c>
      <c r="B71" s="126">
        <v>2462443.9508035099</v>
      </c>
      <c r="C71" s="126">
        <v>1344801.75491582</v>
      </c>
      <c r="D71" s="126">
        <v>778470.55400030501</v>
      </c>
      <c r="E71" s="126">
        <v>236987.736729439</v>
      </c>
      <c r="F71" s="126">
        <v>0</v>
      </c>
      <c r="G71" s="126">
        <v>7187.5754075308696</v>
      </c>
      <c r="H71" s="126">
        <v>51163.274204159199</v>
      </c>
      <c r="I71" s="126">
        <v>36530.6557336798</v>
      </c>
      <c r="J71" s="126">
        <v>6951.9999301783701</v>
      </c>
    </row>
    <row r="72" spans="1:10" x14ac:dyDescent="0.2">
      <c r="A72">
        <v>119</v>
      </c>
      <c r="B72" s="126">
        <v>2483775.0178893502</v>
      </c>
      <c r="C72" s="126">
        <v>1353791.3663357201</v>
      </c>
      <c r="D72" s="126">
        <v>785353.89435701701</v>
      </c>
      <c r="E72" s="126">
        <v>238740.952861219</v>
      </c>
      <c r="F72" s="126">
        <v>0</v>
      </c>
      <c r="G72" s="126">
        <v>4129.7527049447199</v>
      </c>
      <c r="H72" s="126">
        <v>57183.038231156897</v>
      </c>
      <c r="I72" s="126">
        <v>35537.798700214</v>
      </c>
      <c r="J72" s="126">
        <v>8384.2212068816298</v>
      </c>
    </row>
    <row r="73" spans="1:10" x14ac:dyDescent="0.2">
      <c r="A73">
        <v>120</v>
      </c>
      <c r="B73" s="126">
        <v>2511905.7185510402</v>
      </c>
      <c r="C73" s="126">
        <v>1363685.42942065</v>
      </c>
      <c r="D73" s="126">
        <v>803181.09339914599</v>
      </c>
      <c r="E73" s="126">
        <v>238614.28767851801</v>
      </c>
      <c r="F73" s="126">
        <v>0</v>
      </c>
      <c r="G73" s="126">
        <v>5931.2997134794296</v>
      </c>
      <c r="H73" s="126">
        <v>53892.675853796303</v>
      </c>
      <c r="I73" s="126">
        <v>37524.458397250797</v>
      </c>
      <c r="J73" s="126">
        <v>7619.9414897060597</v>
      </c>
    </row>
    <row r="74" spans="1:10" x14ac:dyDescent="0.2">
      <c r="A74">
        <v>121</v>
      </c>
      <c r="B74" s="126">
        <v>3049195.7083157399</v>
      </c>
      <c r="C74" s="126">
        <v>1342331.36389323</v>
      </c>
      <c r="D74" s="126">
        <v>821707.72488854697</v>
      </c>
      <c r="E74" s="126">
        <v>238664.06542321999</v>
      </c>
      <c r="F74" s="126">
        <v>550785.63021700096</v>
      </c>
      <c r="G74" s="126">
        <v>6888.1302227664401</v>
      </c>
      <c r="H74" s="126">
        <v>56589.655324217099</v>
      </c>
      <c r="I74" s="126">
        <v>23783.730502242401</v>
      </c>
      <c r="J74" s="126">
        <v>7847.0303117659096</v>
      </c>
    </row>
    <row r="75" spans="1:10" x14ac:dyDescent="0.2">
      <c r="A75">
        <v>122</v>
      </c>
      <c r="B75" s="126">
        <v>2511561.9412669102</v>
      </c>
      <c r="C75" s="126">
        <v>1396910.17092696</v>
      </c>
      <c r="D75" s="126">
        <v>766147.632519871</v>
      </c>
      <c r="E75" s="126">
        <v>238174.84003794001</v>
      </c>
      <c r="F75" s="126">
        <v>0</v>
      </c>
      <c r="G75" s="126">
        <v>7033.4914644384098</v>
      </c>
      <c r="H75" s="126">
        <v>62426.772422479502</v>
      </c>
      <c r="I75" s="126">
        <v>30514.608549201799</v>
      </c>
      <c r="J75" s="126">
        <v>8167.9372412042803</v>
      </c>
    </row>
    <row r="76" spans="1:10" x14ac:dyDescent="0.2">
      <c r="A76">
        <v>123</v>
      </c>
      <c r="B76" s="126">
        <v>2475275.3737524999</v>
      </c>
      <c r="C76" s="126">
        <v>1343922.08407268</v>
      </c>
      <c r="D76" s="126">
        <v>786916.89155054395</v>
      </c>
      <c r="E76" s="126">
        <v>236006.41178466199</v>
      </c>
      <c r="F76" s="126">
        <v>0</v>
      </c>
      <c r="G76" s="126">
        <v>6910.9435287686401</v>
      </c>
      <c r="H76" s="126">
        <v>55240.609956589396</v>
      </c>
      <c r="I76" s="126">
        <v>37193.124972305901</v>
      </c>
      <c r="J76" s="126">
        <v>8907.9889757681503</v>
      </c>
    </row>
    <row r="77" spans="1:10" x14ac:dyDescent="0.2">
      <c r="A77">
        <v>124</v>
      </c>
      <c r="B77" s="126">
        <v>2506127.5224072202</v>
      </c>
      <c r="C77" s="126">
        <v>1350891.40358241</v>
      </c>
      <c r="D77" s="126">
        <v>810280.87450605503</v>
      </c>
      <c r="E77" s="126">
        <v>231450.28909257299</v>
      </c>
      <c r="F77" s="126">
        <v>0</v>
      </c>
      <c r="G77" s="126">
        <v>12824.714826699001</v>
      </c>
      <c r="H77" s="126">
        <v>69726.971802402695</v>
      </c>
      <c r="I77" s="126">
        <v>22566.846430913702</v>
      </c>
      <c r="J77" s="126">
        <v>8266.15986974919</v>
      </c>
    </row>
    <row r="78" spans="1:10" x14ac:dyDescent="0.2">
      <c r="A78">
        <v>125</v>
      </c>
      <c r="B78" s="126">
        <v>2958255.5521103698</v>
      </c>
      <c r="C78" s="126">
        <v>1359747.32116138</v>
      </c>
      <c r="D78" s="126">
        <v>742308.54874868901</v>
      </c>
      <c r="E78" s="126">
        <v>233690.44144555301</v>
      </c>
      <c r="F78" s="126">
        <v>527148.371435315</v>
      </c>
      <c r="G78" s="126">
        <v>7440.3371804681001</v>
      </c>
      <c r="H78" s="126">
        <v>57475.811360966203</v>
      </c>
      <c r="I78" s="126">
        <v>23461.454475920898</v>
      </c>
      <c r="J78" s="126">
        <v>8438.3694799920995</v>
      </c>
    </row>
    <row r="79" spans="1:10" x14ac:dyDescent="0.2">
      <c r="A79">
        <v>126</v>
      </c>
      <c r="B79" s="126">
        <v>2384984.5815842901</v>
      </c>
      <c r="C79" s="126">
        <v>1329695.4188500601</v>
      </c>
      <c r="D79" s="126">
        <v>734318.919030271</v>
      </c>
      <c r="E79" s="126">
        <v>231636.55723319299</v>
      </c>
      <c r="F79" s="126">
        <v>0</v>
      </c>
      <c r="G79" s="126">
        <v>9185.9064625524206</v>
      </c>
      <c r="H79" s="126">
        <v>44717.699642366402</v>
      </c>
      <c r="I79" s="126">
        <v>26767.505939978801</v>
      </c>
      <c r="J79" s="126">
        <v>8181.7522206678204</v>
      </c>
    </row>
    <row r="80" spans="1:10" x14ac:dyDescent="0.2">
      <c r="A80">
        <v>127</v>
      </c>
      <c r="B80" s="126">
        <v>2440417.1684450498</v>
      </c>
      <c r="C80" s="126">
        <v>1430697.24999107</v>
      </c>
      <c r="D80" s="126">
        <v>662348.22567247099</v>
      </c>
      <c r="E80" s="126">
        <v>229843.93379847499</v>
      </c>
      <c r="F80" s="126">
        <v>0</v>
      </c>
      <c r="G80" s="126">
        <v>4846.0626001048304</v>
      </c>
      <c r="H80" s="126">
        <v>63744.899954383298</v>
      </c>
      <c r="I80" s="126">
        <v>39183.766554364702</v>
      </c>
      <c r="J80" s="126">
        <v>8649.1426169119404</v>
      </c>
    </row>
    <row r="81" spans="1:10" x14ac:dyDescent="0.2">
      <c r="A81">
        <v>128</v>
      </c>
      <c r="B81" s="126">
        <v>2447704.4954620302</v>
      </c>
      <c r="C81" s="126">
        <v>1385944.4868439599</v>
      </c>
      <c r="D81" s="126">
        <v>724689.37548066501</v>
      </c>
      <c r="E81" s="126">
        <v>229758.36614105501</v>
      </c>
      <c r="F81" s="126">
        <v>0</v>
      </c>
      <c r="G81" s="126">
        <v>6714.64866094013</v>
      </c>
      <c r="H81" s="126">
        <v>59136.785604160999</v>
      </c>
      <c r="I81" s="126">
        <v>30891.743064989401</v>
      </c>
      <c r="J81" s="126">
        <v>7430.5761456109103</v>
      </c>
    </row>
    <row r="82" spans="1:10" x14ac:dyDescent="0.2">
      <c r="A82">
        <v>129</v>
      </c>
      <c r="B82" s="126">
        <v>2958819.0955333398</v>
      </c>
      <c r="C82" s="126">
        <v>1383193.2258796899</v>
      </c>
      <c r="D82" s="126">
        <v>725704.96369054203</v>
      </c>
      <c r="E82" s="126">
        <v>229655.595457944</v>
      </c>
      <c r="F82" s="126">
        <v>517911.31416735501</v>
      </c>
      <c r="G82" s="126">
        <v>6618.8471446492704</v>
      </c>
      <c r="H82" s="126">
        <v>55636.524054882801</v>
      </c>
      <c r="I82" s="126">
        <v>30493.178545426101</v>
      </c>
      <c r="J82" s="126">
        <v>9113.1905763760806</v>
      </c>
    </row>
    <row r="83" spans="1:10" x14ac:dyDescent="0.2">
      <c r="A83">
        <v>130</v>
      </c>
      <c r="B83" s="126">
        <v>2461826.7772785798</v>
      </c>
      <c r="C83" s="126">
        <v>1392606.08426009</v>
      </c>
      <c r="D83" s="126">
        <v>740736.02610156999</v>
      </c>
      <c r="E83" s="126">
        <v>227527.60492036201</v>
      </c>
      <c r="F83" s="126">
        <v>0</v>
      </c>
      <c r="G83" s="126">
        <v>6736.1340514296799</v>
      </c>
      <c r="H83" s="126">
        <v>47172.907273136698</v>
      </c>
      <c r="I83" s="126">
        <v>40381.467686336298</v>
      </c>
      <c r="J83" s="126">
        <v>6968.1521929076098</v>
      </c>
    </row>
    <row r="84" spans="1:10" x14ac:dyDescent="0.2">
      <c r="A84">
        <v>131</v>
      </c>
      <c r="B84" s="126">
        <v>2466675.4386528898</v>
      </c>
      <c r="C84" s="126">
        <v>1418891.1015401999</v>
      </c>
      <c r="D84" s="126">
        <v>708816.439604635</v>
      </c>
      <c r="E84" s="126">
        <v>225312.89858562601</v>
      </c>
      <c r="F84" s="126">
        <v>0</v>
      </c>
      <c r="G84" s="126">
        <v>10851.304207597501</v>
      </c>
      <c r="H84" s="126">
        <v>53743.437155884902</v>
      </c>
      <c r="I84" s="126">
        <v>41124.086539376098</v>
      </c>
      <c r="J84" s="126">
        <v>8076.4359079484202</v>
      </c>
    </row>
    <row r="85" spans="1:10" x14ac:dyDescent="0.2">
      <c r="A85">
        <v>132</v>
      </c>
      <c r="B85" s="126">
        <v>2448893.4316165</v>
      </c>
      <c r="C85" s="126">
        <v>1389683.6721357999</v>
      </c>
      <c r="D85" s="126">
        <v>736534.75040804001</v>
      </c>
      <c r="E85" s="126">
        <v>224733.73682490399</v>
      </c>
      <c r="F85" s="126">
        <v>0</v>
      </c>
      <c r="G85" s="126">
        <v>7593.2753474425899</v>
      </c>
      <c r="H85" s="126">
        <v>49102.340636025401</v>
      </c>
      <c r="I85" s="126">
        <v>32627.599605024901</v>
      </c>
      <c r="J85" s="126">
        <v>7158.6279410075003</v>
      </c>
    </row>
    <row r="86" spans="1:10" x14ac:dyDescent="0.2">
      <c r="A86">
        <v>133</v>
      </c>
      <c r="B86" s="126">
        <v>2918287.4174922202</v>
      </c>
      <c r="C86" s="126">
        <v>1377447.0146373699</v>
      </c>
      <c r="D86" s="126">
        <v>703149.57276028895</v>
      </c>
      <c r="E86" s="126">
        <v>227440.85810193699</v>
      </c>
      <c r="F86" s="126">
        <v>522997.76673317002</v>
      </c>
      <c r="G86" s="126">
        <v>8175.2756987504999</v>
      </c>
      <c r="H86" s="126">
        <v>35955.026472188103</v>
      </c>
      <c r="I86" s="126">
        <v>37634.774591920097</v>
      </c>
      <c r="J86" s="126">
        <v>5516.8918363467401</v>
      </c>
    </row>
    <row r="87" spans="1:10" x14ac:dyDescent="0.2">
      <c r="A87">
        <v>134</v>
      </c>
      <c r="B87" s="126">
        <v>2385024.8121972</v>
      </c>
      <c r="C87" s="126">
        <v>1340444.73706957</v>
      </c>
      <c r="D87" s="126">
        <v>714262.13733965904</v>
      </c>
      <c r="E87" s="126">
        <v>224487.04671415599</v>
      </c>
      <c r="F87" s="126">
        <v>0</v>
      </c>
      <c r="G87" s="126">
        <v>6375.2961064107303</v>
      </c>
      <c r="H87" s="126">
        <v>62083.691448076002</v>
      </c>
      <c r="I87" s="126">
        <v>28853.5884241126</v>
      </c>
      <c r="J87" s="126">
        <v>8049.3938262662004</v>
      </c>
    </row>
    <row r="88" spans="1:10" x14ac:dyDescent="0.2">
      <c r="A88">
        <v>135</v>
      </c>
      <c r="B88" s="126">
        <v>2394561.7416441701</v>
      </c>
      <c r="C88" s="126">
        <v>1364646.1085885901</v>
      </c>
      <c r="D88" s="126">
        <v>720973.86390839994</v>
      </c>
      <c r="E88" s="126">
        <v>221479.45170821401</v>
      </c>
      <c r="F88" s="126">
        <v>0</v>
      </c>
      <c r="G88" s="126">
        <v>5648.4690314873797</v>
      </c>
      <c r="H88" s="126">
        <v>46770.728982094501</v>
      </c>
      <c r="I88" s="126">
        <v>31829.919031567701</v>
      </c>
      <c r="J88" s="126">
        <v>6599.80688218663</v>
      </c>
    </row>
    <row r="89" spans="1:10" x14ac:dyDescent="0.2">
      <c r="A89">
        <v>136</v>
      </c>
      <c r="B89" s="126">
        <v>2411225.9033022099</v>
      </c>
      <c r="C89" s="126">
        <v>1362559.9102304201</v>
      </c>
      <c r="D89" s="126">
        <v>744828.31369232398</v>
      </c>
      <c r="E89" s="126">
        <v>220640.37496435799</v>
      </c>
      <c r="F89" s="126">
        <v>0</v>
      </c>
      <c r="G89" s="126">
        <v>7047.1731270513601</v>
      </c>
      <c r="H89" s="126">
        <v>33036.688813950903</v>
      </c>
      <c r="I89" s="126">
        <v>38032.695624860004</v>
      </c>
      <c r="J89" s="126">
        <v>4960.8029642033498</v>
      </c>
    </row>
    <row r="90" spans="1:10" x14ac:dyDescent="0.2">
      <c r="A90">
        <v>137</v>
      </c>
      <c r="B90" s="126">
        <v>2863514.3293689801</v>
      </c>
      <c r="C90" s="126">
        <v>1318885.0160115701</v>
      </c>
      <c r="D90" s="126">
        <v>718752.54835792095</v>
      </c>
      <c r="E90" s="126">
        <v>220342.88436399601</v>
      </c>
      <c r="F90" s="126">
        <v>522059.82534334902</v>
      </c>
      <c r="G90" s="126">
        <v>9349.6714985019098</v>
      </c>
      <c r="H90" s="126">
        <v>40341.608753146596</v>
      </c>
      <c r="I90" s="126">
        <v>30451.989186514598</v>
      </c>
      <c r="J90" s="126">
        <v>6775.4912049762997</v>
      </c>
    </row>
    <row r="91" spans="1:10" x14ac:dyDescent="0.2">
      <c r="A91">
        <v>138</v>
      </c>
      <c r="B91" s="126">
        <v>2378076.4654460698</v>
      </c>
      <c r="C91" s="126">
        <v>1335674.08192813</v>
      </c>
      <c r="D91" s="126">
        <v>728385.94817274599</v>
      </c>
      <c r="E91" s="126">
        <v>221177.22576632601</v>
      </c>
      <c r="F91" s="126">
        <v>0</v>
      </c>
      <c r="G91" s="126">
        <v>7677.2324491941599</v>
      </c>
      <c r="H91" s="126">
        <v>50896.202512871401</v>
      </c>
      <c r="I91" s="126">
        <v>28706.777614447001</v>
      </c>
      <c r="J91" s="126">
        <v>6791.1443548808002</v>
      </c>
    </row>
    <row r="92" spans="1:10" x14ac:dyDescent="0.2">
      <c r="A92">
        <v>139</v>
      </c>
      <c r="B92" s="126">
        <v>2383595.9718557699</v>
      </c>
      <c r="C92" s="126">
        <v>1340622.03930011</v>
      </c>
      <c r="D92" s="126">
        <v>743855.67440688203</v>
      </c>
      <c r="E92" s="126">
        <v>217225.48506038499</v>
      </c>
      <c r="F92" s="126">
        <v>0</v>
      </c>
      <c r="G92" s="126">
        <v>6912.1545917658495</v>
      </c>
      <c r="H92" s="126">
        <v>43758.989559052701</v>
      </c>
      <c r="I92" s="126">
        <v>30753.331608942499</v>
      </c>
      <c r="J92" s="126">
        <v>6028.3246065044696</v>
      </c>
    </row>
    <row r="93" spans="1:10" x14ac:dyDescent="0.2">
      <c r="A93">
        <v>140</v>
      </c>
      <c r="B93" s="126">
        <v>2320394.8318338199</v>
      </c>
      <c r="C93" s="126">
        <v>1258043.8231703499</v>
      </c>
      <c r="D93" s="126">
        <v>762287.53172625799</v>
      </c>
      <c r="E93" s="126">
        <v>218464.484435541</v>
      </c>
      <c r="F93" s="126">
        <v>0</v>
      </c>
      <c r="G93" s="126">
        <v>6810.0016639076302</v>
      </c>
      <c r="H93" s="126">
        <v>40746.193777772998</v>
      </c>
      <c r="I93" s="126">
        <v>28510.887533576799</v>
      </c>
      <c r="J93" s="126">
        <v>5766.3454134213898</v>
      </c>
    </row>
    <row r="94" spans="1:10" x14ac:dyDescent="0.2">
      <c r="A94">
        <v>141</v>
      </c>
      <c r="B94" s="126">
        <v>2827907.7982197199</v>
      </c>
      <c r="C94" s="126">
        <v>1313458.3989753099</v>
      </c>
      <c r="D94" s="126">
        <v>683163.72344493505</v>
      </c>
      <c r="E94" s="126">
        <v>218208.59911910599</v>
      </c>
      <c r="F94" s="126">
        <v>523676.594304698</v>
      </c>
      <c r="G94" s="126">
        <v>5661.3550095007804</v>
      </c>
      <c r="H94" s="126">
        <v>53256.134135104003</v>
      </c>
      <c r="I94" s="126">
        <v>24949.188836959998</v>
      </c>
      <c r="J94" s="126">
        <v>7603.8827991721</v>
      </c>
    </row>
    <row r="95" spans="1:10" x14ac:dyDescent="0.2">
      <c r="A95">
        <v>142</v>
      </c>
      <c r="B95" s="126">
        <v>2321277.9585789801</v>
      </c>
      <c r="C95" s="126">
        <v>1239085.62891162</v>
      </c>
      <c r="D95" s="126">
        <v>747747.15718418604</v>
      </c>
      <c r="E95" s="126">
        <v>217627.23239893399</v>
      </c>
      <c r="F95" s="126">
        <v>0</v>
      </c>
      <c r="G95" s="126">
        <v>8621.6967381014001</v>
      </c>
      <c r="H95" s="126">
        <v>54443.5081134988</v>
      </c>
      <c r="I95" s="126">
        <v>47632.840709740798</v>
      </c>
      <c r="J95" s="126">
        <v>8441.5413662987503</v>
      </c>
    </row>
    <row r="96" spans="1:10" x14ac:dyDescent="0.2">
      <c r="A96">
        <v>143</v>
      </c>
      <c r="B96" s="126">
        <v>2310090.0446118601</v>
      </c>
      <c r="C96" s="126">
        <v>1235627.18841659</v>
      </c>
      <c r="D96" s="126">
        <v>761766.77849026199</v>
      </c>
      <c r="E96" s="126">
        <v>215805.39578135699</v>
      </c>
      <c r="F96" s="126">
        <v>0</v>
      </c>
      <c r="G96" s="126">
        <v>5444.4265185477498</v>
      </c>
      <c r="H96" s="126">
        <v>48668.347069818497</v>
      </c>
      <c r="I96" s="126">
        <v>37461.360224438497</v>
      </c>
      <c r="J96" s="126">
        <v>6600.2484869996597</v>
      </c>
    </row>
    <row r="97" spans="1:10" x14ac:dyDescent="0.2">
      <c r="A97">
        <v>144</v>
      </c>
      <c r="B97" s="126">
        <v>2254381.6739694201</v>
      </c>
      <c r="C97" s="126">
        <v>1218148.0524275999</v>
      </c>
      <c r="D97" s="126">
        <v>730069.29704931204</v>
      </c>
      <c r="E97" s="126">
        <v>214946.21469928601</v>
      </c>
      <c r="F97" s="126">
        <v>0</v>
      </c>
      <c r="G97" s="126">
        <v>8997.5402868344099</v>
      </c>
      <c r="H97" s="126">
        <v>51804.212958338103</v>
      </c>
      <c r="I97" s="126">
        <v>25218.281012205902</v>
      </c>
      <c r="J97" s="126">
        <v>7558.2366468126302</v>
      </c>
    </row>
    <row r="98" spans="1:10" x14ac:dyDescent="0.2">
      <c r="A98">
        <v>145</v>
      </c>
      <c r="B98" s="126">
        <v>2808186.9890773199</v>
      </c>
      <c r="C98" s="126">
        <v>1231755.0239661599</v>
      </c>
      <c r="D98" s="126">
        <v>732377.760084896</v>
      </c>
      <c r="E98" s="126">
        <v>217039.09423777001</v>
      </c>
      <c r="F98" s="126">
        <v>514914.13257987302</v>
      </c>
      <c r="G98" s="126">
        <v>6815.2347348637504</v>
      </c>
      <c r="H98" s="126">
        <v>69932.510037837303</v>
      </c>
      <c r="I98" s="126">
        <v>28669.0181907734</v>
      </c>
      <c r="J98" s="126">
        <v>8663.5142806801505</v>
      </c>
    </row>
    <row r="99" spans="1:10" x14ac:dyDescent="0.2">
      <c r="A99">
        <v>146</v>
      </c>
      <c r="B99" s="126">
        <v>2300902.85714282</v>
      </c>
      <c r="C99" s="126">
        <v>1204286.2492200099</v>
      </c>
      <c r="D99" s="126">
        <v>765227.75199268397</v>
      </c>
      <c r="E99" s="126">
        <v>214523.773597041</v>
      </c>
      <c r="F99" s="126">
        <v>0</v>
      </c>
      <c r="G99" s="126">
        <v>6685.9835877179103</v>
      </c>
      <c r="H99" s="126">
        <v>46244.523463830301</v>
      </c>
      <c r="I99" s="126">
        <v>57923.488701991999</v>
      </c>
      <c r="J99" s="126">
        <v>6880.3953730328003</v>
      </c>
    </row>
    <row r="100" spans="1:10" x14ac:dyDescent="0.2">
      <c r="A100">
        <v>147</v>
      </c>
      <c r="B100" s="126">
        <v>2307729.7924947399</v>
      </c>
      <c r="C100" s="126">
        <v>1224743.7489006701</v>
      </c>
      <c r="D100" s="126">
        <v>762857.34761595598</v>
      </c>
      <c r="E100" s="126">
        <v>216158.15040626199</v>
      </c>
      <c r="F100" s="126">
        <v>0</v>
      </c>
      <c r="G100" s="126">
        <v>6536.0509657938501</v>
      </c>
      <c r="H100" s="126">
        <v>48297.089554613201</v>
      </c>
      <c r="I100" s="126">
        <v>42002.463809729699</v>
      </c>
      <c r="J100" s="126">
        <v>6861.4927114296797</v>
      </c>
    </row>
    <row r="101" spans="1:10" x14ac:dyDescent="0.2">
      <c r="A101">
        <v>148</v>
      </c>
      <c r="B101" s="126">
        <v>2322645.7127897101</v>
      </c>
      <c r="C101" s="126">
        <v>1239402.60368007</v>
      </c>
      <c r="D101" s="126">
        <v>772100.02062857198</v>
      </c>
      <c r="E101" s="126">
        <v>216317.182410129</v>
      </c>
      <c r="F101" s="126">
        <v>0</v>
      </c>
      <c r="G101" s="126">
        <v>5432.6408253361797</v>
      </c>
      <c r="H101" s="126">
        <v>44068.628620403797</v>
      </c>
      <c r="I101" s="126">
        <v>37763.612641286702</v>
      </c>
      <c r="J101" s="126">
        <v>6142.0466043093502</v>
      </c>
    </row>
    <row r="102" spans="1:10" x14ac:dyDescent="0.2">
      <c r="A102">
        <v>149</v>
      </c>
      <c r="B102" s="126">
        <v>2811506.4940922698</v>
      </c>
      <c r="C102" s="126">
        <v>1268185.4565814901</v>
      </c>
      <c r="D102" s="126">
        <v>738684.45196779398</v>
      </c>
      <c r="E102" s="126">
        <v>215592.41738179099</v>
      </c>
      <c r="F102" s="126">
        <v>512055.65612974798</v>
      </c>
      <c r="G102" s="126">
        <v>6152.7337383843396</v>
      </c>
      <c r="H102" s="126">
        <v>37886.983418522701</v>
      </c>
      <c r="I102" s="126">
        <v>24157.199271171699</v>
      </c>
      <c r="J102" s="126">
        <v>6255.2616419655496</v>
      </c>
    </row>
    <row r="103" spans="1:10" x14ac:dyDescent="0.2">
      <c r="A103">
        <v>150</v>
      </c>
      <c r="B103" s="126">
        <v>2313406.8874804401</v>
      </c>
      <c r="C103" s="126">
        <v>1244132.7613844699</v>
      </c>
      <c r="D103" s="126">
        <v>755749.49638300901</v>
      </c>
      <c r="E103" s="126">
        <v>214394.390548291</v>
      </c>
      <c r="F103" s="126">
        <v>0</v>
      </c>
      <c r="G103" s="126">
        <v>9816.4927721809308</v>
      </c>
      <c r="H103" s="126">
        <v>45837.884360175602</v>
      </c>
      <c r="I103" s="126">
        <v>34992.441331186201</v>
      </c>
      <c r="J103" s="126">
        <v>6199.3484389237501</v>
      </c>
    </row>
    <row r="104" spans="1:10" x14ac:dyDescent="0.2">
      <c r="A104">
        <v>151</v>
      </c>
      <c r="B104" s="126">
        <v>2317816.2806714801</v>
      </c>
      <c r="C104" s="126">
        <v>1266398.8841375399</v>
      </c>
      <c r="D104" s="126">
        <v>742730.40756288997</v>
      </c>
      <c r="E104" s="126">
        <v>213376.283924099</v>
      </c>
      <c r="F104" s="126">
        <v>0</v>
      </c>
      <c r="G104" s="126">
        <v>5936.6857290489197</v>
      </c>
      <c r="H104" s="126">
        <v>47775.6986939825</v>
      </c>
      <c r="I104" s="126">
        <v>33682.531253121197</v>
      </c>
      <c r="J104" s="126">
        <v>6191.2998078868204</v>
      </c>
    </row>
    <row r="105" spans="1:10" x14ac:dyDescent="0.2">
      <c r="A105">
        <v>152</v>
      </c>
      <c r="B105" s="126">
        <v>2254516.9397398401</v>
      </c>
      <c r="C105" s="126">
        <v>1199714.62288998</v>
      </c>
      <c r="D105" s="126">
        <v>744355.81760993099</v>
      </c>
      <c r="E105" s="126">
        <v>212410.93406139</v>
      </c>
      <c r="F105" s="126">
        <v>0</v>
      </c>
      <c r="G105" s="126">
        <v>9831.5860885749407</v>
      </c>
      <c r="H105" s="126">
        <v>48443.658313293097</v>
      </c>
      <c r="I105" s="126">
        <v>30901.030488020398</v>
      </c>
      <c r="J105" s="126">
        <v>7643.1167100182302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5"/>
  <sheetViews>
    <sheetView topLeftCell="B85" zoomScaleNormal="100" workbookViewId="0">
      <selection activeCell="C9" sqref="C9"/>
    </sheetView>
  </sheetViews>
  <sheetFormatPr baseColWidth="10" defaultColWidth="11.5703125" defaultRowHeight="12.75" x14ac:dyDescent="0.2"/>
  <cols>
    <col min="1" max="1" width="6.42578125" customWidth="1"/>
    <col min="2" max="2" width="18.42578125" customWidth="1"/>
    <col min="3" max="3" width="27.7109375" customWidth="1"/>
    <col min="4" max="4" width="19" customWidth="1"/>
    <col min="5" max="5" width="18.5703125" customWidth="1"/>
    <col min="6" max="6" width="19" customWidth="1"/>
    <col min="7" max="7" width="19.42578125" customWidth="1"/>
    <col min="8" max="8" width="19.28515625" customWidth="1"/>
    <col min="9" max="9" width="21.28515625" customWidth="1"/>
    <col min="10" max="10" width="16.28515625" customWidth="1"/>
  </cols>
  <sheetData>
    <row r="1" spans="1:10" x14ac:dyDescent="0.2">
      <c r="A1" t="s">
        <v>167</v>
      </c>
      <c r="B1" t="s">
        <v>184</v>
      </c>
      <c r="C1" t="s">
        <v>185</v>
      </c>
      <c r="D1" t="s">
        <v>186</v>
      </c>
      <c r="E1" t="s">
        <v>187</v>
      </c>
      <c r="F1" t="s">
        <v>188</v>
      </c>
      <c r="G1" t="s">
        <v>189</v>
      </c>
      <c r="H1" t="s">
        <v>190</v>
      </c>
      <c r="I1" t="s">
        <v>191</v>
      </c>
      <c r="J1" t="s">
        <v>192</v>
      </c>
    </row>
    <row r="2" spans="1:10" x14ac:dyDescent="0.2">
      <c r="A2">
        <v>49</v>
      </c>
      <c r="B2">
        <v>2734350.1604342898</v>
      </c>
      <c r="C2">
        <v>769150.97015674401</v>
      </c>
      <c r="D2">
        <v>1347875.48370656</v>
      </c>
      <c r="E2">
        <v>183870.104000691</v>
      </c>
      <c r="F2">
        <v>338093.92603819299</v>
      </c>
      <c r="G2">
        <v>31526.3823338806</v>
      </c>
      <c r="H2">
        <v>24077.130585327901</v>
      </c>
      <c r="I2">
        <v>31658.693543247198</v>
      </c>
      <c r="J2">
        <v>9202.3032489415109</v>
      </c>
    </row>
    <row r="3" spans="1:10" x14ac:dyDescent="0.2">
      <c r="A3">
        <v>50</v>
      </c>
      <c r="B3">
        <v>2477379.0710721002</v>
      </c>
      <c r="C3">
        <v>691195.42951627099</v>
      </c>
      <c r="D3">
        <v>1268052.4844006</v>
      </c>
      <c r="E3">
        <v>184400.11982974401</v>
      </c>
      <c r="F3">
        <v>245542.07630445599</v>
      </c>
      <c r="G3">
        <v>20998.508450175101</v>
      </c>
      <c r="H3">
        <v>29210.9064576864</v>
      </c>
      <c r="I3">
        <v>27931.670872308299</v>
      </c>
      <c r="J3">
        <v>10914.713194792101</v>
      </c>
    </row>
    <row r="4" spans="1:10" x14ac:dyDescent="0.2">
      <c r="A4">
        <v>51</v>
      </c>
      <c r="B4">
        <v>2917699.6469918601</v>
      </c>
      <c r="C4">
        <v>904566.57250971603</v>
      </c>
      <c r="D4">
        <v>1553931.86249794</v>
      </c>
      <c r="E4">
        <v>353100.647166009</v>
      </c>
      <c r="F4">
        <v>0</v>
      </c>
      <c r="G4">
        <v>3427.6882918648798</v>
      </c>
      <c r="H4">
        <v>28272.242477303898</v>
      </c>
      <c r="I4">
        <v>68274.6358079497</v>
      </c>
      <c r="J4">
        <v>7563.1135975167399</v>
      </c>
    </row>
    <row r="5" spans="1:10" x14ac:dyDescent="0.2">
      <c r="A5">
        <v>52</v>
      </c>
      <c r="B5">
        <v>2756313.5613886402</v>
      </c>
      <c r="C5">
        <v>868035.63624845503</v>
      </c>
      <c r="D5">
        <v>1446456.0985642199</v>
      </c>
      <c r="E5">
        <v>332075.99567223602</v>
      </c>
      <c r="F5">
        <v>0</v>
      </c>
      <c r="G5">
        <v>7651.38230010397</v>
      </c>
      <c r="H5">
        <v>38436.7963471556</v>
      </c>
      <c r="I5">
        <v>54213.397702074901</v>
      </c>
      <c r="J5">
        <v>10193.263057149101</v>
      </c>
    </row>
    <row r="6" spans="1:10" x14ac:dyDescent="0.2">
      <c r="A6">
        <v>53</v>
      </c>
      <c r="B6">
        <v>2795174.2785474602</v>
      </c>
      <c r="C6">
        <v>651983.94109105796</v>
      </c>
      <c r="D6">
        <v>1253642.50840363</v>
      </c>
      <c r="E6">
        <v>284415.40358836699</v>
      </c>
      <c r="F6">
        <v>535174.73604386998</v>
      </c>
      <c r="G6">
        <v>2963.3455188183898</v>
      </c>
      <c r="H6">
        <v>21138.0436511109</v>
      </c>
      <c r="I6">
        <v>39227.975011861599</v>
      </c>
      <c r="J6">
        <v>7113.0239142170503</v>
      </c>
    </row>
    <row r="7" spans="1:10" x14ac:dyDescent="0.2">
      <c r="A7">
        <v>54</v>
      </c>
      <c r="B7">
        <v>2827291.4696274698</v>
      </c>
      <c r="C7">
        <v>1170083.2953331</v>
      </c>
      <c r="D7">
        <v>1281417.8311383801</v>
      </c>
      <c r="E7">
        <v>283463.506387765</v>
      </c>
      <c r="F7">
        <v>0</v>
      </c>
      <c r="G7">
        <v>4262.2798932742899</v>
      </c>
      <c r="H7">
        <v>40692.4994081849</v>
      </c>
      <c r="I7">
        <v>41562.537068552003</v>
      </c>
      <c r="J7">
        <v>6701.7371039345298</v>
      </c>
    </row>
    <row r="8" spans="1:10" x14ac:dyDescent="0.2">
      <c r="A8">
        <v>55</v>
      </c>
      <c r="B8">
        <v>2477332.11619084</v>
      </c>
      <c r="C8">
        <v>912108.96168096201</v>
      </c>
      <c r="D8">
        <v>1195744.49461844</v>
      </c>
      <c r="E8">
        <v>265506.85023041401</v>
      </c>
      <c r="F8">
        <v>0</v>
      </c>
      <c r="G8">
        <v>3313.7921943367901</v>
      </c>
      <c r="H8">
        <v>44329.353283418503</v>
      </c>
      <c r="I8">
        <v>50876.204629566397</v>
      </c>
      <c r="J8">
        <v>5933.3474534431298</v>
      </c>
    </row>
    <row r="9" spans="1:10" x14ac:dyDescent="0.2">
      <c r="A9">
        <v>56</v>
      </c>
      <c r="B9">
        <v>3910348.4398604999</v>
      </c>
      <c r="C9">
        <v>2134725.58721156</v>
      </c>
      <c r="D9">
        <v>1259565.9398380099</v>
      </c>
      <c r="E9">
        <v>345441.10718408198</v>
      </c>
      <c r="F9">
        <v>0</v>
      </c>
      <c r="G9">
        <v>6017.2083657851399</v>
      </c>
      <c r="H9">
        <v>88039.777341046196</v>
      </c>
      <c r="I9">
        <v>63419.974456047501</v>
      </c>
      <c r="J9">
        <v>13138.845463973399</v>
      </c>
    </row>
    <row r="10" spans="1:10" x14ac:dyDescent="0.2">
      <c r="A10">
        <v>57</v>
      </c>
      <c r="B10">
        <v>4298955.2818495603</v>
      </c>
      <c r="C10">
        <v>1860159.2830527199</v>
      </c>
      <c r="D10">
        <v>1247158.55143378</v>
      </c>
      <c r="E10">
        <v>324705.61349666998</v>
      </c>
      <c r="F10">
        <v>748947.79747651401</v>
      </c>
      <c r="G10">
        <v>5410.3119628129198</v>
      </c>
      <c r="H10">
        <v>73375.670961486496</v>
      </c>
      <c r="I10">
        <v>29279.8648550301</v>
      </c>
      <c r="J10">
        <v>10554.2742020238</v>
      </c>
    </row>
    <row r="11" spans="1:10" x14ac:dyDescent="0.2">
      <c r="A11">
        <v>58</v>
      </c>
      <c r="B11">
        <v>3938877.9385907399</v>
      </c>
      <c r="C11">
        <v>2230764.05068608</v>
      </c>
      <c r="D11">
        <v>1220883.1962009601</v>
      </c>
      <c r="E11">
        <v>356978.10376777902</v>
      </c>
      <c r="F11">
        <v>0</v>
      </c>
      <c r="G11">
        <v>9241.4314699725201</v>
      </c>
      <c r="H11">
        <v>64519.830333290003</v>
      </c>
      <c r="I11">
        <v>48573.108992106601</v>
      </c>
      <c r="J11">
        <v>8445.2629139734199</v>
      </c>
    </row>
    <row r="12" spans="1:10" x14ac:dyDescent="0.2">
      <c r="A12">
        <v>59</v>
      </c>
      <c r="B12">
        <v>3599109.6687936001</v>
      </c>
      <c r="C12">
        <v>1918501.0977874701</v>
      </c>
      <c r="D12">
        <v>1188096.3688737999</v>
      </c>
      <c r="E12">
        <v>338899.42995552497</v>
      </c>
      <c r="F12">
        <v>0</v>
      </c>
      <c r="G12">
        <v>6384.1577092603302</v>
      </c>
      <c r="H12">
        <v>87888.102756436696</v>
      </c>
      <c r="I12">
        <v>49450.610055502999</v>
      </c>
      <c r="J12">
        <v>10394.7851948797</v>
      </c>
    </row>
    <row r="13" spans="1:10" x14ac:dyDescent="0.2">
      <c r="A13">
        <v>60</v>
      </c>
      <c r="B13">
        <v>4011961.89295399</v>
      </c>
      <c r="C13">
        <v>2267425.7876067101</v>
      </c>
      <c r="D13">
        <v>1215955.5322420001</v>
      </c>
      <c r="E13">
        <v>356955.85452758003</v>
      </c>
      <c r="F13">
        <v>0</v>
      </c>
      <c r="G13">
        <v>8826.3347645486501</v>
      </c>
      <c r="H13">
        <v>94195.999445809401</v>
      </c>
      <c r="I13">
        <v>57454.140355548698</v>
      </c>
      <c r="J13">
        <v>11693.7191805119</v>
      </c>
    </row>
    <row r="14" spans="1:10" x14ac:dyDescent="0.2">
      <c r="A14">
        <v>61</v>
      </c>
      <c r="B14">
        <v>4266185.7856177799</v>
      </c>
      <c r="C14">
        <v>1928109.02807559</v>
      </c>
      <c r="D14">
        <v>1138999.25175111</v>
      </c>
      <c r="E14">
        <v>330167.47012015502</v>
      </c>
      <c r="F14">
        <v>751592.02600721503</v>
      </c>
      <c r="G14">
        <v>7111.3847304971196</v>
      </c>
      <c r="H14">
        <v>70362.409533424201</v>
      </c>
      <c r="I14">
        <v>30362.2381592399</v>
      </c>
      <c r="J14">
        <v>9401.8887272460397</v>
      </c>
    </row>
    <row r="15" spans="1:10" x14ac:dyDescent="0.2">
      <c r="A15">
        <v>62</v>
      </c>
      <c r="B15">
        <v>3380805.3509411602</v>
      </c>
      <c r="C15">
        <v>1759707.6282754601</v>
      </c>
      <c r="D15">
        <v>1203221.7802499901</v>
      </c>
      <c r="E15">
        <v>302991.36214080401</v>
      </c>
      <c r="F15">
        <v>0</v>
      </c>
      <c r="G15">
        <v>5731.1748018523704</v>
      </c>
      <c r="H15">
        <v>61480.511532752898</v>
      </c>
      <c r="I15">
        <v>40145.211063717499</v>
      </c>
      <c r="J15">
        <v>7527.6828765807804</v>
      </c>
    </row>
    <row r="16" spans="1:10" x14ac:dyDescent="0.2">
      <c r="A16">
        <v>63</v>
      </c>
      <c r="B16">
        <v>3200521.3038177802</v>
      </c>
      <c r="C16">
        <v>1648842.2714784299</v>
      </c>
      <c r="D16">
        <v>1128289.4808683</v>
      </c>
      <c r="E16">
        <v>304202.81445459399</v>
      </c>
      <c r="F16">
        <v>0</v>
      </c>
      <c r="G16">
        <v>6998.3735356965599</v>
      </c>
      <c r="H16">
        <v>59194.503470797703</v>
      </c>
      <c r="I16">
        <v>44619.146161516997</v>
      </c>
      <c r="J16">
        <v>8301.3282202095106</v>
      </c>
    </row>
    <row r="17" spans="1:10" x14ac:dyDescent="0.2">
      <c r="A17">
        <v>64</v>
      </c>
      <c r="B17">
        <v>3094246.8878655699</v>
      </c>
      <c r="C17">
        <v>1631135.9434392899</v>
      </c>
      <c r="D17">
        <v>1067520.7644215701</v>
      </c>
      <c r="E17">
        <v>289978.76989652799</v>
      </c>
      <c r="F17">
        <v>0</v>
      </c>
      <c r="G17">
        <v>8729.5321517894899</v>
      </c>
      <c r="H17">
        <v>45863.2774661453</v>
      </c>
      <c r="I17">
        <v>43419.257478473097</v>
      </c>
      <c r="J17">
        <v>7638.2604606453096</v>
      </c>
    </row>
    <row r="18" spans="1:10" x14ac:dyDescent="0.2">
      <c r="A18">
        <v>65</v>
      </c>
      <c r="B18">
        <v>3260183.7923725699</v>
      </c>
      <c r="C18">
        <v>1391718.3895747401</v>
      </c>
      <c r="D18">
        <v>926701.10735239997</v>
      </c>
      <c r="E18">
        <v>262175.66133828601</v>
      </c>
      <c r="F18">
        <v>581499.28024959401</v>
      </c>
      <c r="G18">
        <v>3600.5191196702899</v>
      </c>
      <c r="H18">
        <v>56100.702337887102</v>
      </c>
      <c r="I18">
        <v>31390.9564292344</v>
      </c>
      <c r="J18">
        <v>7538.0824646804704</v>
      </c>
    </row>
    <row r="19" spans="1:10" x14ac:dyDescent="0.2">
      <c r="A19">
        <v>66</v>
      </c>
      <c r="B19">
        <v>2980388.1803949699</v>
      </c>
      <c r="C19">
        <v>1318101.2884644901</v>
      </c>
      <c r="D19">
        <v>1305562.0134000001</v>
      </c>
      <c r="E19">
        <v>261948.98426100099</v>
      </c>
      <c r="F19">
        <v>0</v>
      </c>
      <c r="G19">
        <v>6165.4649353594596</v>
      </c>
      <c r="H19">
        <v>51081.413264340903</v>
      </c>
      <c r="I19">
        <v>30603.506627746301</v>
      </c>
      <c r="J19">
        <v>6960.78790133444</v>
      </c>
    </row>
    <row r="20" spans="1:10" x14ac:dyDescent="0.2">
      <c r="A20">
        <v>67</v>
      </c>
      <c r="B20">
        <v>2895242.2288081301</v>
      </c>
      <c r="C20">
        <v>1325762.3021009001</v>
      </c>
      <c r="D20">
        <v>1216043.93882</v>
      </c>
      <c r="E20">
        <v>261552.97470699801</v>
      </c>
      <c r="F20">
        <v>0</v>
      </c>
      <c r="G20">
        <v>8448.0980493435709</v>
      </c>
      <c r="H20">
        <v>47213.162140404798</v>
      </c>
      <c r="I20">
        <v>31051.262321474402</v>
      </c>
      <c r="J20">
        <v>5954.1909767256302</v>
      </c>
    </row>
    <row r="21" spans="1:10" x14ac:dyDescent="0.2">
      <c r="A21">
        <v>68</v>
      </c>
      <c r="B21">
        <v>3098358.84930827</v>
      </c>
      <c r="C21">
        <v>1419806.3297987401</v>
      </c>
      <c r="D21">
        <v>1315626.47226</v>
      </c>
      <c r="E21">
        <v>267193.16940611601</v>
      </c>
      <c r="F21">
        <v>0</v>
      </c>
      <c r="G21">
        <v>4238.3326185947599</v>
      </c>
      <c r="H21">
        <v>48454.667018444401</v>
      </c>
      <c r="I21">
        <v>36776.860248189201</v>
      </c>
      <c r="J21">
        <v>6419.9509224432704</v>
      </c>
    </row>
    <row r="22" spans="1:10" x14ac:dyDescent="0.2">
      <c r="A22">
        <v>69</v>
      </c>
      <c r="B22">
        <v>3396076.8104441902</v>
      </c>
      <c r="C22">
        <v>1356883.7921154699</v>
      </c>
      <c r="D22">
        <v>1131971.39727731</v>
      </c>
      <c r="E22">
        <v>258853.22130070801</v>
      </c>
      <c r="F22">
        <v>567488.72068420204</v>
      </c>
      <c r="G22">
        <v>4027.4249628264902</v>
      </c>
      <c r="H22">
        <v>47589.231826457399</v>
      </c>
      <c r="I22">
        <v>23061.208706066402</v>
      </c>
      <c r="J22">
        <v>6442.5568915903896</v>
      </c>
    </row>
    <row r="23" spans="1:10" x14ac:dyDescent="0.2">
      <c r="A23">
        <v>70</v>
      </c>
      <c r="B23">
        <v>2487561.52932873</v>
      </c>
      <c r="C23">
        <v>1308414.7386354001</v>
      </c>
      <c r="D23">
        <v>843473.32938219095</v>
      </c>
      <c r="E23">
        <v>248969.80797048801</v>
      </c>
      <c r="F23">
        <v>0</v>
      </c>
      <c r="G23">
        <v>6056.0172259938099</v>
      </c>
      <c r="H23">
        <v>44916.1043196623</v>
      </c>
      <c r="I23">
        <v>30439.3888354923</v>
      </c>
      <c r="J23">
        <v>5409.1132406072202</v>
      </c>
    </row>
    <row r="24" spans="1:10" x14ac:dyDescent="0.2">
      <c r="A24">
        <v>71</v>
      </c>
      <c r="B24">
        <v>2399103.5658151298</v>
      </c>
      <c r="C24">
        <v>1223722.93397405</v>
      </c>
      <c r="D24">
        <v>851502.39214130701</v>
      </c>
      <c r="E24">
        <v>245046.29107385699</v>
      </c>
      <c r="F24">
        <v>0</v>
      </c>
      <c r="G24">
        <v>5049.8424270707101</v>
      </c>
      <c r="H24">
        <v>40102.581963734498</v>
      </c>
      <c r="I24">
        <v>28265.8259701315</v>
      </c>
      <c r="J24">
        <v>5622.7959403861996</v>
      </c>
    </row>
    <row r="25" spans="1:10" x14ac:dyDescent="0.2">
      <c r="A25">
        <v>72</v>
      </c>
      <c r="B25">
        <v>2369349.5895775799</v>
      </c>
      <c r="C25">
        <v>1194413.69122801</v>
      </c>
      <c r="D25">
        <v>857494.88287659804</v>
      </c>
      <c r="E25">
        <v>236932.005292149</v>
      </c>
      <c r="F25">
        <v>0</v>
      </c>
      <c r="G25">
        <v>5426.20302187991</v>
      </c>
      <c r="H25">
        <v>45893.6129419434</v>
      </c>
      <c r="I25">
        <v>23146.157898615402</v>
      </c>
      <c r="J25">
        <v>6250.3697143876097</v>
      </c>
    </row>
    <row r="26" spans="1:10" x14ac:dyDescent="0.2">
      <c r="A26">
        <v>73</v>
      </c>
      <c r="B26">
        <v>2888057.6647410099</v>
      </c>
      <c r="C26">
        <v>1207852.97789122</v>
      </c>
      <c r="D26">
        <v>841426.321278319</v>
      </c>
      <c r="E26">
        <v>241178.13686270299</v>
      </c>
      <c r="F26">
        <v>522851.46440487099</v>
      </c>
      <c r="G26">
        <v>3546.8396539392502</v>
      </c>
      <c r="H26">
        <v>33549.669315895298</v>
      </c>
      <c r="I26">
        <v>32671.2408225002</v>
      </c>
      <c r="J26">
        <v>5288.8226657023497</v>
      </c>
    </row>
    <row r="27" spans="1:10" x14ac:dyDescent="0.2">
      <c r="A27">
        <v>74</v>
      </c>
      <c r="B27">
        <v>2559464.82909881</v>
      </c>
      <c r="C27">
        <v>1284128.6794119901</v>
      </c>
      <c r="D27">
        <v>922153.80504398805</v>
      </c>
      <c r="E27">
        <v>257446.02437012701</v>
      </c>
      <c r="F27">
        <v>0</v>
      </c>
      <c r="G27">
        <v>6244.1810730343104</v>
      </c>
      <c r="H27">
        <v>47195.871440739502</v>
      </c>
      <c r="I27">
        <v>36206.991215686299</v>
      </c>
      <c r="J27">
        <v>6126.2017193113597</v>
      </c>
    </row>
    <row r="28" spans="1:10" x14ac:dyDescent="0.2">
      <c r="A28">
        <v>75</v>
      </c>
      <c r="B28">
        <v>2492474.19260902</v>
      </c>
      <c r="C28">
        <v>1233846.40626271</v>
      </c>
      <c r="D28">
        <v>906619.42656832805</v>
      </c>
      <c r="E28">
        <v>253110.36869281001</v>
      </c>
      <c r="F28">
        <v>0</v>
      </c>
      <c r="G28">
        <v>3338.8617770134902</v>
      </c>
      <c r="H28">
        <v>46003.055609243303</v>
      </c>
      <c r="I28">
        <v>43003.119839370702</v>
      </c>
      <c r="J28">
        <v>6589.7989358782097</v>
      </c>
    </row>
    <row r="29" spans="1:10" x14ac:dyDescent="0.2">
      <c r="A29">
        <v>76</v>
      </c>
      <c r="B29">
        <v>2495768.1401336598</v>
      </c>
      <c r="C29">
        <v>1290206.7432099001</v>
      </c>
      <c r="D29">
        <v>869349.19752533897</v>
      </c>
      <c r="E29">
        <v>255129.55611043499</v>
      </c>
      <c r="F29">
        <v>0</v>
      </c>
      <c r="G29">
        <v>3776.78945713133</v>
      </c>
      <c r="H29">
        <v>42080.056605359001</v>
      </c>
      <c r="I29">
        <v>29213.076051474301</v>
      </c>
      <c r="J29">
        <v>6373.0194944332097</v>
      </c>
    </row>
    <row r="30" spans="1:10" x14ac:dyDescent="0.2">
      <c r="A30">
        <v>77</v>
      </c>
      <c r="B30">
        <v>3058599.2945983801</v>
      </c>
      <c r="C30">
        <v>1277790.3962270101</v>
      </c>
      <c r="D30">
        <v>878418.00895289402</v>
      </c>
      <c r="E30">
        <v>259048.19100206101</v>
      </c>
      <c r="F30">
        <v>555976.21527081204</v>
      </c>
      <c r="G30">
        <v>5203.8764003840097</v>
      </c>
      <c r="H30">
        <v>41307.9429053727</v>
      </c>
      <c r="I30">
        <v>35370.630374039698</v>
      </c>
      <c r="J30">
        <v>5601.5450369135096</v>
      </c>
    </row>
    <row r="31" spans="1:10" x14ac:dyDescent="0.2">
      <c r="A31">
        <v>78</v>
      </c>
      <c r="B31">
        <v>2565189.8853548001</v>
      </c>
      <c r="C31">
        <v>1346013.4652219701</v>
      </c>
      <c r="D31">
        <v>855232.82963434595</v>
      </c>
      <c r="E31">
        <v>261659.17065719899</v>
      </c>
      <c r="F31">
        <v>0</v>
      </c>
      <c r="G31">
        <v>4514.4554837570904</v>
      </c>
      <c r="H31">
        <v>46968.234916272602</v>
      </c>
      <c r="I31">
        <v>43932.678440242897</v>
      </c>
      <c r="J31">
        <v>6950.9027593236797</v>
      </c>
    </row>
    <row r="32" spans="1:10" x14ac:dyDescent="0.2">
      <c r="A32">
        <v>79</v>
      </c>
      <c r="B32">
        <v>2597762.40040504</v>
      </c>
      <c r="C32">
        <v>1324504.23248731</v>
      </c>
      <c r="D32">
        <v>904456.382502252</v>
      </c>
      <c r="E32">
        <v>265399.29610533197</v>
      </c>
      <c r="F32">
        <v>0</v>
      </c>
      <c r="G32">
        <v>4130.6973277286497</v>
      </c>
      <c r="H32">
        <v>46271.479249907999</v>
      </c>
      <c r="I32">
        <v>45788.641241597303</v>
      </c>
      <c r="J32">
        <v>7336.93026502468</v>
      </c>
    </row>
    <row r="33" spans="1:10" x14ac:dyDescent="0.2">
      <c r="A33">
        <v>80</v>
      </c>
      <c r="B33">
        <v>2571640.4201646801</v>
      </c>
      <c r="C33">
        <v>1379974.24348043</v>
      </c>
      <c r="D33">
        <v>834025.95534767804</v>
      </c>
      <c r="E33">
        <v>263925.02185325499</v>
      </c>
      <c r="F33">
        <v>0</v>
      </c>
      <c r="G33">
        <v>3775.2819326836502</v>
      </c>
      <c r="H33">
        <v>60341.284744822202</v>
      </c>
      <c r="I33">
        <v>21675.5590403899</v>
      </c>
      <c r="J33">
        <v>7979.5138020758905</v>
      </c>
    </row>
    <row r="34" spans="1:10" x14ac:dyDescent="0.2">
      <c r="A34">
        <v>81</v>
      </c>
      <c r="B34">
        <v>3163067.4368835599</v>
      </c>
      <c r="C34">
        <v>1396992.00526458</v>
      </c>
      <c r="D34">
        <v>825578.24174657697</v>
      </c>
      <c r="E34">
        <v>267729.22093982302</v>
      </c>
      <c r="F34">
        <v>573641.29615855997</v>
      </c>
      <c r="G34">
        <v>3343.94372965613</v>
      </c>
      <c r="H34">
        <v>55677.804344709002</v>
      </c>
      <c r="I34">
        <v>32173.409257690801</v>
      </c>
      <c r="J34">
        <v>8112.1538877427902</v>
      </c>
    </row>
    <row r="35" spans="1:10" x14ac:dyDescent="0.2">
      <c r="A35">
        <v>82</v>
      </c>
      <c r="B35">
        <v>2660881.3510652701</v>
      </c>
      <c r="C35">
        <v>1423920.3749158401</v>
      </c>
      <c r="D35">
        <v>857721.51334097295</v>
      </c>
      <c r="E35">
        <v>269280.60376590502</v>
      </c>
      <c r="F35">
        <v>0</v>
      </c>
      <c r="G35">
        <v>7555.6626274433202</v>
      </c>
      <c r="H35">
        <v>51302.568566357601</v>
      </c>
      <c r="I35">
        <v>43692.866033107297</v>
      </c>
      <c r="J35">
        <v>7336.6220279670097</v>
      </c>
    </row>
    <row r="36" spans="1:10" x14ac:dyDescent="0.2">
      <c r="A36">
        <v>83</v>
      </c>
      <c r="B36">
        <v>2604124.1923902002</v>
      </c>
      <c r="C36">
        <v>1376815.6379765801</v>
      </c>
      <c r="D36">
        <v>856821.77820222499</v>
      </c>
      <c r="E36">
        <v>267622.75589671498</v>
      </c>
      <c r="F36">
        <v>0</v>
      </c>
      <c r="G36">
        <v>5155.0554910291803</v>
      </c>
      <c r="H36">
        <v>54334.897210732903</v>
      </c>
      <c r="I36">
        <v>35377.4030644796</v>
      </c>
      <c r="J36">
        <v>7890.3629575950899</v>
      </c>
    </row>
    <row r="37" spans="1:10" x14ac:dyDescent="0.2">
      <c r="A37">
        <v>84</v>
      </c>
      <c r="B37">
        <v>2636229.7842220501</v>
      </c>
      <c r="C37">
        <v>1374781.2804200801</v>
      </c>
      <c r="D37">
        <v>902894.72734601598</v>
      </c>
      <c r="E37">
        <v>268970.81989805202</v>
      </c>
      <c r="F37">
        <v>0</v>
      </c>
      <c r="G37">
        <v>6300.9417813608998</v>
      </c>
      <c r="H37">
        <v>43908.083308367</v>
      </c>
      <c r="I37">
        <v>32791.722757839299</v>
      </c>
      <c r="J37">
        <v>6582.2087103419799</v>
      </c>
    </row>
    <row r="38" spans="1:10" x14ac:dyDescent="0.2">
      <c r="A38">
        <v>85</v>
      </c>
      <c r="B38">
        <v>3170552.5953737102</v>
      </c>
      <c r="C38">
        <v>1334062.4725984901</v>
      </c>
      <c r="D38">
        <v>888106.66332618601</v>
      </c>
      <c r="E38">
        <v>270746.79613262898</v>
      </c>
      <c r="F38">
        <v>584369.28451022902</v>
      </c>
      <c r="G38">
        <v>8358.9904005952303</v>
      </c>
      <c r="H38">
        <v>47886.999249859698</v>
      </c>
      <c r="I38">
        <v>30675.489540433999</v>
      </c>
      <c r="J38">
        <v>6536.4993428281796</v>
      </c>
    </row>
    <row r="39" spans="1:10" x14ac:dyDescent="0.2">
      <c r="A39">
        <v>86</v>
      </c>
      <c r="B39">
        <v>2692323.44639043</v>
      </c>
      <c r="C39">
        <v>1389223.7594924499</v>
      </c>
      <c r="D39">
        <v>911212.61755727499</v>
      </c>
      <c r="E39">
        <v>270044.31424590002</v>
      </c>
      <c r="F39">
        <v>0</v>
      </c>
      <c r="G39">
        <v>6716.2011670841603</v>
      </c>
      <c r="H39">
        <v>58085.442467694302</v>
      </c>
      <c r="I39">
        <v>49141.1164013749</v>
      </c>
      <c r="J39">
        <v>8241.0463893461201</v>
      </c>
    </row>
    <row r="40" spans="1:10" x14ac:dyDescent="0.2">
      <c r="A40">
        <v>87</v>
      </c>
      <c r="B40">
        <v>2651810.2577975499</v>
      </c>
      <c r="C40">
        <v>1405101.9057011099</v>
      </c>
      <c r="D40">
        <v>869065.05686571496</v>
      </c>
      <c r="E40">
        <v>271495.57538068801</v>
      </c>
      <c r="F40">
        <v>0</v>
      </c>
      <c r="G40">
        <v>4181.2413387414599</v>
      </c>
      <c r="H40">
        <v>54805.804477678401</v>
      </c>
      <c r="I40">
        <v>41404.177411078403</v>
      </c>
      <c r="J40">
        <v>8151.8883066645803</v>
      </c>
    </row>
    <row r="41" spans="1:10" x14ac:dyDescent="0.2">
      <c r="A41">
        <v>88</v>
      </c>
      <c r="B41">
        <v>2695330.5225209198</v>
      </c>
      <c r="C41">
        <v>1381070.3490458601</v>
      </c>
      <c r="D41">
        <v>939924.73401840904</v>
      </c>
      <c r="E41">
        <v>273078.85810473002</v>
      </c>
      <c r="F41">
        <v>0</v>
      </c>
      <c r="G41">
        <v>7038.0762275252901</v>
      </c>
      <c r="H41">
        <v>50630.033233493501</v>
      </c>
      <c r="I41">
        <v>36672.543203593901</v>
      </c>
      <c r="J41">
        <v>7045.11562766107</v>
      </c>
    </row>
    <row r="42" spans="1:10" x14ac:dyDescent="0.2">
      <c r="A42">
        <v>89</v>
      </c>
      <c r="B42">
        <v>3208797.7843081201</v>
      </c>
      <c r="C42">
        <v>1402897.7825770299</v>
      </c>
      <c r="D42">
        <v>862352.75174116204</v>
      </c>
      <c r="E42">
        <v>273912.68419119302</v>
      </c>
      <c r="F42">
        <v>584327.51062644203</v>
      </c>
      <c r="G42">
        <v>6614.8500683234697</v>
      </c>
      <c r="H42">
        <v>39714.232386543401</v>
      </c>
      <c r="I42">
        <v>35053.634929822998</v>
      </c>
      <c r="J42">
        <v>6238.45443135805</v>
      </c>
    </row>
    <row r="43" spans="1:10" x14ac:dyDescent="0.2">
      <c r="A43">
        <v>90</v>
      </c>
      <c r="B43">
        <v>2685843.5895589702</v>
      </c>
      <c r="C43">
        <v>1474387.2510154699</v>
      </c>
      <c r="D43">
        <v>821053.41275953304</v>
      </c>
      <c r="E43">
        <v>271541.47690192901</v>
      </c>
      <c r="F43">
        <v>0</v>
      </c>
      <c r="G43">
        <v>9715.6956177026295</v>
      </c>
      <c r="H43">
        <v>58759.0661339297</v>
      </c>
      <c r="I43">
        <v>42764.558990641701</v>
      </c>
      <c r="J43">
        <v>8108.9304669890498</v>
      </c>
    </row>
    <row r="44" spans="1:10" x14ac:dyDescent="0.2">
      <c r="A44">
        <v>91</v>
      </c>
      <c r="B44">
        <v>2680434.7771107499</v>
      </c>
      <c r="C44">
        <v>1473227.9908627099</v>
      </c>
      <c r="D44">
        <v>824375.57771082595</v>
      </c>
      <c r="E44">
        <v>272755.48009895498</v>
      </c>
      <c r="F44">
        <v>0</v>
      </c>
      <c r="G44">
        <v>8228.7869069355802</v>
      </c>
      <c r="H44">
        <v>68340.270844613595</v>
      </c>
      <c r="I44">
        <v>26401.6217097152</v>
      </c>
      <c r="J44">
        <v>9053.3093978820398</v>
      </c>
    </row>
    <row r="45" spans="1:10" x14ac:dyDescent="0.2">
      <c r="A45">
        <v>92</v>
      </c>
      <c r="B45">
        <v>2684270.8082103101</v>
      </c>
      <c r="C45">
        <v>1424925.0868542299</v>
      </c>
      <c r="D45">
        <v>884404.50669871306</v>
      </c>
      <c r="E45">
        <v>274191.28393336001</v>
      </c>
      <c r="F45">
        <v>0</v>
      </c>
      <c r="G45">
        <v>5888.0736737349998</v>
      </c>
      <c r="H45">
        <v>64779.212533360798</v>
      </c>
      <c r="I45">
        <v>23165.801912559102</v>
      </c>
      <c r="J45">
        <v>7002.7088908430796</v>
      </c>
    </row>
    <row r="46" spans="1:10" x14ac:dyDescent="0.2">
      <c r="A46">
        <v>93</v>
      </c>
      <c r="B46">
        <v>3239963.3252401701</v>
      </c>
      <c r="C46">
        <v>1433983.19508438</v>
      </c>
      <c r="D46">
        <v>847821.20577287301</v>
      </c>
      <c r="E46">
        <v>273505.67435749603</v>
      </c>
      <c r="F46">
        <v>588286.54959049204</v>
      </c>
      <c r="G46">
        <v>8897.6104027279507</v>
      </c>
      <c r="H46">
        <v>65266.272076065201</v>
      </c>
      <c r="I46">
        <v>19282.233734334699</v>
      </c>
      <c r="J46">
        <v>8213.1282046742508</v>
      </c>
    </row>
    <row r="47" spans="1:10" x14ac:dyDescent="0.2">
      <c r="A47">
        <v>94</v>
      </c>
      <c r="B47">
        <v>2646858.7205248601</v>
      </c>
      <c r="C47">
        <v>1459558.1225597099</v>
      </c>
      <c r="D47">
        <v>806096.61288283602</v>
      </c>
      <c r="E47">
        <v>270524.26398411702</v>
      </c>
      <c r="F47">
        <v>0</v>
      </c>
      <c r="G47">
        <v>6800.9793070478199</v>
      </c>
      <c r="H47">
        <v>62530.141242648002</v>
      </c>
      <c r="I47">
        <v>36951.282658048804</v>
      </c>
      <c r="J47">
        <v>8673.9407503498496</v>
      </c>
    </row>
    <row r="48" spans="1:10" x14ac:dyDescent="0.2">
      <c r="A48">
        <v>95</v>
      </c>
      <c r="B48">
        <v>2598881.4496007902</v>
      </c>
      <c r="C48">
        <v>1458619.4289770201</v>
      </c>
      <c r="D48">
        <v>775199.28934768296</v>
      </c>
      <c r="E48">
        <v>270736.98769292003</v>
      </c>
      <c r="F48">
        <v>0</v>
      </c>
      <c r="G48">
        <v>8510.7120509298402</v>
      </c>
      <c r="H48">
        <v>52042.966601699598</v>
      </c>
      <c r="I48">
        <v>30095.424662723301</v>
      </c>
      <c r="J48">
        <v>8484.1591885607504</v>
      </c>
    </row>
    <row r="49" spans="1:10" x14ac:dyDescent="0.2">
      <c r="A49">
        <v>96</v>
      </c>
      <c r="B49">
        <v>2586470.8649633401</v>
      </c>
      <c r="C49">
        <v>1504560.1156923899</v>
      </c>
      <c r="D49">
        <v>711711.70664316195</v>
      </c>
      <c r="E49">
        <v>268591.39023003198</v>
      </c>
      <c r="F49">
        <v>0</v>
      </c>
      <c r="G49">
        <v>6911.3063437804803</v>
      </c>
      <c r="H49">
        <v>62010.282269827003</v>
      </c>
      <c r="I49">
        <v>22246.664733199501</v>
      </c>
      <c r="J49">
        <v>10270.059683122199</v>
      </c>
    </row>
    <row r="50" spans="1:10" x14ac:dyDescent="0.2">
      <c r="A50">
        <v>97</v>
      </c>
      <c r="B50">
        <v>3148824.9819013299</v>
      </c>
      <c r="C50">
        <v>1457221.79369439</v>
      </c>
      <c r="D50">
        <v>761720.99778038706</v>
      </c>
      <c r="E50">
        <v>265218.66367595701</v>
      </c>
      <c r="F50">
        <v>582630.93882802699</v>
      </c>
      <c r="G50">
        <v>8330.7945039146307</v>
      </c>
      <c r="H50">
        <v>41419.246153430402</v>
      </c>
      <c r="I50">
        <v>29119.508348245901</v>
      </c>
      <c r="J50">
        <v>7873.4906945898101</v>
      </c>
    </row>
    <row r="51" spans="1:10" x14ac:dyDescent="0.2">
      <c r="A51">
        <v>98</v>
      </c>
      <c r="B51">
        <v>2565762.73963656</v>
      </c>
      <c r="C51">
        <v>1432938.8538176699</v>
      </c>
      <c r="D51">
        <v>778021.42751073895</v>
      </c>
      <c r="E51">
        <v>263390.73476324498</v>
      </c>
      <c r="F51">
        <v>0</v>
      </c>
      <c r="G51">
        <v>6394.86087566073</v>
      </c>
      <c r="H51">
        <v>48463.022417490298</v>
      </c>
      <c r="I51">
        <v>33006.939406153098</v>
      </c>
      <c r="J51">
        <v>8005.7549428126104</v>
      </c>
    </row>
    <row r="52" spans="1:10" x14ac:dyDescent="0.2">
      <c r="A52">
        <v>99</v>
      </c>
      <c r="B52">
        <v>2593534.4480976099</v>
      </c>
      <c r="C52">
        <v>1514951.2179676299</v>
      </c>
      <c r="D52">
        <v>726034.858599787</v>
      </c>
      <c r="E52">
        <v>262319.11714367103</v>
      </c>
      <c r="F52">
        <v>0</v>
      </c>
      <c r="G52">
        <v>8663.2928855494301</v>
      </c>
      <c r="H52">
        <v>51502.191862231899</v>
      </c>
      <c r="I52">
        <v>27599.796703962002</v>
      </c>
      <c r="J52">
        <v>7750.3763578447997</v>
      </c>
    </row>
    <row r="53" spans="1:10" x14ac:dyDescent="0.2">
      <c r="A53">
        <v>100</v>
      </c>
      <c r="B53">
        <v>2524668.94353648</v>
      </c>
      <c r="C53">
        <v>1465956.8900504899</v>
      </c>
      <c r="D53">
        <v>709220.22397776798</v>
      </c>
      <c r="E53">
        <v>263233.75195523101</v>
      </c>
      <c r="F53">
        <v>0</v>
      </c>
      <c r="G53">
        <v>8417.0540519953593</v>
      </c>
      <c r="H53">
        <v>55931.968808821402</v>
      </c>
      <c r="I53">
        <v>18361.777761263798</v>
      </c>
      <c r="J53">
        <v>7922.8161208083002</v>
      </c>
    </row>
    <row r="54" spans="1:10" x14ac:dyDescent="0.2">
      <c r="A54">
        <v>101</v>
      </c>
      <c r="B54">
        <v>3043912.1872599302</v>
      </c>
      <c r="C54">
        <v>1431949.7632887501</v>
      </c>
      <c r="D54">
        <v>700049.47567520104</v>
      </c>
      <c r="E54">
        <v>263825.89425780199</v>
      </c>
      <c r="F54">
        <v>567888.02505023999</v>
      </c>
      <c r="G54">
        <v>8847.5686322377096</v>
      </c>
      <c r="H54">
        <v>50363.598793081503</v>
      </c>
      <c r="I54">
        <v>18146.600849375602</v>
      </c>
      <c r="J54">
        <v>7656.8101356690704</v>
      </c>
    </row>
    <row r="55" spans="1:10" x14ac:dyDescent="0.2">
      <c r="A55">
        <v>102</v>
      </c>
      <c r="B55">
        <v>2523955.0485363398</v>
      </c>
      <c r="C55">
        <v>1427721.5842462601</v>
      </c>
      <c r="D55">
        <v>732440.58015856997</v>
      </c>
      <c r="E55">
        <v>261423.528188431</v>
      </c>
      <c r="F55">
        <v>0</v>
      </c>
      <c r="G55">
        <v>6752.3777602523196</v>
      </c>
      <c r="H55">
        <v>55894.762901112699</v>
      </c>
      <c r="I55">
        <v>34363.7289920201</v>
      </c>
      <c r="J55">
        <v>8348.8588676239397</v>
      </c>
    </row>
    <row r="56" spans="1:10" x14ac:dyDescent="0.2">
      <c r="A56">
        <v>103</v>
      </c>
      <c r="B56">
        <v>2452252.3456365298</v>
      </c>
      <c r="C56">
        <v>1393498.7597997801</v>
      </c>
      <c r="D56">
        <v>712845.06940886995</v>
      </c>
      <c r="E56">
        <v>259969.96833131899</v>
      </c>
      <c r="F56">
        <v>0</v>
      </c>
      <c r="G56">
        <v>5654.5917601760802</v>
      </c>
      <c r="H56">
        <v>49112.675279168303</v>
      </c>
      <c r="I56">
        <v>25595.114591244699</v>
      </c>
      <c r="J56">
        <v>7367.32778027325</v>
      </c>
    </row>
    <row r="57" spans="1:10" x14ac:dyDescent="0.2">
      <c r="A57">
        <v>104</v>
      </c>
      <c r="B57">
        <v>2475148.32518624</v>
      </c>
      <c r="C57">
        <v>1462894.3438271501</v>
      </c>
      <c r="D57">
        <v>673919.06104952702</v>
      </c>
      <c r="E57">
        <v>259086.94383934699</v>
      </c>
      <c r="F57">
        <v>0</v>
      </c>
      <c r="G57">
        <v>7386.6707398852996</v>
      </c>
      <c r="H57">
        <v>49935.012476550502</v>
      </c>
      <c r="I57">
        <v>17728.182122695602</v>
      </c>
      <c r="J57">
        <v>6979.9946306969896</v>
      </c>
    </row>
    <row r="58" spans="1:10" x14ac:dyDescent="0.2">
      <c r="A58">
        <v>105</v>
      </c>
      <c r="B58">
        <v>2994121.5012850598</v>
      </c>
      <c r="C58">
        <v>1410114.5589993999</v>
      </c>
      <c r="D58">
        <v>697631.70314463601</v>
      </c>
      <c r="E58">
        <v>255042.97142775901</v>
      </c>
      <c r="F58">
        <v>560765.72451390803</v>
      </c>
      <c r="G58">
        <v>6203.3007585063497</v>
      </c>
      <c r="H58">
        <v>43757.339977073498</v>
      </c>
      <c r="I58">
        <v>18548.760251244301</v>
      </c>
      <c r="J58">
        <v>6547.4995695827902</v>
      </c>
    </row>
    <row r="59" spans="1:10" x14ac:dyDescent="0.2">
      <c r="A59">
        <v>106</v>
      </c>
      <c r="B59">
        <v>2471979.0563218999</v>
      </c>
      <c r="C59">
        <v>1410615.8293834601</v>
      </c>
      <c r="D59">
        <v>711130.28536486696</v>
      </c>
      <c r="E59">
        <v>255266.597349138</v>
      </c>
      <c r="F59">
        <v>0</v>
      </c>
      <c r="G59">
        <v>7423.3081303794397</v>
      </c>
      <c r="H59">
        <v>55154.1312573951</v>
      </c>
      <c r="I59">
        <v>31971.552268425301</v>
      </c>
      <c r="J59">
        <v>8498.23981678782</v>
      </c>
    </row>
    <row r="60" spans="1:10" x14ac:dyDescent="0.2">
      <c r="A60">
        <v>107</v>
      </c>
      <c r="B60">
        <v>2430185.8683949001</v>
      </c>
      <c r="C60">
        <v>1418785.9579097801</v>
      </c>
      <c r="D60">
        <v>672338.44118661003</v>
      </c>
      <c r="E60">
        <v>254423.82126301399</v>
      </c>
      <c r="F60">
        <v>0</v>
      </c>
      <c r="G60">
        <v>8445.9029828885105</v>
      </c>
      <c r="H60">
        <v>43412.748691276</v>
      </c>
      <c r="I60">
        <v>30836.481876506401</v>
      </c>
      <c r="J60">
        <v>7212.7126363756997</v>
      </c>
    </row>
    <row r="61" spans="1:10" x14ac:dyDescent="0.2">
      <c r="A61">
        <v>108</v>
      </c>
      <c r="B61">
        <v>2404156.8027976402</v>
      </c>
      <c r="C61">
        <v>1407619.98505976</v>
      </c>
      <c r="D61">
        <v>654829.89625661494</v>
      </c>
      <c r="E61">
        <v>252163.315287367</v>
      </c>
      <c r="F61">
        <v>0</v>
      </c>
      <c r="G61">
        <v>6426.8970544354497</v>
      </c>
      <c r="H61">
        <v>42208.446604322198</v>
      </c>
      <c r="I61">
        <v>35788.8201701035</v>
      </c>
      <c r="J61">
        <v>8059.0618315477204</v>
      </c>
    </row>
    <row r="62" spans="1:10" x14ac:dyDescent="0.2">
      <c r="A62">
        <v>109</v>
      </c>
      <c r="B62">
        <v>2970136.1326234802</v>
      </c>
      <c r="C62">
        <v>1431118.3149099699</v>
      </c>
      <c r="D62">
        <v>636231.47615385195</v>
      </c>
      <c r="E62">
        <v>254108.20558677299</v>
      </c>
      <c r="F62">
        <v>549050.14531023102</v>
      </c>
      <c r="G62">
        <v>6927.7694000150004</v>
      </c>
      <c r="H62">
        <v>49639.495177149904</v>
      </c>
      <c r="I62">
        <v>41153.941144610697</v>
      </c>
      <c r="J62">
        <v>7939.6955474123897</v>
      </c>
    </row>
    <row r="63" spans="1:10" x14ac:dyDescent="0.2">
      <c r="A63">
        <v>110</v>
      </c>
      <c r="B63">
        <v>2394592.5521624601</v>
      </c>
      <c r="C63">
        <v>1434568.80037473</v>
      </c>
      <c r="D63">
        <v>597330.85305472498</v>
      </c>
      <c r="E63">
        <v>256083.48383938501</v>
      </c>
      <c r="F63">
        <v>0</v>
      </c>
      <c r="G63">
        <v>9635.5603401591998</v>
      </c>
      <c r="H63">
        <v>51410.725113134402</v>
      </c>
      <c r="I63">
        <v>38783.325992454098</v>
      </c>
      <c r="J63">
        <v>7777.4013147269397</v>
      </c>
    </row>
    <row r="64" spans="1:10" x14ac:dyDescent="0.2">
      <c r="A64">
        <v>111</v>
      </c>
      <c r="B64">
        <v>2356181.97056292</v>
      </c>
      <c r="C64">
        <v>1354851.92162601</v>
      </c>
      <c r="D64">
        <v>629320.41977310902</v>
      </c>
      <c r="E64">
        <v>257488.90285433701</v>
      </c>
      <c r="F64">
        <v>0</v>
      </c>
      <c r="G64">
        <v>7767.1143808975103</v>
      </c>
      <c r="H64">
        <v>63561.268523412597</v>
      </c>
      <c r="I64">
        <v>39924.930657164397</v>
      </c>
      <c r="J64">
        <v>7547.7463889167902</v>
      </c>
    </row>
    <row r="65" spans="1:10" x14ac:dyDescent="0.2">
      <c r="A65">
        <v>112</v>
      </c>
      <c r="B65">
        <v>2316532.3432900701</v>
      </c>
      <c r="C65">
        <v>1294526.9335872501</v>
      </c>
      <c r="D65">
        <v>671806.23274286499</v>
      </c>
      <c r="E65">
        <v>256958.30495945399</v>
      </c>
      <c r="F65">
        <v>0</v>
      </c>
      <c r="G65">
        <v>8169.6515054669799</v>
      </c>
      <c r="H65">
        <v>51222.1113830502</v>
      </c>
      <c r="I65">
        <v>25033.477165169101</v>
      </c>
      <c r="J65">
        <v>8253.2936480341705</v>
      </c>
    </row>
    <row r="66" spans="1:10" x14ac:dyDescent="0.2">
      <c r="A66">
        <v>113</v>
      </c>
      <c r="B66">
        <v>2868474.0838085399</v>
      </c>
      <c r="C66">
        <v>1295475.1526693101</v>
      </c>
      <c r="D66">
        <v>673819.75034757401</v>
      </c>
      <c r="E66">
        <v>256505.45769584799</v>
      </c>
      <c r="F66">
        <v>537259.02469641797</v>
      </c>
      <c r="G66">
        <v>5355.3510018745101</v>
      </c>
      <c r="H66">
        <v>63119.272366883801</v>
      </c>
      <c r="I66">
        <v>32166.2878500236</v>
      </c>
      <c r="J66">
        <v>10714.7999534632</v>
      </c>
    </row>
    <row r="67" spans="1:10" x14ac:dyDescent="0.2">
      <c r="A67">
        <v>114</v>
      </c>
      <c r="B67">
        <v>2280627.2608938799</v>
      </c>
      <c r="C67">
        <v>1332633.4072753601</v>
      </c>
      <c r="D67">
        <v>611600.53723972302</v>
      </c>
      <c r="E67">
        <v>253790.514839554</v>
      </c>
      <c r="F67">
        <v>0</v>
      </c>
      <c r="G67">
        <v>4248.0095483978503</v>
      </c>
      <c r="H67">
        <v>47569.210145805002</v>
      </c>
      <c r="I67">
        <v>22200.069688683299</v>
      </c>
      <c r="J67">
        <v>8197.9861657990295</v>
      </c>
    </row>
    <row r="68" spans="1:10" x14ac:dyDescent="0.2">
      <c r="A68">
        <v>115</v>
      </c>
      <c r="B68">
        <v>2302124.6724473601</v>
      </c>
      <c r="C68">
        <v>1354374.90462981</v>
      </c>
      <c r="D68">
        <v>610663.97715682397</v>
      </c>
      <c r="E68">
        <v>254491.20940538301</v>
      </c>
      <c r="F68">
        <v>0</v>
      </c>
      <c r="G68">
        <v>6807.4264986214903</v>
      </c>
      <c r="H68">
        <v>47326.884103770899</v>
      </c>
      <c r="I68">
        <v>26248.493770240199</v>
      </c>
      <c r="J68">
        <v>6488.3420308012401</v>
      </c>
    </row>
    <row r="69" spans="1:10" x14ac:dyDescent="0.2">
      <c r="A69">
        <v>116</v>
      </c>
      <c r="B69">
        <v>2242182.4210630301</v>
      </c>
      <c r="C69">
        <v>1291254.6835906999</v>
      </c>
      <c r="D69">
        <v>613243.177394734</v>
      </c>
      <c r="E69">
        <v>254956.12146045399</v>
      </c>
      <c r="F69">
        <v>0</v>
      </c>
      <c r="G69">
        <v>5265.3555943703504</v>
      </c>
      <c r="H69">
        <v>41348.585870426199</v>
      </c>
      <c r="I69">
        <v>30274.032712038101</v>
      </c>
      <c r="J69">
        <v>5960.3573648882302</v>
      </c>
    </row>
    <row r="70" spans="1:10" x14ac:dyDescent="0.2">
      <c r="A70">
        <v>117</v>
      </c>
      <c r="B70">
        <v>2710119.4402335901</v>
      </c>
      <c r="C70">
        <v>1230786.80131115</v>
      </c>
      <c r="D70">
        <v>610430.69920350495</v>
      </c>
      <c r="E70">
        <v>254098.42552331</v>
      </c>
      <c r="F70">
        <v>515889.10730520298</v>
      </c>
      <c r="G70">
        <v>9010.1046686665504</v>
      </c>
      <c r="H70">
        <v>45946.669505695798</v>
      </c>
      <c r="I70">
        <v>36600.367757109198</v>
      </c>
      <c r="J70">
        <v>7688.5218575528397</v>
      </c>
    </row>
    <row r="71" spans="1:10" x14ac:dyDescent="0.2">
      <c r="A71">
        <v>118</v>
      </c>
      <c r="B71">
        <v>2188139.4457648299</v>
      </c>
      <c r="C71">
        <v>1366612.28868756</v>
      </c>
      <c r="D71">
        <v>479900.33737018402</v>
      </c>
      <c r="E71">
        <v>255585.274612026</v>
      </c>
      <c r="F71">
        <v>0</v>
      </c>
      <c r="G71">
        <v>8572.7935960962495</v>
      </c>
      <c r="H71">
        <v>47638.934917857499</v>
      </c>
      <c r="I71">
        <v>22244.368771837799</v>
      </c>
      <c r="J71">
        <v>7091.3849544747</v>
      </c>
    </row>
    <row r="72" spans="1:10" x14ac:dyDescent="0.2">
      <c r="A72">
        <v>119</v>
      </c>
      <c r="B72">
        <v>2214356.79152204</v>
      </c>
      <c r="C72">
        <v>1371941.76552528</v>
      </c>
      <c r="D72">
        <v>509304.00442703097</v>
      </c>
      <c r="E72">
        <v>256777.93313454799</v>
      </c>
      <c r="F72">
        <v>0</v>
      </c>
      <c r="G72">
        <v>4508.0835491950502</v>
      </c>
      <c r="H72">
        <v>48507.293730176403</v>
      </c>
      <c r="I72">
        <v>20328.715977520998</v>
      </c>
      <c r="J72">
        <v>7809.6000281509096</v>
      </c>
    </row>
    <row r="73" spans="1:10" x14ac:dyDescent="0.2">
      <c r="A73">
        <v>120</v>
      </c>
      <c r="B73">
        <v>2222722.1423769901</v>
      </c>
      <c r="C73">
        <v>1278807.5733672499</v>
      </c>
      <c r="D73">
        <v>586270.21110398194</v>
      </c>
      <c r="E73">
        <v>255395.82794733299</v>
      </c>
      <c r="F73">
        <v>0</v>
      </c>
      <c r="G73">
        <v>7900.6681031703101</v>
      </c>
      <c r="H73">
        <v>55875.960574532401</v>
      </c>
      <c r="I73">
        <v>28780.8965592932</v>
      </c>
      <c r="J73">
        <v>8931.9191011149906</v>
      </c>
    </row>
    <row r="74" spans="1:10" x14ac:dyDescent="0.2">
      <c r="A74">
        <v>121</v>
      </c>
      <c r="B74">
        <v>2718835.9461890799</v>
      </c>
      <c r="C74">
        <v>1339674.01011188</v>
      </c>
      <c r="D74">
        <v>531873.28345662996</v>
      </c>
      <c r="E74">
        <v>253741.869719676</v>
      </c>
      <c r="F74">
        <v>505899.91809177701</v>
      </c>
      <c r="G74">
        <v>3908.4519965423501</v>
      </c>
      <c r="H74">
        <v>56898.320843486501</v>
      </c>
      <c r="I74">
        <v>24827.838282009201</v>
      </c>
      <c r="J74">
        <v>9093.1599221340402</v>
      </c>
    </row>
    <row r="75" spans="1:10" x14ac:dyDescent="0.2">
      <c r="A75">
        <v>122</v>
      </c>
      <c r="B75">
        <v>2200362.8119278802</v>
      </c>
      <c r="C75">
        <v>1298960.70873531</v>
      </c>
      <c r="D75">
        <v>565387.16937232099</v>
      </c>
      <c r="E75">
        <v>253872.145508196</v>
      </c>
      <c r="F75">
        <v>0</v>
      </c>
      <c r="G75">
        <v>6283.51183454484</v>
      </c>
      <c r="H75">
        <v>41290.766506050699</v>
      </c>
      <c r="I75">
        <v>27324.572897689901</v>
      </c>
      <c r="J75">
        <v>6440.6132313551698</v>
      </c>
    </row>
    <row r="76" spans="1:10" x14ac:dyDescent="0.2">
      <c r="A76">
        <v>123</v>
      </c>
      <c r="B76">
        <v>2218575.42445829</v>
      </c>
      <c r="C76">
        <v>1304856.64764405</v>
      </c>
      <c r="D76">
        <v>571004.52069868206</v>
      </c>
      <c r="E76">
        <v>249465.88626070801</v>
      </c>
      <c r="F76">
        <v>0</v>
      </c>
      <c r="G76">
        <v>7521.7116664416999</v>
      </c>
      <c r="H76">
        <v>47215.100244097499</v>
      </c>
      <c r="I76">
        <v>34430.929229180801</v>
      </c>
      <c r="J76">
        <v>6555.8001817021004</v>
      </c>
    </row>
    <row r="77" spans="1:10" x14ac:dyDescent="0.2">
      <c r="A77">
        <v>124</v>
      </c>
      <c r="B77">
        <v>2189649.0115343402</v>
      </c>
      <c r="C77">
        <v>1318375.2140242001</v>
      </c>
      <c r="D77">
        <v>540738.56791334297</v>
      </c>
      <c r="E77">
        <v>246713.824483818</v>
      </c>
      <c r="F77">
        <v>0</v>
      </c>
      <c r="G77">
        <v>7695.9517344972701</v>
      </c>
      <c r="H77">
        <v>58442.723179838496</v>
      </c>
      <c r="I77">
        <v>16255.013537041699</v>
      </c>
      <c r="J77">
        <v>7803.0093965381702</v>
      </c>
    </row>
    <row r="78" spans="1:10" x14ac:dyDescent="0.2">
      <c r="A78">
        <v>125</v>
      </c>
      <c r="B78">
        <v>2657098.8670556</v>
      </c>
      <c r="C78">
        <v>1292365.46820254</v>
      </c>
      <c r="D78">
        <v>546443.39585801796</v>
      </c>
      <c r="E78">
        <v>248343.33300725601</v>
      </c>
      <c r="F78">
        <v>486073.07039577002</v>
      </c>
      <c r="G78">
        <v>8291.2328206620896</v>
      </c>
      <c r="H78">
        <v>53473.849195430797</v>
      </c>
      <c r="I78">
        <v>19270.070372534501</v>
      </c>
      <c r="J78">
        <v>5120.91432434116</v>
      </c>
    </row>
    <row r="79" spans="1:10" x14ac:dyDescent="0.2">
      <c r="A79">
        <v>126</v>
      </c>
      <c r="B79">
        <v>2186249.0716800001</v>
      </c>
      <c r="C79">
        <v>1285936.6766634099</v>
      </c>
      <c r="D79">
        <v>544263.24160561396</v>
      </c>
      <c r="E79">
        <v>248674.82682376099</v>
      </c>
      <c r="F79">
        <v>0</v>
      </c>
      <c r="G79">
        <v>10841.503197476601</v>
      </c>
      <c r="H79">
        <v>63007.903090836</v>
      </c>
      <c r="I79">
        <v>24130.282036177501</v>
      </c>
      <c r="J79">
        <v>7719.8699590351198</v>
      </c>
    </row>
    <row r="80" spans="1:10" x14ac:dyDescent="0.2">
      <c r="A80">
        <v>127</v>
      </c>
      <c r="B80">
        <v>2115670.8378739501</v>
      </c>
      <c r="C80">
        <v>1266499.2264877199</v>
      </c>
      <c r="D80">
        <v>508992.79224440502</v>
      </c>
      <c r="E80">
        <v>247661.53259448399</v>
      </c>
      <c r="F80">
        <v>0</v>
      </c>
      <c r="G80">
        <v>10576.3821897895</v>
      </c>
      <c r="H80">
        <v>51039.194932832099</v>
      </c>
      <c r="I80">
        <v>24832.6036227486</v>
      </c>
      <c r="J80">
        <v>7050.3846382473503</v>
      </c>
    </row>
    <row r="81" spans="1:10" x14ac:dyDescent="0.2">
      <c r="A81">
        <v>128</v>
      </c>
      <c r="B81">
        <v>2124533.48084652</v>
      </c>
      <c r="C81">
        <v>1274584.5837282501</v>
      </c>
      <c r="D81">
        <v>500984.27356252802</v>
      </c>
      <c r="E81">
        <v>247222.28492921201</v>
      </c>
      <c r="F81">
        <v>0</v>
      </c>
      <c r="G81">
        <v>5654.7070838470099</v>
      </c>
      <c r="H81">
        <v>61775.7227945345</v>
      </c>
      <c r="I81">
        <v>15369.7693308035</v>
      </c>
      <c r="J81">
        <v>9818.6897846091506</v>
      </c>
    </row>
    <row r="82" spans="1:10" x14ac:dyDescent="0.2">
      <c r="A82">
        <v>129</v>
      </c>
      <c r="B82">
        <v>2567237.385739</v>
      </c>
      <c r="C82">
        <v>1275503.40778532</v>
      </c>
      <c r="D82">
        <v>482343.52469127701</v>
      </c>
      <c r="E82">
        <v>246691.73705825201</v>
      </c>
      <c r="F82">
        <v>480766.300874779</v>
      </c>
      <c r="G82">
        <v>6411.1239009914398</v>
      </c>
      <c r="H82">
        <v>51655.118833378299</v>
      </c>
      <c r="I82">
        <v>21853.724439125701</v>
      </c>
      <c r="J82">
        <v>7341.6792523034801</v>
      </c>
    </row>
    <row r="83" spans="1:10" x14ac:dyDescent="0.2">
      <c r="A83">
        <v>130</v>
      </c>
      <c r="B83">
        <v>2063051.8448431401</v>
      </c>
      <c r="C83">
        <v>1335801.4056927101</v>
      </c>
      <c r="D83">
        <v>387178.00495766499</v>
      </c>
      <c r="E83">
        <v>244371.61836999399</v>
      </c>
      <c r="F83">
        <v>0</v>
      </c>
      <c r="G83">
        <v>5049.1424539997997</v>
      </c>
      <c r="H83">
        <v>52049.141392861398</v>
      </c>
      <c r="I83">
        <v>22417.820831329998</v>
      </c>
      <c r="J83">
        <v>7753.7759406380001</v>
      </c>
    </row>
    <row r="84" spans="1:10" x14ac:dyDescent="0.2">
      <c r="A84">
        <v>131</v>
      </c>
      <c r="B84">
        <v>2028831.60020262</v>
      </c>
      <c r="C84">
        <v>1242949.4684484999</v>
      </c>
      <c r="D84">
        <v>468172.06835760199</v>
      </c>
      <c r="E84">
        <v>241983.15360185801</v>
      </c>
      <c r="F84">
        <v>0</v>
      </c>
      <c r="G84">
        <v>11347.590726701699</v>
      </c>
      <c r="H84">
        <v>45346.900652128497</v>
      </c>
      <c r="I84">
        <v>14948.0811902921</v>
      </c>
      <c r="J84">
        <v>5402.3688669638104</v>
      </c>
    </row>
    <row r="85" spans="1:10" x14ac:dyDescent="0.2">
      <c r="A85">
        <v>132</v>
      </c>
      <c r="B85">
        <v>2055718.9122534499</v>
      </c>
      <c r="C85">
        <v>1230283.73945081</v>
      </c>
      <c r="D85">
        <v>483460.17369040399</v>
      </c>
      <c r="E85">
        <v>242720.088739753</v>
      </c>
      <c r="F85">
        <v>0</v>
      </c>
      <c r="G85">
        <v>9238.0082326683005</v>
      </c>
      <c r="H85">
        <v>55434.192513592403</v>
      </c>
      <c r="I85">
        <v>27870.4337407698</v>
      </c>
      <c r="J85">
        <v>7474.2468909102099</v>
      </c>
    </row>
    <row r="86" spans="1:10" x14ac:dyDescent="0.2">
      <c r="A86">
        <v>133</v>
      </c>
      <c r="B86">
        <v>2513174.5737399301</v>
      </c>
      <c r="C86">
        <v>1266855.8780960899</v>
      </c>
      <c r="D86">
        <v>442870.77884677501</v>
      </c>
      <c r="E86">
        <v>239817.286055534</v>
      </c>
      <c r="F86">
        <v>483999.41980434401</v>
      </c>
      <c r="G86">
        <v>11372.879429280199</v>
      </c>
      <c r="H86">
        <v>51146.107031104002</v>
      </c>
      <c r="I86">
        <v>16043.400518078501</v>
      </c>
      <c r="J86">
        <v>5580.7770084904996</v>
      </c>
    </row>
    <row r="87" spans="1:10" x14ac:dyDescent="0.2">
      <c r="A87">
        <v>134</v>
      </c>
      <c r="B87">
        <v>1988195.24812664</v>
      </c>
      <c r="C87">
        <v>1216416.83635083</v>
      </c>
      <c r="D87">
        <v>443234.19705789199</v>
      </c>
      <c r="E87">
        <v>239773.40768980299</v>
      </c>
      <c r="F87">
        <v>0</v>
      </c>
      <c r="G87">
        <v>7650.0372126564598</v>
      </c>
      <c r="H87">
        <v>56969.129580822097</v>
      </c>
      <c r="I87">
        <v>19722.264596237899</v>
      </c>
      <c r="J87">
        <v>6450.08138338547</v>
      </c>
    </row>
    <row r="88" spans="1:10" x14ac:dyDescent="0.2">
      <c r="A88">
        <v>135</v>
      </c>
      <c r="B88">
        <v>1960148.3900992901</v>
      </c>
      <c r="C88">
        <v>1212783.6988689599</v>
      </c>
      <c r="D88">
        <v>432472.61074664799</v>
      </c>
      <c r="E88">
        <v>236959.90125145501</v>
      </c>
      <c r="F88">
        <v>0</v>
      </c>
      <c r="G88">
        <v>6367.2155295414104</v>
      </c>
      <c r="H88">
        <v>47700.678699361801</v>
      </c>
      <c r="I88">
        <v>21233.085893135802</v>
      </c>
      <c r="J88">
        <v>8566.2465710934594</v>
      </c>
    </row>
    <row r="89" spans="1:10" x14ac:dyDescent="0.2">
      <c r="A89">
        <v>136</v>
      </c>
      <c r="B89">
        <v>1952625.88922174</v>
      </c>
      <c r="C89">
        <v>1247085.43574531</v>
      </c>
      <c r="D89">
        <v>373528.55720930098</v>
      </c>
      <c r="E89">
        <v>236305.66754858301</v>
      </c>
      <c r="F89">
        <v>0</v>
      </c>
      <c r="G89">
        <v>5672.2645603915198</v>
      </c>
      <c r="H89">
        <v>63187.221273797797</v>
      </c>
      <c r="I89">
        <v>17937.033167982299</v>
      </c>
      <c r="J89">
        <v>10636.275406757801</v>
      </c>
    </row>
    <row r="90" spans="1:10" x14ac:dyDescent="0.2">
      <c r="A90">
        <v>137</v>
      </c>
      <c r="B90">
        <v>2407665.0009534801</v>
      </c>
      <c r="C90">
        <v>1256867.14000008</v>
      </c>
      <c r="D90">
        <v>374774.989831582</v>
      </c>
      <c r="E90">
        <v>235358.579206497</v>
      </c>
      <c r="F90">
        <v>477125.02262696001</v>
      </c>
      <c r="G90">
        <v>6715.77543255399</v>
      </c>
      <c r="H90">
        <v>44546.693405922699</v>
      </c>
      <c r="I90">
        <v>13805.671009027201</v>
      </c>
      <c r="J90">
        <v>5726.9356006636599</v>
      </c>
    </row>
    <row r="91" spans="1:10" x14ac:dyDescent="0.2">
      <c r="A91">
        <v>138</v>
      </c>
      <c r="B91">
        <v>1916219.55331947</v>
      </c>
      <c r="C91">
        <v>1165551.0015912901</v>
      </c>
      <c r="D91">
        <v>444739.41183305997</v>
      </c>
      <c r="E91">
        <v>236952.288461761</v>
      </c>
      <c r="F91">
        <v>0</v>
      </c>
      <c r="G91">
        <v>8894.4269172550303</v>
      </c>
      <c r="H91">
        <v>39190.6614312479</v>
      </c>
      <c r="I91">
        <v>17405.5899517244</v>
      </c>
      <c r="J91">
        <v>5968.1862869594697</v>
      </c>
    </row>
    <row r="92" spans="1:10" x14ac:dyDescent="0.2">
      <c r="A92">
        <v>139</v>
      </c>
      <c r="B92">
        <v>1918785.43009485</v>
      </c>
      <c r="C92">
        <v>1174965.8982770899</v>
      </c>
      <c r="D92">
        <v>438170.21398585098</v>
      </c>
      <c r="E92">
        <v>234019.01794448699</v>
      </c>
      <c r="F92">
        <v>0</v>
      </c>
      <c r="G92">
        <v>7478.9185796746697</v>
      </c>
      <c r="H92">
        <v>41355.1108173393</v>
      </c>
      <c r="I92">
        <v>19946.028643436101</v>
      </c>
      <c r="J92">
        <v>7105.5998199284504</v>
      </c>
    </row>
    <row r="93" spans="1:10" x14ac:dyDescent="0.2">
      <c r="A93">
        <v>140</v>
      </c>
      <c r="B93">
        <v>1841245.14001221</v>
      </c>
      <c r="C93">
        <v>1161792.5610626501</v>
      </c>
      <c r="D93">
        <v>377689.28142406797</v>
      </c>
      <c r="E93">
        <v>235246.82603212199</v>
      </c>
      <c r="F93">
        <v>0</v>
      </c>
      <c r="G93">
        <v>6124.4610437695101</v>
      </c>
      <c r="H93">
        <v>39886.871070377398</v>
      </c>
      <c r="I93">
        <v>15450.2921331939</v>
      </c>
      <c r="J93">
        <v>6351.97613268645</v>
      </c>
    </row>
    <row r="94" spans="1:10" x14ac:dyDescent="0.2">
      <c r="A94">
        <v>141</v>
      </c>
      <c r="B94">
        <v>2286170.85276209</v>
      </c>
      <c r="C94">
        <v>1170134.1362821399</v>
      </c>
      <c r="D94">
        <v>366228.13787114999</v>
      </c>
      <c r="E94">
        <v>234997.92201079201</v>
      </c>
      <c r="F94">
        <v>458751.34799098701</v>
      </c>
      <c r="G94">
        <v>5644.6670827431999</v>
      </c>
      <c r="H94">
        <v>43554.137260335199</v>
      </c>
      <c r="I94">
        <v>15823.2133937207</v>
      </c>
      <c r="J94">
        <v>6666.0906181923001</v>
      </c>
    </row>
    <row r="95" spans="1:10" x14ac:dyDescent="0.2">
      <c r="A95">
        <v>142</v>
      </c>
      <c r="B95">
        <v>1845236.1485488401</v>
      </c>
      <c r="C95">
        <v>1153749.0902454001</v>
      </c>
      <c r="D95">
        <v>367290.15600386198</v>
      </c>
      <c r="E95">
        <v>236177.08020373501</v>
      </c>
      <c r="F95">
        <v>0</v>
      </c>
      <c r="G95">
        <v>9026.9592290112105</v>
      </c>
      <c r="H95">
        <v>51611.474115393001</v>
      </c>
      <c r="I95">
        <v>19382.538201927899</v>
      </c>
      <c r="J95">
        <v>7992.4732417933601</v>
      </c>
    </row>
    <row r="96" spans="1:10" x14ac:dyDescent="0.2">
      <c r="A96">
        <v>143</v>
      </c>
      <c r="B96">
        <v>1796954.0477390201</v>
      </c>
      <c r="C96">
        <v>1119516.7634070499</v>
      </c>
      <c r="D96">
        <v>377199.62759404199</v>
      </c>
      <c r="E96">
        <v>237374.19803510999</v>
      </c>
      <c r="F96">
        <v>0</v>
      </c>
      <c r="G96">
        <v>9098.0279630874102</v>
      </c>
      <c r="H96">
        <v>33583.852084699698</v>
      </c>
      <c r="I96">
        <v>23184.7117290309</v>
      </c>
      <c r="J96">
        <v>5658.2928748390405</v>
      </c>
    </row>
    <row r="97" spans="1:10" x14ac:dyDescent="0.2">
      <c r="A97">
        <v>144</v>
      </c>
      <c r="B97">
        <v>1844466.3286538499</v>
      </c>
      <c r="C97">
        <v>1159164.08954392</v>
      </c>
      <c r="D97">
        <v>406679.13003468799</v>
      </c>
      <c r="E97">
        <v>236504.54577594099</v>
      </c>
      <c r="F97">
        <v>0</v>
      </c>
      <c r="G97">
        <v>5580.23204717106</v>
      </c>
      <c r="H97">
        <v>25417.872659077901</v>
      </c>
      <c r="I97">
        <v>15769.1907564471</v>
      </c>
      <c r="J97">
        <v>5760.7043720920401</v>
      </c>
    </row>
    <row r="98" spans="1:10" x14ac:dyDescent="0.2">
      <c r="A98">
        <v>145</v>
      </c>
      <c r="B98">
        <v>2321346.53478705</v>
      </c>
      <c r="C98">
        <v>1181526.8305091499</v>
      </c>
      <c r="D98">
        <v>388473.56105698302</v>
      </c>
      <c r="E98">
        <v>234873.71310936601</v>
      </c>
      <c r="F98">
        <v>471459.26402314397</v>
      </c>
      <c r="G98">
        <v>6937.3844491550899</v>
      </c>
      <c r="H98">
        <v>34947.515822008201</v>
      </c>
      <c r="I98">
        <v>10472.982558032199</v>
      </c>
      <c r="J98">
        <v>7207.9184245448996</v>
      </c>
    </row>
    <row r="99" spans="1:10" x14ac:dyDescent="0.2">
      <c r="A99">
        <v>146</v>
      </c>
      <c r="B99">
        <v>1877423.3533767301</v>
      </c>
      <c r="C99">
        <v>1160431.10724848</v>
      </c>
      <c r="D99">
        <v>410223.81527433498</v>
      </c>
      <c r="E99">
        <v>237300.50643150299</v>
      </c>
      <c r="F99">
        <v>0</v>
      </c>
      <c r="G99">
        <v>11065.5429133178</v>
      </c>
      <c r="H99">
        <v>48111.716945205299</v>
      </c>
      <c r="I99">
        <v>14458.484180613799</v>
      </c>
      <c r="J99">
        <v>8888.1353715057794</v>
      </c>
    </row>
    <row r="100" spans="1:10" x14ac:dyDescent="0.2">
      <c r="A100">
        <v>147</v>
      </c>
      <c r="B100">
        <v>1811731.3830637999</v>
      </c>
      <c r="C100">
        <v>1133478.7193970699</v>
      </c>
      <c r="D100">
        <v>388025.83417944901</v>
      </c>
      <c r="E100">
        <v>235274.93305385899</v>
      </c>
      <c r="F100">
        <v>0</v>
      </c>
      <c r="G100">
        <v>6282.40576313362</v>
      </c>
      <c r="H100">
        <v>43102.098469762699</v>
      </c>
      <c r="I100">
        <v>11895.2018490683</v>
      </c>
      <c r="J100">
        <v>7825.3103598735397</v>
      </c>
    </row>
    <row r="101" spans="1:10" x14ac:dyDescent="0.2">
      <c r="A101">
        <v>148</v>
      </c>
      <c r="B101">
        <v>1813647.84383884</v>
      </c>
      <c r="C101">
        <v>1078633.5709883999</v>
      </c>
      <c r="D101">
        <v>431545.759364889</v>
      </c>
      <c r="E101">
        <v>234489.10744576901</v>
      </c>
      <c r="F101">
        <v>0</v>
      </c>
      <c r="G101">
        <v>9035.0219726707001</v>
      </c>
      <c r="H101">
        <v>42846.306622377</v>
      </c>
      <c r="I101">
        <v>9962.5058036062692</v>
      </c>
      <c r="J101">
        <v>8934.0546487723896</v>
      </c>
    </row>
    <row r="102" spans="1:10" x14ac:dyDescent="0.2">
      <c r="A102">
        <v>149</v>
      </c>
      <c r="B102">
        <v>2269630.6114918799</v>
      </c>
      <c r="C102">
        <v>1146304.4317792901</v>
      </c>
      <c r="D102">
        <v>379809.02222422301</v>
      </c>
      <c r="E102">
        <v>232489.140924924</v>
      </c>
      <c r="F102">
        <v>456652.18075126898</v>
      </c>
      <c r="G102">
        <v>7931.8007261065804</v>
      </c>
      <c r="H102">
        <v>38236.021367592803</v>
      </c>
      <c r="I102">
        <v>13944.297919308799</v>
      </c>
      <c r="J102">
        <v>8279.5783047845398</v>
      </c>
    </row>
    <row r="103" spans="1:10" x14ac:dyDescent="0.2">
      <c r="A103">
        <v>150</v>
      </c>
      <c r="B103">
        <v>1833153.73080736</v>
      </c>
      <c r="C103">
        <v>1177880.3405359499</v>
      </c>
      <c r="D103">
        <v>334536.42025018</v>
      </c>
      <c r="E103">
        <v>232731.696611305</v>
      </c>
      <c r="F103">
        <v>0</v>
      </c>
      <c r="G103">
        <v>8324.3025703575295</v>
      </c>
      <c r="H103">
        <v>49955.653528549097</v>
      </c>
      <c r="I103">
        <v>23713.9383796521</v>
      </c>
      <c r="J103">
        <v>7690.7292791608297</v>
      </c>
    </row>
    <row r="104" spans="1:10" x14ac:dyDescent="0.2">
      <c r="A104">
        <v>151</v>
      </c>
      <c r="B104">
        <v>1716543.8672906901</v>
      </c>
      <c r="C104">
        <v>1019237.4288834</v>
      </c>
      <c r="D104">
        <v>402701.22169048502</v>
      </c>
      <c r="E104">
        <v>232119.816369582</v>
      </c>
      <c r="F104">
        <v>0</v>
      </c>
      <c r="G104">
        <v>11899.572366414201</v>
      </c>
      <c r="H104">
        <v>39292.705605084702</v>
      </c>
      <c r="I104">
        <v>12916.1361854281</v>
      </c>
      <c r="J104">
        <v>6128.8678899037204</v>
      </c>
    </row>
    <row r="105" spans="1:10" x14ac:dyDescent="0.2">
      <c r="A105">
        <v>152</v>
      </c>
      <c r="B105">
        <v>1708696.84387184</v>
      </c>
      <c r="C105">
        <v>1037541.20564489</v>
      </c>
      <c r="D105">
        <v>384917.49486088799</v>
      </c>
      <c r="E105">
        <v>231303.83032057001</v>
      </c>
      <c r="F105">
        <v>0</v>
      </c>
      <c r="G105">
        <v>8685.1589480371804</v>
      </c>
      <c r="H105">
        <v>39042.199898713603</v>
      </c>
      <c r="I105">
        <v>8283.4873630957609</v>
      </c>
      <c r="J105">
        <v>6882.3654631026202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5"/>
  <sheetViews>
    <sheetView zoomScaleNormal="100" workbookViewId="0">
      <selection activeCell="E17" sqref="E17"/>
    </sheetView>
  </sheetViews>
  <sheetFormatPr baseColWidth="10" defaultColWidth="11.5703125" defaultRowHeight="12.75" x14ac:dyDescent="0.2"/>
  <sheetData>
    <row r="1" spans="1:9" x14ac:dyDescent="0.2">
      <c r="A1" t="s">
        <v>164</v>
      </c>
      <c r="B1" t="s">
        <v>148</v>
      </c>
      <c r="C1" t="s">
        <v>193</v>
      </c>
      <c r="D1" t="s">
        <v>194</v>
      </c>
      <c r="E1" t="s">
        <v>195</v>
      </c>
      <c r="F1" t="s">
        <v>196</v>
      </c>
      <c r="G1" t="s">
        <v>197</v>
      </c>
      <c r="H1" t="s">
        <v>198</v>
      </c>
      <c r="I1" t="s">
        <v>149</v>
      </c>
    </row>
    <row r="2" spans="1:9" x14ac:dyDescent="0.2">
      <c r="A2">
        <v>49</v>
      </c>
      <c r="B2" s="126">
        <v>18004034.227181599</v>
      </c>
      <c r="C2" s="126">
        <v>17351947.9127592</v>
      </c>
      <c r="D2" s="126">
        <v>61294383.309515297</v>
      </c>
      <c r="E2" s="126">
        <v>61294383.309515297</v>
      </c>
      <c r="F2" s="126">
        <v>0</v>
      </c>
      <c r="G2" s="126">
        <v>371077.89296807902</v>
      </c>
      <c r="H2" s="126">
        <v>186193.97136213601</v>
      </c>
      <c r="I2" s="126">
        <v>135449.214417351</v>
      </c>
    </row>
    <row r="3" spans="1:9" x14ac:dyDescent="0.2">
      <c r="A3">
        <v>50</v>
      </c>
      <c r="B3" s="126">
        <v>22160667.129278999</v>
      </c>
      <c r="C3" s="126">
        <v>21424014.242167398</v>
      </c>
      <c r="D3" s="126">
        <v>75698211.079204604</v>
      </c>
      <c r="E3" s="126">
        <v>64884180.925032496</v>
      </c>
      <c r="F3" s="126">
        <v>10814030.1541721</v>
      </c>
      <c r="G3" s="126">
        <v>449590.60307884502</v>
      </c>
      <c r="H3" s="126">
        <v>181303.384351026</v>
      </c>
      <c r="I3" s="126">
        <v>151084.142402353</v>
      </c>
    </row>
    <row r="4" spans="1:9" x14ac:dyDescent="0.2">
      <c r="A4">
        <v>51</v>
      </c>
      <c r="B4" s="126">
        <v>20241474.660854701</v>
      </c>
      <c r="C4" s="126">
        <v>19488563.744321998</v>
      </c>
      <c r="D4" s="126">
        <v>68948168.7444157</v>
      </c>
      <c r="E4" s="126">
        <v>68948168.7444157</v>
      </c>
      <c r="F4" s="126">
        <v>0</v>
      </c>
      <c r="G4" s="126">
        <v>479074.90149172</v>
      </c>
      <c r="H4" s="126">
        <v>169295.89556962001</v>
      </c>
      <c r="I4" s="126">
        <v>149343.027816335</v>
      </c>
    </row>
    <row r="5" spans="1:9" x14ac:dyDescent="0.2">
      <c r="A5">
        <v>52</v>
      </c>
      <c r="B5" s="126">
        <v>23722644.808656499</v>
      </c>
      <c r="C5" s="126">
        <v>22941053.638489801</v>
      </c>
      <c r="D5" s="126">
        <v>81128439.104295</v>
      </c>
      <c r="E5" s="126">
        <v>69538662.089395702</v>
      </c>
      <c r="F5" s="126">
        <v>11589777.0148993</v>
      </c>
      <c r="G5" s="126">
        <v>516987.68087816698</v>
      </c>
      <c r="H5" s="126">
        <v>162008.72253142999</v>
      </c>
      <c r="I5" s="126">
        <v>146563.952510206</v>
      </c>
    </row>
    <row r="6" spans="1:9" x14ac:dyDescent="0.2">
      <c r="A6">
        <v>53</v>
      </c>
      <c r="B6" s="126">
        <v>19331318.926965501</v>
      </c>
      <c r="C6" s="126">
        <v>18665596.830900799</v>
      </c>
      <c r="D6" s="126">
        <v>66019109.634081997</v>
      </c>
      <c r="E6" s="126">
        <v>66019109.634081997</v>
      </c>
      <c r="F6" s="126">
        <v>0</v>
      </c>
      <c r="G6" s="126">
        <v>425976.65143559698</v>
      </c>
      <c r="H6" s="126">
        <v>141481.17696988201</v>
      </c>
      <c r="I6" s="126">
        <v>140377.52522743901</v>
      </c>
    </row>
    <row r="7" spans="1:9" x14ac:dyDescent="0.2">
      <c r="A7">
        <v>54</v>
      </c>
      <c r="B7" s="126">
        <v>22042352.8766765</v>
      </c>
      <c r="C7" s="126">
        <v>21400729.493119799</v>
      </c>
      <c r="D7" s="126">
        <v>75696584.2068533</v>
      </c>
      <c r="E7" s="126">
        <v>64882786.463017099</v>
      </c>
      <c r="F7" s="126">
        <v>10813797.7438362</v>
      </c>
      <c r="G7" s="126">
        <v>415298.32174647599</v>
      </c>
      <c r="H7" s="126">
        <v>127089.694721227</v>
      </c>
      <c r="I7" s="126">
        <v>141764.81012723199</v>
      </c>
    </row>
    <row r="8" spans="1:9" x14ac:dyDescent="0.2">
      <c r="A8">
        <v>55</v>
      </c>
      <c r="B8" s="126">
        <v>19234129.639467299</v>
      </c>
      <c r="C8" s="126">
        <v>18611010.563666701</v>
      </c>
      <c r="D8" s="126">
        <v>65799884.388200499</v>
      </c>
      <c r="E8" s="126">
        <v>65799884.388200499</v>
      </c>
      <c r="F8" s="126">
        <v>0</v>
      </c>
      <c r="G8" s="126">
        <v>400553.62954784598</v>
      </c>
      <c r="H8" s="126">
        <v>121633.12177446199</v>
      </c>
      <c r="I8" s="126">
        <v>144189.0349691</v>
      </c>
    </row>
    <row r="9" spans="1:9" x14ac:dyDescent="0.2">
      <c r="A9">
        <v>56</v>
      </c>
      <c r="B9" s="126">
        <v>22573512.100891899</v>
      </c>
      <c r="C9" s="126">
        <v>21912021.938731998</v>
      </c>
      <c r="D9" s="126">
        <v>77437977.028653696</v>
      </c>
      <c r="E9" s="126">
        <v>66375408.881703198</v>
      </c>
      <c r="F9" s="126">
        <v>11062568.1469505</v>
      </c>
      <c r="G9" s="126">
        <v>439140.63137914101</v>
      </c>
      <c r="H9" s="126">
        <v>116461.810362377</v>
      </c>
      <c r="I9" s="126">
        <v>151268.17202622999</v>
      </c>
    </row>
    <row r="10" spans="1:9" x14ac:dyDescent="0.2">
      <c r="A10">
        <v>57</v>
      </c>
      <c r="B10" s="126">
        <v>19517575.3041269</v>
      </c>
      <c r="C10" s="126">
        <v>18779486.421455398</v>
      </c>
      <c r="D10" s="126">
        <v>66351902.708365098</v>
      </c>
      <c r="E10" s="126">
        <v>66351902.708365098</v>
      </c>
      <c r="F10" s="126">
        <v>0</v>
      </c>
      <c r="G10" s="126">
        <v>413586.258336625</v>
      </c>
      <c r="H10" s="126">
        <v>238137.82332683899</v>
      </c>
      <c r="I10" s="126">
        <v>123378.28715431099</v>
      </c>
    </row>
    <row r="11" spans="1:9" x14ac:dyDescent="0.2">
      <c r="A11">
        <v>58</v>
      </c>
      <c r="B11" s="126">
        <v>23345722.454706602</v>
      </c>
      <c r="C11" s="126">
        <v>22607547.935006998</v>
      </c>
      <c r="D11" s="126">
        <v>79882706.221174195</v>
      </c>
      <c r="E11" s="126">
        <v>68470891.046720698</v>
      </c>
      <c r="F11" s="126">
        <v>11411815.1744534</v>
      </c>
      <c r="G11" s="126">
        <v>415889.73563996702</v>
      </c>
      <c r="H11" s="126">
        <v>230582.91289528299</v>
      </c>
      <c r="I11" s="126">
        <v>131002.673091904</v>
      </c>
    </row>
    <row r="12" spans="1:9" x14ac:dyDescent="0.2">
      <c r="A12">
        <v>59</v>
      </c>
      <c r="B12" s="126">
        <v>20685758.757683098</v>
      </c>
      <c r="C12" s="126">
        <v>19996764.976166401</v>
      </c>
      <c r="D12" s="126">
        <v>70658358.738332406</v>
      </c>
      <c r="E12" s="126">
        <v>70658358.738332406</v>
      </c>
      <c r="F12" s="126">
        <v>0</v>
      </c>
      <c r="G12" s="126">
        <v>367663.67708372697</v>
      </c>
      <c r="H12" s="126">
        <v>225108.785774441</v>
      </c>
      <c r="I12" s="126">
        <v>137459.02665501201</v>
      </c>
    </row>
    <row r="13" spans="1:9" x14ac:dyDescent="0.2">
      <c r="A13">
        <v>60</v>
      </c>
      <c r="B13" s="126">
        <v>24447912.8962081</v>
      </c>
      <c r="C13" s="126">
        <v>23723572.901323199</v>
      </c>
      <c r="D13" s="126">
        <v>83772244.523737103</v>
      </c>
      <c r="E13" s="126">
        <v>71804781.020346001</v>
      </c>
      <c r="F13" s="126">
        <v>11967463.503391</v>
      </c>
      <c r="G13" s="126">
        <v>396743.97044937999</v>
      </c>
      <c r="H13" s="126">
        <v>227007.35824403801</v>
      </c>
      <c r="I13" s="126">
        <v>143698.09455918201</v>
      </c>
    </row>
    <row r="14" spans="1:9" x14ac:dyDescent="0.2">
      <c r="A14">
        <v>61</v>
      </c>
      <c r="B14" s="126">
        <v>19576875.4819577</v>
      </c>
      <c r="C14" s="126">
        <v>18845759.163770702</v>
      </c>
      <c r="D14" s="126">
        <v>63609343.145891801</v>
      </c>
      <c r="E14" s="126">
        <v>70961222.621446103</v>
      </c>
      <c r="F14" s="126">
        <v>0</v>
      </c>
      <c r="G14" s="126">
        <v>385120.32309354399</v>
      </c>
      <c r="H14" s="126">
        <v>255380.67177360901</v>
      </c>
      <c r="I14" s="126">
        <v>129450.461885458</v>
      </c>
    </row>
    <row r="15" spans="1:9" x14ac:dyDescent="0.2">
      <c r="A15">
        <v>62</v>
      </c>
      <c r="B15" s="126">
        <v>22220331.7878667</v>
      </c>
      <c r="C15" s="126">
        <v>21501773.523859601</v>
      </c>
      <c r="D15" s="126">
        <v>72347360.956319407</v>
      </c>
      <c r="E15" s="126">
        <v>69714099.348673806</v>
      </c>
      <c r="F15" s="126">
        <v>11619016.558112299</v>
      </c>
      <c r="G15" s="126">
        <v>396657.89790011599</v>
      </c>
      <c r="H15" s="126">
        <v>234931.16464434899</v>
      </c>
      <c r="I15" s="126">
        <v>124241.716375217</v>
      </c>
    </row>
    <row r="16" spans="1:9" x14ac:dyDescent="0.2">
      <c r="A16">
        <v>63</v>
      </c>
      <c r="B16" s="126">
        <v>18301844.988492802</v>
      </c>
      <c r="C16" s="126">
        <v>17663550.803038899</v>
      </c>
      <c r="D16" s="126">
        <v>59887509.828085698</v>
      </c>
      <c r="E16" s="126">
        <v>66038620.569834404</v>
      </c>
      <c r="F16" s="126">
        <v>0</v>
      </c>
      <c r="G16" s="126">
        <v>350101.28032188199</v>
      </c>
      <c r="H16" s="126">
        <v>209332.63892300599</v>
      </c>
      <c r="I16" s="126">
        <v>112657.52315571001</v>
      </c>
    </row>
    <row r="17" spans="1:9" x14ac:dyDescent="0.2">
      <c r="A17">
        <v>64</v>
      </c>
      <c r="B17" s="126">
        <v>19945772.1285218</v>
      </c>
      <c r="C17" s="126">
        <v>19348222.427996598</v>
      </c>
      <c r="D17" s="126">
        <v>65408555.517661802</v>
      </c>
      <c r="E17" s="126">
        <v>62201099.778604999</v>
      </c>
      <c r="F17" s="126">
        <v>10366849.9631008</v>
      </c>
      <c r="G17" s="126">
        <v>317828.66222342901</v>
      </c>
      <c r="H17" s="126">
        <v>201337.098904112</v>
      </c>
      <c r="I17" s="126">
        <v>111977.056282442</v>
      </c>
    </row>
    <row r="18" spans="1:9" x14ac:dyDescent="0.2">
      <c r="A18">
        <v>65</v>
      </c>
      <c r="B18" s="126">
        <v>15748980.9767565</v>
      </c>
      <c r="C18" s="126">
        <v>15185663.770591499</v>
      </c>
      <c r="D18" s="126">
        <v>48156642.764644101</v>
      </c>
      <c r="E18" s="126">
        <v>61869622.941931799</v>
      </c>
      <c r="F18" s="126">
        <v>0</v>
      </c>
      <c r="G18" s="126">
        <v>293533.318449774</v>
      </c>
      <c r="H18" s="126">
        <v>190695.52499802501</v>
      </c>
      <c r="I18" s="126">
        <v>112983.375310289</v>
      </c>
    </row>
    <row r="19" spans="1:9" x14ac:dyDescent="0.2">
      <c r="A19">
        <v>66</v>
      </c>
      <c r="B19" s="126">
        <v>18646926.2542344</v>
      </c>
      <c r="C19" s="126">
        <v>18091223.3905637</v>
      </c>
      <c r="D19" s="126">
        <v>57965574.851701997</v>
      </c>
      <c r="E19" s="126">
        <v>62303493.940088198</v>
      </c>
      <c r="F19" s="126">
        <v>10383915.6566814</v>
      </c>
      <c r="G19" s="126">
        <v>291421.32357905997</v>
      </c>
      <c r="H19" s="126">
        <v>186504.719246608</v>
      </c>
      <c r="I19" s="126">
        <v>111109.744064318</v>
      </c>
    </row>
    <row r="20" spans="1:9" x14ac:dyDescent="0.2">
      <c r="A20">
        <v>67</v>
      </c>
      <c r="B20" s="126">
        <v>15997402.205666799</v>
      </c>
      <c r="C20" s="126">
        <v>15401610.7495744</v>
      </c>
      <c r="D20" s="126">
        <v>49782681.314532898</v>
      </c>
      <c r="E20" s="126">
        <v>61144406.3664179</v>
      </c>
      <c r="F20" s="126">
        <v>0</v>
      </c>
      <c r="G20" s="126">
        <v>334938.96056072298</v>
      </c>
      <c r="H20" s="126">
        <v>184279.31475483501</v>
      </c>
      <c r="I20" s="126">
        <v>109390.258252687</v>
      </c>
    </row>
    <row r="21" spans="1:9" x14ac:dyDescent="0.2">
      <c r="A21">
        <v>68</v>
      </c>
      <c r="B21" s="126">
        <v>18417019.9206197</v>
      </c>
      <c r="C21" s="126">
        <v>17797759.431381602</v>
      </c>
      <c r="D21" s="126">
        <v>57975789.125491299</v>
      </c>
      <c r="E21" s="126">
        <v>59998489.167799301</v>
      </c>
      <c r="F21" s="126">
        <v>9999748.1946332194</v>
      </c>
      <c r="G21" s="126">
        <v>356024.17454248801</v>
      </c>
      <c r="H21" s="126">
        <v>186968.81012366901</v>
      </c>
      <c r="I21" s="126">
        <v>108953.57795993501</v>
      </c>
    </row>
    <row r="22" spans="1:9" x14ac:dyDescent="0.2">
      <c r="A22">
        <v>69</v>
      </c>
      <c r="B22" s="126">
        <v>16266619.195443699</v>
      </c>
      <c r="C22" s="126">
        <v>15658576.962806299</v>
      </c>
      <c r="D22" s="126">
        <v>51244439.183197297</v>
      </c>
      <c r="E22" s="126">
        <v>60333786.319923803</v>
      </c>
      <c r="F22" s="126">
        <v>0</v>
      </c>
      <c r="G22" s="126">
        <v>343828.45842047699</v>
      </c>
      <c r="H22" s="126">
        <v>186240.93238870101</v>
      </c>
      <c r="I22" s="126">
        <v>111389.774040333</v>
      </c>
    </row>
    <row r="23" spans="1:9" x14ac:dyDescent="0.2">
      <c r="A23">
        <v>70</v>
      </c>
      <c r="B23" s="126">
        <v>19228175.580129299</v>
      </c>
      <c r="C23" s="126">
        <v>18652555.9502418</v>
      </c>
      <c r="D23" s="126">
        <v>61383547.946811996</v>
      </c>
      <c r="E23" s="126">
        <v>61182082.404649504</v>
      </c>
      <c r="F23" s="126">
        <v>10197013.734108301</v>
      </c>
      <c r="G23" s="126">
        <v>315575.52374872402</v>
      </c>
      <c r="H23" s="126">
        <v>181001.23627039001</v>
      </c>
      <c r="I23" s="126">
        <v>112918.38552621201</v>
      </c>
    </row>
    <row r="24" spans="1:9" x14ac:dyDescent="0.2">
      <c r="A24">
        <v>71</v>
      </c>
      <c r="B24" s="126">
        <v>16907665.919673499</v>
      </c>
      <c r="C24" s="126">
        <v>16320257.0385796</v>
      </c>
      <c r="D24" s="126">
        <v>54225940.414411001</v>
      </c>
      <c r="E24" s="126">
        <v>61655711.0138252</v>
      </c>
      <c r="F24" s="126">
        <v>0</v>
      </c>
      <c r="G24" s="126">
        <v>325467.03753097798</v>
      </c>
      <c r="H24" s="126">
        <v>182416.672942481</v>
      </c>
      <c r="I24" s="126">
        <v>113607.38660062299</v>
      </c>
    </row>
    <row r="25" spans="1:9" x14ac:dyDescent="0.2">
      <c r="A25">
        <v>72</v>
      </c>
      <c r="B25" s="126">
        <v>19812297.118726701</v>
      </c>
      <c r="C25" s="126">
        <v>19206691.0864073</v>
      </c>
      <c r="D25" s="126">
        <v>63722315.254157998</v>
      </c>
      <c r="E25" s="126">
        <v>62311204.471587099</v>
      </c>
      <c r="F25" s="126">
        <v>10385200.7452645</v>
      </c>
      <c r="G25" s="126">
        <v>336247.31527503597</v>
      </c>
      <c r="H25" s="126">
        <v>186538.36967689299</v>
      </c>
      <c r="I25" s="126">
        <v>118314.78195352601</v>
      </c>
    </row>
    <row r="26" spans="1:9" x14ac:dyDescent="0.2">
      <c r="A26">
        <v>73</v>
      </c>
      <c r="B26" s="126">
        <v>17596468.573625501</v>
      </c>
      <c r="C26" s="126">
        <v>16961815.565749001</v>
      </c>
      <c r="D26" s="126">
        <v>56798842.646665096</v>
      </c>
      <c r="E26" s="126">
        <v>63353381.769924901</v>
      </c>
      <c r="F26" s="126">
        <v>0</v>
      </c>
      <c r="G26" s="126">
        <v>359116.40110166202</v>
      </c>
      <c r="H26" s="126">
        <v>192068.94402882701</v>
      </c>
      <c r="I26" s="126">
        <v>119239.518208525</v>
      </c>
    </row>
    <row r="27" spans="1:9" x14ac:dyDescent="0.2">
      <c r="A27">
        <v>74</v>
      </c>
      <c r="B27" s="126">
        <v>20538740.633145001</v>
      </c>
      <c r="C27" s="126">
        <v>19894522.467655599</v>
      </c>
      <c r="D27" s="126">
        <v>66396929.866433099</v>
      </c>
      <c r="E27" s="126">
        <v>63973845.766327403</v>
      </c>
      <c r="F27" s="126">
        <v>10662307.6277212</v>
      </c>
      <c r="G27" s="126">
        <v>365902.481644171</v>
      </c>
      <c r="H27" s="126">
        <v>196403.95624679499</v>
      </c>
      <c r="I27" s="126">
        <v>117016.753711992</v>
      </c>
    </row>
    <row r="28" spans="1:9" x14ac:dyDescent="0.2">
      <c r="A28">
        <v>75</v>
      </c>
      <c r="B28" s="126">
        <v>18269470.524679001</v>
      </c>
      <c r="C28" s="126">
        <v>17643620.286356598</v>
      </c>
      <c r="D28" s="126">
        <v>59361473.301103503</v>
      </c>
      <c r="E28" s="126">
        <v>65409625.222372703</v>
      </c>
      <c r="F28" s="126">
        <v>0</v>
      </c>
      <c r="G28" s="126">
        <v>355304.97761094</v>
      </c>
      <c r="H28" s="126">
        <v>190936.793482332</v>
      </c>
      <c r="I28" s="126">
        <v>113726.38175592</v>
      </c>
    </row>
    <row r="29" spans="1:9" x14ac:dyDescent="0.2">
      <c r="A29">
        <v>76</v>
      </c>
      <c r="B29" s="126">
        <v>21667169.787770201</v>
      </c>
      <c r="C29" s="126">
        <v>21039616.291021898</v>
      </c>
      <c r="D29" s="126">
        <v>70499544.046187803</v>
      </c>
      <c r="E29" s="126">
        <v>67241474.097704694</v>
      </c>
      <c r="F29" s="126">
        <v>11206912.349617399</v>
      </c>
      <c r="G29" s="126">
        <v>362388.435601709</v>
      </c>
      <c r="H29" s="126">
        <v>187847.01597186099</v>
      </c>
      <c r="I29" s="126">
        <v>110454.350249526</v>
      </c>
    </row>
    <row r="30" spans="1:9" x14ac:dyDescent="0.2">
      <c r="A30">
        <v>77</v>
      </c>
      <c r="B30" s="126">
        <v>18914281.0025286</v>
      </c>
      <c r="C30" s="126">
        <v>18279028.174068701</v>
      </c>
      <c r="D30" s="126">
        <v>61774490.231421903</v>
      </c>
      <c r="E30" s="126">
        <v>67258614.172730803</v>
      </c>
      <c r="F30" s="126">
        <v>0</v>
      </c>
      <c r="G30" s="126">
        <v>361470.68789758498</v>
      </c>
      <c r="H30" s="126">
        <v>193804.79771910401</v>
      </c>
      <c r="I30" s="126">
        <v>114253.34691885499</v>
      </c>
    </row>
    <row r="31" spans="1:9" x14ac:dyDescent="0.2">
      <c r="A31">
        <v>78</v>
      </c>
      <c r="B31" s="126">
        <v>22239179.5093899</v>
      </c>
      <c r="C31" s="126">
        <v>21555711.7931276</v>
      </c>
      <c r="D31" s="126">
        <v>72488040.961721197</v>
      </c>
      <c r="E31" s="126">
        <v>68440523.916545495</v>
      </c>
      <c r="F31" s="126">
        <v>11406753.9860909</v>
      </c>
      <c r="G31" s="126">
        <v>393127.55369615002</v>
      </c>
      <c r="H31" s="126">
        <v>204587.77853767999</v>
      </c>
      <c r="I31" s="126">
        <v>122503.405754929</v>
      </c>
    </row>
    <row r="32" spans="1:9" x14ac:dyDescent="0.2">
      <c r="A32">
        <v>79</v>
      </c>
      <c r="B32" s="126">
        <v>19611088.5073766</v>
      </c>
      <c r="C32" s="126">
        <v>18947351.445500001</v>
      </c>
      <c r="D32" s="126">
        <v>64293449.240195498</v>
      </c>
      <c r="E32" s="126">
        <v>69335060.747512504</v>
      </c>
      <c r="F32" s="126">
        <v>0</v>
      </c>
      <c r="G32" s="126">
        <v>365936.38293296698</v>
      </c>
      <c r="H32" s="126">
        <v>209889.375343569</v>
      </c>
      <c r="I32" s="126">
        <v>125587.57657147299</v>
      </c>
    </row>
    <row r="33" spans="1:9" x14ac:dyDescent="0.2">
      <c r="A33">
        <v>80</v>
      </c>
      <c r="B33" s="126">
        <v>22821702.354767501</v>
      </c>
      <c r="C33" s="126">
        <v>22108812.2870766</v>
      </c>
      <c r="D33" s="126">
        <v>74595794.599348396</v>
      </c>
      <c r="E33" s="126">
        <v>69916249.636044398</v>
      </c>
      <c r="F33" s="126">
        <v>11652708.2726741</v>
      </c>
      <c r="G33" s="126">
        <v>415049.79039283399</v>
      </c>
      <c r="H33" s="126">
        <v>210065.08594036501</v>
      </c>
      <c r="I33" s="126">
        <v>125393.13051099</v>
      </c>
    </row>
    <row r="34" spans="1:9" x14ac:dyDescent="0.2">
      <c r="A34">
        <v>81</v>
      </c>
      <c r="B34" s="126">
        <v>20123273.5486775</v>
      </c>
      <c r="C34" s="126">
        <v>19403671.523572098</v>
      </c>
      <c r="D34" s="126">
        <v>65982042.988121003</v>
      </c>
      <c r="E34" s="126">
        <v>70690611.555979893</v>
      </c>
      <c r="F34" s="126">
        <v>0</v>
      </c>
      <c r="G34" s="126">
        <v>417528.925674311</v>
      </c>
      <c r="H34" s="126">
        <v>212999.75038954901</v>
      </c>
      <c r="I34" s="126">
        <v>127247.641487837</v>
      </c>
    </row>
    <row r="35" spans="1:9" x14ac:dyDescent="0.2">
      <c r="A35">
        <v>82</v>
      </c>
      <c r="B35" s="126">
        <v>23344326.405009702</v>
      </c>
      <c r="C35" s="126">
        <v>22649288.224737398</v>
      </c>
      <c r="D35" s="126">
        <v>76569317.434527293</v>
      </c>
      <c r="E35" s="126">
        <v>71374185.731327295</v>
      </c>
      <c r="F35" s="126">
        <v>11895697.6218879</v>
      </c>
      <c r="G35" s="126">
        <v>388979.53107037698</v>
      </c>
      <c r="H35" s="126">
        <v>214740.25279864401</v>
      </c>
      <c r="I35" s="126">
        <v>130454.852004716</v>
      </c>
    </row>
    <row r="36" spans="1:9" x14ac:dyDescent="0.2">
      <c r="A36">
        <v>83</v>
      </c>
      <c r="B36" s="126">
        <v>20535028.120530698</v>
      </c>
      <c r="C36" s="126">
        <v>19833683.348150901</v>
      </c>
      <c r="D36" s="126">
        <v>67610847.146740198</v>
      </c>
      <c r="E36" s="126">
        <v>71987240.168840602</v>
      </c>
      <c r="F36" s="126">
        <v>0</v>
      </c>
      <c r="G36" s="126">
        <v>382924.57765199197</v>
      </c>
      <c r="H36" s="126">
        <v>223523.12463169501</v>
      </c>
      <c r="I36" s="126">
        <v>135567.24299450801</v>
      </c>
    </row>
    <row r="37" spans="1:9" x14ac:dyDescent="0.2">
      <c r="A37">
        <v>84</v>
      </c>
      <c r="B37" s="126">
        <v>24203418.354260501</v>
      </c>
      <c r="C37" s="126">
        <v>23476898.272508401</v>
      </c>
      <c r="D37" s="126">
        <v>79510926.697533593</v>
      </c>
      <c r="E37" s="126">
        <v>73780264.720268995</v>
      </c>
      <c r="F37" s="126">
        <v>12296710.786711499</v>
      </c>
      <c r="G37" s="126">
        <v>411941.960122819</v>
      </c>
      <c r="H37" s="126">
        <v>220907.77057570001</v>
      </c>
      <c r="I37" s="126">
        <v>133814.787219322</v>
      </c>
    </row>
    <row r="38" spans="1:9" x14ac:dyDescent="0.2">
      <c r="A38">
        <v>85</v>
      </c>
      <c r="B38" s="126">
        <v>21421235.706697401</v>
      </c>
      <c r="C38" s="126">
        <v>20686384.7359857</v>
      </c>
      <c r="D38" s="126">
        <v>70668499.990265995</v>
      </c>
      <c r="E38" s="126">
        <v>74950578.354932606</v>
      </c>
      <c r="F38" s="126">
        <v>0</v>
      </c>
      <c r="G38" s="126">
        <v>419241.423427417</v>
      </c>
      <c r="H38" s="126">
        <v>220373.10558405699</v>
      </c>
      <c r="I38" s="126">
        <v>136052.05957165701</v>
      </c>
    </row>
    <row r="39" spans="1:9" x14ac:dyDescent="0.2">
      <c r="A39">
        <v>86</v>
      </c>
      <c r="B39" s="126">
        <v>24759653.902339399</v>
      </c>
      <c r="C39" s="126">
        <v>24047271.4683218</v>
      </c>
      <c r="D39" s="126">
        <v>81550274.564902902</v>
      </c>
      <c r="E39" s="126">
        <v>75452323.072157696</v>
      </c>
      <c r="F39" s="126">
        <v>12575387.178693</v>
      </c>
      <c r="G39" s="126">
        <v>391036.32781490899</v>
      </c>
      <c r="H39" s="126">
        <v>225010.31423097599</v>
      </c>
      <c r="I39" s="126">
        <v>137622.55995964</v>
      </c>
    </row>
    <row r="40" spans="1:9" x14ac:dyDescent="0.2">
      <c r="A40">
        <v>87</v>
      </c>
      <c r="B40" s="126">
        <v>21959623.956195101</v>
      </c>
      <c r="C40" s="126">
        <v>21234519.491925899</v>
      </c>
      <c r="D40" s="126">
        <v>72571588.118272603</v>
      </c>
      <c r="E40" s="126">
        <v>76745701.421919405</v>
      </c>
      <c r="F40" s="126">
        <v>0</v>
      </c>
      <c r="G40" s="126">
        <v>399534.439613569</v>
      </c>
      <c r="H40" s="126">
        <v>228891.343913416</v>
      </c>
      <c r="I40" s="126">
        <v>138112.40106034701</v>
      </c>
    </row>
    <row r="41" spans="1:9" x14ac:dyDescent="0.2">
      <c r="A41">
        <v>88</v>
      </c>
      <c r="B41" s="126">
        <v>25344226.078890901</v>
      </c>
      <c r="C41" s="126">
        <v>24634734.750125501</v>
      </c>
      <c r="D41" s="126">
        <v>83581204.054622203</v>
      </c>
      <c r="E41" s="126">
        <v>77160978.240601003</v>
      </c>
      <c r="F41" s="126">
        <v>12860163.0401002</v>
      </c>
      <c r="G41" s="126">
        <v>387340.33151531802</v>
      </c>
      <c r="H41" s="126">
        <v>226341.210790218</v>
      </c>
      <c r="I41" s="126">
        <v>136871.123513959</v>
      </c>
    </row>
    <row r="42" spans="1:9" x14ac:dyDescent="0.2">
      <c r="A42">
        <v>89</v>
      </c>
      <c r="B42" s="126">
        <v>22338423.536509</v>
      </c>
      <c r="C42" s="126">
        <v>21607882.045797899</v>
      </c>
      <c r="D42" s="126">
        <v>73908618.848026097</v>
      </c>
      <c r="E42" s="126">
        <v>78012754.777264595</v>
      </c>
      <c r="F42" s="126">
        <v>0</v>
      </c>
      <c r="G42" s="126">
        <v>401976.46413061803</v>
      </c>
      <c r="H42" s="126">
        <v>231958.95490569301</v>
      </c>
      <c r="I42" s="126">
        <v>138008.67382107701</v>
      </c>
    </row>
    <row r="43" spans="1:9" x14ac:dyDescent="0.2">
      <c r="A43">
        <v>90</v>
      </c>
      <c r="B43" s="126">
        <v>25714131.525149699</v>
      </c>
      <c r="C43" s="126">
        <v>24968817.047062401</v>
      </c>
      <c r="D43" s="126">
        <v>84736709.176062196</v>
      </c>
      <c r="E43" s="126">
        <v>78170611.826169595</v>
      </c>
      <c r="F43" s="126">
        <v>13028435.3043616</v>
      </c>
      <c r="G43" s="126">
        <v>406319.27089762501</v>
      </c>
      <c r="H43" s="126">
        <v>237408.17381553899</v>
      </c>
      <c r="I43" s="126">
        <v>145124.33339165401</v>
      </c>
    </row>
    <row r="44" spans="1:9" x14ac:dyDescent="0.2">
      <c r="A44">
        <v>91</v>
      </c>
      <c r="B44" s="126">
        <v>22754612.794346299</v>
      </c>
      <c r="C44" s="126">
        <v>22002179.087032899</v>
      </c>
      <c r="D44" s="126">
        <v>75254355.379327804</v>
      </c>
      <c r="E44" s="126">
        <v>79405654.127883196</v>
      </c>
      <c r="F44" s="126">
        <v>0</v>
      </c>
      <c r="G44" s="126">
        <v>411440.82671307999</v>
      </c>
      <c r="H44" s="126">
        <v>238652.92018541999</v>
      </c>
      <c r="I44" s="126">
        <v>146199.94344984801</v>
      </c>
    </row>
    <row r="45" spans="1:9" x14ac:dyDescent="0.2">
      <c r="A45">
        <v>92</v>
      </c>
      <c r="B45" s="126">
        <v>26521591.465177</v>
      </c>
      <c r="C45" s="126">
        <v>25761107.506085601</v>
      </c>
      <c r="D45" s="126">
        <v>87425286.441640005</v>
      </c>
      <c r="E45" s="126">
        <v>80639202.123710603</v>
      </c>
      <c r="F45" s="126">
        <v>13439867.0206184</v>
      </c>
      <c r="G45" s="126">
        <v>423540.101735181</v>
      </c>
      <c r="H45" s="126">
        <v>235656.30941012799</v>
      </c>
      <c r="I45" s="126">
        <v>144696.49706591299</v>
      </c>
    </row>
    <row r="46" spans="1:9" x14ac:dyDescent="0.2">
      <c r="A46">
        <v>93</v>
      </c>
      <c r="B46" s="126">
        <v>23334578.175799701</v>
      </c>
      <c r="C46" s="126">
        <v>22581166.781668</v>
      </c>
      <c r="D46" s="126">
        <v>77255506.204506397</v>
      </c>
      <c r="E46" s="126">
        <v>81511927.557529494</v>
      </c>
      <c r="F46" s="126">
        <v>0</v>
      </c>
      <c r="G46" s="126">
        <v>424858.33335871698</v>
      </c>
      <c r="H46" s="126">
        <v>230628.29651675699</v>
      </c>
      <c r="I46" s="126">
        <v>139892.52036602399</v>
      </c>
    </row>
    <row r="47" spans="1:9" x14ac:dyDescent="0.2">
      <c r="A47">
        <v>94</v>
      </c>
      <c r="B47" s="126">
        <v>26936402.0766236</v>
      </c>
      <c r="C47" s="126">
        <v>26189098.147374801</v>
      </c>
      <c r="D47" s="126">
        <v>88936811.367030397</v>
      </c>
      <c r="E47" s="126">
        <v>81987751.793729901</v>
      </c>
      <c r="F47" s="126">
        <v>13664625.298954999</v>
      </c>
      <c r="G47" s="126">
        <v>409857.27699023602</v>
      </c>
      <c r="H47" s="126">
        <v>237700.10798191099</v>
      </c>
      <c r="I47" s="126">
        <v>142495.063252391</v>
      </c>
    </row>
    <row r="48" spans="1:9" x14ac:dyDescent="0.2">
      <c r="A48">
        <v>95</v>
      </c>
      <c r="B48" s="126">
        <v>23699815.447894599</v>
      </c>
      <c r="C48" s="126">
        <v>22929623.020691</v>
      </c>
      <c r="D48" s="126">
        <v>78497168.3494315</v>
      </c>
      <c r="E48" s="126">
        <v>82750444.396223798</v>
      </c>
      <c r="F48" s="126">
        <v>0</v>
      </c>
      <c r="G48" s="126">
        <v>442681.52282842097</v>
      </c>
      <c r="H48" s="126">
        <v>229858.346421033</v>
      </c>
      <c r="I48" s="126">
        <v>139503.65422025099</v>
      </c>
    </row>
    <row r="49" spans="1:9" x14ac:dyDescent="0.2">
      <c r="A49">
        <v>96</v>
      </c>
      <c r="B49" s="126">
        <v>27444877.4028496</v>
      </c>
      <c r="C49" s="126">
        <v>26660487.7345489</v>
      </c>
      <c r="D49" s="126">
        <v>90565503.625216201</v>
      </c>
      <c r="E49" s="126">
        <v>83461846.070598602</v>
      </c>
      <c r="F49" s="126">
        <v>13910307.6784331</v>
      </c>
      <c r="G49" s="126">
        <v>445529.00104593701</v>
      </c>
      <c r="H49" s="126">
        <v>239354.89146389501</v>
      </c>
      <c r="I49" s="126">
        <v>142151.10827267301</v>
      </c>
    </row>
    <row r="50" spans="1:9" x14ac:dyDescent="0.2">
      <c r="A50">
        <v>97</v>
      </c>
      <c r="B50" s="126">
        <v>24016579.6394003</v>
      </c>
      <c r="C50" s="126">
        <v>23231692.217955001</v>
      </c>
      <c r="D50" s="126">
        <v>79556295.984670296</v>
      </c>
      <c r="E50" s="126">
        <v>83844922.493697301</v>
      </c>
      <c r="F50" s="126">
        <v>0</v>
      </c>
      <c r="G50" s="126">
        <v>459905.79340361198</v>
      </c>
      <c r="H50" s="126">
        <v>228863.161901171</v>
      </c>
      <c r="I50" s="126">
        <v>137312.09448640101</v>
      </c>
    </row>
    <row r="51" spans="1:9" x14ac:dyDescent="0.2">
      <c r="A51">
        <v>98</v>
      </c>
      <c r="B51" s="126">
        <v>27690646.298811801</v>
      </c>
      <c r="C51" s="126">
        <v>26879432.883182202</v>
      </c>
      <c r="D51" s="126">
        <v>91314178.186579898</v>
      </c>
      <c r="E51" s="126">
        <v>84154634.081483006</v>
      </c>
      <c r="F51" s="126">
        <v>14025772.3469138</v>
      </c>
      <c r="G51" s="126">
        <v>468103.784021809</v>
      </c>
      <c r="H51" s="126">
        <v>243199.96818114401</v>
      </c>
      <c r="I51" s="126">
        <v>142728.09060937801</v>
      </c>
    </row>
    <row r="52" spans="1:9" x14ac:dyDescent="0.2">
      <c r="A52">
        <v>99</v>
      </c>
      <c r="B52" s="126">
        <v>24444014.501179099</v>
      </c>
      <c r="C52" s="126">
        <v>23631899.993862901</v>
      </c>
      <c r="D52" s="126">
        <v>80932665.213376895</v>
      </c>
      <c r="E52" s="126">
        <v>85319716.131735593</v>
      </c>
      <c r="F52" s="126">
        <v>0</v>
      </c>
      <c r="G52" s="126">
        <v>473884.70057377801</v>
      </c>
      <c r="H52" s="126">
        <v>239081.302958513</v>
      </c>
      <c r="I52" s="126">
        <v>141640.719691356</v>
      </c>
    </row>
    <row r="53" spans="1:9" x14ac:dyDescent="0.2">
      <c r="A53">
        <v>100</v>
      </c>
      <c r="B53" s="126">
        <v>28165882.949161299</v>
      </c>
      <c r="C53" s="126">
        <v>27322509.935460601</v>
      </c>
      <c r="D53" s="126">
        <v>92839923.953943804</v>
      </c>
      <c r="E53" s="126">
        <v>85510834.041124299</v>
      </c>
      <c r="F53" s="126">
        <v>14251805.673520699</v>
      </c>
      <c r="G53" s="126">
        <v>508683.39908014197</v>
      </c>
      <c r="H53" s="126">
        <v>236757.08389346401</v>
      </c>
      <c r="I53" s="126">
        <v>139903.61532446</v>
      </c>
    </row>
    <row r="54" spans="1:9" x14ac:dyDescent="0.2">
      <c r="A54">
        <v>101</v>
      </c>
      <c r="B54" s="126">
        <v>24784140.177520402</v>
      </c>
      <c r="C54" s="126">
        <v>23969013.501965199</v>
      </c>
      <c r="D54" s="126">
        <v>82090312.852049604</v>
      </c>
      <c r="E54" s="126">
        <v>86487246.138211697</v>
      </c>
      <c r="F54" s="126">
        <v>0</v>
      </c>
      <c r="G54" s="126">
        <v>473837.125395476</v>
      </c>
      <c r="H54" s="126">
        <v>241431.67215671</v>
      </c>
      <c r="I54" s="126">
        <v>142654.11143291701</v>
      </c>
    </row>
    <row r="55" spans="1:9" x14ac:dyDescent="0.2">
      <c r="A55">
        <v>102</v>
      </c>
      <c r="B55" s="126">
        <v>28736206.5163876</v>
      </c>
      <c r="C55" s="126">
        <v>27913651.835967701</v>
      </c>
      <c r="D55" s="126">
        <v>94839327.579784602</v>
      </c>
      <c r="E55" s="126">
        <v>87319222.960623503</v>
      </c>
      <c r="F55" s="126">
        <v>14553203.8267706</v>
      </c>
      <c r="G55" s="126">
        <v>477425.05089277198</v>
      </c>
      <c r="H55" s="126">
        <v>242919.404191876</v>
      </c>
      <c r="I55" s="126">
        <v>146014.60762180301</v>
      </c>
    </row>
    <row r="56" spans="1:9" x14ac:dyDescent="0.2">
      <c r="A56">
        <v>103</v>
      </c>
      <c r="B56" s="126">
        <v>25145926.8458919</v>
      </c>
      <c r="C56" s="126">
        <v>24311807.127736699</v>
      </c>
      <c r="D56" s="126">
        <v>83227646.409632102</v>
      </c>
      <c r="E56" s="126">
        <v>87656986.894195497</v>
      </c>
      <c r="F56" s="126">
        <v>0</v>
      </c>
      <c r="G56" s="126">
        <v>483200.46225377201</v>
      </c>
      <c r="H56" s="126">
        <v>246419.294808746</v>
      </c>
      <c r="I56" s="126">
        <v>149285.658703861</v>
      </c>
    </row>
    <row r="57" spans="1:9" x14ac:dyDescent="0.2">
      <c r="A57">
        <v>104</v>
      </c>
      <c r="B57" s="126">
        <v>29227010.7126064</v>
      </c>
      <c r="C57" s="126">
        <v>28394205.836183</v>
      </c>
      <c r="D57" s="126">
        <v>96458527.0846342</v>
      </c>
      <c r="E57" s="126">
        <v>88806653.942044497</v>
      </c>
      <c r="F57" s="126">
        <v>14801108.9903407</v>
      </c>
      <c r="G57" s="126">
        <v>475987.91220944002</v>
      </c>
      <c r="H57" s="126">
        <v>249194.80966188901</v>
      </c>
      <c r="I57" s="126">
        <v>153745.935074471</v>
      </c>
    </row>
    <row r="58" spans="1:9" x14ac:dyDescent="0.2">
      <c r="A58">
        <v>105</v>
      </c>
      <c r="B58" s="126">
        <v>25707831.866420101</v>
      </c>
      <c r="C58" s="126">
        <v>24870738.735967498</v>
      </c>
      <c r="D58" s="126">
        <v>85120411.912651107</v>
      </c>
      <c r="E58" s="126">
        <v>89629427.278026596</v>
      </c>
      <c r="F58" s="126">
        <v>0</v>
      </c>
      <c r="G58" s="126">
        <v>482317.50267242501</v>
      </c>
      <c r="H58" s="126">
        <v>248517.999757446</v>
      </c>
      <c r="I58" s="126">
        <v>151796.611461016</v>
      </c>
    </row>
    <row r="59" spans="1:9" x14ac:dyDescent="0.2">
      <c r="A59">
        <v>106</v>
      </c>
      <c r="B59" s="126">
        <v>29788960.158314601</v>
      </c>
      <c r="C59" s="126">
        <v>28920157.741245799</v>
      </c>
      <c r="D59" s="126">
        <v>98212180.6077656</v>
      </c>
      <c r="E59" s="126">
        <v>90348712.641043395</v>
      </c>
      <c r="F59" s="126">
        <v>15058118.7735072</v>
      </c>
      <c r="G59" s="126">
        <v>500784.29440125602</v>
      </c>
      <c r="H59" s="126">
        <v>258167.648696469</v>
      </c>
      <c r="I59" s="126">
        <v>156929.248530132</v>
      </c>
    </row>
    <row r="60" spans="1:9" x14ac:dyDescent="0.2">
      <c r="A60">
        <v>107</v>
      </c>
      <c r="B60" s="126">
        <v>26098852.541577298</v>
      </c>
      <c r="C60" s="126">
        <v>25225219.3673518</v>
      </c>
      <c r="D60" s="126">
        <v>86311556.858411506</v>
      </c>
      <c r="E60" s="126">
        <v>90827331.507355705</v>
      </c>
      <c r="F60" s="126">
        <v>0</v>
      </c>
      <c r="G60" s="126">
        <v>509001.69174944801</v>
      </c>
      <c r="H60" s="126">
        <v>253858.262206841</v>
      </c>
      <c r="I60" s="126">
        <v>158247.45752735401</v>
      </c>
    </row>
    <row r="61" spans="1:9" x14ac:dyDescent="0.2">
      <c r="A61">
        <v>108</v>
      </c>
      <c r="B61" s="126">
        <v>30209957.1440637</v>
      </c>
      <c r="C61" s="126">
        <v>29333038.541019</v>
      </c>
      <c r="D61" s="126">
        <v>99572790.412368298</v>
      </c>
      <c r="E61" s="126">
        <v>91576254.196983203</v>
      </c>
      <c r="F61" s="126">
        <v>15262709.032830499</v>
      </c>
      <c r="G61" s="126">
        <v>504518.08424015302</v>
      </c>
      <c r="H61" s="126">
        <v>261446.02153880801</v>
      </c>
      <c r="I61" s="126">
        <v>158506.424665214</v>
      </c>
    </row>
    <row r="62" spans="1:9" x14ac:dyDescent="0.2">
      <c r="A62">
        <v>109</v>
      </c>
      <c r="B62" s="126">
        <v>26548835.834375098</v>
      </c>
      <c r="C62" s="126">
        <v>25714373.5114366</v>
      </c>
      <c r="D62" s="126">
        <v>88003011.159590498</v>
      </c>
      <c r="E62" s="126">
        <v>92563241.135633394</v>
      </c>
      <c r="F62" s="126">
        <v>0</v>
      </c>
      <c r="G62" s="126">
        <v>458759.026311088</v>
      </c>
      <c r="H62" s="126">
        <v>262236.13296815899</v>
      </c>
      <c r="I62" s="126">
        <v>162095.948084612</v>
      </c>
    </row>
    <row r="63" spans="1:9" x14ac:dyDescent="0.2">
      <c r="A63">
        <v>110</v>
      </c>
      <c r="B63" s="126">
        <v>30838490.244638398</v>
      </c>
      <c r="C63" s="126">
        <v>29977073.092629399</v>
      </c>
      <c r="D63" s="126">
        <v>101811896.893647</v>
      </c>
      <c r="E63" s="126">
        <v>93613090.263795197</v>
      </c>
      <c r="F63" s="126">
        <v>15602181.710632499</v>
      </c>
      <c r="G63" s="126">
        <v>496187.223899565</v>
      </c>
      <c r="H63" s="126">
        <v>254907.76197485099</v>
      </c>
      <c r="I63" s="126">
        <v>157603.09447790199</v>
      </c>
    </row>
    <row r="64" spans="1:9" x14ac:dyDescent="0.2">
      <c r="A64">
        <v>111</v>
      </c>
      <c r="B64" s="126">
        <v>26981382.4138695</v>
      </c>
      <c r="C64" s="126">
        <v>26129651.056154899</v>
      </c>
      <c r="D64" s="126">
        <v>89483727.627051294</v>
      </c>
      <c r="E64" s="126">
        <v>94075292.2060754</v>
      </c>
      <c r="F64" s="126">
        <v>0</v>
      </c>
      <c r="G64" s="126">
        <v>487349.07889963803</v>
      </c>
      <c r="H64" s="126">
        <v>255812.88912810301</v>
      </c>
      <c r="I64" s="126">
        <v>155099.12812411899</v>
      </c>
    </row>
    <row r="65" spans="1:9" x14ac:dyDescent="0.2">
      <c r="A65">
        <v>112</v>
      </c>
      <c r="B65" s="126">
        <v>31258112.980022199</v>
      </c>
      <c r="C65" s="126">
        <v>30391548.629387401</v>
      </c>
      <c r="D65" s="126">
        <v>103265978.190908</v>
      </c>
      <c r="E65" s="126">
        <v>94895435.166857004</v>
      </c>
      <c r="F65" s="126">
        <v>15815905.861142799</v>
      </c>
      <c r="G65" s="126">
        <v>497346.277122978</v>
      </c>
      <c r="H65" s="126">
        <v>258553.62165669099</v>
      </c>
      <c r="I65" s="126">
        <v>158092.074078818</v>
      </c>
    </row>
    <row r="66" spans="1:9" x14ac:dyDescent="0.2">
      <c r="A66">
        <v>113</v>
      </c>
      <c r="B66" s="126">
        <v>27267604.174451102</v>
      </c>
      <c r="C66" s="126">
        <v>26427118.8249644</v>
      </c>
      <c r="D66" s="126">
        <v>90480536.888133496</v>
      </c>
      <c r="E66" s="126">
        <v>95095023.0955659</v>
      </c>
      <c r="F66" s="126">
        <v>0</v>
      </c>
      <c r="G66" s="126">
        <v>478443.53216489998</v>
      </c>
      <c r="H66" s="126">
        <v>253354.31423622201</v>
      </c>
      <c r="I66" s="126">
        <v>155267.861550881</v>
      </c>
    </row>
    <row r="67" spans="1:9" x14ac:dyDescent="0.2">
      <c r="A67">
        <v>114</v>
      </c>
      <c r="B67" s="126">
        <v>31550895.0756502</v>
      </c>
      <c r="C67" s="126">
        <v>30681485.530389901</v>
      </c>
      <c r="D67" s="126">
        <v>104232372.004566</v>
      </c>
      <c r="E67" s="126">
        <v>95731583.256774396</v>
      </c>
      <c r="F67" s="126">
        <v>15955263.8761291</v>
      </c>
      <c r="G67" s="126">
        <v>503598.52830156498</v>
      </c>
      <c r="H67" s="126">
        <v>257210.58915965</v>
      </c>
      <c r="I67" s="126">
        <v>155143.468284364</v>
      </c>
    </row>
    <row r="68" spans="1:9" x14ac:dyDescent="0.2">
      <c r="A68">
        <v>115</v>
      </c>
      <c r="B68" s="126">
        <v>27643646.183416899</v>
      </c>
      <c r="C68" s="126">
        <v>26802151.544286899</v>
      </c>
      <c r="D68" s="126">
        <v>91762560.932651401</v>
      </c>
      <c r="E68" s="126">
        <v>96398446.491648197</v>
      </c>
      <c r="F68" s="126">
        <v>0</v>
      </c>
      <c r="G68" s="126">
        <v>458885.93129302497</v>
      </c>
      <c r="H68" s="126">
        <v>267492.48814203899</v>
      </c>
      <c r="I68" s="126">
        <v>164451.74242129401</v>
      </c>
    </row>
    <row r="69" spans="1:9" x14ac:dyDescent="0.2">
      <c r="A69">
        <v>116</v>
      </c>
      <c r="B69" s="126">
        <v>32046990.165771302</v>
      </c>
      <c r="C69" s="126">
        <v>31202503.583485998</v>
      </c>
      <c r="D69" s="126">
        <v>105993374.81229401</v>
      </c>
      <c r="E69" s="126">
        <v>97334247.003871605</v>
      </c>
      <c r="F69" s="126">
        <v>16222374.5006453</v>
      </c>
      <c r="G69" s="126">
        <v>460071.40225120098</v>
      </c>
      <c r="H69" s="126">
        <v>267273.33064920799</v>
      </c>
      <c r="I69" s="126">
        <v>167345.499121295</v>
      </c>
    </row>
    <row r="70" spans="1:9" x14ac:dyDescent="0.2">
      <c r="A70">
        <v>117</v>
      </c>
      <c r="B70" s="126">
        <v>27966197.566740502</v>
      </c>
      <c r="C70" s="126">
        <v>27118370.195203401</v>
      </c>
      <c r="D70" s="126">
        <v>92853627.546838194</v>
      </c>
      <c r="E70" s="126">
        <v>97502869.328738794</v>
      </c>
      <c r="F70" s="126">
        <v>0</v>
      </c>
      <c r="G70" s="126">
        <v>461486.90557983902</v>
      </c>
      <c r="H70" s="126">
        <v>268103.13992913102</v>
      </c>
      <c r="I70" s="126">
        <v>168910.46575440699</v>
      </c>
    </row>
    <row r="71" spans="1:9" x14ac:dyDescent="0.2">
      <c r="A71">
        <v>118</v>
      </c>
      <c r="B71" s="126">
        <v>32139812.703242</v>
      </c>
      <c r="C71" s="126">
        <v>31280167.444430299</v>
      </c>
      <c r="D71" s="126">
        <v>106266671.102017</v>
      </c>
      <c r="E71" s="126">
        <v>97575205.9467213</v>
      </c>
      <c r="F71" s="126">
        <v>16262534.324453499</v>
      </c>
      <c r="G71" s="126">
        <v>466956.19303235598</v>
      </c>
      <c r="H71" s="126">
        <v>270389.45803916903</v>
      </c>
      <c r="I71" s="126">
        <v>174713.72534306199</v>
      </c>
    </row>
    <row r="72" spans="1:9" x14ac:dyDescent="0.2">
      <c r="A72">
        <v>119</v>
      </c>
      <c r="B72" s="126">
        <v>28232722.220528599</v>
      </c>
      <c r="C72" s="126">
        <v>27365857.236779202</v>
      </c>
      <c r="D72" s="126">
        <v>93725094.114308506</v>
      </c>
      <c r="E72" s="126">
        <v>98389092.729542404</v>
      </c>
      <c r="F72" s="126">
        <v>0</v>
      </c>
      <c r="G72" s="126">
        <v>474095.57745741302</v>
      </c>
      <c r="H72" s="126">
        <v>270641.98314479302</v>
      </c>
      <c r="I72" s="126">
        <v>174467.74735317199</v>
      </c>
    </row>
    <row r="73" spans="1:9" x14ac:dyDescent="0.2">
      <c r="A73">
        <v>120</v>
      </c>
      <c r="B73" s="126">
        <v>32724137.664444301</v>
      </c>
      <c r="C73" s="126">
        <v>31829418.397026699</v>
      </c>
      <c r="D73" s="126">
        <v>108131223.332652</v>
      </c>
      <c r="E73" s="126">
        <v>99268091.428323805</v>
      </c>
      <c r="F73" s="126">
        <v>16544681.904720601</v>
      </c>
      <c r="G73" s="126">
        <v>511644.83956082503</v>
      </c>
      <c r="H73" s="126">
        <v>266520.85646934202</v>
      </c>
      <c r="I73" s="126">
        <v>166505.10198203399</v>
      </c>
    </row>
    <row r="74" spans="1:9" x14ac:dyDescent="0.2">
      <c r="A74">
        <v>121</v>
      </c>
      <c r="B74" s="126">
        <v>28764944.216126502</v>
      </c>
      <c r="C74" s="126">
        <v>27855345.162964702</v>
      </c>
      <c r="D74" s="126">
        <v>95385824.671388105</v>
      </c>
      <c r="E74" s="126">
        <v>100111824.312574</v>
      </c>
      <c r="F74" s="126">
        <v>0</v>
      </c>
      <c r="G74" s="126">
        <v>528217.07515004196</v>
      </c>
      <c r="H74" s="126">
        <v>265251.67406662903</v>
      </c>
      <c r="I74" s="126">
        <v>165900.43420727801</v>
      </c>
    </row>
    <row r="75" spans="1:9" x14ac:dyDescent="0.2">
      <c r="A75">
        <v>122</v>
      </c>
      <c r="B75" s="126">
        <v>33137367.806619201</v>
      </c>
      <c r="C75" s="126">
        <v>32239547.117211401</v>
      </c>
      <c r="D75" s="126">
        <v>109548217.14419401</v>
      </c>
      <c r="E75" s="126">
        <v>100539073.94424</v>
      </c>
      <c r="F75" s="126">
        <v>16756512.3240401</v>
      </c>
      <c r="G75" s="126">
        <v>512008.44181679201</v>
      </c>
      <c r="H75" s="126">
        <v>264693.28875564103</v>
      </c>
      <c r="I75" s="126">
        <v>173027.08405052201</v>
      </c>
    </row>
    <row r="76" spans="1:9" x14ac:dyDescent="0.2">
      <c r="A76">
        <v>123</v>
      </c>
      <c r="B76" s="126">
        <v>29240366.1541305</v>
      </c>
      <c r="C76" s="126">
        <v>28339192.162296399</v>
      </c>
      <c r="D76" s="126">
        <v>97058094.770069495</v>
      </c>
      <c r="E76" s="126">
        <v>101826656.92610399</v>
      </c>
      <c r="F76" s="126">
        <v>0</v>
      </c>
      <c r="G76" s="126">
        <v>514272.28276717197</v>
      </c>
      <c r="H76" s="126">
        <v>265455.02209529502</v>
      </c>
      <c r="I76" s="126">
        <v>173495.26710233599</v>
      </c>
    </row>
    <row r="77" spans="1:9" x14ac:dyDescent="0.2">
      <c r="A77">
        <v>124</v>
      </c>
      <c r="B77" s="126">
        <v>34141229.949052699</v>
      </c>
      <c r="C77" s="126">
        <v>33253067.730830502</v>
      </c>
      <c r="D77" s="126">
        <v>113013562.095578</v>
      </c>
      <c r="E77" s="126">
        <v>103672664.81081399</v>
      </c>
      <c r="F77" s="126">
        <v>17278777.468468901</v>
      </c>
      <c r="G77" s="126">
        <v>496762.51990076702</v>
      </c>
      <c r="H77" s="126">
        <v>268298.54094178003</v>
      </c>
      <c r="I77" s="126">
        <v>175858.796256645</v>
      </c>
    </row>
    <row r="78" spans="1:9" x14ac:dyDescent="0.2">
      <c r="A78">
        <v>125</v>
      </c>
      <c r="B78" s="126">
        <v>29911208.8020996</v>
      </c>
      <c r="C78" s="126">
        <v>29014802.3302055</v>
      </c>
      <c r="D78" s="126">
        <v>99390945.224523306</v>
      </c>
      <c r="E78" s="126">
        <v>104279053.611665</v>
      </c>
      <c r="F78" s="126">
        <v>0</v>
      </c>
      <c r="G78" s="126">
        <v>510811.16123347101</v>
      </c>
      <c r="H78" s="126">
        <v>265999.25877833302</v>
      </c>
      <c r="I78" s="126">
        <v>170851.502689065</v>
      </c>
    </row>
    <row r="79" spans="1:9" x14ac:dyDescent="0.2">
      <c r="A79">
        <v>126</v>
      </c>
      <c r="B79" s="126">
        <v>34507053.868770503</v>
      </c>
      <c r="C79" s="126">
        <v>33607918.191497698</v>
      </c>
      <c r="D79" s="126">
        <v>114251571.709526</v>
      </c>
      <c r="E79" s="126">
        <v>104777263.522219</v>
      </c>
      <c r="F79" s="126">
        <v>17462877.253703199</v>
      </c>
      <c r="G79" s="126">
        <v>516776.31919491902</v>
      </c>
      <c r="H79" s="126">
        <v>266150.18349986803</v>
      </c>
      <c r="I79" s="126">
        <v>166013.106540009</v>
      </c>
    </row>
    <row r="80" spans="1:9" x14ac:dyDescent="0.2">
      <c r="A80">
        <v>127</v>
      </c>
      <c r="B80" s="126">
        <v>30232196.056630701</v>
      </c>
      <c r="C80" s="126">
        <v>29319724.910596699</v>
      </c>
      <c r="D80" s="126">
        <v>100444991.303379</v>
      </c>
      <c r="E80" s="126">
        <v>105361739.056024</v>
      </c>
      <c r="F80" s="126">
        <v>0</v>
      </c>
      <c r="G80" s="126">
        <v>522834.48737083201</v>
      </c>
      <c r="H80" s="126">
        <v>269361.57224754902</v>
      </c>
      <c r="I80" s="126">
        <v>171821.55202230299</v>
      </c>
    </row>
    <row r="81" spans="1:9" x14ac:dyDescent="0.2">
      <c r="A81">
        <v>128</v>
      </c>
      <c r="B81" s="126">
        <v>34761464.926484697</v>
      </c>
      <c r="C81" s="126">
        <v>33855619.216702797</v>
      </c>
      <c r="D81" s="126">
        <v>115070330.256797</v>
      </c>
      <c r="E81" s="126">
        <v>105484159.83311801</v>
      </c>
      <c r="F81" s="126">
        <v>17580693.3055197</v>
      </c>
      <c r="G81" s="126">
        <v>503780.58545878303</v>
      </c>
      <c r="H81" s="126">
        <v>276647.40784867899</v>
      </c>
      <c r="I81" s="126">
        <v>179168.16639199501</v>
      </c>
    </row>
    <row r="82" spans="1:9" x14ac:dyDescent="0.2">
      <c r="A82">
        <v>129</v>
      </c>
      <c r="B82" s="126">
        <v>30270421.026876301</v>
      </c>
      <c r="C82" s="126">
        <v>29350833.080414198</v>
      </c>
      <c r="D82" s="126">
        <v>100554187.795027</v>
      </c>
      <c r="E82" s="126">
        <v>105404166.93757001</v>
      </c>
      <c r="F82" s="126">
        <v>0</v>
      </c>
      <c r="G82" s="126">
        <v>525348.66601738695</v>
      </c>
      <c r="H82" s="126">
        <v>272488.42363620002</v>
      </c>
      <c r="I82" s="126">
        <v>173929.79544069499</v>
      </c>
    </row>
    <row r="83" spans="1:9" x14ac:dyDescent="0.2">
      <c r="A83">
        <v>130</v>
      </c>
      <c r="B83" s="126">
        <v>34995170.716082498</v>
      </c>
      <c r="C83" s="126">
        <v>34054733.251305997</v>
      </c>
      <c r="D83" s="126">
        <v>115756234.785964</v>
      </c>
      <c r="E83" s="126">
        <v>106096125.869059</v>
      </c>
      <c r="F83" s="126">
        <v>17682687.644843102</v>
      </c>
      <c r="G83" s="126">
        <v>545394.87812725396</v>
      </c>
      <c r="H83" s="126">
        <v>273433.03013537801</v>
      </c>
      <c r="I83" s="126">
        <v>173727.93787697199</v>
      </c>
    </row>
    <row r="84" spans="1:9" x14ac:dyDescent="0.2">
      <c r="A84">
        <v>131</v>
      </c>
      <c r="B84" s="126">
        <v>30689602.059858199</v>
      </c>
      <c r="C84" s="126">
        <v>29729610.715718001</v>
      </c>
      <c r="D84" s="126">
        <v>101882172.904368</v>
      </c>
      <c r="E84" s="126">
        <v>106762308.747196</v>
      </c>
      <c r="F84" s="126">
        <v>0</v>
      </c>
      <c r="G84" s="126">
        <v>556155.49475948501</v>
      </c>
      <c r="H84" s="126">
        <v>278943.43126474001</v>
      </c>
      <c r="I84" s="126">
        <v>178417.74016569601</v>
      </c>
    </row>
    <row r="85" spans="1:9" x14ac:dyDescent="0.2">
      <c r="A85">
        <v>132</v>
      </c>
      <c r="B85" s="126">
        <v>35507576.331584796</v>
      </c>
      <c r="C85" s="126">
        <v>34564117.326606497</v>
      </c>
      <c r="D85" s="126">
        <v>117549241.16829699</v>
      </c>
      <c r="E85" s="126">
        <v>107712405.080258</v>
      </c>
      <c r="F85" s="126">
        <v>17952067.513376299</v>
      </c>
      <c r="G85" s="126">
        <v>531479.20335812506</v>
      </c>
      <c r="H85" s="126">
        <v>284552.57211818697</v>
      </c>
      <c r="I85" s="126">
        <v>182038.899288566</v>
      </c>
    </row>
    <row r="86" spans="1:9" x14ac:dyDescent="0.2">
      <c r="A86">
        <v>133</v>
      </c>
      <c r="B86" s="126">
        <v>31224073.0775568</v>
      </c>
      <c r="C86" s="126">
        <v>30280080.1893062</v>
      </c>
      <c r="D86" s="126">
        <v>103806519.798906</v>
      </c>
      <c r="E86" s="126">
        <v>108770545.036043</v>
      </c>
      <c r="F86" s="126">
        <v>0</v>
      </c>
      <c r="G86" s="126">
        <v>527706.74585109099</v>
      </c>
      <c r="H86" s="126">
        <v>287424.50785980799</v>
      </c>
      <c r="I86" s="126">
        <v>184088.04934246899</v>
      </c>
    </row>
    <row r="87" spans="1:9" x14ac:dyDescent="0.2">
      <c r="A87">
        <v>134</v>
      </c>
      <c r="B87" s="126">
        <v>36027704.208398797</v>
      </c>
      <c r="C87" s="126">
        <v>35125604.701196298</v>
      </c>
      <c r="D87" s="126">
        <v>119426406.07205001</v>
      </c>
      <c r="E87" s="126">
        <v>109396541.392644</v>
      </c>
      <c r="F87" s="126">
        <v>18232756.898774002</v>
      </c>
      <c r="G87" s="126">
        <v>495069.49172749702</v>
      </c>
      <c r="H87" s="126">
        <v>280852.36106772802</v>
      </c>
      <c r="I87" s="126">
        <v>180253.79201045999</v>
      </c>
    </row>
    <row r="88" spans="1:9" x14ac:dyDescent="0.2">
      <c r="A88">
        <v>135</v>
      </c>
      <c r="B88" s="126">
        <v>31593741.9929788</v>
      </c>
      <c r="C88" s="126">
        <v>30671009.7201395</v>
      </c>
      <c r="D88" s="126">
        <v>105125005.04707099</v>
      </c>
      <c r="E88" s="126">
        <v>110113794.68236899</v>
      </c>
      <c r="F88" s="126">
        <v>0</v>
      </c>
      <c r="G88" s="126">
        <v>514070.61492691602</v>
      </c>
      <c r="H88" s="126">
        <v>283203.38011038699</v>
      </c>
      <c r="I88" s="126">
        <v>179226.111145665</v>
      </c>
    </row>
    <row r="89" spans="1:9" x14ac:dyDescent="0.2">
      <c r="A89">
        <v>136</v>
      </c>
      <c r="B89" s="126">
        <v>36165040.6064917</v>
      </c>
      <c r="C89" s="126">
        <v>35201501.397172898</v>
      </c>
      <c r="D89" s="126">
        <v>119710136.38717</v>
      </c>
      <c r="E89" s="126">
        <v>109619599.08593599</v>
      </c>
      <c r="F89" s="126">
        <v>18269933.180989299</v>
      </c>
      <c r="G89" s="126">
        <v>556737.61848376202</v>
      </c>
      <c r="H89" s="126">
        <v>279656.46357590501</v>
      </c>
      <c r="I89" s="126">
        <v>181635.896084426</v>
      </c>
    </row>
    <row r="90" spans="1:9" x14ac:dyDescent="0.2">
      <c r="A90">
        <v>137</v>
      </c>
      <c r="B90" s="126">
        <v>31783101.261060201</v>
      </c>
      <c r="C90" s="126">
        <v>30863838.622117501</v>
      </c>
      <c r="D90" s="126">
        <v>105810225.03714</v>
      </c>
      <c r="E90" s="126">
        <v>110800458.650654</v>
      </c>
      <c r="F90" s="126">
        <v>0</v>
      </c>
      <c r="G90" s="126">
        <v>511595.686281309</v>
      </c>
      <c r="H90" s="126">
        <v>279874.42879126797</v>
      </c>
      <c r="I90" s="126">
        <v>182560.74838588201</v>
      </c>
    </row>
    <row r="91" spans="1:9" x14ac:dyDescent="0.2">
      <c r="A91">
        <v>138</v>
      </c>
      <c r="B91" s="126">
        <v>36650137.728424303</v>
      </c>
      <c r="C91" s="126">
        <v>35709707.680572502</v>
      </c>
      <c r="D91" s="126">
        <v>121475897.865398</v>
      </c>
      <c r="E91" s="126">
        <v>111244582.161617</v>
      </c>
      <c r="F91" s="126">
        <v>18540763.6936028</v>
      </c>
      <c r="G91" s="126">
        <v>524476.00927356898</v>
      </c>
      <c r="H91" s="126">
        <v>284667.230804967</v>
      </c>
      <c r="I91" s="126">
        <v>187552.58253323301</v>
      </c>
    </row>
    <row r="92" spans="1:9" x14ac:dyDescent="0.2">
      <c r="A92">
        <v>139</v>
      </c>
      <c r="B92" s="126">
        <v>32120778.983824398</v>
      </c>
      <c r="C92" s="126">
        <v>31210203.6807051</v>
      </c>
      <c r="D92" s="126">
        <v>107022451.64417601</v>
      </c>
      <c r="E92" s="126">
        <v>112050050.970698</v>
      </c>
      <c r="F92" s="126">
        <v>0</v>
      </c>
      <c r="G92" s="126">
        <v>494434.22427194798</v>
      </c>
      <c r="H92" s="126">
        <v>284328.88601229602</v>
      </c>
      <c r="I92" s="126">
        <v>188303.132621528</v>
      </c>
    </row>
    <row r="93" spans="1:9" x14ac:dyDescent="0.2">
      <c r="A93">
        <v>140</v>
      </c>
      <c r="B93" s="126">
        <v>37425017.180907503</v>
      </c>
      <c r="C93" s="126">
        <v>36512712.960521802</v>
      </c>
      <c r="D93" s="126">
        <v>124225918.285035</v>
      </c>
      <c r="E93" s="126">
        <v>113734221.018566</v>
      </c>
      <c r="F93" s="126">
        <v>18955703.503094301</v>
      </c>
      <c r="G93" s="126">
        <v>498763.73765544401</v>
      </c>
      <c r="H93" s="126">
        <v>281353.65547309502</v>
      </c>
      <c r="I93" s="126">
        <v>188838.32465310799</v>
      </c>
    </row>
    <row r="94" spans="1:9" x14ac:dyDescent="0.2">
      <c r="A94">
        <v>141</v>
      </c>
      <c r="B94" s="126">
        <v>32936391.198015802</v>
      </c>
      <c r="C94" s="126">
        <v>32027134.1199007</v>
      </c>
      <c r="D94" s="126">
        <v>109873218.39871199</v>
      </c>
      <c r="E94" s="126">
        <v>114993874.038481</v>
      </c>
      <c r="F94" s="126">
        <v>0</v>
      </c>
      <c r="G94" s="126">
        <v>502026.24712438497</v>
      </c>
      <c r="H94" s="126">
        <v>281446.57715691603</v>
      </c>
      <c r="I94" s="126">
        <v>179691.79119115401</v>
      </c>
    </row>
    <row r="95" spans="1:9" x14ac:dyDescent="0.2">
      <c r="A95">
        <v>142</v>
      </c>
      <c r="B95" s="126">
        <v>38050882.518429302</v>
      </c>
      <c r="C95" s="126">
        <v>37110790.697142303</v>
      </c>
      <c r="D95" s="126">
        <v>126287349.756422</v>
      </c>
      <c r="E95" s="126">
        <v>115568016.93263599</v>
      </c>
      <c r="F95" s="126">
        <v>19261336.155439399</v>
      </c>
      <c r="G95" s="126">
        <v>519593.171976674</v>
      </c>
      <c r="H95" s="126">
        <v>288126.457589211</v>
      </c>
      <c r="I95" s="126">
        <v>189103.13103018899</v>
      </c>
    </row>
    <row r="96" spans="1:9" x14ac:dyDescent="0.2">
      <c r="A96">
        <v>143</v>
      </c>
      <c r="B96" s="126">
        <v>33103193.211773202</v>
      </c>
      <c r="C96" s="126">
        <v>32125127.236010801</v>
      </c>
      <c r="D96" s="126">
        <v>110181574.248542</v>
      </c>
      <c r="E96" s="126">
        <v>115318526.435204</v>
      </c>
      <c r="F96" s="126">
        <v>0</v>
      </c>
      <c r="G96" s="126">
        <v>560280.68792318203</v>
      </c>
      <c r="H96" s="126">
        <v>285361.48475532501</v>
      </c>
      <c r="I96" s="126">
        <v>189176.86154843</v>
      </c>
    </row>
    <row r="97" spans="1:9" x14ac:dyDescent="0.2">
      <c r="A97">
        <v>144</v>
      </c>
      <c r="B97" s="126">
        <v>38085659.752138697</v>
      </c>
      <c r="C97" s="126">
        <v>37109226.392298102</v>
      </c>
      <c r="D97" s="126">
        <v>126281160.152731</v>
      </c>
      <c r="E97" s="126">
        <v>115587823.447513</v>
      </c>
      <c r="F97" s="126">
        <v>19264637.241252199</v>
      </c>
      <c r="G97" s="126">
        <v>552162.37291711301</v>
      </c>
      <c r="H97" s="126">
        <v>292427.401219199</v>
      </c>
      <c r="I97" s="126">
        <v>188347.97957761399</v>
      </c>
    </row>
    <row r="98" spans="1:9" x14ac:dyDescent="0.2">
      <c r="A98">
        <v>145</v>
      </c>
      <c r="B98" s="126">
        <v>33441156.692829501</v>
      </c>
      <c r="C98" s="126">
        <v>32443807.6899972</v>
      </c>
      <c r="D98" s="126">
        <v>111287086.99258301</v>
      </c>
      <c r="E98" s="126">
        <v>116454875.202185</v>
      </c>
      <c r="F98" s="126">
        <v>0</v>
      </c>
      <c r="G98" s="126">
        <v>573513.04723800404</v>
      </c>
      <c r="H98" s="126">
        <v>289966.08282025001</v>
      </c>
      <c r="I98" s="126">
        <v>191242.67539147299</v>
      </c>
    </row>
    <row r="99" spans="1:9" x14ac:dyDescent="0.2">
      <c r="A99">
        <v>146</v>
      </c>
      <c r="B99" s="126">
        <v>38443742.744989298</v>
      </c>
      <c r="C99" s="126">
        <v>37473896.403160602</v>
      </c>
      <c r="D99" s="126">
        <v>127550863.703335</v>
      </c>
      <c r="E99" s="126">
        <v>116692049.505638</v>
      </c>
      <c r="F99" s="126">
        <v>19448674.917606302</v>
      </c>
      <c r="G99" s="126">
        <v>532093.65051878197</v>
      </c>
      <c r="H99" s="126">
        <v>298722.76620153</v>
      </c>
      <c r="I99" s="126">
        <v>198614.17872627301</v>
      </c>
    </row>
    <row r="100" spans="1:9" x14ac:dyDescent="0.2">
      <c r="A100">
        <v>147</v>
      </c>
      <c r="B100" s="126">
        <v>33840569.938549504</v>
      </c>
      <c r="C100" s="126">
        <v>32852090.461673301</v>
      </c>
      <c r="D100" s="126">
        <v>112767456.708593</v>
      </c>
      <c r="E100" s="126">
        <v>117950787.81105299</v>
      </c>
      <c r="F100" s="126">
        <v>0</v>
      </c>
      <c r="G100" s="126">
        <v>554656.54328440095</v>
      </c>
      <c r="H100" s="126">
        <v>297720.86817086401</v>
      </c>
      <c r="I100" s="126">
        <v>194431.52202988899</v>
      </c>
    </row>
    <row r="101" spans="1:9" x14ac:dyDescent="0.2">
      <c r="A101">
        <v>148</v>
      </c>
      <c r="B101" s="126">
        <v>39272102.174731597</v>
      </c>
      <c r="C101" s="126">
        <v>38268195.381324098</v>
      </c>
      <c r="D101" s="126">
        <v>130273471.730792</v>
      </c>
      <c r="E101" s="126">
        <v>119162977.29793499</v>
      </c>
      <c r="F101" s="126">
        <v>19860496.2163225</v>
      </c>
      <c r="G101" s="126">
        <v>579658.39106762595</v>
      </c>
      <c r="H101" s="126">
        <v>292631.887379024</v>
      </c>
      <c r="I101" s="126">
        <v>188023.59280116399</v>
      </c>
    </row>
    <row r="102" spans="1:9" x14ac:dyDescent="0.2">
      <c r="A102">
        <v>149</v>
      </c>
      <c r="B102" s="126">
        <v>34495288.906656504</v>
      </c>
      <c r="C102" s="126">
        <v>33514332.319414701</v>
      </c>
      <c r="D102" s="126">
        <v>114984813.80771799</v>
      </c>
      <c r="E102" s="126">
        <v>120268738.705689</v>
      </c>
      <c r="F102" s="126">
        <v>0</v>
      </c>
      <c r="G102" s="126">
        <v>559551.40023584</v>
      </c>
      <c r="H102" s="126">
        <v>289498.97391827498</v>
      </c>
      <c r="I102" s="126">
        <v>188437.447268221</v>
      </c>
    </row>
    <row r="103" spans="1:9" x14ac:dyDescent="0.2">
      <c r="A103">
        <v>150</v>
      </c>
      <c r="B103" s="126">
        <v>39855567.702678397</v>
      </c>
      <c r="C103" s="126">
        <v>38875532.102357402</v>
      </c>
      <c r="D103" s="126">
        <v>132346096.82661501</v>
      </c>
      <c r="E103" s="126">
        <v>121034870.342804</v>
      </c>
      <c r="F103" s="126">
        <v>20172478.390467301</v>
      </c>
      <c r="G103" s="126">
        <v>558236.698183142</v>
      </c>
      <c r="H103" s="126">
        <v>290306.51236536301</v>
      </c>
      <c r="I103" s="126">
        <v>187846.27110365001</v>
      </c>
    </row>
    <row r="104" spans="1:9" x14ac:dyDescent="0.2">
      <c r="A104">
        <v>151</v>
      </c>
      <c r="B104" s="126">
        <v>34884906.583608098</v>
      </c>
      <c r="C104" s="126">
        <v>33851105.672042601</v>
      </c>
      <c r="D104" s="126">
        <v>116127481.23751</v>
      </c>
      <c r="E104" s="126">
        <v>121446564.423298</v>
      </c>
      <c r="F104" s="126">
        <v>0</v>
      </c>
      <c r="G104" s="126">
        <v>602800.42536769703</v>
      </c>
      <c r="H104" s="126">
        <v>297708.32724358898</v>
      </c>
      <c r="I104" s="126">
        <v>190417.36993456699</v>
      </c>
    </row>
    <row r="105" spans="1:9" x14ac:dyDescent="0.2">
      <c r="A105">
        <v>152</v>
      </c>
      <c r="B105" s="126">
        <v>40291256.224606097</v>
      </c>
      <c r="C105" s="126">
        <v>39292759.3208986</v>
      </c>
      <c r="D105" s="126">
        <v>133712841.88563199</v>
      </c>
      <c r="E105" s="126">
        <v>122251482.984973</v>
      </c>
      <c r="F105" s="126">
        <v>20375247.164162099</v>
      </c>
      <c r="G105" s="126">
        <v>564102.32358101604</v>
      </c>
      <c r="H105" s="126">
        <v>298870.24237617798</v>
      </c>
      <c r="I105" s="126">
        <v>193606.19678614801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5"/>
  <sheetViews>
    <sheetView zoomScaleNormal="100" workbookViewId="0">
      <selection activeCell="E13" sqref="E13"/>
    </sheetView>
  </sheetViews>
  <sheetFormatPr baseColWidth="10" defaultColWidth="11.5703125" defaultRowHeight="12.75" x14ac:dyDescent="0.2"/>
  <sheetData>
    <row r="1" spans="1:9" x14ac:dyDescent="0.2">
      <c r="A1" t="s">
        <v>164</v>
      </c>
      <c r="B1" t="s">
        <v>148</v>
      </c>
      <c r="C1" t="s">
        <v>193</v>
      </c>
      <c r="D1" t="s">
        <v>194</v>
      </c>
      <c r="E1" t="s">
        <v>195</v>
      </c>
      <c r="F1" t="s">
        <v>196</v>
      </c>
      <c r="G1" t="s">
        <v>197</v>
      </c>
      <c r="H1" t="s">
        <v>198</v>
      </c>
      <c r="I1" t="s">
        <v>149</v>
      </c>
    </row>
    <row r="2" spans="1:9" x14ac:dyDescent="0.2">
      <c r="A2">
        <v>49</v>
      </c>
      <c r="B2">
        <v>18004066.583314002</v>
      </c>
      <c r="C2">
        <v>17351947.9127592</v>
      </c>
      <c r="D2">
        <v>61294383.309515297</v>
      </c>
      <c r="E2">
        <v>61294383.309515297</v>
      </c>
      <c r="F2">
        <v>0</v>
      </c>
      <c r="G2">
        <v>371110.24910052901</v>
      </c>
      <c r="H2">
        <v>186193.97136213601</v>
      </c>
      <c r="I2">
        <v>135449.214417351</v>
      </c>
    </row>
    <row r="3" spans="1:9" x14ac:dyDescent="0.2">
      <c r="A3">
        <v>50</v>
      </c>
      <c r="B3">
        <v>22160667.130405199</v>
      </c>
      <c r="C3">
        <v>21424014.242167398</v>
      </c>
      <c r="D3">
        <v>75698211.079204604</v>
      </c>
      <c r="E3">
        <v>64884180.925032496</v>
      </c>
      <c r="F3">
        <v>10814030.1541721</v>
      </c>
      <c r="G3">
        <v>449590.60420512198</v>
      </c>
      <c r="H3">
        <v>181303.384351026</v>
      </c>
      <c r="I3">
        <v>151084.142402353</v>
      </c>
    </row>
    <row r="4" spans="1:9" x14ac:dyDescent="0.2">
      <c r="A4">
        <v>51</v>
      </c>
      <c r="B4">
        <v>20241475.1026517</v>
      </c>
      <c r="C4">
        <v>19488563.744321998</v>
      </c>
      <c r="D4">
        <v>68948168.7444157</v>
      </c>
      <c r="E4">
        <v>68948168.7444157</v>
      </c>
      <c r="F4">
        <v>0</v>
      </c>
      <c r="G4">
        <v>479075.34328872099</v>
      </c>
      <c r="H4">
        <v>169295.89556962001</v>
      </c>
      <c r="I4">
        <v>149343.027816335</v>
      </c>
    </row>
    <row r="5" spans="1:9" x14ac:dyDescent="0.2">
      <c r="A5">
        <v>52</v>
      </c>
      <c r="B5">
        <v>23722454.9768764</v>
      </c>
      <c r="C5">
        <v>22941053.638489801</v>
      </c>
      <c r="D5">
        <v>81128439.104295</v>
      </c>
      <c r="E5">
        <v>69538662.089395702</v>
      </c>
      <c r="F5">
        <v>11589777.0148993</v>
      </c>
      <c r="G5">
        <v>516797.84909806098</v>
      </c>
      <c r="H5">
        <v>162008.72253142999</v>
      </c>
      <c r="I5">
        <v>146563.952510206</v>
      </c>
    </row>
    <row r="6" spans="1:9" x14ac:dyDescent="0.2">
      <c r="A6">
        <v>53</v>
      </c>
      <c r="B6">
        <v>19331296.599987499</v>
      </c>
      <c r="C6">
        <v>18665596.830900799</v>
      </c>
      <c r="D6">
        <v>66019109.634081997</v>
      </c>
      <c r="E6">
        <v>66019109.634081997</v>
      </c>
      <c r="F6">
        <v>0</v>
      </c>
      <c r="G6">
        <v>425954.32445760199</v>
      </c>
      <c r="H6">
        <v>141481.17696988201</v>
      </c>
      <c r="I6">
        <v>140377.52522743901</v>
      </c>
    </row>
    <row r="7" spans="1:9" x14ac:dyDescent="0.2">
      <c r="A7">
        <v>54</v>
      </c>
      <c r="B7">
        <v>22042294.269524802</v>
      </c>
      <c r="C7">
        <v>21400729.493119799</v>
      </c>
      <c r="D7">
        <v>75696584.2068533</v>
      </c>
      <c r="E7">
        <v>64882786.463017099</v>
      </c>
      <c r="F7">
        <v>10813797.7438362</v>
      </c>
      <c r="G7">
        <v>415239.714594758</v>
      </c>
      <c r="H7">
        <v>127089.694721227</v>
      </c>
      <c r="I7">
        <v>141764.81012723199</v>
      </c>
    </row>
    <row r="8" spans="1:9" x14ac:dyDescent="0.2">
      <c r="A8">
        <v>55</v>
      </c>
      <c r="B8">
        <v>19232590.532311499</v>
      </c>
      <c r="C8">
        <v>18611010.563666701</v>
      </c>
      <c r="D8">
        <v>65799884.388200499</v>
      </c>
      <c r="E8">
        <v>65799884.388200499</v>
      </c>
      <c r="F8">
        <v>0</v>
      </c>
      <c r="G8">
        <v>399014.52239201497</v>
      </c>
      <c r="H8">
        <v>121633.12177446199</v>
      </c>
      <c r="I8">
        <v>144189.0349691</v>
      </c>
    </row>
    <row r="9" spans="1:9" x14ac:dyDescent="0.2">
      <c r="A9">
        <v>56</v>
      </c>
      <c r="B9">
        <v>22573431.310347799</v>
      </c>
      <c r="C9">
        <v>21912021.938731998</v>
      </c>
      <c r="D9">
        <v>77437977.028653696</v>
      </c>
      <c r="E9">
        <v>66375408.881703198</v>
      </c>
      <c r="F9">
        <v>11062568.1469505</v>
      </c>
      <c r="G9">
        <v>439059.84083503799</v>
      </c>
      <c r="H9">
        <v>116461.810362377</v>
      </c>
      <c r="I9">
        <v>151268.17202622999</v>
      </c>
    </row>
    <row r="10" spans="1:9" x14ac:dyDescent="0.2">
      <c r="A10">
        <v>57</v>
      </c>
      <c r="B10">
        <v>19517489.313673198</v>
      </c>
      <c r="C10">
        <v>18779486.421455398</v>
      </c>
      <c r="D10">
        <v>66351902.708365098</v>
      </c>
      <c r="E10">
        <v>66351902.708365098</v>
      </c>
      <c r="F10">
        <v>0</v>
      </c>
      <c r="G10">
        <v>413500.26788301498</v>
      </c>
      <c r="H10">
        <v>238137.82332683899</v>
      </c>
      <c r="I10">
        <v>123378.28715431099</v>
      </c>
    </row>
    <row r="11" spans="1:9" x14ac:dyDescent="0.2">
      <c r="A11">
        <v>58</v>
      </c>
      <c r="B11">
        <v>23345636.009243499</v>
      </c>
      <c r="C11">
        <v>22607547.935006998</v>
      </c>
      <c r="D11">
        <v>79882706.221174195</v>
      </c>
      <c r="E11">
        <v>68470891.046720698</v>
      </c>
      <c r="F11">
        <v>11411815.1744534</v>
      </c>
      <c r="G11">
        <v>415803.29017690098</v>
      </c>
      <c r="H11">
        <v>230582.91289528299</v>
      </c>
      <c r="I11">
        <v>131002.673091904</v>
      </c>
    </row>
    <row r="12" spans="1:9" x14ac:dyDescent="0.2">
      <c r="A12">
        <v>59</v>
      </c>
      <c r="B12">
        <v>20685682.268273499</v>
      </c>
      <c r="C12">
        <v>19996764.976166401</v>
      </c>
      <c r="D12">
        <v>70658358.738332406</v>
      </c>
      <c r="E12">
        <v>70658358.738332406</v>
      </c>
      <c r="F12">
        <v>0</v>
      </c>
      <c r="G12">
        <v>367587.18767419999</v>
      </c>
      <c r="H12">
        <v>225108.785774441</v>
      </c>
      <c r="I12">
        <v>137459.02665501201</v>
      </c>
    </row>
    <row r="13" spans="1:9" x14ac:dyDescent="0.2">
      <c r="A13">
        <v>60</v>
      </c>
      <c r="B13">
        <v>24447811.704215098</v>
      </c>
      <c r="C13">
        <v>23723572.901323199</v>
      </c>
      <c r="D13">
        <v>83772244.523737103</v>
      </c>
      <c r="E13">
        <v>71804781.020346001</v>
      </c>
      <c r="F13">
        <v>11967463.503391</v>
      </c>
      <c r="G13">
        <v>396642.77845645498</v>
      </c>
      <c r="H13">
        <v>227007.35824403801</v>
      </c>
      <c r="I13">
        <v>143698.09455918201</v>
      </c>
    </row>
    <row r="14" spans="1:9" x14ac:dyDescent="0.2">
      <c r="A14">
        <v>61</v>
      </c>
      <c r="B14">
        <v>19576770.979535699</v>
      </c>
      <c r="C14">
        <v>18845759.163770702</v>
      </c>
      <c r="D14">
        <v>63609343.145891801</v>
      </c>
      <c r="E14">
        <v>70961222.621446103</v>
      </c>
      <c r="F14">
        <v>0</v>
      </c>
      <c r="G14">
        <v>385015.82067155902</v>
      </c>
      <c r="H14">
        <v>255380.67177360901</v>
      </c>
      <c r="I14">
        <v>129450.461885458</v>
      </c>
    </row>
    <row r="15" spans="1:9" x14ac:dyDescent="0.2">
      <c r="A15">
        <v>62</v>
      </c>
      <c r="B15">
        <v>22220215.517313901</v>
      </c>
      <c r="C15">
        <v>21501773.523859601</v>
      </c>
      <c r="D15">
        <v>72347360.956319407</v>
      </c>
      <c r="E15">
        <v>69714099.348673806</v>
      </c>
      <c r="F15">
        <v>11619016.558112299</v>
      </c>
      <c r="G15">
        <v>396541.62734731601</v>
      </c>
      <c r="H15">
        <v>234931.16464434899</v>
      </c>
      <c r="I15">
        <v>124241.716375217</v>
      </c>
    </row>
    <row r="16" spans="1:9" x14ac:dyDescent="0.2">
      <c r="A16">
        <v>63</v>
      </c>
      <c r="B16">
        <v>18315951.789164402</v>
      </c>
      <c r="C16">
        <v>17663550.803038899</v>
      </c>
      <c r="D16">
        <v>59887509.828085698</v>
      </c>
      <c r="E16">
        <v>66038620.569834404</v>
      </c>
      <c r="F16">
        <v>0</v>
      </c>
      <c r="G16">
        <v>364208.080993457</v>
      </c>
      <c r="H16">
        <v>209332.63892300599</v>
      </c>
      <c r="I16">
        <v>112657.52315571001</v>
      </c>
    </row>
    <row r="17" spans="1:9" x14ac:dyDescent="0.2">
      <c r="A17">
        <v>64</v>
      </c>
      <c r="B17">
        <v>19986579.5361517</v>
      </c>
      <c r="C17">
        <v>19348222.427996598</v>
      </c>
      <c r="D17">
        <v>65408555.517661802</v>
      </c>
      <c r="E17">
        <v>62201099.778604999</v>
      </c>
      <c r="F17">
        <v>10366849.9631008</v>
      </c>
      <c r="G17">
        <v>358636.06985328102</v>
      </c>
      <c r="H17">
        <v>201337.098904112</v>
      </c>
      <c r="I17">
        <v>111977.056282442</v>
      </c>
    </row>
    <row r="18" spans="1:9" x14ac:dyDescent="0.2">
      <c r="A18">
        <v>65</v>
      </c>
      <c r="B18">
        <v>15765474.155274</v>
      </c>
      <c r="C18">
        <v>15185663.770591499</v>
      </c>
      <c r="D18">
        <v>48156642.764644101</v>
      </c>
      <c r="E18">
        <v>61869622.941931799</v>
      </c>
      <c r="F18">
        <v>0</v>
      </c>
      <c r="G18">
        <v>310026.49696730502</v>
      </c>
      <c r="H18">
        <v>190695.52499802501</v>
      </c>
      <c r="I18">
        <v>112983.375310289</v>
      </c>
    </row>
    <row r="19" spans="1:9" x14ac:dyDescent="0.2">
      <c r="A19">
        <v>66</v>
      </c>
      <c r="B19">
        <v>18657793.518582702</v>
      </c>
      <c r="C19">
        <v>18091223.3905637</v>
      </c>
      <c r="D19">
        <v>57965574.851701997</v>
      </c>
      <c r="E19">
        <v>62303493.940088198</v>
      </c>
      <c r="F19">
        <v>10383915.6566814</v>
      </c>
      <c r="G19">
        <v>302288.58792734402</v>
      </c>
      <c r="H19">
        <v>186504.719246608</v>
      </c>
      <c r="I19">
        <v>111109.744064318</v>
      </c>
    </row>
    <row r="20" spans="1:9" x14ac:dyDescent="0.2">
      <c r="A20">
        <v>67</v>
      </c>
      <c r="B20">
        <v>15997402.205666799</v>
      </c>
      <c r="C20">
        <v>15401610.7495744</v>
      </c>
      <c r="D20">
        <v>49782681.314532898</v>
      </c>
      <c r="E20">
        <v>61144406.3664179</v>
      </c>
      <c r="F20">
        <v>0</v>
      </c>
      <c r="G20">
        <v>334938.96056072298</v>
      </c>
      <c r="H20">
        <v>184279.31475483501</v>
      </c>
      <c r="I20">
        <v>109390.258252687</v>
      </c>
    </row>
    <row r="21" spans="1:9" x14ac:dyDescent="0.2">
      <c r="A21">
        <v>68</v>
      </c>
      <c r="B21">
        <v>18417019.9206197</v>
      </c>
      <c r="C21">
        <v>17797759.431381602</v>
      </c>
      <c r="D21">
        <v>57975789.125491299</v>
      </c>
      <c r="E21">
        <v>59998489.167799301</v>
      </c>
      <c r="F21">
        <v>9999748.1946332194</v>
      </c>
      <c r="G21">
        <v>356024.17454248801</v>
      </c>
      <c r="H21">
        <v>186968.81012366901</v>
      </c>
      <c r="I21">
        <v>108953.57795993501</v>
      </c>
    </row>
    <row r="22" spans="1:9" x14ac:dyDescent="0.2">
      <c r="A22">
        <v>69</v>
      </c>
      <c r="B22">
        <v>16219761.434002399</v>
      </c>
      <c r="C22">
        <v>15614897.773176599</v>
      </c>
      <c r="D22">
        <v>51093873.851347998</v>
      </c>
      <c r="E22">
        <v>60177678.6504023</v>
      </c>
      <c r="F22">
        <v>0</v>
      </c>
      <c r="G22">
        <v>340711.97504097101</v>
      </c>
      <c r="H22">
        <v>186524.95565988001</v>
      </c>
      <c r="I22">
        <v>110895.328749862</v>
      </c>
    </row>
    <row r="23" spans="1:9" x14ac:dyDescent="0.2">
      <c r="A23">
        <v>70</v>
      </c>
      <c r="B23">
        <v>19095179.179377399</v>
      </c>
      <c r="C23">
        <v>18522139.285047799</v>
      </c>
      <c r="D23">
        <v>60936403.102777302</v>
      </c>
      <c r="E23">
        <v>60782827.003773399</v>
      </c>
      <c r="F23">
        <v>10130471.167295599</v>
      </c>
      <c r="G23">
        <v>314522.19340942201</v>
      </c>
      <c r="H23">
        <v>180302.84229206899</v>
      </c>
      <c r="I23">
        <v>111735.512325865</v>
      </c>
    </row>
    <row r="24" spans="1:9" x14ac:dyDescent="0.2">
      <c r="A24">
        <v>71</v>
      </c>
      <c r="B24">
        <v>16661765.693549201</v>
      </c>
      <c r="C24">
        <v>16072723.432529399</v>
      </c>
      <c r="D24">
        <v>53381815.245967701</v>
      </c>
      <c r="E24">
        <v>60752910.001708999</v>
      </c>
      <c r="F24">
        <v>0</v>
      </c>
      <c r="G24">
        <v>327121.565755922</v>
      </c>
      <c r="H24">
        <v>182952.45533868601</v>
      </c>
      <c r="I24">
        <v>112811.77132169199</v>
      </c>
    </row>
    <row r="25" spans="1:9" x14ac:dyDescent="0.2">
      <c r="A25">
        <v>72</v>
      </c>
      <c r="B25">
        <v>19484973.2178551</v>
      </c>
      <c r="C25">
        <v>18883924.9184127</v>
      </c>
      <c r="D25">
        <v>62612691.750034101</v>
      </c>
      <c r="E25">
        <v>61310638.326835498</v>
      </c>
      <c r="F25">
        <v>10218439.7211392</v>
      </c>
      <c r="G25">
        <v>337000.37008347502</v>
      </c>
      <c r="H25">
        <v>183081.93471604999</v>
      </c>
      <c r="I25">
        <v>115665.706632701</v>
      </c>
    </row>
    <row r="26" spans="1:9" x14ac:dyDescent="0.2">
      <c r="A26">
        <v>73</v>
      </c>
      <c r="B26">
        <v>17180532.393275999</v>
      </c>
      <c r="C26">
        <v>16550626.3656388</v>
      </c>
      <c r="D26">
        <v>55376598.963008597</v>
      </c>
      <c r="E26">
        <v>61869952.040293798</v>
      </c>
      <c r="F26">
        <v>0</v>
      </c>
      <c r="G26">
        <v>357197.54626663</v>
      </c>
      <c r="H26">
        <v>190741.30744324601</v>
      </c>
      <c r="I26">
        <v>117095.96275325899</v>
      </c>
    </row>
    <row r="27" spans="1:9" x14ac:dyDescent="0.2">
      <c r="A27">
        <v>74</v>
      </c>
      <c r="B27">
        <v>19951636.390964899</v>
      </c>
      <c r="C27">
        <v>19312769.4438232</v>
      </c>
      <c r="D27">
        <v>64407665.6097598</v>
      </c>
      <c r="E27">
        <v>62161865.981885597</v>
      </c>
      <c r="F27">
        <v>10360310.9969809</v>
      </c>
      <c r="G27">
        <v>365541.91458695597</v>
      </c>
      <c r="H27">
        <v>194354.095500116</v>
      </c>
      <c r="I27">
        <v>112815.624363854</v>
      </c>
    </row>
    <row r="28" spans="1:9" x14ac:dyDescent="0.2">
      <c r="A28">
        <v>75</v>
      </c>
      <c r="B28">
        <v>17451665.632257801</v>
      </c>
      <c r="C28">
        <v>16798667.519367602</v>
      </c>
      <c r="D28">
        <v>56461938.237667598</v>
      </c>
      <c r="E28">
        <v>62344154.956594102</v>
      </c>
      <c r="F28">
        <v>0</v>
      </c>
      <c r="G28">
        <v>370981.74301433202</v>
      </c>
      <c r="H28">
        <v>198929.365964322</v>
      </c>
      <c r="I28">
        <v>118695.719873636</v>
      </c>
    </row>
    <row r="29" spans="1:9" x14ac:dyDescent="0.2">
      <c r="A29">
        <v>76</v>
      </c>
      <c r="B29">
        <v>20405339.079285</v>
      </c>
      <c r="C29">
        <v>19721752.2110704</v>
      </c>
      <c r="D29">
        <v>65973503.194959201</v>
      </c>
      <c r="E29">
        <v>63106936.292744197</v>
      </c>
      <c r="F29">
        <v>10517822.7154574</v>
      </c>
      <c r="G29">
        <v>405004.64798203902</v>
      </c>
      <c r="H29">
        <v>198301.02787967701</v>
      </c>
      <c r="I29">
        <v>114687.41764689601</v>
      </c>
    </row>
    <row r="30" spans="1:9" x14ac:dyDescent="0.2">
      <c r="A30">
        <v>77</v>
      </c>
      <c r="B30">
        <v>17865337.3120379</v>
      </c>
      <c r="C30">
        <v>17173126.068355698</v>
      </c>
      <c r="D30">
        <v>57954085.341734402</v>
      </c>
      <c r="E30">
        <v>63312227.284137003</v>
      </c>
      <c r="F30">
        <v>0</v>
      </c>
      <c r="G30">
        <v>411179.73387211299</v>
      </c>
      <c r="H30">
        <v>198869.070974673</v>
      </c>
      <c r="I30">
        <v>117374.912621981</v>
      </c>
    </row>
    <row r="31" spans="1:9" x14ac:dyDescent="0.2">
      <c r="A31">
        <v>78</v>
      </c>
      <c r="B31">
        <v>20717108.0180851</v>
      </c>
      <c r="C31">
        <v>20060387.9430288</v>
      </c>
      <c r="D31">
        <v>67425460.8864941</v>
      </c>
      <c r="E31">
        <v>63822671.412722901</v>
      </c>
      <c r="F31">
        <v>10637111.902120501</v>
      </c>
      <c r="G31">
        <v>373156.69911738101</v>
      </c>
      <c r="H31">
        <v>200332.955086812</v>
      </c>
      <c r="I31">
        <v>118900.60121722901</v>
      </c>
    </row>
    <row r="32" spans="1:9" x14ac:dyDescent="0.2">
      <c r="A32">
        <v>79</v>
      </c>
      <c r="B32">
        <v>18273146.540880401</v>
      </c>
      <c r="C32">
        <v>17613229.657980502</v>
      </c>
      <c r="D32">
        <v>59692777.513641201</v>
      </c>
      <c r="E32">
        <v>64572096.910568297</v>
      </c>
      <c r="F32">
        <v>0</v>
      </c>
      <c r="G32">
        <v>375793.38268218399</v>
      </c>
      <c r="H32">
        <v>200545.71783766901</v>
      </c>
      <c r="I32">
        <v>119396.831971516</v>
      </c>
    </row>
    <row r="33" spans="1:9" x14ac:dyDescent="0.2">
      <c r="A33">
        <v>80</v>
      </c>
      <c r="B33">
        <v>21178008.4776861</v>
      </c>
      <c r="C33">
        <v>20524678.996103901</v>
      </c>
      <c r="D33">
        <v>69205807.959069595</v>
      </c>
      <c r="E33">
        <v>65020503.143531002</v>
      </c>
      <c r="F33">
        <v>10836750.523921801</v>
      </c>
      <c r="G33">
        <v>372643.97473338299</v>
      </c>
      <c r="H33">
        <v>199686.694821799</v>
      </c>
      <c r="I33">
        <v>115712.588610148</v>
      </c>
    </row>
    <row r="34" spans="1:9" x14ac:dyDescent="0.2">
      <c r="A34">
        <v>81</v>
      </c>
      <c r="B34">
        <v>18614439.940992799</v>
      </c>
      <c r="C34">
        <v>17955916.643599</v>
      </c>
      <c r="D34">
        <v>61044264.148223102</v>
      </c>
      <c r="E34">
        <v>65513287.547304198</v>
      </c>
      <c r="F34">
        <v>0</v>
      </c>
      <c r="G34">
        <v>366640.26556117501</v>
      </c>
      <c r="H34">
        <v>207839.252840959</v>
      </c>
      <c r="I34">
        <v>120062.54141661301</v>
      </c>
    </row>
    <row r="35" spans="1:9" x14ac:dyDescent="0.2">
      <c r="A35">
        <v>82</v>
      </c>
      <c r="B35">
        <v>21793230.227002699</v>
      </c>
      <c r="C35">
        <v>21116773.755074199</v>
      </c>
      <c r="D35">
        <v>71330921.484004706</v>
      </c>
      <c r="E35">
        <v>66642327.6709252</v>
      </c>
      <c r="F35">
        <v>11107054.611820901</v>
      </c>
      <c r="G35">
        <v>383744.935568997</v>
      </c>
      <c r="H35">
        <v>207643.91461801701</v>
      </c>
      <c r="I35">
        <v>121525.173916464</v>
      </c>
    </row>
    <row r="36" spans="1:9" x14ac:dyDescent="0.2">
      <c r="A36">
        <v>83</v>
      </c>
      <c r="B36">
        <v>19146864.4969192</v>
      </c>
      <c r="C36">
        <v>18449369.282183301</v>
      </c>
      <c r="D36">
        <v>62827169.465190299</v>
      </c>
      <c r="E36">
        <v>67078867.957814097</v>
      </c>
      <c r="F36">
        <v>0</v>
      </c>
      <c r="G36">
        <v>400868.22640428902</v>
      </c>
      <c r="H36">
        <v>209357.432341056</v>
      </c>
      <c r="I36">
        <v>124670.794272231</v>
      </c>
    </row>
    <row r="37" spans="1:9" x14ac:dyDescent="0.2">
      <c r="A37">
        <v>84</v>
      </c>
      <c r="B37">
        <v>22112574.311699301</v>
      </c>
      <c r="C37">
        <v>21390863.409577802</v>
      </c>
      <c r="D37">
        <v>72356599.386457697</v>
      </c>
      <c r="E37">
        <v>67330069.766181707</v>
      </c>
      <c r="F37">
        <v>11221678.294363599</v>
      </c>
      <c r="G37">
        <v>428613.48182669497</v>
      </c>
      <c r="H37">
        <v>208613.41642772401</v>
      </c>
      <c r="I37">
        <v>120691.434095772</v>
      </c>
    </row>
    <row r="38" spans="1:9" x14ac:dyDescent="0.2">
      <c r="A38">
        <v>85</v>
      </c>
      <c r="B38">
        <v>19308145.188397501</v>
      </c>
      <c r="C38">
        <v>18619546.847894199</v>
      </c>
      <c r="D38">
        <v>63532310.063681997</v>
      </c>
      <c r="E38">
        <v>67563029.951379701</v>
      </c>
      <c r="F38">
        <v>0</v>
      </c>
      <c r="G38">
        <v>387011.75361332297</v>
      </c>
      <c r="H38">
        <v>214708.72011178001</v>
      </c>
      <c r="I38">
        <v>124111.238254657</v>
      </c>
    </row>
    <row r="39" spans="1:9" x14ac:dyDescent="0.2">
      <c r="A39">
        <v>86</v>
      </c>
      <c r="B39">
        <v>22295922.363054901</v>
      </c>
      <c r="C39">
        <v>21567458.515005499</v>
      </c>
      <c r="D39">
        <v>73067986.629459694</v>
      </c>
      <c r="E39">
        <v>67758574.638455495</v>
      </c>
      <c r="F39">
        <v>11293095.773075899</v>
      </c>
      <c r="G39">
        <v>424198.47008589498</v>
      </c>
      <c r="H39">
        <v>217289.11860581601</v>
      </c>
      <c r="I39">
        <v>124251.799082364</v>
      </c>
    </row>
    <row r="40" spans="1:9" x14ac:dyDescent="0.2">
      <c r="A40">
        <v>87</v>
      </c>
      <c r="B40">
        <v>19659376.167029601</v>
      </c>
      <c r="C40">
        <v>18946400.646660201</v>
      </c>
      <c r="D40">
        <v>64693973.5535722</v>
      </c>
      <c r="E40">
        <v>68590477.820378795</v>
      </c>
      <c r="F40">
        <v>0</v>
      </c>
      <c r="G40">
        <v>408003.44290318998</v>
      </c>
      <c r="H40">
        <v>217929.27228726601</v>
      </c>
      <c r="I40">
        <v>124346.864541359</v>
      </c>
    </row>
    <row r="41" spans="1:9" x14ac:dyDescent="0.2">
      <c r="A41">
        <v>88</v>
      </c>
      <c r="B41">
        <v>22741610.276369601</v>
      </c>
      <c r="C41">
        <v>22017486.188053999</v>
      </c>
      <c r="D41">
        <v>74603150.333995402</v>
      </c>
      <c r="E41">
        <v>69062489.202228993</v>
      </c>
      <c r="F41">
        <v>11510414.8670382</v>
      </c>
      <c r="G41">
        <v>417296.04340654</v>
      </c>
      <c r="H41">
        <v>218879.575437914</v>
      </c>
      <c r="I41">
        <v>125640.670673003</v>
      </c>
    </row>
    <row r="42" spans="1:9" x14ac:dyDescent="0.2">
      <c r="A42">
        <v>89</v>
      </c>
      <c r="B42">
        <v>19776613.183225401</v>
      </c>
      <c r="C42">
        <v>19053768.1636189</v>
      </c>
      <c r="D42">
        <v>65090123.314121902</v>
      </c>
      <c r="E42">
        <v>68938072.249790698</v>
      </c>
      <c r="F42">
        <v>0</v>
      </c>
      <c r="G42">
        <v>410902.92971930798</v>
      </c>
      <c r="H42">
        <v>222735.19447802799</v>
      </c>
      <c r="I42">
        <v>127438.422013121</v>
      </c>
    </row>
    <row r="43" spans="1:9" x14ac:dyDescent="0.2">
      <c r="A43">
        <v>90</v>
      </c>
      <c r="B43">
        <v>22890259.538926098</v>
      </c>
      <c r="C43">
        <v>22150590.881058</v>
      </c>
      <c r="D43">
        <v>75103330.491222605</v>
      </c>
      <c r="E43">
        <v>69511107.761105493</v>
      </c>
      <c r="F43">
        <v>11585184.626850899</v>
      </c>
      <c r="G43">
        <v>426504.36396674899</v>
      </c>
      <c r="H43">
        <v>224169.11156901301</v>
      </c>
      <c r="I43">
        <v>127135.97476052299</v>
      </c>
    </row>
    <row r="44" spans="1:9" x14ac:dyDescent="0.2">
      <c r="A44">
        <v>91</v>
      </c>
      <c r="B44">
        <v>20153814.975260202</v>
      </c>
      <c r="C44">
        <v>19432869.686472401</v>
      </c>
      <c r="D44">
        <v>66432104.163416304</v>
      </c>
      <c r="E44">
        <v>70301500.004390404</v>
      </c>
      <c r="F44">
        <v>0</v>
      </c>
      <c r="G44">
        <v>403633.06082242401</v>
      </c>
      <c r="H44">
        <v>227475.34988852599</v>
      </c>
      <c r="I44">
        <v>128338.397252649</v>
      </c>
    </row>
    <row r="45" spans="1:9" x14ac:dyDescent="0.2">
      <c r="A45">
        <v>92</v>
      </c>
      <c r="B45">
        <v>23274506.768704101</v>
      </c>
      <c r="C45">
        <v>22502992.597656898</v>
      </c>
      <c r="D45">
        <v>76324259.793305203</v>
      </c>
      <c r="E45">
        <v>70580526.193599597</v>
      </c>
      <c r="F45">
        <v>11763421.0322666</v>
      </c>
      <c r="G45">
        <v>448213.31301866297</v>
      </c>
      <c r="H45">
        <v>232168.542292589</v>
      </c>
      <c r="I45">
        <v>130189.022479835</v>
      </c>
    </row>
    <row r="46" spans="1:9" x14ac:dyDescent="0.2">
      <c r="A46">
        <v>93</v>
      </c>
      <c r="B46">
        <v>20500688.054938599</v>
      </c>
      <c r="C46">
        <v>19741113.588725898</v>
      </c>
      <c r="D46">
        <v>67500151.020110697</v>
      </c>
      <c r="E46">
        <v>71405295.9483217</v>
      </c>
      <c r="F46">
        <v>0</v>
      </c>
      <c r="G46">
        <v>434757.48341188702</v>
      </c>
      <c r="H46">
        <v>232133.24037553699</v>
      </c>
      <c r="I46">
        <v>132405.34632189301</v>
      </c>
    </row>
    <row r="47" spans="1:9" x14ac:dyDescent="0.2">
      <c r="A47">
        <v>94</v>
      </c>
      <c r="B47">
        <v>23793874.5264971</v>
      </c>
      <c r="C47">
        <v>23010250.530336902</v>
      </c>
      <c r="D47">
        <v>78062895.537947401</v>
      </c>
      <c r="E47">
        <v>72145908.341566294</v>
      </c>
      <c r="F47">
        <v>12024318.0569277</v>
      </c>
      <c r="G47">
        <v>465086.587298889</v>
      </c>
      <c r="H47">
        <v>229976.187878884</v>
      </c>
      <c r="I47">
        <v>126516.029974808</v>
      </c>
    </row>
    <row r="48" spans="1:9" x14ac:dyDescent="0.2">
      <c r="A48">
        <v>95</v>
      </c>
      <c r="B48">
        <v>21044801.110601299</v>
      </c>
      <c r="C48">
        <v>20251736.751353201</v>
      </c>
      <c r="D48">
        <v>69261298.993966505</v>
      </c>
      <c r="E48">
        <v>73195628.751041293</v>
      </c>
      <c r="F48">
        <v>0</v>
      </c>
      <c r="G48">
        <v>481420.93613575498</v>
      </c>
      <c r="H48">
        <v>223793.37571342601</v>
      </c>
      <c r="I48">
        <v>125500.067712619</v>
      </c>
    </row>
    <row r="49" spans="1:9" x14ac:dyDescent="0.2">
      <c r="A49">
        <v>96</v>
      </c>
      <c r="B49">
        <v>24206942.810752701</v>
      </c>
      <c r="C49">
        <v>23413657.4408953</v>
      </c>
      <c r="D49">
        <v>79410340.1829184</v>
      </c>
      <c r="E49">
        <v>73331286.090159699</v>
      </c>
      <c r="F49">
        <v>12221881.015026599</v>
      </c>
      <c r="G49">
        <v>460658.40257449099</v>
      </c>
      <c r="H49">
        <v>237745.11650051101</v>
      </c>
      <c r="I49">
        <v>135545.501117782</v>
      </c>
    </row>
    <row r="50" spans="1:9" x14ac:dyDescent="0.2">
      <c r="A50">
        <v>97</v>
      </c>
      <c r="B50">
        <v>21244509.403555401</v>
      </c>
      <c r="C50">
        <v>20475914.6918425</v>
      </c>
      <c r="D50">
        <v>70010800.883044407</v>
      </c>
      <c r="E50">
        <v>73951579.558884606</v>
      </c>
      <c r="F50">
        <v>0</v>
      </c>
      <c r="G50">
        <v>439397.61614848103</v>
      </c>
      <c r="H50">
        <v>234924.463954771</v>
      </c>
      <c r="I50">
        <v>134675.18801382501</v>
      </c>
    </row>
    <row r="51" spans="1:9" x14ac:dyDescent="0.2">
      <c r="A51">
        <v>98</v>
      </c>
      <c r="B51">
        <v>24533784.128075201</v>
      </c>
      <c r="C51">
        <v>23746128.556071501</v>
      </c>
      <c r="D51">
        <v>80548192.362935096</v>
      </c>
      <c r="E51">
        <v>74352178.214633897</v>
      </c>
      <c r="F51">
        <v>12392029.702439001</v>
      </c>
      <c r="G51">
        <v>454699.69637815998</v>
      </c>
      <c r="H51">
        <v>237388.71847420701</v>
      </c>
      <c r="I51">
        <v>136524.51021621501</v>
      </c>
    </row>
    <row r="52" spans="1:9" x14ac:dyDescent="0.2">
      <c r="A52">
        <v>99</v>
      </c>
      <c r="B52">
        <v>21559809.025895499</v>
      </c>
      <c r="C52">
        <v>20794831.6466574</v>
      </c>
      <c r="D52">
        <v>71072171.823160395</v>
      </c>
      <c r="E52">
        <v>75035924.941862807</v>
      </c>
      <c r="F52">
        <v>0</v>
      </c>
      <c r="G52">
        <v>429153.51325492299</v>
      </c>
      <c r="H52">
        <v>238371.84939685999</v>
      </c>
      <c r="I52">
        <v>139217.166551781</v>
      </c>
    </row>
    <row r="53" spans="1:9" x14ac:dyDescent="0.2">
      <c r="A53">
        <v>100</v>
      </c>
      <c r="B53">
        <v>25021175.185556602</v>
      </c>
      <c r="C53">
        <v>24267497.8439455</v>
      </c>
      <c r="D53">
        <v>82338211.498101205</v>
      </c>
      <c r="E53">
        <v>75993083.994135499</v>
      </c>
      <c r="F53">
        <v>12665513.999022599</v>
      </c>
      <c r="G53">
        <v>412354.04925627902</v>
      </c>
      <c r="H53">
        <v>243016.803158461</v>
      </c>
      <c r="I53">
        <v>140437.84170906799</v>
      </c>
    </row>
    <row r="54" spans="1:9" x14ac:dyDescent="0.2">
      <c r="A54">
        <v>101</v>
      </c>
      <c r="B54">
        <v>22117943.822845101</v>
      </c>
      <c r="C54">
        <v>21329912.578701001</v>
      </c>
      <c r="D54">
        <v>72922553.967592701</v>
      </c>
      <c r="E54">
        <v>76950377.594216406</v>
      </c>
      <c r="F54">
        <v>0</v>
      </c>
      <c r="G54">
        <v>444500.03046966199</v>
      </c>
      <c r="H54">
        <v>243331.53852464099</v>
      </c>
      <c r="I54">
        <v>143142.39307122899</v>
      </c>
    </row>
    <row r="55" spans="1:9" x14ac:dyDescent="0.2">
      <c r="A55">
        <v>102</v>
      </c>
      <c r="B55">
        <v>25489775.1276972</v>
      </c>
      <c r="C55">
        <v>24683589.127583802</v>
      </c>
      <c r="D55">
        <v>83754898.430660695</v>
      </c>
      <c r="E55">
        <v>77265218.179770604</v>
      </c>
      <c r="F55">
        <v>12877536.363295101</v>
      </c>
      <c r="G55">
        <v>467080.83863616799</v>
      </c>
      <c r="H55">
        <v>239704.37922017401</v>
      </c>
      <c r="I55">
        <v>142001.11751008499</v>
      </c>
    </row>
    <row r="56" spans="1:9" x14ac:dyDescent="0.2">
      <c r="A56">
        <v>103</v>
      </c>
      <c r="B56">
        <v>22273358.428964201</v>
      </c>
      <c r="C56">
        <v>21488914.694093801</v>
      </c>
      <c r="D56">
        <v>73512096.645519704</v>
      </c>
      <c r="E56">
        <v>77578193.888268098</v>
      </c>
      <c r="F56">
        <v>0</v>
      </c>
      <c r="G56">
        <v>444709.49305605103</v>
      </c>
      <c r="H56">
        <v>240089.64479417799</v>
      </c>
      <c r="I56">
        <v>142349.42431443799</v>
      </c>
    </row>
    <row r="57" spans="1:9" x14ac:dyDescent="0.2">
      <c r="A57">
        <v>104</v>
      </c>
      <c r="B57">
        <v>25691334.792648502</v>
      </c>
      <c r="C57">
        <v>24887663.463968199</v>
      </c>
      <c r="D57">
        <v>84472110.745634094</v>
      </c>
      <c r="E57">
        <v>77882043.880928501</v>
      </c>
      <c r="F57">
        <v>12980340.6468214</v>
      </c>
      <c r="G57">
        <v>457846.57861922198</v>
      </c>
      <c r="H57">
        <v>246258.275788486</v>
      </c>
      <c r="I57">
        <v>142237.820389367</v>
      </c>
    </row>
    <row r="58" spans="1:9" x14ac:dyDescent="0.2">
      <c r="A58">
        <v>105</v>
      </c>
      <c r="B58">
        <v>22483761.461421899</v>
      </c>
      <c r="C58">
        <v>21694930.659925301</v>
      </c>
      <c r="D58">
        <v>74187695.769121304</v>
      </c>
      <c r="E58">
        <v>78264628.206184998</v>
      </c>
      <c r="F58">
        <v>0</v>
      </c>
      <c r="G58">
        <v>438449.74340789998</v>
      </c>
      <c r="H58">
        <v>247979.80556682701</v>
      </c>
      <c r="I58">
        <v>146287.50360266899</v>
      </c>
    </row>
    <row r="59" spans="1:9" x14ac:dyDescent="0.2">
      <c r="A59">
        <v>106</v>
      </c>
      <c r="B59">
        <v>25820749.8446416</v>
      </c>
      <c r="C59">
        <v>24986329.565531801</v>
      </c>
      <c r="D59">
        <v>84781225.111309201</v>
      </c>
      <c r="E59">
        <v>78205791.644460097</v>
      </c>
      <c r="F59">
        <v>13034298.607410001</v>
      </c>
      <c r="G59">
        <v>489171.38025421201</v>
      </c>
      <c r="H59">
        <v>243085.898676418</v>
      </c>
      <c r="I59">
        <v>145947.14311315201</v>
      </c>
    </row>
    <row r="60" spans="1:9" x14ac:dyDescent="0.2">
      <c r="A60">
        <v>107</v>
      </c>
      <c r="B60">
        <v>22510484.421731401</v>
      </c>
      <c r="C60">
        <v>21650076.4457222</v>
      </c>
      <c r="D60">
        <v>74053213.880573899</v>
      </c>
      <c r="E60">
        <v>78148180.590203106</v>
      </c>
      <c r="F60">
        <v>0</v>
      </c>
      <c r="G60">
        <v>505057.143377311</v>
      </c>
      <c r="H60">
        <v>249879.559114968</v>
      </c>
      <c r="I60">
        <v>150673.24788127199</v>
      </c>
    </row>
    <row r="61" spans="1:9" x14ac:dyDescent="0.2">
      <c r="A61">
        <v>108</v>
      </c>
      <c r="B61">
        <v>26023173.334846299</v>
      </c>
      <c r="C61">
        <v>25185403.3504414</v>
      </c>
      <c r="D61">
        <v>85494002.651980907</v>
      </c>
      <c r="E61">
        <v>78868265.223688796</v>
      </c>
      <c r="F61">
        <v>13144710.870614801</v>
      </c>
      <c r="G61">
        <v>491392.02943907899</v>
      </c>
      <c r="H61">
        <v>244345.46438005799</v>
      </c>
      <c r="I61">
        <v>145760.70083689599</v>
      </c>
    </row>
    <row r="62" spans="1:9" x14ac:dyDescent="0.2">
      <c r="A62">
        <v>109</v>
      </c>
      <c r="B62">
        <v>22740711.427138101</v>
      </c>
      <c r="C62">
        <v>21924802.348960299</v>
      </c>
      <c r="D62">
        <v>75053447.011586905</v>
      </c>
      <c r="E62">
        <v>79156220.218285695</v>
      </c>
      <c r="F62">
        <v>0</v>
      </c>
      <c r="G62">
        <v>460453.74787325901</v>
      </c>
      <c r="H62">
        <v>249837.88967126099</v>
      </c>
      <c r="I62">
        <v>150882.058047664</v>
      </c>
    </row>
    <row r="63" spans="1:9" x14ac:dyDescent="0.2">
      <c r="A63">
        <v>110</v>
      </c>
      <c r="B63">
        <v>26398005.3736858</v>
      </c>
      <c r="C63">
        <v>25523131.215198901</v>
      </c>
      <c r="D63">
        <v>86675293.128475904</v>
      </c>
      <c r="E63">
        <v>79891872.396262005</v>
      </c>
      <c r="F63">
        <v>13315312.066043699</v>
      </c>
      <c r="G63">
        <v>518055.01295758202</v>
      </c>
      <c r="H63">
        <v>252282.23066689799</v>
      </c>
      <c r="I63">
        <v>149338.44980356499</v>
      </c>
    </row>
    <row r="64" spans="1:9" x14ac:dyDescent="0.2">
      <c r="A64">
        <v>111</v>
      </c>
      <c r="B64">
        <v>22941724.417657901</v>
      </c>
      <c r="C64">
        <v>22108925.835648201</v>
      </c>
      <c r="D64">
        <v>75638359.492020205</v>
      </c>
      <c r="E64">
        <v>79765514.041483894</v>
      </c>
      <c r="F64">
        <v>0</v>
      </c>
      <c r="G64">
        <v>485528.355281809</v>
      </c>
      <c r="H64">
        <v>244346.91393363799</v>
      </c>
      <c r="I64">
        <v>147033.30399187701</v>
      </c>
    </row>
    <row r="65" spans="1:9" x14ac:dyDescent="0.2">
      <c r="A65">
        <v>112</v>
      </c>
      <c r="B65">
        <v>26499026.732247099</v>
      </c>
      <c r="C65">
        <v>25686372.3643918</v>
      </c>
      <c r="D65">
        <v>87162201.440957606</v>
      </c>
      <c r="E65">
        <v>80357190.656288207</v>
      </c>
      <c r="F65">
        <v>13392865.1093814</v>
      </c>
      <c r="G65">
        <v>464627.82395500399</v>
      </c>
      <c r="H65">
        <v>243430.308680663</v>
      </c>
      <c r="I65">
        <v>149423.193171035</v>
      </c>
    </row>
    <row r="66" spans="1:9" x14ac:dyDescent="0.2">
      <c r="A66">
        <v>113</v>
      </c>
      <c r="B66">
        <v>23078395.767896999</v>
      </c>
      <c r="C66">
        <v>22250472.765362199</v>
      </c>
      <c r="D66">
        <v>76118170.584663793</v>
      </c>
      <c r="E66">
        <v>80281090.676834598</v>
      </c>
      <c r="F66">
        <v>0</v>
      </c>
      <c r="G66">
        <v>464431.230980411</v>
      </c>
      <c r="H66">
        <v>254150.94708297501</v>
      </c>
      <c r="I66">
        <v>156201.177816321</v>
      </c>
    </row>
    <row r="67" spans="1:9" x14ac:dyDescent="0.2">
      <c r="A67">
        <v>114</v>
      </c>
      <c r="B67">
        <v>26622480.788461599</v>
      </c>
      <c r="C67">
        <v>25802243.3839228</v>
      </c>
      <c r="D67">
        <v>87578518.842375398</v>
      </c>
      <c r="E67">
        <v>80707330.625750393</v>
      </c>
      <c r="F67">
        <v>13451221.770958399</v>
      </c>
      <c r="G67">
        <v>466905.95530228299</v>
      </c>
      <c r="H67">
        <v>247869.99102279099</v>
      </c>
      <c r="I67">
        <v>150659.22601961199</v>
      </c>
    </row>
    <row r="68" spans="1:9" x14ac:dyDescent="0.2">
      <c r="A68">
        <v>115</v>
      </c>
      <c r="B68">
        <v>23185049.714576699</v>
      </c>
      <c r="C68">
        <v>22341910.3813329</v>
      </c>
      <c r="D68">
        <v>76443230.854331896</v>
      </c>
      <c r="E68">
        <v>80528452.654254302</v>
      </c>
      <c r="F68">
        <v>0</v>
      </c>
      <c r="G68">
        <v>480860.40951764799</v>
      </c>
      <c r="H68">
        <v>256000.91712393999</v>
      </c>
      <c r="I68">
        <v>151825.72371741099</v>
      </c>
    </row>
    <row r="69" spans="1:9" x14ac:dyDescent="0.2">
      <c r="A69">
        <v>116</v>
      </c>
      <c r="B69">
        <v>26587776.247444101</v>
      </c>
      <c r="C69">
        <v>25749528.0939053</v>
      </c>
      <c r="D69">
        <v>87419072.438392594</v>
      </c>
      <c r="E69">
        <v>80537064.353111699</v>
      </c>
      <c r="F69">
        <v>13422844.0588519</v>
      </c>
      <c r="G69">
        <v>472065.11016651202</v>
      </c>
      <c r="H69">
        <v>256222.87156776799</v>
      </c>
      <c r="I69">
        <v>157085.95972081501</v>
      </c>
    </row>
    <row r="70" spans="1:9" x14ac:dyDescent="0.2">
      <c r="A70">
        <v>117</v>
      </c>
      <c r="B70">
        <v>23372015.222439401</v>
      </c>
      <c r="C70">
        <v>22545497.5660614</v>
      </c>
      <c r="D70">
        <v>77147597.906550303</v>
      </c>
      <c r="E70">
        <v>81283864.300319195</v>
      </c>
      <c r="F70">
        <v>0</v>
      </c>
      <c r="G70">
        <v>460447.67651706602</v>
      </c>
      <c r="H70">
        <v>256829.37291399599</v>
      </c>
      <c r="I70">
        <v>156058.009924079</v>
      </c>
    </row>
    <row r="71" spans="1:9" x14ac:dyDescent="0.2">
      <c r="A71">
        <v>118</v>
      </c>
      <c r="B71">
        <v>26956460.068164401</v>
      </c>
      <c r="C71">
        <v>26131063.143106401</v>
      </c>
      <c r="D71">
        <v>88716079.701910406</v>
      </c>
      <c r="E71">
        <v>81720187.4382471</v>
      </c>
      <c r="F71">
        <v>13620031.2397078</v>
      </c>
      <c r="G71">
        <v>452628.68259258202</v>
      </c>
      <c r="H71">
        <v>261075.267552067</v>
      </c>
      <c r="I71">
        <v>159561.39273341399</v>
      </c>
    </row>
    <row r="72" spans="1:9" x14ac:dyDescent="0.2">
      <c r="A72">
        <v>119</v>
      </c>
      <c r="B72">
        <v>23453221.383941598</v>
      </c>
      <c r="C72">
        <v>22636533.393115502</v>
      </c>
      <c r="D72">
        <v>77481579.387982503</v>
      </c>
      <c r="E72">
        <v>81677748.236930504</v>
      </c>
      <c r="F72">
        <v>0</v>
      </c>
      <c r="G72">
        <v>447029.60070946597</v>
      </c>
      <c r="H72">
        <v>257514.54178293899</v>
      </c>
      <c r="I72">
        <v>160205.497619581</v>
      </c>
    </row>
    <row r="73" spans="1:9" x14ac:dyDescent="0.2">
      <c r="A73">
        <v>120</v>
      </c>
      <c r="B73">
        <v>26979117.423024599</v>
      </c>
      <c r="C73">
        <v>26096922.6104399</v>
      </c>
      <c r="D73">
        <v>88628724.641447201</v>
      </c>
      <c r="E73">
        <v>81663439.647027805</v>
      </c>
      <c r="F73">
        <v>13610573.2745046</v>
      </c>
      <c r="G73">
        <v>508389.98994705803</v>
      </c>
      <c r="H73">
        <v>259595.01297255201</v>
      </c>
      <c r="I73">
        <v>163156.87095022001</v>
      </c>
    </row>
    <row r="74" spans="1:9" x14ac:dyDescent="0.2">
      <c r="A74">
        <v>121</v>
      </c>
      <c r="B74">
        <v>23565070.341315899</v>
      </c>
      <c r="C74">
        <v>22719115.839184102</v>
      </c>
      <c r="D74">
        <v>77753292.1541982</v>
      </c>
      <c r="E74">
        <v>81905757.885080695</v>
      </c>
      <c r="F74">
        <v>0</v>
      </c>
      <c r="G74">
        <v>464007.269042161</v>
      </c>
      <c r="H74">
        <v>263376.31974100799</v>
      </c>
      <c r="I74">
        <v>169387.01906959299</v>
      </c>
    </row>
    <row r="75" spans="1:9" x14ac:dyDescent="0.2">
      <c r="A75">
        <v>122</v>
      </c>
      <c r="B75">
        <v>27172460.000599399</v>
      </c>
      <c r="C75">
        <v>26292009.098950502</v>
      </c>
      <c r="D75">
        <v>89267639.972249299</v>
      </c>
      <c r="E75">
        <v>82192707.970843002</v>
      </c>
      <c r="F75">
        <v>13698784.6618072</v>
      </c>
      <c r="G75">
        <v>492985.09237969498</v>
      </c>
      <c r="H75">
        <v>268030.42050342099</v>
      </c>
      <c r="I75">
        <v>170621.983951178</v>
      </c>
    </row>
    <row r="76" spans="1:9" x14ac:dyDescent="0.2">
      <c r="A76">
        <v>123</v>
      </c>
      <c r="B76">
        <v>23914157.032616202</v>
      </c>
      <c r="C76">
        <v>23026618.753163099</v>
      </c>
      <c r="D76">
        <v>78801070.590826094</v>
      </c>
      <c r="E76">
        <v>83008596.918570906</v>
      </c>
      <c r="F76">
        <v>0</v>
      </c>
      <c r="G76">
        <v>514673.46411549102</v>
      </c>
      <c r="H76">
        <v>258505.419172175</v>
      </c>
      <c r="I76">
        <v>163370.56595056999</v>
      </c>
    </row>
    <row r="77" spans="1:9" x14ac:dyDescent="0.2">
      <c r="A77">
        <v>124</v>
      </c>
      <c r="B77">
        <v>27458594.852445401</v>
      </c>
      <c r="C77">
        <v>26563487.3562795</v>
      </c>
      <c r="D77">
        <v>90211815.461820006</v>
      </c>
      <c r="E77">
        <v>83062143.182633102</v>
      </c>
      <c r="F77">
        <v>13843690.5304389</v>
      </c>
      <c r="G77">
        <v>519285.42369497003</v>
      </c>
      <c r="H77">
        <v>262997.45075628598</v>
      </c>
      <c r="I77">
        <v>161178.03102099101</v>
      </c>
    </row>
    <row r="78" spans="1:9" x14ac:dyDescent="0.2">
      <c r="A78">
        <v>125</v>
      </c>
      <c r="B78">
        <v>23861810.311912999</v>
      </c>
      <c r="C78">
        <v>22981737.174603399</v>
      </c>
      <c r="D78">
        <v>78652907.510479301</v>
      </c>
      <c r="E78">
        <v>82851503.930640295</v>
      </c>
      <c r="F78">
        <v>0</v>
      </c>
      <c r="G78">
        <v>500463.20290727902</v>
      </c>
      <c r="H78">
        <v>265149.57569349301</v>
      </c>
      <c r="I78">
        <v>163514.79815555501</v>
      </c>
    </row>
    <row r="79" spans="1:9" x14ac:dyDescent="0.2">
      <c r="A79">
        <v>126</v>
      </c>
      <c r="B79">
        <v>27520467.988538802</v>
      </c>
      <c r="C79">
        <v>26652162.425508101</v>
      </c>
      <c r="D79">
        <v>90469949.248242393</v>
      </c>
      <c r="E79">
        <v>83305081.172694594</v>
      </c>
      <c r="F79">
        <v>13884180.195449101</v>
      </c>
      <c r="G79">
        <v>494158.22856335202</v>
      </c>
      <c r="H79">
        <v>260431.192056689</v>
      </c>
      <c r="I79">
        <v>162451.632015268</v>
      </c>
    </row>
    <row r="80" spans="1:9" x14ac:dyDescent="0.2">
      <c r="A80">
        <v>127</v>
      </c>
      <c r="B80">
        <v>23994542.912809301</v>
      </c>
      <c r="C80">
        <v>23106166.517048601</v>
      </c>
      <c r="D80">
        <v>79052466.571132094</v>
      </c>
      <c r="E80">
        <v>83277568.58303</v>
      </c>
      <c r="F80">
        <v>0</v>
      </c>
      <c r="G80">
        <v>509751.108809283</v>
      </c>
      <c r="H80">
        <v>265436.58516865701</v>
      </c>
      <c r="I80">
        <v>161698.14540396299</v>
      </c>
    </row>
    <row r="81" spans="1:9" x14ac:dyDescent="0.2">
      <c r="A81">
        <v>128</v>
      </c>
      <c r="B81">
        <v>27613338.848911501</v>
      </c>
      <c r="C81">
        <v>26718046.624827102</v>
      </c>
      <c r="D81">
        <v>90676221.866909504</v>
      </c>
      <c r="E81">
        <v>83493814.014963299</v>
      </c>
      <c r="F81">
        <v>13915635.6691605</v>
      </c>
      <c r="G81">
        <v>527516.63514986006</v>
      </c>
      <c r="H81">
        <v>257568.919867491</v>
      </c>
      <c r="I81">
        <v>157438.098667293</v>
      </c>
    </row>
    <row r="82" spans="1:9" x14ac:dyDescent="0.2">
      <c r="A82">
        <v>129</v>
      </c>
      <c r="B82">
        <v>24031500.921937801</v>
      </c>
      <c r="C82">
        <v>23124677.745911799</v>
      </c>
      <c r="D82">
        <v>79103571.333405197</v>
      </c>
      <c r="E82">
        <v>83281214.716878504</v>
      </c>
      <c r="F82">
        <v>0</v>
      </c>
      <c r="G82">
        <v>527443.21402272605</v>
      </c>
      <c r="H82">
        <v>266877.34498794598</v>
      </c>
      <c r="I82">
        <v>160718.024307691</v>
      </c>
    </row>
    <row r="83" spans="1:9" x14ac:dyDescent="0.2">
      <c r="A83">
        <v>130</v>
      </c>
      <c r="B83">
        <v>27540383.166680999</v>
      </c>
      <c r="C83">
        <v>26640110.303377401</v>
      </c>
      <c r="D83">
        <v>90401612.953380197</v>
      </c>
      <c r="E83">
        <v>83238549.788905501</v>
      </c>
      <c r="F83">
        <v>13873091.631484199</v>
      </c>
      <c r="G83">
        <v>518753.394882844</v>
      </c>
      <c r="H83">
        <v>264913.10557749798</v>
      </c>
      <c r="I83">
        <v>166580.518347509</v>
      </c>
    </row>
    <row r="84" spans="1:9" x14ac:dyDescent="0.2">
      <c r="A84">
        <v>131</v>
      </c>
      <c r="B84">
        <v>24347220.6473209</v>
      </c>
      <c r="C84">
        <v>23418547.149999902</v>
      </c>
      <c r="D84">
        <v>80115586.346533895</v>
      </c>
      <c r="E84">
        <v>84323579.240785196</v>
      </c>
      <c r="F84">
        <v>0</v>
      </c>
      <c r="G84">
        <v>547442.00996080798</v>
      </c>
      <c r="H84">
        <v>264025.27122795902</v>
      </c>
      <c r="I84">
        <v>167437.45161747301</v>
      </c>
    </row>
    <row r="85" spans="1:9" x14ac:dyDescent="0.2">
      <c r="A85">
        <v>132</v>
      </c>
      <c r="B85">
        <v>28032252.683563702</v>
      </c>
      <c r="C85">
        <v>27151367.084097099</v>
      </c>
      <c r="D85">
        <v>92159219.315878496</v>
      </c>
      <c r="E85">
        <v>84803925.2444897</v>
      </c>
      <c r="F85">
        <v>14133987.5407483</v>
      </c>
      <c r="G85">
        <v>498568.575034421</v>
      </c>
      <c r="H85">
        <v>265918.28548499203</v>
      </c>
      <c r="I85">
        <v>166283.912781644</v>
      </c>
    </row>
    <row r="86" spans="1:9" x14ac:dyDescent="0.2">
      <c r="A86">
        <v>133</v>
      </c>
      <c r="B86">
        <v>24643519.631089199</v>
      </c>
      <c r="C86">
        <v>23745285.199543599</v>
      </c>
      <c r="D86">
        <v>81240724.099853694</v>
      </c>
      <c r="E86">
        <v>85475777.216820493</v>
      </c>
      <c r="F86">
        <v>0</v>
      </c>
      <c r="G86">
        <v>522349.90563707502</v>
      </c>
      <c r="H86">
        <v>263212.00030144397</v>
      </c>
      <c r="I86">
        <v>160960.75086726699</v>
      </c>
    </row>
    <row r="87" spans="1:9" x14ac:dyDescent="0.2">
      <c r="A87">
        <v>134</v>
      </c>
      <c r="B87">
        <v>28386066.436883699</v>
      </c>
      <c r="C87">
        <v>27513453.521123499</v>
      </c>
      <c r="D87">
        <v>93403641.7718613</v>
      </c>
      <c r="E87">
        <v>85890320.3380768</v>
      </c>
      <c r="F87">
        <v>14315053.389679501</v>
      </c>
      <c r="G87">
        <v>494730.12383239099</v>
      </c>
      <c r="H87">
        <v>265448.90275677101</v>
      </c>
      <c r="I87">
        <v>160619.84167290901</v>
      </c>
    </row>
    <row r="88" spans="1:9" x14ac:dyDescent="0.2">
      <c r="A88">
        <v>135</v>
      </c>
      <c r="B88">
        <v>24729809.832630601</v>
      </c>
      <c r="C88">
        <v>23826117.494312402</v>
      </c>
      <c r="D88">
        <v>81551285.543471307</v>
      </c>
      <c r="E88">
        <v>85793116.235658005</v>
      </c>
      <c r="F88">
        <v>0</v>
      </c>
      <c r="G88">
        <v>511855.20361655502</v>
      </c>
      <c r="H88">
        <v>274841.37652182602</v>
      </c>
      <c r="I88">
        <v>167136.79739968799</v>
      </c>
    </row>
    <row r="89" spans="1:9" x14ac:dyDescent="0.2">
      <c r="A89">
        <v>136</v>
      </c>
      <c r="B89">
        <v>28544619.014621601</v>
      </c>
      <c r="C89">
        <v>27633964.593928698</v>
      </c>
      <c r="D89">
        <v>93848667.093706906</v>
      </c>
      <c r="E89">
        <v>86286861.715041801</v>
      </c>
      <c r="F89">
        <v>14381143.619173599</v>
      </c>
      <c r="G89">
        <v>514465.27964668302</v>
      </c>
      <c r="H89">
        <v>277506.91035833</v>
      </c>
      <c r="I89">
        <v>169546.043839908</v>
      </c>
    </row>
    <row r="90" spans="1:9" x14ac:dyDescent="0.2">
      <c r="A90">
        <v>137</v>
      </c>
      <c r="B90">
        <v>24993068.188999999</v>
      </c>
      <c r="C90">
        <v>24064720.224892601</v>
      </c>
      <c r="D90">
        <v>82381611.556911901</v>
      </c>
      <c r="E90">
        <v>86630593.405930296</v>
      </c>
      <c r="F90">
        <v>0</v>
      </c>
      <c r="G90">
        <v>545674.27259118506</v>
      </c>
      <c r="H90">
        <v>268945.50973472698</v>
      </c>
      <c r="I90">
        <v>162468.831116371</v>
      </c>
    </row>
    <row r="91" spans="1:9" x14ac:dyDescent="0.2">
      <c r="A91">
        <v>138</v>
      </c>
      <c r="B91">
        <v>28587524.334507901</v>
      </c>
      <c r="C91">
        <v>27686894.231221799</v>
      </c>
      <c r="D91">
        <v>94010828.025159806</v>
      </c>
      <c r="E91">
        <v>86401573.673252493</v>
      </c>
      <c r="F91">
        <v>14400262.278875399</v>
      </c>
      <c r="G91">
        <v>509037.359356942</v>
      </c>
      <c r="H91">
        <v>274931.09927923302</v>
      </c>
      <c r="I91">
        <v>166659.49235706101</v>
      </c>
    </row>
    <row r="92" spans="1:9" x14ac:dyDescent="0.2">
      <c r="A92">
        <v>139</v>
      </c>
      <c r="B92">
        <v>25124238.120158698</v>
      </c>
      <c r="C92">
        <v>24240490.9512343</v>
      </c>
      <c r="D92">
        <v>82917151.851656407</v>
      </c>
      <c r="E92">
        <v>87195767.619095996</v>
      </c>
      <c r="F92">
        <v>0</v>
      </c>
      <c r="G92">
        <v>493083.31662161398</v>
      </c>
      <c r="H92">
        <v>272318.69705602899</v>
      </c>
      <c r="I92">
        <v>169064.50749546499</v>
      </c>
    </row>
    <row r="93" spans="1:9" x14ac:dyDescent="0.2">
      <c r="A93">
        <v>140</v>
      </c>
      <c r="B93">
        <v>28777288.721409202</v>
      </c>
      <c r="C93">
        <v>27902614.812771998</v>
      </c>
      <c r="D93">
        <v>94670948.129188702</v>
      </c>
      <c r="E93">
        <v>87011256.5874874</v>
      </c>
      <c r="F93">
        <v>14501876.097914601</v>
      </c>
      <c r="G93">
        <v>483874.55047639902</v>
      </c>
      <c r="H93">
        <v>273104.77678652998</v>
      </c>
      <c r="I93">
        <v>168135.11624899501</v>
      </c>
    </row>
    <row r="94" spans="1:9" x14ac:dyDescent="0.2">
      <c r="A94">
        <v>141</v>
      </c>
      <c r="B94">
        <v>25319533.0031326</v>
      </c>
      <c r="C94">
        <v>24418951.461752798</v>
      </c>
      <c r="D94">
        <v>83546225.689663693</v>
      </c>
      <c r="E94">
        <v>87819250.030912504</v>
      </c>
      <c r="F94">
        <v>0</v>
      </c>
      <c r="G94">
        <v>512189.38233084098</v>
      </c>
      <c r="H94">
        <v>272588.03880857502</v>
      </c>
      <c r="I94">
        <v>165434.457486214</v>
      </c>
    </row>
    <row r="95" spans="1:9" x14ac:dyDescent="0.2">
      <c r="A95">
        <v>142</v>
      </c>
      <c r="B95">
        <v>29028298.2481298</v>
      </c>
      <c r="C95">
        <v>28112123.174632899</v>
      </c>
      <c r="D95">
        <v>95444671.779395193</v>
      </c>
      <c r="E95">
        <v>87699515.453251705</v>
      </c>
      <c r="F95">
        <v>14616585.9088753</v>
      </c>
      <c r="G95">
        <v>528964.349879744</v>
      </c>
      <c r="H95">
        <v>270152.23744068702</v>
      </c>
      <c r="I95">
        <v>167226.40882354899</v>
      </c>
    </row>
    <row r="96" spans="1:9" x14ac:dyDescent="0.2">
      <c r="A96">
        <v>143</v>
      </c>
      <c r="B96">
        <v>25294495.0939213</v>
      </c>
      <c r="C96">
        <v>24372561.417404201</v>
      </c>
      <c r="D96">
        <v>83381629.996321306</v>
      </c>
      <c r="E96">
        <v>87607109.833280593</v>
      </c>
      <c r="F96">
        <v>0</v>
      </c>
      <c r="G96">
        <v>527743.28869876696</v>
      </c>
      <c r="H96">
        <v>274455.12983743299</v>
      </c>
      <c r="I96">
        <v>171050.36854424499</v>
      </c>
    </row>
    <row r="97" spans="1:9" x14ac:dyDescent="0.2">
      <c r="A97">
        <v>144</v>
      </c>
      <c r="B97">
        <v>29070594.426435299</v>
      </c>
      <c r="C97">
        <v>28108520.7275398</v>
      </c>
      <c r="D97">
        <v>95416576.851713106</v>
      </c>
      <c r="E97">
        <v>87680471.348377794</v>
      </c>
      <c r="F97">
        <v>14613411.891396301</v>
      </c>
      <c r="G97">
        <v>567692.24075633998</v>
      </c>
      <c r="H97">
        <v>274480.89360351802</v>
      </c>
      <c r="I97">
        <v>171286.52076519901</v>
      </c>
    </row>
    <row r="98" spans="1:9" x14ac:dyDescent="0.2">
      <c r="A98">
        <v>145</v>
      </c>
      <c r="B98">
        <v>25454406.632004399</v>
      </c>
      <c r="C98">
        <v>24485085.326776799</v>
      </c>
      <c r="D98">
        <v>83757456.041835204</v>
      </c>
      <c r="E98">
        <v>88010477.039551005</v>
      </c>
      <c r="F98">
        <v>0</v>
      </c>
      <c r="G98">
        <v>569912.30445745704</v>
      </c>
      <c r="H98">
        <v>278519.89884340798</v>
      </c>
      <c r="I98">
        <v>172698.71703825699</v>
      </c>
    </row>
    <row r="99" spans="1:9" x14ac:dyDescent="0.2">
      <c r="A99">
        <v>146</v>
      </c>
      <c r="B99">
        <v>29278104.3937971</v>
      </c>
      <c r="C99">
        <v>28355065.591492102</v>
      </c>
      <c r="D99">
        <v>96238858.716267496</v>
      </c>
      <c r="E99">
        <v>88408065.885080606</v>
      </c>
      <c r="F99">
        <v>14734677.647513401</v>
      </c>
      <c r="G99">
        <v>529796.37506877899</v>
      </c>
      <c r="H99">
        <v>275271.60900985799</v>
      </c>
      <c r="I99">
        <v>168529.74032339401</v>
      </c>
    </row>
    <row r="100" spans="1:9" x14ac:dyDescent="0.2">
      <c r="A100">
        <v>147</v>
      </c>
      <c r="B100">
        <v>25525870.3999728</v>
      </c>
      <c r="C100">
        <v>24600735.869103398</v>
      </c>
      <c r="D100">
        <v>84140330.971155897</v>
      </c>
      <c r="E100">
        <v>88422585.464343101</v>
      </c>
      <c r="F100">
        <v>0</v>
      </c>
      <c r="G100">
        <v>514122.533467017</v>
      </c>
      <c r="H100">
        <v>285551.25163742999</v>
      </c>
      <c r="I100">
        <v>179229.63680708301</v>
      </c>
    </row>
    <row r="101" spans="1:9" x14ac:dyDescent="0.2">
      <c r="A101">
        <v>148</v>
      </c>
      <c r="B101">
        <v>29335268.1022305</v>
      </c>
      <c r="C101">
        <v>28391387.3411192</v>
      </c>
      <c r="D101">
        <v>96399536.2183045</v>
      </c>
      <c r="E101">
        <v>88551653.071380705</v>
      </c>
      <c r="F101">
        <v>14758608.845230101</v>
      </c>
      <c r="G101">
        <v>541064.97606778599</v>
      </c>
      <c r="H101">
        <v>277395.68959814002</v>
      </c>
      <c r="I101">
        <v>179171.56492193101</v>
      </c>
    </row>
    <row r="102" spans="1:9" x14ac:dyDescent="0.2">
      <c r="A102">
        <v>149</v>
      </c>
      <c r="B102">
        <v>25657084.820138499</v>
      </c>
      <c r="C102">
        <v>24717416.541901398</v>
      </c>
      <c r="D102">
        <v>84546319.521211997</v>
      </c>
      <c r="E102">
        <v>88830917.969664901</v>
      </c>
      <c r="F102">
        <v>0</v>
      </c>
      <c r="G102">
        <v>540626.45824140997</v>
      </c>
      <c r="H102">
        <v>275834.09631950798</v>
      </c>
      <c r="I102">
        <v>176011.03382305399</v>
      </c>
    </row>
    <row r="103" spans="1:9" x14ac:dyDescent="0.2">
      <c r="A103">
        <v>150</v>
      </c>
      <c r="B103">
        <v>29271645.778156102</v>
      </c>
      <c r="C103">
        <v>28380826.606539302</v>
      </c>
      <c r="D103">
        <v>96305105.139164805</v>
      </c>
      <c r="E103">
        <v>88444199.275406003</v>
      </c>
      <c r="F103">
        <v>14740699.879234301</v>
      </c>
      <c r="G103">
        <v>487371.90184306202</v>
      </c>
      <c r="H103">
        <v>279471.53357872303</v>
      </c>
      <c r="I103">
        <v>177108.194564265</v>
      </c>
    </row>
    <row r="104" spans="1:9" x14ac:dyDescent="0.2">
      <c r="A104">
        <v>151</v>
      </c>
      <c r="B104">
        <v>25742690.059348401</v>
      </c>
      <c r="C104">
        <v>24822801.642285001</v>
      </c>
      <c r="D104">
        <v>84883369.299373299</v>
      </c>
      <c r="E104">
        <v>89166883.182750896</v>
      </c>
      <c r="F104">
        <v>0</v>
      </c>
      <c r="G104">
        <v>515605.38573601301</v>
      </c>
      <c r="H104">
        <v>281553.76154575503</v>
      </c>
      <c r="I104">
        <v>175327.528259485</v>
      </c>
    </row>
    <row r="105" spans="1:9" x14ac:dyDescent="0.2">
      <c r="A105">
        <v>152</v>
      </c>
      <c r="B105">
        <v>29497765.573054601</v>
      </c>
      <c r="C105">
        <v>28584388.874692999</v>
      </c>
      <c r="D105">
        <v>97017092.168797195</v>
      </c>
      <c r="E105">
        <v>89102883.403657898</v>
      </c>
      <c r="F105">
        <v>14850480.567276301</v>
      </c>
      <c r="G105">
        <v>501945.86703937501</v>
      </c>
      <c r="H105">
        <v>286557.72383550898</v>
      </c>
      <c r="I105">
        <v>178390.15355254299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5"/>
  <sheetViews>
    <sheetView zoomScaleNormal="100" workbookViewId="0">
      <selection activeCell="A2" sqref="A2"/>
    </sheetView>
  </sheetViews>
  <sheetFormatPr baseColWidth="10" defaultColWidth="11.5703125" defaultRowHeight="12.75" x14ac:dyDescent="0.2"/>
  <sheetData>
    <row r="1" spans="1:9" x14ac:dyDescent="0.2">
      <c r="A1" t="s">
        <v>164</v>
      </c>
      <c r="B1" t="s">
        <v>148</v>
      </c>
      <c r="C1" t="s">
        <v>193</v>
      </c>
      <c r="D1" t="s">
        <v>194</v>
      </c>
      <c r="E1" t="s">
        <v>195</v>
      </c>
      <c r="F1" t="s">
        <v>196</v>
      </c>
      <c r="G1" t="s">
        <v>197</v>
      </c>
      <c r="H1" t="s">
        <v>198</v>
      </c>
      <c r="I1" t="s">
        <v>149</v>
      </c>
    </row>
    <row r="2" spans="1:9" x14ac:dyDescent="0.2">
      <c r="A2">
        <v>49</v>
      </c>
      <c r="B2">
        <v>18004066.583314002</v>
      </c>
      <c r="C2">
        <v>17351947.9127592</v>
      </c>
      <c r="D2">
        <v>61294383.309515297</v>
      </c>
      <c r="E2">
        <v>61294383.309515297</v>
      </c>
      <c r="F2">
        <v>0</v>
      </c>
      <c r="G2">
        <v>371110.24910052901</v>
      </c>
      <c r="H2">
        <v>186193.97136213601</v>
      </c>
      <c r="I2">
        <v>135449.214417351</v>
      </c>
    </row>
    <row r="3" spans="1:9" x14ac:dyDescent="0.2">
      <c r="A3">
        <v>50</v>
      </c>
      <c r="B3">
        <v>22160667.130405199</v>
      </c>
      <c r="C3">
        <v>21424014.242167398</v>
      </c>
      <c r="D3">
        <v>75698211.079204604</v>
      </c>
      <c r="E3">
        <v>64884180.925032496</v>
      </c>
      <c r="F3">
        <v>10814030.1541721</v>
      </c>
      <c r="G3">
        <v>449590.60420512198</v>
      </c>
      <c r="H3">
        <v>181303.384351026</v>
      </c>
      <c r="I3">
        <v>151084.142402353</v>
      </c>
    </row>
    <row r="4" spans="1:9" x14ac:dyDescent="0.2">
      <c r="A4">
        <v>51</v>
      </c>
      <c r="B4">
        <v>20241474.660854701</v>
      </c>
      <c r="C4">
        <v>19488563.744321998</v>
      </c>
      <c r="D4">
        <v>68948168.7444157</v>
      </c>
      <c r="E4">
        <v>68948168.7444157</v>
      </c>
      <c r="F4">
        <v>0</v>
      </c>
      <c r="G4">
        <v>479074.90149172</v>
      </c>
      <c r="H4">
        <v>169295.89556962001</v>
      </c>
      <c r="I4">
        <v>149343.027816335</v>
      </c>
    </row>
    <row r="5" spans="1:9" x14ac:dyDescent="0.2">
      <c r="A5">
        <v>52</v>
      </c>
      <c r="B5">
        <v>23722644.808656499</v>
      </c>
      <c r="C5">
        <v>22941053.638489801</v>
      </c>
      <c r="D5">
        <v>81128439.104295</v>
      </c>
      <c r="E5">
        <v>69538662.089395702</v>
      </c>
      <c r="F5">
        <v>11589777.0148993</v>
      </c>
      <c r="G5">
        <v>516987.68087816698</v>
      </c>
      <c r="H5">
        <v>162008.72253142999</v>
      </c>
      <c r="I5">
        <v>146563.952510206</v>
      </c>
    </row>
    <row r="6" spans="1:9" x14ac:dyDescent="0.2">
      <c r="A6">
        <v>53</v>
      </c>
      <c r="B6">
        <v>19331318.926965501</v>
      </c>
      <c r="C6">
        <v>18665596.830900799</v>
      </c>
      <c r="D6">
        <v>66019109.634081997</v>
      </c>
      <c r="E6">
        <v>66019109.634081997</v>
      </c>
      <c r="F6">
        <v>0</v>
      </c>
      <c r="G6">
        <v>425976.65143559698</v>
      </c>
      <c r="H6">
        <v>141481.17696988201</v>
      </c>
      <c r="I6">
        <v>140377.52522743901</v>
      </c>
    </row>
    <row r="7" spans="1:9" x14ac:dyDescent="0.2">
      <c r="A7">
        <v>54</v>
      </c>
      <c r="B7">
        <v>22042352.8766765</v>
      </c>
      <c r="C7">
        <v>21400729.493119799</v>
      </c>
      <c r="D7">
        <v>75696584.2068533</v>
      </c>
      <c r="E7">
        <v>64882786.463017099</v>
      </c>
      <c r="F7">
        <v>10813797.7438362</v>
      </c>
      <c r="G7">
        <v>415298.32174647599</v>
      </c>
      <c r="H7">
        <v>127089.694721227</v>
      </c>
      <c r="I7">
        <v>141764.81012723199</v>
      </c>
    </row>
    <row r="8" spans="1:9" x14ac:dyDescent="0.2">
      <c r="A8">
        <v>55</v>
      </c>
      <c r="B8">
        <v>19234129.639467299</v>
      </c>
      <c r="C8">
        <v>18611010.563666701</v>
      </c>
      <c r="D8">
        <v>65799884.388200499</v>
      </c>
      <c r="E8">
        <v>65799884.388200499</v>
      </c>
      <c r="F8">
        <v>0</v>
      </c>
      <c r="G8">
        <v>400553.62954784598</v>
      </c>
      <c r="H8">
        <v>121633.12177446199</v>
      </c>
      <c r="I8">
        <v>144189.0349691</v>
      </c>
    </row>
    <row r="9" spans="1:9" x14ac:dyDescent="0.2">
      <c r="A9">
        <v>56</v>
      </c>
      <c r="B9">
        <v>22573512.100891899</v>
      </c>
      <c r="C9">
        <v>21912021.938731998</v>
      </c>
      <c r="D9">
        <v>77437977.028653696</v>
      </c>
      <c r="E9">
        <v>66375408.881703198</v>
      </c>
      <c r="F9">
        <v>11062568.1469505</v>
      </c>
      <c r="G9">
        <v>439140.63137914101</v>
      </c>
      <c r="H9">
        <v>116461.810362377</v>
      </c>
      <c r="I9">
        <v>151268.17202622999</v>
      </c>
    </row>
    <row r="10" spans="1:9" x14ac:dyDescent="0.2">
      <c r="A10">
        <v>57</v>
      </c>
      <c r="B10">
        <v>19517575.3041269</v>
      </c>
      <c r="C10">
        <v>18779486.421455398</v>
      </c>
      <c r="D10">
        <v>66351902.708365098</v>
      </c>
      <c r="E10">
        <v>66351902.708365098</v>
      </c>
      <c r="F10">
        <v>0</v>
      </c>
      <c r="G10">
        <v>413586.258336625</v>
      </c>
      <c r="H10">
        <v>238137.82332683899</v>
      </c>
      <c r="I10">
        <v>123378.28715431099</v>
      </c>
    </row>
    <row r="11" spans="1:9" x14ac:dyDescent="0.2">
      <c r="A11">
        <v>58</v>
      </c>
      <c r="B11">
        <v>23345722.454706602</v>
      </c>
      <c r="C11">
        <v>22607547.935006998</v>
      </c>
      <c r="D11">
        <v>79882706.221174195</v>
      </c>
      <c r="E11">
        <v>68470891.046720698</v>
      </c>
      <c r="F11">
        <v>11411815.1744534</v>
      </c>
      <c r="G11">
        <v>415889.73563996702</v>
      </c>
      <c r="H11">
        <v>230582.91289528299</v>
      </c>
      <c r="I11">
        <v>131002.673091904</v>
      </c>
    </row>
    <row r="12" spans="1:9" x14ac:dyDescent="0.2">
      <c r="A12">
        <v>59</v>
      </c>
      <c r="B12">
        <v>20685758.757683098</v>
      </c>
      <c r="C12">
        <v>19996764.976166401</v>
      </c>
      <c r="D12">
        <v>70658358.738332406</v>
      </c>
      <c r="E12">
        <v>70658358.738332406</v>
      </c>
      <c r="F12">
        <v>0</v>
      </c>
      <c r="G12">
        <v>367663.67708372697</v>
      </c>
      <c r="H12">
        <v>225108.785774441</v>
      </c>
      <c r="I12">
        <v>137459.02665501201</v>
      </c>
    </row>
    <row r="13" spans="1:9" x14ac:dyDescent="0.2">
      <c r="A13">
        <v>60</v>
      </c>
      <c r="B13">
        <v>24447912.8962081</v>
      </c>
      <c r="C13">
        <v>23723572.901323199</v>
      </c>
      <c r="D13">
        <v>83772244.523737103</v>
      </c>
      <c r="E13">
        <v>71804781.020346001</v>
      </c>
      <c r="F13">
        <v>11967463.503391</v>
      </c>
      <c r="G13">
        <v>396743.97044937999</v>
      </c>
      <c r="H13">
        <v>227007.35824403801</v>
      </c>
      <c r="I13">
        <v>143698.09455918201</v>
      </c>
    </row>
    <row r="14" spans="1:9" x14ac:dyDescent="0.2">
      <c r="A14">
        <v>61</v>
      </c>
      <c r="B14">
        <v>19576875.4819577</v>
      </c>
      <c r="C14">
        <v>18845759.163770702</v>
      </c>
      <c r="D14">
        <v>63609343.145891801</v>
      </c>
      <c r="E14">
        <v>70961222.621446103</v>
      </c>
      <c r="F14">
        <v>0</v>
      </c>
      <c r="G14">
        <v>385120.32309354399</v>
      </c>
      <c r="H14">
        <v>255380.67177360901</v>
      </c>
      <c r="I14">
        <v>129450.461885458</v>
      </c>
    </row>
    <row r="15" spans="1:9" x14ac:dyDescent="0.2">
      <c r="A15">
        <v>62</v>
      </c>
      <c r="B15">
        <v>22220331.7878667</v>
      </c>
      <c r="C15">
        <v>21501773.523859601</v>
      </c>
      <c r="D15">
        <v>72347360.956319407</v>
      </c>
      <c r="E15">
        <v>69714099.348673806</v>
      </c>
      <c r="F15">
        <v>11619016.558112299</v>
      </c>
      <c r="G15">
        <v>396657.89790011599</v>
      </c>
      <c r="H15">
        <v>234931.16464434899</v>
      </c>
      <c r="I15">
        <v>124241.716375217</v>
      </c>
    </row>
    <row r="16" spans="1:9" x14ac:dyDescent="0.2">
      <c r="A16">
        <v>63</v>
      </c>
      <c r="B16">
        <v>18304035.776367702</v>
      </c>
      <c r="C16">
        <v>17663550.803038899</v>
      </c>
      <c r="D16">
        <v>59887509.828085698</v>
      </c>
      <c r="E16">
        <v>66038620.569834404</v>
      </c>
      <c r="F16">
        <v>0</v>
      </c>
      <c r="G16">
        <v>352381.174045611</v>
      </c>
      <c r="H16">
        <v>209277.213559272</v>
      </c>
      <c r="I16">
        <v>112609.408176984</v>
      </c>
    </row>
    <row r="17" spans="1:9" x14ac:dyDescent="0.2">
      <c r="A17">
        <v>64</v>
      </c>
      <c r="B17">
        <v>19978690.537035901</v>
      </c>
      <c r="C17">
        <v>19379627.333899401</v>
      </c>
      <c r="D17">
        <v>65512402.005985796</v>
      </c>
      <c r="E17">
        <v>62295342.036372103</v>
      </c>
      <c r="F17">
        <v>10382557.006061999</v>
      </c>
      <c r="G17">
        <v>319999.95144205698</v>
      </c>
      <c r="H17">
        <v>201096.56434005901</v>
      </c>
      <c r="I17">
        <v>111380.981934753</v>
      </c>
    </row>
    <row r="18" spans="1:9" x14ac:dyDescent="0.2">
      <c r="A18">
        <v>65</v>
      </c>
      <c r="B18">
        <v>15756304.888634499</v>
      </c>
      <c r="C18">
        <v>15193606.465438699</v>
      </c>
      <c r="D18">
        <v>48177812.0374659</v>
      </c>
      <c r="E18">
        <v>61901652.062431298</v>
      </c>
      <c r="F18">
        <v>0</v>
      </c>
      <c r="G18">
        <v>293131.75807029603</v>
      </c>
      <c r="H18">
        <v>190577.79280104101</v>
      </c>
      <c r="I18">
        <v>112841.24617785</v>
      </c>
    </row>
    <row r="19" spans="1:9" x14ac:dyDescent="0.2">
      <c r="A19">
        <v>66</v>
      </c>
      <c r="B19">
        <v>18646832.081061799</v>
      </c>
      <c r="C19">
        <v>18090154.278173201</v>
      </c>
      <c r="D19">
        <v>57961726.893046699</v>
      </c>
      <c r="E19">
        <v>62298473.593843803</v>
      </c>
      <c r="F19">
        <v>10383078.932307299</v>
      </c>
      <c r="G19">
        <v>291184.12761155498</v>
      </c>
      <c r="H19">
        <v>187536.51494511199</v>
      </c>
      <c r="I19">
        <v>111367.371902844</v>
      </c>
    </row>
    <row r="20" spans="1:9" x14ac:dyDescent="0.2">
      <c r="A20">
        <v>67</v>
      </c>
      <c r="B20">
        <v>15995991.385132801</v>
      </c>
      <c r="C20">
        <v>15400438.3371056</v>
      </c>
      <c r="D20">
        <v>49780329.9978223</v>
      </c>
      <c r="E20">
        <v>61143413.942368798</v>
      </c>
      <c r="F20">
        <v>0</v>
      </c>
      <c r="G20">
        <v>333334.34743005899</v>
      </c>
      <c r="H20">
        <v>185155.38842164801</v>
      </c>
      <c r="I20">
        <v>110090.445964971</v>
      </c>
    </row>
    <row r="21" spans="1:9" x14ac:dyDescent="0.2">
      <c r="A21">
        <v>68</v>
      </c>
      <c r="B21">
        <v>18436118.617878798</v>
      </c>
      <c r="C21">
        <v>17814052.754411299</v>
      </c>
      <c r="D21">
        <v>58032338.900745697</v>
      </c>
      <c r="E21">
        <v>60049347.4910767</v>
      </c>
      <c r="F21">
        <v>10008224.581846099</v>
      </c>
      <c r="G21">
        <v>358026.74199806101</v>
      </c>
      <c r="H21">
        <v>187473.95922092799</v>
      </c>
      <c r="I21">
        <v>109378.803212193</v>
      </c>
    </row>
    <row r="22" spans="1:9" x14ac:dyDescent="0.2">
      <c r="A22">
        <v>69</v>
      </c>
      <c r="B22">
        <v>16534328.448762299</v>
      </c>
      <c r="C22">
        <v>15915738.7557947</v>
      </c>
      <c r="D22">
        <v>52130724.653461598</v>
      </c>
      <c r="E22">
        <v>61244689.815943196</v>
      </c>
      <c r="F22">
        <v>0</v>
      </c>
      <c r="G22">
        <v>354007.38754627499</v>
      </c>
      <c r="H22">
        <v>187218.05330085801</v>
      </c>
      <c r="I22">
        <v>110520.360172067</v>
      </c>
    </row>
    <row r="23" spans="1:9" x14ac:dyDescent="0.2">
      <c r="A23">
        <v>70</v>
      </c>
      <c r="B23">
        <v>19981588.965427399</v>
      </c>
      <c r="C23">
        <v>19387245.1302648</v>
      </c>
      <c r="D23">
        <v>63853690.683879703</v>
      </c>
      <c r="E23">
        <v>63398670.412041299</v>
      </c>
      <c r="F23">
        <v>10566445.068673501</v>
      </c>
      <c r="G23">
        <v>335955.36035998398</v>
      </c>
      <c r="H23">
        <v>181176.88140196499</v>
      </c>
      <c r="I23">
        <v>110302.276286578</v>
      </c>
    </row>
    <row r="24" spans="1:9" x14ac:dyDescent="0.2">
      <c r="A24">
        <v>71</v>
      </c>
      <c r="B24">
        <v>17776916.5235002</v>
      </c>
      <c r="C24">
        <v>17206220.134735901</v>
      </c>
      <c r="D24">
        <v>57228739.0532014</v>
      </c>
      <c r="E24">
        <v>64778706.079149202</v>
      </c>
      <c r="F24">
        <v>0</v>
      </c>
      <c r="G24">
        <v>302818.90418517799</v>
      </c>
      <c r="H24">
        <v>185822.210640445</v>
      </c>
      <c r="I24">
        <v>117221.819912354</v>
      </c>
    </row>
    <row r="25" spans="1:9" x14ac:dyDescent="0.2">
      <c r="A25">
        <v>72</v>
      </c>
      <c r="B25">
        <v>21120496.0261668</v>
      </c>
      <c r="C25">
        <v>20556114.199554998</v>
      </c>
      <c r="D25">
        <v>68284585.712591201</v>
      </c>
      <c r="E25">
        <v>66396713.012791499</v>
      </c>
      <c r="F25">
        <v>11066118.835465301</v>
      </c>
      <c r="G25">
        <v>298876.02546835202</v>
      </c>
      <c r="H25">
        <v>182282.570317128</v>
      </c>
      <c r="I25">
        <v>118890.32975185099</v>
      </c>
    </row>
    <row r="26" spans="1:9" x14ac:dyDescent="0.2">
      <c r="A26">
        <v>73</v>
      </c>
      <c r="B26">
        <v>18926520.649835501</v>
      </c>
      <c r="C26">
        <v>18317934.129526399</v>
      </c>
      <c r="D26">
        <v>61446669.342571303</v>
      </c>
      <c r="E26">
        <v>68081891.645709604</v>
      </c>
      <c r="F26">
        <v>0</v>
      </c>
      <c r="G26">
        <v>331385.76564628002</v>
      </c>
      <c r="H26">
        <v>190042.23101156001</v>
      </c>
      <c r="I26">
        <v>124512.17664464501</v>
      </c>
    </row>
    <row r="27" spans="1:9" x14ac:dyDescent="0.2">
      <c r="A27">
        <v>74</v>
      </c>
      <c r="B27">
        <v>22479691.049968299</v>
      </c>
      <c r="C27">
        <v>21856382.942422599</v>
      </c>
      <c r="D27">
        <v>73055387.514448002</v>
      </c>
      <c r="E27">
        <v>69943424.698162094</v>
      </c>
      <c r="F27">
        <v>11657237.4496937</v>
      </c>
      <c r="G27">
        <v>340362.57803407602</v>
      </c>
      <c r="H27">
        <v>196927.958499987</v>
      </c>
      <c r="I27">
        <v>122882.24430235699</v>
      </c>
    </row>
    <row r="28" spans="1:9" x14ac:dyDescent="0.2">
      <c r="A28">
        <v>75</v>
      </c>
      <c r="B28">
        <v>20111110.527476698</v>
      </c>
      <c r="C28">
        <v>19479063.992956702</v>
      </c>
      <c r="D28">
        <v>65650261.219633803</v>
      </c>
      <c r="E28">
        <v>71797174.791886002</v>
      </c>
      <c r="F28">
        <v>0</v>
      </c>
      <c r="G28">
        <v>349085.487799478</v>
      </c>
      <c r="H28">
        <v>196561.13593798899</v>
      </c>
      <c r="I28">
        <v>123428.44397502999</v>
      </c>
    </row>
    <row r="29" spans="1:9" x14ac:dyDescent="0.2">
      <c r="A29">
        <v>76</v>
      </c>
      <c r="B29">
        <v>23875800.029132299</v>
      </c>
      <c r="C29">
        <v>23220148.244092502</v>
      </c>
      <c r="D29">
        <v>77978617.908262506</v>
      </c>
      <c r="E29">
        <v>73845760.878262103</v>
      </c>
      <c r="F29">
        <v>12307626.813043701</v>
      </c>
      <c r="G29">
        <v>365930.92790574301</v>
      </c>
      <c r="H29">
        <v>199794.16346559901</v>
      </c>
      <c r="I29">
        <v>128466.70524058799</v>
      </c>
    </row>
    <row r="30" spans="1:9" x14ac:dyDescent="0.2">
      <c r="A30">
        <v>77</v>
      </c>
      <c r="B30">
        <v>21031205.818858501</v>
      </c>
      <c r="C30">
        <v>20343357.387747701</v>
      </c>
      <c r="D30">
        <v>68885229.611595199</v>
      </c>
      <c r="E30">
        <v>74505586.316112697</v>
      </c>
      <c r="F30">
        <v>0</v>
      </c>
      <c r="G30">
        <v>386614.474328221</v>
      </c>
      <c r="H30">
        <v>207998.718486636</v>
      </c>
      <c r="I30">
        <v>133193.19756555001</v>
      </c>
    </row>
    <row r="31" spans="1:9" x14ac:dyDescent="0.2">
      <c r="A31">
        <v>78</v>
      </c>
      <c r="B31">
        <v>24280616.180994</v>
      </c>
      <c r="C31">
        <v>23600864.360135101</v>
      </c>
      <c r="D31">
        <v>79499247.644328102</v>
      </c>
      <c r="E31">
        <v>74613779.987402707</v>
      </c>
      <c r="F31">
        <v>12435629.9979004</v>
      </c>
      <c r="G31">
        <v>372639.63926242001</v>
      </c>
      <c r="H31">
        <v>212387.07310535401</v>
      </c>
      <c r="I31">
        <v>135321.58355877499</v>
      </c>
    </row>
    <row r="32" spans="1:9" x14ac:dyDescent="0.2">
      <c r="A32">
        <v>79</v>
      </c>
      <c r="B32">
        <v>21549529.598664299</v>
      </c>
      <c r="C32">
        <v>20801961.384364001</v>
      </c>
      <c r="D32">
        <v>70686963.806022003</v>
      </c>
      <c r="E32">
        <v>75767435.434803501</v>
      </c>
      <c r="F32">
        <v>0</v>
      </c>
      <c r="G32">
        <v>436810.43641202903</v>
      </c>
      <c r="H32">
        <v>216628.08904228199</v>
      </c>
      <c r="I32">
        <v>134470.98406568301</v>
      </c>
    </row>
    <row r="33" spans="1:9" x14ac:dyDescent="0.2">
      <c r="A33">
        <v>80</v>
      </c>
      <c r="B33">
        <v>24957274.710528601</v>
      </c>
      <c r="C33">
        <v>24260099.940313701</v>
      </c>
      <c r="D33">
        <v>81955610.511192903</v>
      </c>
      <c r="E33">
        <v>76435309.563979298</v>
      </c>
      <c r="F33">
        <v>12739218.2606632</v>
      </c>
      <c r="G33">
        <v>387309.904700168</v>
      </c>
      <c r="H33">
        <v>215276.65257178401</v>
      </c>
      <c r="I33">
        <v>135126.01848994999</v>
      </c>
    </row>
    <row r="34" spans="1:9" x14ac:dyDescent="0.2">
      <c r="A34">
        <v>81</v>
      </c>
      <c r="B34">
        <v>22013924.972267799</v>
      </c>
      <c r="C34">
        <v>21278841.742530402</v>
      </c>
      <c r="D34">
        <v>72479174.737515703</v>
      </c>
      <c r="E34">
        <v>77245965.596486494</v>
      </c>
      <c r="F34">
        <v>0</v>
      </c>
      <c r="G34">
        <v>419101.12670225702</v>
      </c>
      <c r="H34">
        <v>218772.92429061799</v>
      </c>
      <c r="I34">
        <v>138870.25534937499</v>
      </c>
    </row>
    <row r="35" spans="1:9" x14ac:dyDescent="0.2">
      <c r="A35">
        <v>82</v>
      </c>
      <c r="B35">
        <v>25681882.583296701</v>
      </c>
      <c r="C35">
        <v>24961550.8082866</v>
      </c>
      <c r="D35">
        <v>84486064.359900504</v>
      </c>
      <c r="E35">
        <v>78439301.3781607</v>
      </c>
      <c r="F35">
        <v>13073216.896360099</v>
      </c>
      <c r="G35">
        <v>397402.89316619502</v>
      </c>
      <c r="H35">
        <v>223815.58953607999</v>
      </c>
      <c r="I35">
        <v>141590.41758257401</v>
      </c>
    </row>
    <row r="36" spans="1:9" x14ac:dyDescent="0.2">
      <c r="A36">
        <v>83</v>
      </c>
      <c r="B36">
        <v>22577468.258597501</v>
      </c>
      <c r="C36">
        <v>21806983.857789099</v>
      </c>
      <c r="D36">
        <v>74463184.546092004</v>
      </c>
      <c r="E36">
        <v>78961648.535317197</v>
      </c>
      <c r="F36">
        <v>0</v>
      </c>
      <c r="G36">
        <v>433688.802140349</v>
      </c>
      <c r="H36">
        <v>233272.60512475399</v>
      </c>
      <c r="I36">
        <v>147889.99077612199</v>
      </c>
    </row>
    <row r="37" spans="1:9" x14ac:dyDescent="0.2">
      <c r="A37">
        <v>84</v>
      </c>
      <c r="B37">
        <v>26369676.7312904</v>
      </c>
      <c r="C37">
        <v>25602212.922016598</v>
      </c>
      <c r="D37">
        <v>86801165.7756778</v>
      </c>
      <c r="E37">
        <v>80274208.854935095</v>
      </c>
      <c r="F37">
        <v>13379034.809155799</v>
      </c>
      <c r="G37">
        <v>435681.82148439699</v>
      </c>
      <c r="H37">
        <v>229645.26266492301</v>
      </c>
      <c r="I37">
        <v>145909.607320735</v>
      </c>
    </row>
    <row r="38" spans="1:9" x14ac:dyDescent="0.2">
      <c r="A38">
        <v>85</v>
      </c>
      <c r="B38">
        <v>23472524.407227501</v>
      </c>
      <c r="C38">
        <v>22719313.316682499</v>
      </c>
      <c r="D38">
        <v>77685110.308889493</v>
      </c>
      <c r="E38">
        <v>82078970.368486494</v>
      </c>
      <c r="F38">
        <v>0</v>
      </c>
      <c r="G38">
        <v>419607.12788552197</v>
      </c>
      <c r="H38">
        <v>232190.217479574</v>
      </c>
      <c r="I38">
        <v>144876.778828376</v>
      </c>
    </row>
    <row r="39" spans="1:9" x14ac:dyDescent="0.2">
      <c r="A39">
        <v>86</v>
      </c>
      <c r="B39">
        <v>27136908.035000801</v>
      </c>
      <c r="C39">
        <v>26374196.763762999</v>
      </c>
      <c r="D39">
        <v>89548992.742716104</v>
      </c>
      <c r="E39">
        <v>82556979.472140595</v>
      </c>
      <c r="F39">
        <v>13759496.5786901</v>
      </c>
      <c r="G39">
        <v>421490.39388163597</v>
      </c>
      <c r="H39">
        <v>236863.48568163899</v>
      </c>
      <c r="I39">
        <v>149081.988106479</v>
      </c>
    </row>
    <row r="40" spans="1:9" x14ac:dyDescent="0.2">
      <c r="A40">
        <v>87</v>
      </c>
      <c r="B40">
        <v>23947925.514002301</v>
      </c>
      <c r="C40">
        <v>23162828.4613543</v>
      </c>
      <c r="D40">
        <v>79313676.129850402</v>
      </c>
      <c r="E40">
        <v>83576202.497019693</v>
      </c>
      <c r="F40">
        <v>0</v>
      </c>
      <c r="G40">
        <v>451313.47784197697</v>
      </c>
      <c r="H40">
        <v>230935.89717590599</v>
      </c>
      <c r="I40">
        <v>146925.25375725201</v>
      </c>
    </row>
    <row r="41" spans="1:9" x14ac:dyDescent="0.2">
      <c r="A41">
        <v>88</v>
      </c>
      <c r="B41">
        <v>28019969.681206498</v>
      </c>
      <c r="C41">
        <v>27215380.790669098</v>
      </c>
      <c r="D41">
        <v>92470675.525817201</v>
      </c>
      <c r="E41">
        <v>85105636.050318405</v>
      </c>
      <c r="F41">
        <v>14184272.675053099</v>
      </c>
      <c r="G41">
        <v>468728.58775680902</v>
      </c>
      <c r="H41">
        <v>232078.20805898399</v>
      </c>
      <c r="I41">
        <v>148260.13531661901</v>
      </c>
    </row>
    <row r="42" spans="1:9" x14ac:dyDescent="0.2">
      <c r="A42">
        <v>89</v>
      </c>
      <c r="B42">
        <v>24882904.627725601</v>
      </c>
      <c r="C42">
        <v>24065732.403498299</v>
      </c>
      <c r="D42">
        <v>82420315.418114707</v>
      </c>
      <c r="E42">
        <v>86736973.552883402</v>
      </c>
      <c r="F42">
        <v>0</v>
      </c>
      <c r="G42">
        <v>473315.36839706003</v>
      </c>
      <c r="H42">
        <v>239461.33015233799</v>
      </c>
      <c r="I42">
        <v>149136.46525407099</v>
      </c>
    </row>
    <row r="43" spans="1:9" x14ac:dyDescent="0.2">
      <c r="A43">
        <v>90</v>
      </c>
      <c r="B43">
        <v>29089643.5178422</v>
      </c>
      <c r="C43">
        <v>28324942.850901499</v>
      </c>
      <c r="D43">
        <v>96228388.222967997</v>
      </c>
      <c r="E43">
        <v>88507074.400175393</v>
      </c>
      <c r="F43">
        <v>14751179.066695901</v>
      </c>
      <c r="G43">
        <v>418200.153329583</v>
      </c>
      <c r="H43">
        <v>239547.150820852</v>
      </c>
      <c r="I43">
        <v>152790.51827172501</v>
      </c>
    </row>
    <row r="44" spans="1:9" x14ac:dyDescent="0.2">
      <c r="A44">
        <v>91</v>
      </c>
      <c r="B44">
        <v>25822973.774945699</v>
      </c>
      <c r="C44">
        <v>25058898.9748841</v>
      </c>
      <c r="D44">
        <v>85815587.619633198</v>
      </c>
      <c r="E44">
        <v>90272465.684021801</v>
      </c>
      <c r="F44">
        <v>0</v>
      </c>
      <c r="G44">
        <v>423498.72602306597</v>
      </c>
      <c r="H44">
        <v>237581.63945740301</v>
      </c>
      <c r="I44">
        <v>147134.90654442299</v>
      </c>
    </row>
    <row r="45" spans="1:9" x14ac:dyDescent="0.2">
      <c r="A45">
        <v>92</v>
      </c>
      <c r="B45">
        <v>29926354.730582301</v>
      </c>
      <c r="C45">
        <v>29132145.961081099</v>
      </c>
      <c r="D45">
        <v>99008504.573478401</v>
      </c>
      <c r="E45">
        <v>91016013.940365106</v>
      </c>
      <c r="F45">
        <v>15169335.6567275</v>
      </c>
      <c r="G45">
        <v>450465.90383674699</v>
      </c>
      <c r="H45">
        <v>240118.40974113799</v>
      </c>
      <c r="I45">
        <v>148034.937033247</v>
      </c>
    </row>
    <row r="46" spans="1:9" x14ac:dyDescent="0.2">
      <c r="A46">
        <v>93</v>
      </c>
      <c r="B46">
        <v>26380995.169767302</v>
      </c>
      <c r="C46">
        <v>25575551.976590499</v>
      </c>
      <c r="D46">
        <v>87642019.1353302</v>
      </c>
      <c r="E46">
        <v>92085334.703924701</v>
      </c>
      <c r="F46">
        <v>0</v>
      </c>
      <c r="G46">
        <v>460327.25006670901</v>
      </c>
      <c r="H46">
        <v>242757.413602566</v>
      </c>
      <c r="I46">
        <v>146226.470725035</v>
      </c>
    </row>
    <row r="47" spans="1:9" x14ac:dyDescent="0.2">
      <c r="A47">
        <v>94</v>
      </c>
      <c r="B47">
        <v>30511696.8074647</v>
      </c>
      <c r="C47">
        <v>29724310.5268883</v>
      </c>
      <c r="D47">
        <v>101026984.50551499</v>
      </c>
      <c r="E47">
        <v>92803686.461302593</v>
      </c>
      <c r="F47">
        <v>15467281.0768838</v>
      </c>
      <c r="G47">
        <v>435928.74053162301</v>
      </c>
      <c r="H47">
        <v>246863.85962484599</v>
      </c>
      <c r="I47">
        <v>149419.54345712901</v>
      </c>
    </row>
    <row r="48" spans="1:9" x14ac:dyDescent="0.2">
      <c r="A48">
        <v>95</v>
      </c>
      <c r="B48">
        <v>26864788.207669299</v>
      </c>
      <c r="C48">
        <v>26041506.872741699</v>
      </c>
      <c r="D48">
        <v>89215666.3248308</v>
      </c>
      <c r="E48">
        <v>93731961.707076803</v>
      </c>
      <c r="F48">
        <v>0</v>
      </c>
      <c r="G48">
        <v>468753.43236996199</v>
      </c>
      <c r="H48">
        <v>246975.01499128001</v>
      </c>
      <c r="I48">
        <v>153646.98223771801</v>
      </c>
    </row>
    <row r="49" spans="1:9" x14ac:dyDescent="0.2">
      <c r="A49">
        <v>96</v>
      </c>
      <c r="B49">
        <v>31273913.9515264</v>
      </c>
      <c r="C49">
        <v>30465011.525881398</v>
      </c>
      <c r="D49">
        <v>103549451.748069</v>
      </c>
      <c r="E49">
        <v>95075604.639582202</v>
      </c>
      <c r="F49">
        <v>15845934.106597001</v>
      </c>
      <c r="G49">
        <v>454360.515983772</v>
      </c>
      <c r="H49">
        <v>247710.43352856999</v>
      </c>
      <c r="I49">
        <v>152616.39447532699</v>
      </c>
    </row>
    <row r="50" spans="1:9" x14ac:dyDescent="0.2">
      <c r="A50">
        <v>97</v>
      </c>
      <c r="B50">
        <v>27507274.438379399</v>
      </c>
      <c r="C50">
        <v>26684899.218478698</v>
      </c>
      <c r="D50">
        <v>91415750.981264994</v>
      </c>
      <c r="E50">
        <v>95991109.868893206</v>
      </c>
      <c r="F50">
        <v>0</v>
      </c>
      <c r="G50">
        <v>462582.67210129299</v>
      </c>
      <c r="H50">
        <v>251003.62382920599</v>
      </c>
      <c r="I50">
        <v>155412.748528856</v>
      </c>
    </row>
    <row r="51" spans="1:9" x14ac:dyDescent="0.2">
      <c r="A51">
        <v>98</v>
      </c>
      <c r="B51">
        <v>31899087.155240402</v>
      </c>
      <c r="C51">
        <v>31094340.6170533</v>
      </c>
      <c r="D51">
        <v>105665272.29407699</v>
      </c>
      <c r="E51">
        <v>97004500.902039707</v>
      </c>
      <c r="F51">
        <v>16167416.817006599</v>
      </c>
      <c r="G51">
        <v>444637.04408542701</v>
      </c>
      <c r="H51">
        <v>251430.65209642801</v>
      </c>
      <c r="I51">
        <v>155255.488579011</v>
      </c>
    </row>
    <row r="52" spans="1:9" x14ac:dyDescent="0.2">
      <c r="A52">
        <v>99</v>
      </c>
      <c r="B52">
        <v>28028164.299031999</v>
      </c>
      <c r="C52">
        <v>27197300.8199827</v>
      </c>
      <c r="D52">
        <v>93164782.123193398</v>
      </c>
      <c r="E52">
        <v>97772123.902399898</v>
      </c>
      <c r="F52">
        <v>0</v>
      </c>
      <c r="G52">
        <v>468348.83115245303</v>
      </c>
      <c r="H52">
        <v>253997.186652064</v>
      </c>
      <c r="I52">
        <v>155024.94463541001</v>
      </c>
    </row>
    <row r="53" spans="1:9" x14ac:dyDescent="0.2">
      <c r="A53">
        <v>100</v>
      </c>
      <c r="B53">
        <v>32728178.484482002</v>
      </c>
      <c r="C53">
        <v>31918506.1044898</v>
      </c>
      <c r="D53">
        <v>108454704.48772199</v>
      </c>
      <c r="E53">
        <v>99527091.226988196</v>
      </c>
      <c r="F53">
        <v>16587848.5378314</v>
      </c>
      <c r="G53">
        <v>458612.41695945</v>
      </c>
      <c r="H53">
        <v>244570.683143414</v>
      </c>
      <c r="I53">
        <v>152127.54269902399</v>
      </c>
    </row>
    <row r="54" spans="1:9" x14ac:dyDescent="0.2">
      <c r="A54">
        <v>101</v>
      </c>
      <c r="B54">
        <v>28755793.211425401</v>
      </c>
      <c r="C54">
        <v>27939460.852087099</v>
      </c>
      <c r="D54">
        <v>95704504.835948005</v>
      </c>
      <c r="E54">
        <v>100427460.946527</v>
      </c>
      <c r="F54">
        <v>0</v>
      </c>
      <c r="G54">
        <v>459009.05366367399</v>
      </c>
      <c r="H54">
        <v>247583.37323649201</v>
      </c>
      <c r="I54">
        <v>156771.33205447401</v>
      </c>
    </row>
    <row r="55" spans="1:9" x14ac:dyDescent="0.2">
      <c r="A55">
        <v>102</v>
      </c>
      <c r="B55">
        <v>33215625.4752976</v>
      </c>
      <c r="C55">
        <v>32391900.046526302</v>
      </c>
      <c r="D55">
        <v>110105313.730928</v>
      </c>
      <c r="E55">
        <v>101020187.024142</v>
      </c>
      <c r="F55">
        <v>16836697.837357</v>
      </c>
      <c r="G55">
        <v>456038.801288074</v>
      </c>
      <c r="H55">
        <v>254150.71128362999</v>
      </c>
      <c r="I55">
        <v>162194.16599941201</v>
      </c>
    </row>
    <row r="56" spans="1:9" x14ac:dyDescent="0.2">
      <c r="A56">
        <v>103</v>
      </c>
      <c r="B56">
        <v>29317667.460952599</v>
      </c>
      <c r="C56">
        <v>28479692.105088599</v>
      </c>
      <c r="D56">
        <v>97596633.626276702</v>
      </c>
      <c r="E56">
        <v>102364629.026765</v>
      </c>
      <c r="F56">
        <v>0</v>
      </c>
      <c r="G56">
        <v>466919.615446685</v>
      </c>
      <c r="H56">
        <v>257012.974742233</v>
      </c>
      <c r="I56">
        <v>162918.23667881201</v>
      </c>
    </row>
    <row r="57" spans="1:9" x14ac:dyDescent="0.2">
      <c r="A57">
        <v>104</v>
      </c>
      <c r="B57">
        <v>34056547.971006498</v>
      </c>
      <c r="C57">
        <v>33172743.6930863</v>
      </c>
      <c r="D57">
        <v>112785694.210706</v>
      </c>
      <c r="E57">
        <v>103429473.49313401</v>
      </c>
      <c r="F57">
        <v>17238245.582189001</v>
      </c>
      <c r="G57">
        <v>516178.86056860001</v>
      </c>
      <c r="H57">
        <v>255190.548538982</v>
      </c>
      <c r="I57">
        <v>160621.24116093101</v>
      </c>
    </row>
    <row r="58" spans="1:9" x14ac:dyDescent="0.2">
      <c r="A58">
        <v>105</v>
      </c>
      <c r="B58">
        <v>30015438.835850701</v>
      </c>
      <c r="C58">
        <v>29118796.789725699</v>
      </c>
      <c r="D58">
        <v>99825495.071707904</v>
      </c>
      <c r="E58">
        <v>104637301.84748399</v>
      </c>
      <c r="F58">
        <v>0</v>
      </c>
      <c r="G58">
        <v>516677.79687058699</v>
      </c>
      <c r="H58">
        <v>264006.07133074902</v>
      </c>
      <c r="I58">
        <v>165654.539890883</v>
      </c>
    </row>
    <row r="59" spans="1:9" x14ac:dyDescent="0.2">
      <c r="A59">
        <v>106</v>
      </c>
      <c r="B59">
        <v>35182913.569012702</v>
      </c>
      <c r="C59">
        <v>34325636.650971599</v>
      </c>
      <c r="D59">
        <v>116733064.94276699</v>
      </c>
      <c r="E59">
        <v>106993108.610853</v>
      </c>
      <c r="F59">
        <v>17832184.7684756</v>
      </c>
      <c r="G59">
        <v>481792.48156782001</v>
      </c>
      <c r="H59">
        <v>261500.59934495101</v>
      </c>
      <c r="I59">
        <v>162834.05304041901</v>
      </c>
    </row>
    <row r="60" spans="1:9" x14ac:dyDescent="0.2">
      <c r="A60">
        <v>107</v>
      </c>
      <c r="B60">
        <v>30890532.4763312</v>
      </c>
      <c r="C60">
        <v>29989552.572180599</v>
      </c>
      <c r="D60">
        <v>102770778.705015</v>
      </c>
      <c r="E60">
        <v>107726735.92648099</v>
      </c>
      <c r="F60">
        <v>0</v>
      </c>
      <c r="G60">
        <v>518488.16310474603</v>
      </c>
      <c r="H60">
        <v>265495.60712308303</v>
      </c>
      <c r="I60">
        <v>167137.334175383</v>
      </c>
    </row>
    <row r="61" spans="1:9" x14ac:dyDescent="0.2">
      <c r="A61">
        <v>108</v>
      </c>
      <c r="B61">
        <v>35874429.2168293</v>
      </c>
      <c r="C61">
        <v>34982118.344237097</v>
      </c>
      <c r="D61">
        <v>118938901.951564</v>
      </c>
      <c r="E61">
        <v>109004474.10986599</v>
      </c>
      <c r="F61">
        <v>18167412.3516443</v>
      </c>
      <c r="G61">
        <v>520212.45343723102</v>
      </c>
      <c r="H61">
        <v>256844.32254913499</v>
      </c>
      <c r="I61">
        <v>164648.70943682501</v>
      </c>
    </row>
    <row r="62" spans="1:9" x14ac:dyDescent="0.2">
      <c r="A62">
        <v>109</v>
      </c>
      <c r="B62">
        <v>31348337.903726202</v>
      </c>
      <c r="C62">
        <v>30449051.933163501</v>
      </c>
      <c r="D62">
        <v>104360659.33409099</v>
      </c>
      <c r="E62">
        <v>109386980.398297</v>
      </c>
      <c r="F62">
        <v>0</v>
      </c>
      <c r="G62">
        <v>504131.90688547399</v>
      </c>
      <c r="H62">
        <v>271684.17417142401</v>
      </c>
      <c r="I62">
        <v>176385.55643687499</v>
      </c>
    </row>
    <row r="63" spans="1:9" x14ac:dyDescent="0.2">
      <c r="A63">
        <v>110</v>
      </c>
      <c r="B63">
        <v>36448250.157268196</v>
      </c>
      <c r="C63">
        <v>35548282.017426103</v>
      </c>
      <c r="D63">
        <v>120892953.164867</v>
      </c>
      <c r="E63">
        <v>110750508.19415499</v>
      </c>
      <c r="F63">
        <v>18458418.032359201</v>
      </c>
      <c r="G63">
        <v>512915.47857897601</v>
      </c>
      <c r="H63">
        <v>267472.51003606198</v>
      </c>
      <c r="I63">
        <v>170828.78746726699</v>
      </c>
    </row>
    <row r="64" spans="1:9" x14ac:dyDescent="0.2">
      <c r="A64">
        <v>111</v>
      </c>
      <c r="B64">
        <v>31855667.628003798</v>
      </c>
      <c r="C64">
        <v>30978358.241739899</v>
      </c>
      <c r="D64">
        <v>106225026.54684301</v>
      </c>
      <c r="E64">
        <v>111238235.021144</v>
      </c>
      <c r="F64">
        <v>0</v>
      </c>
      <c r="G64">
        <v>491157.002597232</v>
      </c>
      <c r="H64">
        <v>266636.53191446699</v>
      </c>
      <c r="I64">
        <v>170736.93107454001</v>
      </c>
    </row>
    <row r="65" spans="1:9" x14ac:dyDescent="0.2">
      <c r="A65">
        <v>112</v>
      </c>
      <c r="B65">
        <v>37291263.574217401</v>
      </c>
      <c r="C65">
        <v>36385361.714266099</v>
      </c>
      <c r="D65">
        <v>123811782.32265</v>
      </c>
      <c r="E65">
        <v>113347901.20327701</v>
      </c>
      <c r="F65">
        <v>18891316.867212798</v>
      </c>
      <c r="G65">
        <v>513093.73234023299</v>
      </c>
      <c r="H65">
        <v>273085.90898684302</v>
      </c>
      <c r="I65">
        <v>171031.74089179901</v>
      </c>
    </row>
    <row r="66" spans="1:9" x14ac:dyDescent="0.2">
      <c r="A66">
        <v>113</v>
      </c>
      <c r="B66">
        <v>32943710.037694499</v>
      </c>
      <c r="C66">
        <v>32005469.950487301</v>
      </c>
      <c r="D66">
        <v>109799456.73396</v>
      </c>
      <c r="E66">
        <v>114911478.238573</v>
      </c>
      <c r="F66">
        <v>0</v>
      </c>
      <c r="G66">
        <v>539309.68729718705</v>
      </c>
      <c r="H66">
        <v>275750.30837078497</v>
      </c>
      <c r="I66">
        <v>175971.55934178</v>
      </c>
    </row>
    <row r="67" spans="1:9" x14ac:dyDescent="0.2">
      <c r="A67">
        <v>114</v>
      </c>
      <c r="B67">
        <v>38287397.2990776</v>
      </c>
      <c r="C67">
        <v>37359931.851586297</v>
      </c>
      <c r="D67">
        <v>127152070.60815699</v>
      </c>
      <c r="E67">
        <v>116372557.08452199</v>
      </c>
      <c r="F67">
        <v>19395426.1807537</v>
      </c>
      <c r="G67">
        <v>533191.13017307699</v>
      </c>
      <c r="H67">
        <v>273710.96302091097</v>
      </c>
      <c r="I67">
        <v>172233.36328186499</v>
      </c>
    </row>
    <row r="68" spans="1:9" x14ac:dyDescent="0.2">
      <c r="A68">
        <v>115</v>
      </c>
      <c r="B68">
        <v>33720510.821095496</v>
      </c>
      <c r="C68">
        <v>32776422.515512001</v>
      </c>
      <c r="D68">
        <v>112446535.51798201</v>
      </c>
      <c r="E68">
        <v>117661030.082426</v>
      </c>
      <c r="F68">
        <v>0</v>
      </c>
      <c r="G68">
        <v>539057.90318108501</v>
      </c>
      <c r="H68">
        <v>280887.67070287798</v>
      </c>
      <c r="I68">
        <v>177346.759570742</v>
      </c>
    </row>
    <row r="69" spans="1:9" x14ac:dyDescent="0.2">
      <c r="A69">
        <v>116</v>
      </c>
      <c r="B69">
        <v>39061029.1104206</v>
      </c>
      <c r="C69">
        <v>38134119.626971602</v>
      </c>
      <c r="D69">
        <v>129774947.91367801</v>
      </c>
      <c r="E69">
        <v>118749206.562077</v>
      </c>
      <c r="F69">
        <v>19791534.427012801</v>
      </c>
      <c r="G69">
        <v>530843.352006161</v>
      </c>
      <c r="H69">
        <v>272501.52087750501</v>
      </c>
      <c r="I69">
        <v>176520.87223628501</v>
      </c>
    </row>
    <row r="70" spans="1:9" x14ac:dyDescent="0.2">
      <c r="A70">
        <v>117</v>
      </c>
      <c r="B70">
        <v>34282148.443425603</v>
      </c>
      <c r="C70">
        <v>33344306.8011894</v>
      </c>
      <c r="D70">
        <v>114385408.675299</v>
      </c>
      <c r="E70">
        <v>119676420.693341</v>
      </c>
      <c r="F70">
        <v>0</v>
      </c>
      <c r="G70">
        <v>536872.51052145299</v>
      </c>
      <c r="H70">
        <v>274506.18256308098</v>
      </c>
      <c r="I70">
        <v>180661.35593085201</v>
      </c>
    </row>
    <row r="71" spans="1:9" x14ac:dyDescent="0.2">
      <c r="A71">
        <v>118</v>
      </c>
      <c r="B71">
        <v>39726316.702359602</v>
      </c>
      <c r="C71">
        <v>38741068.891320497</v>
      </c>
      <c r="D71">
        <v>131841192.390192</v>
      </c>
      <c r="E71">
        <v>120602228.868018</v>
      </c>
      <c r="F71">
        <v>20100371.4780031</v>
      </c>
      <c r="G71">
        <v>578463.981343842</v>
      </c>
      <c r="H71">
        <v>279671.73749594297</v>
      </c>
      <c r="I71">
        <v>181588.703141834</v>
      </c>
    </row>
    <row r="72" spans="1:9" x14ac:dyDescent="0.2">
      <c r="A72">
        <v>119</v>
      </c>
      <c r="B72">
        <v>34953861.027016401</v>
      </c>
      <c r="C72">
        <v>34038422.613760397</v>
      </c>
      <c r="D72">
        <v>116794830.696713</v>
      </c>
      <c r="E72">
        <v>122125579.690294</v>
      </c>
      <c r="F72">
        <v>0</v>
      </c>
      <c r="G72">
        <v>515865.86969714402</v>
      </c>
      <c r="H72">
        <v>275265.46866303298</v>
      </c>
      <c r="I72">
        <v>177581.53556536799</v>
      </c>
    </row>
    <row r="73" spans="1:9" x14ac:dyDescent="0.2">
      <c r="A73">
        <v>120</v>
      </c>
      <c r="B73">
        <v>40460340.668089502</v>
      </c>
      <c r="C73">
        <v>39539277.092332497</v>
      </c>
      <c r="D73">
        <v>134641364.600658</v>
      </c>
      <c r="E73">
        <v>123076757.708794</v>
      </c>
      <c r="F73">
        <v>20512792.951465599</v>
      </c>
      <c r="G73">
        <v>511999.020587985</v>
      </c>
      <c r="H73">
        <v>282576.80861324101</v>
      </c>
      <c r="I73">
        <v>180696.780793921</v>
      </c>
    </row>
    <row r="74" spans="1:9" x14ac:dyDescent="0.2">
      <c r="A74">
        <v>121</v>
      </c>
      <c r="B74">
        <v>35552258.705375098</v>
      </c>
      <c r="C74">
        <v>34642940.051610298</v>
      </c>
      <c r="D74">
        <v>118919302.969413</v>
      </c>
      <c r="E74">
        <v>124268982.968793</v>
      </c>
      <c r="F74">
        <v>0</v>
      </c>
      <c r="G74">
        <v>496180.74347442703</v>
      </c>
      <c r="H74">
        <v>283970.51304189803</v>
      </c>
      <c r="I74">
        <v>184524.85321207301</v>
      </c>
    </row>
    <row r="75" spans="1:9" x14ac:dyDescent="0.2">
      <c r="A75">
        <v>122</v>
      </c>
      <c r="B75">
        <v>41283553.125172898</v>
      </c>
      <c r="C75">
        <v>40334372.463123798</v>
      </c>
      <c r="D75">
        <v>137362109.54761201</v>
      </c>
      <c r="E75">
        <v>125498762.69182999</v>
      </c>
      <c r="F75">
        <v>20916460.448638398</v>
      </c>
      <c r="G75">
        <v>554343.398812862</v>
      </c>
      <c r="H75">
        <v>271176.85605642601</v>
      </c>
      <c r="I75">
        <v>176657.72454248299</v>
      </c>
    </row>
    <row r="76" spans="1:9" x14ac:dyDescent="0.2">
      <c r="A76">
        <v>123</v>
      </c>
      <c r="B76">
        <v>36222310.623920001</v>
      </c>
      <c r="C76">
        <v>35299144.652503699</v>
      </c>
      <c r="D76">
        <v>121194026.117348</v>
      </c>
      <c r="E76">
        <v>126591746.267984</v>
      </c>
      <c r="F76">
        <v>0</v>
      </c>
      <c r="G76">
        <v>507516.18706787599</v>
      </c>
      <c r="H76">
        <v>284506.10626568203</v>
      </c>
      <c r="I76">
        <v>187348.111546751</v>
      </c>
    </row>
    <row r="77" spans="1:9" x14ac:dyDescent="0.2">
      <c r="A77">
        <v>124</v>
      </c>
      <c r="B77">
        <v>42156964.834977701</v>
      </c>
      <c r="C77">
        <v>41240037.286650397</v>
      </c>
      <c r="D77">
        <v>140437149.78036001</v>
      </c>
      <c r="E77">
        <v>128318840.793356</v>
      </c>
      <c r="F77">
        <v>21386473.4655593</v>
      </c>
      <c r="G77">
        <v>494440.22854963999</v>
      </c>
      <c r="H77">
        <v>287570.33623769798</v>
      </c>
      <c r="I77">
        <v>192738.54791428099</v>
      </c>
    </row>
    <row r="78" spans="1:9" x14ac:dyDescent="0.2">
      <c r="A78">
        <v>125</v>
      </c>
      <c r="B78">
        <v>36943185.729207203</v>
      </c>
      <c r="C78">
        <v>36056025.792785101</v>
      </c>
      <c r="D78">
        <v>123796708.279726</v>
      </c>
      <c r="E78">
        <v>129294406.397624</v>
      </c>
      <c r="F78">
        <v>0</v>
      </c>
      <c r="G78">
        <v>470293.30204682401</v>
      </c>
      <c r="H78">
        <v>285879.82200050302</v>
      </c>
      <c r="I78">
        <v>187124.017678206</v>
      </c>
    </row>
    <row r="79" spans="1:9" x14ac:dyDescent="0.2">
      <c r="A79">
        <v>126</v>
      </c>
      <c r="B79">
        <v>42675550.842016503</v>
      </c>
      <c r="C79">
        <v>41746007.205855899</v>
      </c>
      <c r="D79">
        <v>142210298.001147</v>
      </c>
      <c r="E79">
        <v>129900529.48478</v>
      </c>
      <c r="F79">
        <v>21650088.247463301</v>
      </c>
      <c r="G79">
        <v>507959.12743621599</v>
      </c>
      <c r="H79">
        <v>288694.01519982598</v>
      </c>
      <c r="I79">
        <v>189843.562178027</v>
      </c>
    </row>
    <row r="80" spans="1:9" x14ac:dyDescent="0.2">
      <c r="A80">
        <v>127</v>
      </c>
      <c r="B80">
        <v>37425136.426631697</v>
      </c>
      <c r="C80">
        <v>36509844.5490468</v>
      </c>
      <c r="D80">
        <v>125382071.675569</v>
      </c>
      <c r="E80">
        <v>130910432.82476</v>
      </c>
      <c r="F80">
        <v>0</v>
      </c>
      <c r="G80">
        <v>486310.32425401302</v>
      </c>
      <c r="H80">
        <v>292711.24300703901</v>
      </c>
      <c r="I80">
        <v>194671.87189126</v>
      </c>
    </row>
    <row r="81" spans="1:9" x14ac:dyDescent="0.2">
      <c r="A81">
        <v>128</v>
      </c>
      <c r="B81">
        <v>43660135.370057702</v>
      </c>
      <c r="C81">
        <v>42722142.773201197</v>
      </c>
      <c r="D81">
        <v>145527240.188501</v>
      </c>
      <c r="E81">
        <v>132865900.74500699</v>
      </c>
      <c r="F81">
        <v>22144316.790834501</v>
      </c>
      <c r="G81">
        <v>521760.176294606</v>
      </c>
      <c r="H81">
        <v>282858.45193071302</v>
      </c>
      <c r="I81">
        <v>190534.24090163899</v>
      </c>
    </row>
    <row r="82" spans="1:9" x14ac:dyDescent="0.2">
      <c r="A82">
        <v>129</v>
      </c>
      <c r="B82">
        <v>38335398.171703003</v>
      </c>
      <c r="C82">
        <v>37407642.134242602</v>
      </c>
      <c r="D82">
        <v>128412615.388026</v>
      </c>
      <c r="E82">
        <v>134051077.913826</v>
      </c>
      <c r="F82">
        <v>0</v>
      </c>
      <c r="G82">
        <v>516612.23643750499</v>
      </c>
      <c r="H82">
        <v>279335.66972901498</v>
      </c>
      <c r="I82">
        <v>188297.33041996701</v>
      </c>
    </row>
    <row r="83" spans="1:9" x14ac:dyDescent="0.2">
      <c r="A83">
        <v>130</v>
      </c>
      <c r="B83">
        <v>44326962.888085701</v>
      </c>
      <c r="C83">
        <v>43376522.501278102</v>
      </c>
      <c r="D83">
        <v>147736649.047461</v>
      </c>
      <c r="E83">
        <v>134859522.69030601</v>
      </c>
      <c r="F83">
        <v>22476587.115051098</v>
      </c>
      <c r="G83">
        <v>526006.17573742103</v>
      </c>
      <c r="H83">
        <v>288614.44654654298</v>
      </c>
      <c r="I83">
        <v>194028.23503377999</v>
      </c>
    </row>
    <row r="84" spans="1:9" x14ac:dyDescent="0.2">
      <c r="A84">
        <v>131</v>
      </c>
      <c r="B84">
        <v>38991413.300024301</v>
      </c>
      <c r="C84">
        <v>38012791.595282003</v>
      </c>
      <c r="D84">
        <v>130498219.94628701</v>
      </c>
      <c r="E84">
        <v>136183959.94794199</v>
      </c>
      <c r="F84">
        <v>0</v>
      </c>
      <c r="G84">
        <v>551962.54531003803</v>
      </c>
      <c r="H84">
        <v>290076.77005693701</v>
      </c>
      <c r="I84">
        <v>195117.69910764901</v>
      </c>
    </row>
    <row r="85" spans="1:9" x14ac:dyDescent="0.2">
      <c r="A85">
        <v>132</v>
      </c>
      <c r="B85">
        <v>45113180.518205702</v>
      </c>
      <c r="C85">
        <v>44146116.705858499</v>
      </c>
      <c r="D85">
        <v>150407575.71507901</v>
      </c>
      <c r="E85">
        <v>137282812.88519499</v>
      </c>
      <c r="F85">
        <v>22880468.814199202</v>
      </c>
      <c r="G85">
        <v>541187.21314109396</v>
      </c>
      <c r="H85">
        <v>288426.575985067</v>
      </c>
      <c r="I85">
        <v>196357.17603001199</v>
      </c>
    </row>
    <row r="86" spans="1:9" x14ac:dyDescent="0.2">
      <c r="A86">
        <v>133</v>
      </c>
      <c r="B86">
        <v>39424707.516810298</v>
      </c>
      <c r="C86">
        <v>38475272.309913903</v>
      </c>
      <c r="D86">
        <v>132145413.87421601</v>
      </c>
      <c r="E86">
        <v>137893631.88734099</v>
      </c>
      <c r="F86">
        <v>0</v>
      </c>
      <c r="G86">
        <v>517886.35740071803</v>
      </c>
      <c r="H86">
        <v>293489.04204164702</v>
      </c>
      <c r="I86">
        <v>197228.29636285899</v>
      </c>
    </row>
    <row r="87" spans="1:9" x14ac:dyDescent="0.2">
      <c r="A87">
        <v>134</v>
      </c>
      <c r="B87">
        <v>45946310.609630197</v>
      </c>
      <c r="C87">
        <v>44967030.765614703</v>
      </c>
      <c r="D87">
        <v>153210201.23128399</v>
      </c>
      <c r="E87">
        <v>139813274.50109801</v>
      </c>
      <c r="F87">
        <v>23302212.416849598</v>
      </c>
      <c r="G87">
        <v>547918.06806774903</v>
      </c>
      <c r="H87">
        <v>293370.48062781402</v>
      </c>
      <c r="I87">
        <v>197130.421885663</v>
      </c>
    </row>
    <row r="88" spans="1:9" x14ac:dyDescent="0.2">
      <c r="A88">
        <v>135</v>
      </c>
      <c r="B88">
        <v>40204070.290385097</v>
      </c>
      <c r="C88">
        <v>39210250.248618104</v>
      </c>
      <c r="D88">
        <v>134695951.71759701</v>
      </c>
      <c r="E88">
        <v>140515233.872513</v>
      </c>
      <c r="F88">
        <v>0</v>
      </c>
      <c r="G88">
        <v>565128.21721576597</v>
      </c>
      <c r="H88">
        <v>289523.33798332902</v>
      </c>
      <c r="I88">
        <v>198812.123668407</v>
      </c>
    </row>
    <row r="89" spans="1:9" x14ac:dyDescent="0.2">
      <c r="A89">
        <v>136</v>
      </c>
      <c r="B89">
        <v>46542586.348218597</v>
      </c>
      <c r="C89">
        <v>45563936.831599802</v>
      </c>
      <c r="D89">
        <v>155331689.667748</v>
      </c>
      <c r="E89">
        <v>141726211.23400101</v>
      </c>
      <c r="F89">
        <v>23621035.2056669</v>
      </c>
      <c r="G89">
        <v>544199.09846759797</v>
      </c>
      <c r="H89">
        <v>291653.33810524602</v>
      </c>
      <c r="I89">
        <v>203995.82863706301</v>
      </c>
    </row>
    <row r="90" spans="1:9" x14ac:dyDescent="0.2">
      <c r="A90">
        <v>137</v>
      </c>
      <c r="B90">
        <v>40929347.255892403</v>
      </c>
      <c r="C90">
        <v>39869138.534635402</v>
      </c>
      <c r="D90">
        <v>137035526.417606</v>
      </c>
      <c r="E90">
        <v>142889349.46601501</v>
      </c>
      <c r="F90">
        <v>0</v>
      </c>
      <c r="G90">
        <v>610163.65330786805</v>
      </c>
      <c r="H90">
        <v>302916.59324941499</v>
      </c>
      <c r="I90">
        <v>210183.53528531201</v>
      </c>
    </row>
    <row r="91" spans="1:9" x14ac:dyDescent="0.2">
      <c r="A91">
        <v>138</v>
      </c>
      <c r="B91">
        <v>47538138.366325103</v>
      </c>
      <c r="C91">
        <v>46500894.5994597</v>
      </c>
      <c r="D91">
        <v>158485054.63550901</v>
      </c>
      <c r="E91">
        <v>144552011.53545499</v>
      </c>
      <c r="F91">
        <v>24092001.922575802</v>
      </c>
      <c r="G91">
        <v>595955.57896790002</v>
      </c>
      <c r="H91">
        <v>298495.31811936101</v>
      </c>
      <c r="I91">
        <v>203989.81396891599</v>
      </c>
    </row>
    <row r="92" spans="1:9" x14ac:dyDescent="0.2">
      <c r="A92">
        <v>139</v>
      </c>
      <c r="B92">
        <v>41763370.293094203</v>
      </c>
      <c r="C92">
        <v>40727043.562766597</v>
      </c>
      <c r="D92">
        <v>139936896.662606</v>
      </c>
      <c r="E92">
        <v>145856191.785916</v>
      </c>
      <c r="F92">
        <v>0</v>
      </c>
      <c r="G92">
        <v>595590.83266943996</v>
      </c>
      <c r="H92">
        <v>299818.07958987902</v>
      </c>
      <c r="I92">
        <v>201311.16866900399</v>
      </c>
    </row>
    <row r="93" spans="1:9" x14ac:dyDescent="0.2">
      <c r="A93">
        <v>140</v>
      </c>
      <c r="B93">
        <v>48655882.986505903</v>
      </c>
      <c r="C93">
        <v>47667609.386519901</v>
      </c>
      <c r="D93">
        <v>162482859.683855</v>
      </c>
      <c r="E93">
        <v>148110030.180805</v>
      </c>
      <c r="F93">
        <v>24685005.030134201</v>
      </c>
      <c r="G93">
        <v>554320.26844093495</v>
      </c>
      <c r="H93">
        <v>297156.06090929802</v>
      </c>
      <c r="I93">
        <v>195424.67233670101</v>
      </c>
    </row>
    <row r="94" spans="1:9" x14ac:dyDescent="0.2">
      <c r="A94">
        <v>141</v>
      </c>
      <c r="B94">
        <v>42665619.323452801</v>
      </c>
      <c r="C94">
        <v>41649186.300887801</v>
      </c>
      <c r="D94">
        <v>143156446.178505</v>
      </c>
      <c r="E94">
        <v>149132921.220249</v>
      </c>
      <c r="F94">
        <v>0</v>
      </c>
      <c r="G94">
        <v>579675.77926527697</v>
      </c>
      <c r="H94">
        <v>296846.496798401</v>
      </c>
      <c r="I94">
        <v>199872.495001893</v>
      </c>
    </row>
    <row r="95" spans="1:9" x14ac:dyDescent="0.2">
      <c r="A95">
        <v>142</v>
      </c>
      <c r="B95">
        <v>49446010.333966099</v>
      </c>
      <c r="C95">
        <v>48449565.2008176</v>
      </c>
      <c r="D95">
        <v>165166587.76666501</v>
      </c>
      <c r="E95">
        <v>150504986.171354</v>
      </c>
      <c r="F95">
        <v>25084164.361892398</v>
      </c>
      <c r="G95">
        <v>561223.13024175598</v>
      </c>
      <c r="H95">
        <v>295598.504044167</v>
      </c>
      <c r="I95">
        <v>199462.141232155</v>
      </c>
    </row>
    <row r="96" spans="1:9" x14ac:dyDescent="0.2">
      <c r="A96">
        <v>143</v>
      </c>
      <c r="B96">
        <v>43319208.8885995</v>
      </c>
      <c r="C96">
        <v>42280321.919879697</v>
      </c>
      <c r="D96">
        <v>145336596.13840801</v>
      </c>
      <c r="E96">
        <v>151377805.50641099</v>
      </c>
      <c r="F96">
        <v>0</v>
      </c>
      <c r="G96">
        <v>592890.10315227194</v>
      </c>
      <c r="H96">
        <v>305317.362560988</v>
      </c>
      <c r="I96">
        <v>200970.718580838</v>
      </c>
    </row>
    <row r="97" spans="1:9" x14ac:dyDescent="0.2">
      <c r="A97">
        <v>144</v>
      </c>
      <c r="B97">
        <v>49911712.952126101</v>
      </c>
      <c r="C97">
        <v>48875614.353610396</v>
      </c>
      <c r="D97">
        <v>166648228.26686001</v>
      </c>
      <c r="E97">
        <v>151816060.595943</v>
      </c>
      <c r="F97">
        <v>25302676.765990499</v>
      </c>
      <c r="G97">
        <v>582159.77993719501</v>
      </c>
      <c r="H97">
        <v>308353.69376660499</v>
      </c>
      <c r="I97">
        <v>207978.74973124801</v>
      </c>
    </row>
    <row r="98" spans="1:9" x14ac:dyDescent="0.2">
      <c r="A98">
        <v>145</v>
      </c>
      <c r="B98">
        <v>43976627.320622496</v>
      </c>
      <c r="C98">
        <v>43021198.486334503</v>
      </c>
      <c r="D98">
        <v>147871790.66462699</v>
      </c>
      <c r="E98">
        <v>153981396.28215101</v>
      </c>
      <c r="F98">
        <v>0</v>
      </c>
      <c r="G98">
        <v>508931.05129366001</v>
      </c>
      <c r="H98">
        <v>303446.50861932902</v>
      </c>
      <c r="I98">
        <v>204358.96339279201</v>
      </c>
    </row>
    <row r="99" spans="1:9" x14ac:dyDescent="0.2">
      <c r="A99">
        <v>146</v>
      </c>
      <c r="B99">
        <v>50913364.612689398</v>
      </c>
      <c r="C99">
        <v>49944721.111895099</v>
      </c>
      <c r="D99">
        <v>170306168.54914901</v>
      </c>
      <c r="E99">
        <v>155100412.873144</v>
      </c>
      <c r="F99">
        <v>25850068.8121907</v>
      </c>
      <c r="G99">
        <v>525668.63106069097</v>
      </c>
      <c r="H99">
        <v>300916.12512545398</v>
      </c>
      <c r="I99">
        <v>202941.06372598</v>
      </c>
    </row>
    <row r="100" spans="1:9" x14ac:dyDescent="0.2">
      <c r="A100">
        <v>147</v>
      </c>
      <c r="B100">
        <v>44785872.403475702</v>
      </c>
      <c r="C100">
        <v>43772391.571098797</v>
      </c>
      <c r="D100">
        <v>150507453.270684</v>
      </c>
      <c r="E100">
        <v>156665990.63528901</v>
      </c>
      <c r="F100">
        <v>0</v>
      </c>
      <c r="G100">
        <v>572762.13892636297</v>
      </c>
      <c r="H100">
        <v>301169.90976280801</v>
      </c>
      <c r="I100">
        <v>199355.40526823601</v>
      </c>
    </row>
    <row r="101" spans="1:9" x14ac:dyDescent="0.2">
      <c r="A101">
        <v>148</v>
      </c>
      <c r="B101">
        <v>51747848.079977401</v>
      </c>
      <c r="C101">
        <v>50732949.435585797</v>
      </c>
      <c r="D101">
        <v>173033846.65584099</v>
      </c>
      <c r="E101">
        <v>157554432.069812</v>
      </c>
      <c r="F101">
        <v>26259072.0116353</v>
      </c>
      <c r="G101">
        <v>552994.21406592405</v>
      </c>
      <c r="H101">
        <v>312610.58153701201</v>
      </c>
      <c r="I101">
        <v>213276.92684095999</v>
      </c>
    </row>
    <row r="102" spans="1:9" x14ac:dyDescent="0.2">
      <c r="A102">
        <v>149</v>
      </c>
      <c r="B102">
        <v>45487892.800750896</v>
      </c>
      <c r="C102">
        <v>44478278.967381701</v>
      </c>
      <c r="D102">
        <v>152893732.11506301</v>
      </c>
      <c r="E102">
        <v>159138764.76522899</v>
      </c>
      <c r="F102">
        <v>0</v>
      </c>
      <c r="G102">
        <v>559023.31042044703</v>
      </c>
      <c r="H102">
        <v>307216.05816820601</v>
      </c>
      <c r="I102">
        <v>204820.66397223799</v>
      </c>
    </row>
    <row r="103" spans="1:9" x14ac:dyDescent="0.2">
      <c r="A103">
        <v>150</v>
      </c>
      <c r="B103">
        <v>52486092.142161697</v>
      </c>
      <c r="C103">
        <v>51453953.922512501</v>
      </c>
      <c r="D103">
        <v>175489088.917707</v>
      </c>
      <c r="E103">
        <v>159776849.29706201</v>
      </c>
      <c r="F103">
        <v>26629474.882843599</v>
      </c>
      <c r="G103">
        <v>564481.59275942994</v>
      </c>
      <c r="H103">
        <v>312769.55341623502</v>
      </c>
      <c r="I103">
        <v>221267.24781930001</v>
      </c>
    </row>
    <row r="104" spans="1:9" x14ac:dyDescent="0.2">
      <c r="A104">
        <v>151</v>
      </c>
      <c r="B104">
        <v>45996495.637261301</v>
      </c>
      <c r="C104">
        <v>44989447.7891009</v>
      </c>
      <c r="D104">
        <v>154648188.44468799</v>
      </c>
      <c r="E104">
        <v>160911931.97655299</v>
      </c>
      <c r="F104">
        <v>0</v>
      </c>
      <c r="G104">
        <v>549645.008471251</v>
      </c>
      <c r="H104">
        <v>304533.295525886</v>
      </c>
      <c r="I104">
        <v>218385.06309038101</v>
      </c>
    </row>
    <row r="105" spans="1:9" x14ac:dyDescent="0.2">
      <c r="A105">
        <v>152</v>
      </c>
      <c r="B105">
        <v>53061902.258751899</v>
      </c>
      <c r="C105">
        <v>52059551.0981737</v>
      </c>
      <c r="D105">
        <v>177484479.00292701</v>
      </c>
      <c r="E105">
        <v>161569136.75029501</v>
      </c>
      <c r="F105">
        <v>26928189.458382599</v>
      </c>
      <c r="G105">
        <v>524967.52040500403</v>
      </c>
      <c r="H105">
        <v>318772.57127832598</v>
      </c>
      <c r="I105">
        <v>226587.24127840201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5"/>
  <sheetViews>
    <sheetView zoomScaleNormal="100" workbookViewId="0">
      <selection activeCell="I17" sqref="I17"/>
    </sheetView>
  </sheetViews>
  <sheetFormatPr baseColWidth="10" defaultColWidth="11.5703125" defaultRowHeight="12.75" x14ac:dyDescent="0.2"/>
  <sheetData>
    <row r="1" spans="1:4" x14ac:dyDescent="0.2">
      <c r="A1" t="s">
        <v>164</v>
      </c>
      <c r="B1" t="s">
        <v>199</v>
      </c>
      <c r="C1" t="s">
        <v>200</v>
      </c>
      <c r="D1" t="s">
        <v>201</v>
      </c>
    </row>
    <row r="2" spans="1:4" x14ac:dyDescent="0.2">
      <c r="A2">
        <v>49</v>
      </c>
      <c r="B2">
        <v>0</v>
      </c>
      <c r="C2">
        <v>0</v>
      </c>
      <c r="D2">
        <v>0</v>
      </c>
    </row>
    <row r="3" spans="1:4" x14ac:dyDescent="0.2">
      <c r="A3">
        <v>50</v>
      </c>
      <c r="B3">
        <v>0</v>
      </c>
      <c r="C3">
        <v>0</v>
      </c>
      <c r="D3">
        <v>0</v>
      </c>
    </row>
    <row r="4" spans="1:4" x14ac:dyDescent="0.2">
      <c r="A4">
        <v>51</v>
      </c>
      <c r="B4">
        <v>0</v>
      </c>
      <c r="C4">
        <v>0</v>
      </c>
      <c r="D4">
        <v>0</v>
      </c>
    </row>
    <row r="5" spans="1:4" x14ac:dyDescent="0.2">
      <c r="A5">
        <v>52</v>
      </c>
      <c r="B5">
        <v>0</v>
      </c>
      <c r="C5">
        <v>0</v>
      </c>
      <c r="D5">
        <v>0</v>
      </c>
    </row>
    <row r="6" spans="1:4" x14ac:dyDescent="0.2">
      <c r="A6">
        <v>53</v>
      </c>
      <c r="B6">
        <v>0</v>
      </c>
      <c r="C6">
        <v>0</v>
      </c>
      <c r="D6">
        <v>0</v>
      </c>
    </row>
    <row r="7" spans="1:4" x14ac:dyDescent="0.2">
      <c r="A7">
        <v>54</v>
      </c>
      <c r="B7">
        <v>0</v>
      </c>
      <c r="C7">
        <v>0</v>
      </c>
      <c r="D7">
        <v>0</v>
      </c>
    </row>
    <row r="8" spans="1:4" x14ac:dyDescent="0.2">
      <c r="A8">
        <v>55</v>
      </c>
      <c r="B8">
        <v>0</v>
      </c>
      <c r="C8">
        <v>0</v>
      </c>
      <c r="D8">
        <v>0</v>
      </c>
    </row>
    <row r="9" spans="1:4" x14ac:dyDescent="0.2">
      <c r="A9">
        <v>56</v>
      </c>
      <c r="B9">
        <v>0</v>
      </c>
      <c r="C9">
        <v>0</v>
      </c>
      <c r="D9">
        <v>0</v>
      </c>
    </row>
    <row r="10" spans="1:4" x14ac:dyDescent="0.2">
      <c r="A10">
        <v>57</v>
      </c>
      <c r="B10">
        <v>0</v>
      </c>
      <c r="C10">
        <v>0</v>
      </c>
      <c r="D10">
        <v>0</v>
      </c>
    </row>
    <row r="11" spans="1:4" x14ac:dyDescent="0.2">
      <c r="A11">
        <v>58</v>
      </c>
      <c r="B11">
        <v>0</v>
      </c>
      <c r="C11">
        <v>0</v>
      </c>
      <c r="D11">
        <v>0</v>
      </c>
    </row>
    <row r="12" spans="1:4" x14ac:dyDescent="0.2">
      <c r="A12">
        <v>59</v>
      </c>
      <c r="B12">
        <v>0</v>
      </c>
      <c r="C12">
        <v>0</v>
      </c>
      <c r="D12">
        <v>0</v>
      </c>
    </row>
    <row r="13" spans="1:4" x14ac:dyDescent="0.2">
      <c r="A13">
        <v>60</v>
      </c>
      <c r="B13">
        <v>0</v>
      </c>
      <c r="C13">
        <v>0</v>
      </c>
      <c r="D13">
        <v>0</v>
      </c>
    </row>
    <row r="14" spans="1:4" x14ac:dyDescent="0.2">
      <c r="A14">
        <v>61</v>
      </c>
      <c r="B14">
        <v>0</v>
      </c>
      <c r="C14">
        <v>0</v>
      </c>
      <c r="D14">
        <v>0</v>
      </c>
    </row>
    <row r="15" spans="1:4" x14ac:dyDescent="0.2">
      <c r="A15">
        <v>62</v>
      </c>
      <c r="B15">
        <v>299270.52741666703</v>
      </c>
      <c r="C15">
        <v>53531.854149999999</v>
      </c>
      <c r="D15">
        <v>245949.98655</v>
      </c>
    </row>
    <row r="16" spans="1:4" x14ac:dyDescent="0.2">
      <c r="A16">
        <v>63</v>
      </c>
      <c r="B16">
        <v>0</v>
      </c>
      <c r="C16">
        <v>0</v>
      </c>
      <c r="D16">
        <v>0</v>
      </c>
    </row>
    <row r="17" spans="1:4" x14ac:dyDescent="0.2">
      <c r="A17">
        <v>64</v>
      </c>
      <c r="B17">
        <v>0</v>
      </c>
      <c r="C17">
        <v>0</v>
      </c>
      <c r="D17">
        <v>0</v>
      </c>
    </row>
    <row r="18" spans="1:4" x14ac:dyDescent="0.2">
      <c r="A18">
        <v>65</v>
      </c>
      <c r="B18">
        <v>0</v>
      </c>
      <c r="C18">
        <v>0</v>
      </c>
      <c r="D18">
        <v>0</v>
      </c>
    </row>
    <row r="19" spans="1:4" x14ac:dyDescent="0.2">
      <c r="A19">
        <v>66</v>
      </c>
      <c r="B19">
        <v>0</v>
      </c>
      <c r="C19">
        <v>0</v>
      </c>
      <c r="D19">
        <v>0</v>
      </c>
    </row>
    <row r="20" spans="1:4" x14ac:dyDescent="0.2">
      <c r="A20">
        <v>67</v>
      </c>
      <c r="B20">
        <v>0</v>
      </c>
      <c r="C20">
        <v>0</v>
      </c>
      <c r="D20">
        <v>0</v>
      </c>
    </row>
    <row r="21" spans="1:4" x14ac:dyDescent="0.2">
      <c r="A21">
        <v>68</v>
      </c>
      <c r="B21">
        <v>0</v>
      </c>
      <c r="C21">
        <v>0</v>
      </c>
      <c r="D21">
        <v>0</v>
      </c>
    </row>
    <row r="22" spans="1:4" x14ac:dyDescent="0.2">
      <c r="A22">
        <v>69</v>
      </c>
      <c r="B22">
        <v>2046686.1656627301</v>
      </c>
      <c r="C22">
        <v>715787.13860324398</v>
      </c>
      <c r="D22">
        <v>1331112.15607459</v>
      </c>
    </row>
    <row r="23" spans="1:4" x14ac:dyDescent="0.2">
      <c r="A23">
        <v>70</v>
      </c>
      <c r="B23">
        <v>0</v>
      </c>
      <c r="C23">
        <v>0</v>
      </c>
      <c r="D23">
        <v>0</v>
      </c>
    </row>
    <row r="24" spans="1:4" x14ac:dyDescent="0.2">
      <c r="A24">
        <v>71</v>
      </c>
      <c r="B24">
        <v>0</v>
      </c>
      <c r="C24">
        <v>0</v>
      </c>
      <c r="D24">
        <v>0</v>
      </c>
    </row>
    <row r="25" spans="1:4" x14ac:dyDescent="0.2">
      <c r="A25">
        <v>72</v>
      </c>
      <c r="B25">
        <v>0</v>
      </c>
      <c r="C25">
        <v>0</v>
      </c>
      <c r="D25">
        <v>0</v>
      </c>
    </row>
    <row r="26" spans="1:4" x14ac:dyDescent="0.2">
      <c r="A26">
        <v>73</v>
      </c>
      <c r="B26">
        <v>0</v>
      </c>
      <c r="C26">
        <v>0</v>
      </c>
      <c r="D26">
        <v>0</v>
      </c>
    </row>
    <row r="27" spans="1:4" x14ac:dyDescent="0.2">
      <c r="A27">
        <v>74</v>
      </c>
      <c r="B27">
        <v>0</v>
      </c>
      <c r="C27">
        <v>0</v>
      </c>
      <c r="D27">
        <v>0</v>
      </c>
    </row>
    <row r="28" spans="1:4" x14ac:dyDescent="0.2">
      <c r="A28">
        <v>75</v>
      </c>
      <c r="B28">
        <v>0</v>
      </c>
      <c r="C28">
        <v>0</v>
      </c>
      <c r="D28">
        <v>0</v>
      </c>
    </row>
    <row r="29" spans="1:4" x14ac:dyDescent="0.2">
      <c r="A29">
        <v>76</v>
      </c>
      <c r="B29">
        <v>0</v>
      </c>
      <c r="C29">
        <v>0</v>
      </c>
      <c r="D29">
        <v>0</v>
      </c>
    </row>
    <row r="30" spans="1:4" x14ac:dyDescent="0.2">
      <c r="A30">
        <v>77</v>
      </c>
      <c r="B30">
        <v>0</v>
      </c>
      <c r="C30">
        <v>0</v>
      </c>
      <c r="D30">
        <v>0</v>
      </c>
    </row>
    <row r="31" spans="1:4" x14ac:dyDescent="0.2">
      <c r="A31">
        <v>78</v>
      </c>
      <c r="B31">
        <v>0</v>
      </c>
      <c r="C31">
        <v>0</v>
      </c>
      <c r="D31">
        <v>0</v>
      </c>
    </row>
    <row r="32" spans="1:4" x14ac:dyDescent="0.2">
      <c r="A32">
        <v>79</v>
      </c>
      <c r="B32">
        <v>0</v>
      </c>
      <c r="C32">
        <v>0</v>
      </c>
      <c r="D32">
        <v>0</v>
      </c>
    </row>
    <row r="33" spans="1:4" x14ac:dyDescent="0.2">
      <c r="A33">
        <v>80</v>
      </c>
      <c r="B33">
        <v>0</v>
      </c>
      <c r="C33">
        <v>0</v>
      </c>
      <c r="D33">
        <v>0</v>
      </c>
    </row>
    <row r="34" spans="1:4" x14ac:dyDescent="0.2">
      <c r="A34">
        <v>81</v>
      </c>
      <c r="B34">
        <v>0</v>
      </c>
      <c r="C34">
        <v>0</v>
      </c>
      <c r="D34">
        <v>0</v>
      </c>
    </row>
    <row r="35" spans="1:4" x14ac:dyDescent="0.2">
      <c r="A35">
        <v>82</v>
      </c>
      <c r="B35">
        <v>0</v>
      </c>
      <c r="C35">
        <v>0</v>
      </c>
      <c r="D35">
        <v>0</v>
      </c>
    </row>
    <row r="36" spans="1:4" x14ac:dyDescent="0.2">
      <c r="A36">
        <v>83</v>
      </c>
      <c r="B36">
        <v>0</v>
      </c>
      <c r="C36">
        <v>0</v>
      </c>
      <c r="D36">
        <v>0</v>
      </c>
    </row>
    <row r="37" spans="1:4" x14ac:dyDescent="0.2">
      <c r="A37">
        <v>84</v>
      </c>
      <c r="B37">
        <v>0</v>
      </c>
      <c r="C37">
        <v>0</v>
      </c>
      <c r="D37">
        <v>0</v>
      </c>
    </row>
    <row r="38" spans="1:4" x14ac:dyDescent="0.2">
      <c r="A38">
        <v>85</v>
      </c>
      <c r="B38">
        <v>0</v>
      </c>
      <c r="C38">
        <v>0</v>
      </c>
      <c r="D38">
        <v>0</v>
      </c>
    </row>
    <row r="39" spans="1:4" x14ac:dyDescent="0.2">
      <c r="A39">
        <v>86</v>
      </c>
      <c r="B39">
        <v>0</v>
      </c>
      <c r="C39">
        <v>0</v>
      </c>
      <c r="D39">
        <v>0</v>
      </c>
    </row>
    <row r="40" spans="1:4" x14ac:dyDescent="0.2">
      <c r="A40">
        <v>87</v>
      </c>
      <c r="B40">
        <v>0</v>
      </c>
      <c r="C40">
        <v>0</v>
      </c>
      <c r="D40">
        <v>0</v>
      </c>
    </row>
    <row r="41" spans="1:4" x14ac:dyDescent="0.2">
      <c r="A41">
        <v>88</v>
      </c>
      <c r="B41">
        <v>0</v>
      </c>
      <c r="C41">
        <v>0</v>
      </c>
      <c r="D41">
        <v>0</v>
      </c>
    </row>
    <row r="42" spans="1:4" x14ac:dyDescent="0.2">
      <c r="A42">
        <v>89</v>
      </c>
      <c r="B42">
        <v>0</v>
      </c>
      <c r="C42">
        <v>0</v>
      </c>
      <c r="D42">
        <v>0</v>
      </c>
    </row>
    <row r="43" spans="1:4" x14ac:dyDescent="0.2">
      <c r="A43">
        <v>90</v>
      </c>
      <c r="B43">
        <v>0</v>
      </c>
      <c r="C43">
        <v>0</v>
      </c>
      <c r="D43">
        <v>0</v>
      </c>
    </row>
    <row r="44" spans="1:4" x14ac:dyDescent="0.2">
      <c r="A44">
        <v>91</v>
      </c>
      <c r="B44">
        <v>0</v>
      </c>
      <c r="C44">
        <v>0</v>
      </c>
      <c r="D44">
        <v>0</v>
      </c>
    </row>
    <row r="45" spans="1:4" x14ac:dyDescent="0.2">
      <c r="A45">
        <v>92</v>
      </c>
      <c r="B45">
        <v>0</v>
      </c>
      <c r="C45">
        <v>0</v>
      </c>
      <c r="D45">
        <v>0</v>
      </c>
    </row>
    <row r="46" spans="1:4" x14ac:dyDescent="0.2">
      <c r="A46">
        <v>93</v>
      </c>
      <c r="B46">
        <v>0</v>
      </c>
      <c r="C46">
        <v>0</v>
      </c>
      <c r="D46">
        <v>0</v>
      </c>
    </row>
    <row r="47" spans="1:4" x14ac:dyDescent="0.2">
      <c r="A47">
        <v>94</v>
      </c>
      <c r="B47">
        <v>0</v>
      </c>
      <c r="C47">
        <v>0</v>
      </c>
      <c r="D47">
        <v>0</v>
      </c>
    </row>
    <row r="48" spans="1:4" x14ac:dyDescent="0.2">
      <c r="A48">
        <v>95</v>
      </c>
      <c r="B48">
        <v>0</v>
      </c>
      <c r="C48">
        <v>0</v>
      </c>
      <c r="D48">
        <v>0</v>
      </c>
    </row>
    <row r="49" spans="1:4" x14ac:dyDescent="0.2">
      <c r="A49">
        <v>96</v>
      </c>
      <c r="B49">
        <v>0</v>
      </c>
      <c r="C49">
        <v>0</v>
      </c>
      <c r="D49">
        <v>0</v>
      </c>
    </row>
    <row r="50" spans="1:4" x14ac:dyDescent="0.2">
      <c r="A50">
        <v>97</v>
      </c>
      <c r="B50">
        <v>0</v>
      </c>
      <c r="C50">
        <v>0</v>
      </c>
      <c r="D50">
        <v>0</v>
      </c>
    </row>
    <row r="51" spans="1:4" x14ac:dyDescent="0.2">
      <c r="A51">
        <v>98</v>
      </c>
      <c r="B51">
        <v>0</v>
      </c>
      <c r="C51">
        <v>0</v>
      </c>
      <c r="D51">
        <v>0</v>
      </c>
    </row>
    <row r="52" spans="1:4" x14ac:dyDescent="0.2">
      <c r="A52">
        <v>99</v>
      </c>
      <c r="B52">
        <v>0</v>
      </c>
      <c r="C52">
        <v>0</v>
      </c>
      <c r="D52">
        <v>0</v>
      </c>
    </row>
    <row r="53" spans="1:4" x14ac:dyDescent="0.2">
      <c r="A53">
        <v>100</v>
      </c>
      <c r="B53">
        <v>0</v>
      </c>
      <c r="C53">
        <v>0</v>
      </c>
      <c r="D53">
        <v>0</v>
      </c>
    </row>
    <row r="54" spans="1:4" x14ac:dyDescent="0.2">
      <c r="A54">
        <v>101</v>
      </c>
      <c r="B54">
        <v>0</v>
      </c>
      <c r="C54">
        <v>0</v>
      </c>
      <c r="D54">
        <v>0</v>
      </c>
    </row>
    <row r="55" spans="1:4" x14ac:dyDescent="0.2">
      <c r="A55">
        <v>102</v>
      </c>
      <c r="B55">
        <v>0</v>
      </c>
      <c r="C55">
        <v>0</v>
      </c>
      <c r="D55">
        <v>0</v>
      </c>
    </row>
    <row r="56" spans="1:4" x14ac:dyDescent="0.2">
      <c r="A56">
        <v>103</v>
      </c>
      <c r="B56">
        <v>0</v>
      </c>
      <c r="C56">
        <v>0</v>
      </c>
      <c r="D56">
        <v>0</v>
      </c>
    </row>
    <row r="57" spans="1:4" x14ac:dyDescent="0.2">
      <c r="A57">
        <v>104</v>
      </c>
      <c r="B57">
        <v>0</v>
      </c>
      <c r="C57">
        <v>0</v>
      </c>
      <c r="D57">
        <v>0</v>
      </c>
    </row>
    <row r="58" spans="1:4" x14ac:dyDescent="0.2">
      <c r="A58">
        <v>105</v>
      </c>
      <c r="B58">
        <v>0</v>
      </c>
      <c r="C58">
        <v>0</v>
      </c>
      <c r="D58">
        <v>0</v>
      </c>
    </row>
    <row r="59" spans="1:4" x14ac:dyDescent="0.2">
      <c r="A59">
        <v>106</v>
      </c>
      <c r="B59">
        <v>0</v>
      </c>
      <c r="C59">
        <v>0</v>
      </c>
      <c r="D59">
        <v>0</v>
      </c>
    </row>
    <row r="60" spans="1:4" x14ac:dyDescent="0.2">
      <c r="A60">
        <v>107</v>
      </c>
      <c r="B60">
        <v>0</v>
      </c>
      <c r="C60">
        <v>0</v>
      </c>
      <c r="D60">
        <v>0</v>
      </c>
    </row>
    <row r="61" spans="1:4" x14ac:dyDescent="0.2">
      <c r="A61">
        <v>108</v>
      </c>
      <c r="B61">
        <v>0</v>
      </c>
      <c r="C61">
        <v>0</v>
      </c>
      <c r="D61">
        <v>0</v>
      </c>
    </row>
    <row r="62" spans="1:4" x14ac:dyDescent="0.2">
      <c r="A62">
        <v>109</v>
      </c>
      <c r="B62">
        <v>0</v>
      </c>
      <c r="C62">
        <v>0</v>
      </c>
      <c r="D62">
        <v>0</v>
      </c>
    </row>
    <row r="63" spans="1:4" x14ac:dyDescent="0.2">
      <c r="A63">
        <v>110</v>
      </c>
      <c r="B63">
        <v>0</v>
      </c>
      <c r="C63">
        <v>0</v>
      </c>
      <c r="D63">
        <v>0</v>
      </c>
    </row>
    <row r="64" spans="1:4" x14ac:dyDescent="0.2">
      <c r="A64">
        <v>111</v>
      </c>
      <c r="B64">
        <v>0</v>
      </c>
      <c r="C64">
        <v>0</v>
      </c>
      <c r="D64">
        <v>0</v>
      </c>
    </row>
    <row r="65" spans="1:4" x14ac:dyDescent="0.2">
      <c r="A65">
        <v>112</v>
      </c>
      <c r="B65">
        <v>0</v>
      </c>
      <c r="C65">
        <v>0</v>
      </c>
      <c r="D65">
        <v>0</v>
      </c>
    </row>
    <row r="66" spans="1:4" x14ac:dyDescent="0.2">
      <c r="A66">
        <v>113</v>
      </c>
      <c r="B66">
        <v>0</v>
      </c>
      <c r="C66">
        <v>0</v>
      </c>
      <c r="D66">
        <v>0</v>
      </c>
    </row>
    <row r="67" spans="1:4" x14ac:dyDescent="0.2">
      <c r="A67">
        <v>114</v>
      </c>
      <c r="B67">
        <v>0</v>
      </c>
      <c r="C67">
        <v>0</v>
      </c>
      <c r="D67">
        <v>0</v>
      </c>
    </row>
    <row r="68" spans="1:4" x14ac:dyDescent="0.2">
      <c r="A68">
        <v>115</v>
      </c>
      <c r="B68">
        <v>0</v>
      </c>
      <c r="C68">
        <v>0</v>
      </c>
      <c r="D68">
        <v>0</v>
      </c>
    </row>
    <row r="69" spans="1:4" x14ac:dyDescent="0.2">
      <c r="A69">
        <v>116</v>
      </c>
      <c r="B69">
        <v>0</v>
      </c>
      <c r="C69">
        <v>0</v>
      </c>
      <c r="D69">
        <v>0</v>
      </c>
    </row>
    <row r="70" spans="1:4" x14ac:dyDescent="0.2">
      <c r="A70">
        <v>117</v>
      </c>
      <c r="B70">
        <v>0</v>
      </c>
      <c r="C70">
        <v>0</v>
      </c>
      <c r="D70">
        <v>0</v>
      </c>
    </row>
    <row r="71" spans="1:4" x14ac:dyDescent="0.2">
      <c r="A71">
        <v>118</v>
      </c>
      <c r="B71">
        <v>0</v>
      </c>
      <c r="C71">
        <v>0</v>
      </c>
      <c r="D71">
        <v>0</v>
      </c>
    </row>
    <row r="72" spans="1:4" x14ac:dyDescent="0.2">
      <c r="A72">
        <v>119</v>
      </c>
      <c r="B72">
        <v>0</v>
      </c>
      <c r="C72">
        <v>0</v>
      </c>
      <c r="D72">
        <v>0</v>
      </c>
    </row>
    <row r="73" spans="1:4" x14ac:dyDescent="0.2">
      <c r="A73">
        <v>120</v>
      </c>
      <c r="B73">
        <v>0</v>
      </c>
      <c r="C73">
        <v>0</v>
      </c>
      <c r="D73">
        <v>0</v>
      </c>
    </row>
    <row r="74" spans="1:4" x14ac:dyDescent="0.2">
      <c r="A74">
        <v>121</v>
      </c>
      <c r="B74">
        <v>0</v>
      </c>
      <c r="C74">
        <v>0</v>
      </c>
      <c r="D74">
        <v>0</v>
      </c>
    </row>
    <row r="75" spans="1:4" x14ac:dyDescent="0.2">
      <c r="A75">
        <v>122</v>
      </c>
      <c r="B75">
        <v>0</v>
      </c>
      <c r="C75">
        <v>0</v>
      </c>
      <c r="D75">
        <v>0</v>
      </c>
    </row>
    <row r="76" spans="1:4" x14ac:dyDescent="0.2">
      <c r="A76">
        <v>123</v>
      </c>
      <c r="B76">
        <v>0</v>
      </c>
      <c r="C76">
        <v>0</v>
      </c>
      <c r="D76">
        <v>0</v>
      </c>
    </row>
    <row r="77" spans="1:4" x14ac:dyDescent="0.2">
      <c r="A77">
        <v>124</v>
      </c>
      <c r="B77">
        <v>0</v>
      </c>
      <c r="C77">
        <v>0</v>
      </c>
      <c r="D77">
        <v>0</v>
      </c>
    </row>
    <row r="78" spans="1:4" x14ac:dyDescent="0.2">
      <c r="A78">
        <v>125</v>
      </c>
      <c r="B78">
        <v>0</v>
      </c>
      <c r="C78">
        <v>0</v>
      </c>
      <c r="D78">
        <v>0</v>
      </c>
    </row>
    <row r="79" spans="1:4" x14ac:dyDescent="0.2">
      <c r="A79">
        <v>126</v>
      </c>
      <c r="B79">
        <v>0</v>
      </c>
      <c r="C79">
        <v>0</v>
      </c>
      <c r="D79">
        <v>0</v>
      </c>
    </row>
    <row r="80" spans="1:4" x14ac:dyDescent="0.2">
      <c r="A80">
        <v>127</v>
      </c>
      <c r="B80">
        <v>0</v>
      </c>
      <c r="C80">
        <v>0</v>
      </c>
      <c r="D80">
        <v>0</v>
      </c>
    </row>
    <row r="81" spans="1:4" x14ac:dyDescent="0.2">
      <c r="A81">
        <v>128</v>
      </c>
      <c r="B81">
        <v>0</v>
      </c>
      <c r="C81">
        <v>0</v>
      </c>
      <c r="D81">
        <v>0</v>
      </c>
    </row>
    <row r="82" spans="1:4" x14ac:dyDescent="0.2">
      <c r="A82">
        <v>129</v>
      </c>
      <c r="B82">
        <v>0</v>
      </c>
      <c r="C82">
        <v>0</v>
      </c>
      <c r="D82">
        <v>0</v>
      </c>
    </row>
    <row r="83" spans="1:4" x14ac:dyDescent="0.2">
      <c r="A83">
        <v>130</v>
      </c>
      <c r="B83">
        <v>0</v>
      </c>
      <c r="C83">
        <v>0</v>
      </c>
      <c r="D83">
        <v>0</v>
      </c>
    </row>
    <row r="84" spans="1:4" x14ac:dyDescent="0.2">
      <c r="A84">
        <v>131</v>
      </c>
      <c r="B84">
        <v>0</v>
      </c>
      <c r="C84">
        <v>0</v>
      </c>
      <c r="D84">
        <v>0</v>
      </c>
    </row>
    <row r="85" spans="1:4" x14ac:dyDescent="0.2">
      <c r="A85">
        <v>132</v>
      </c>
      <c r="B85">
        <v>0</v>
      </c>
      <c r="C85">
        <v>0</v>
      </c>
      <c r="D85">
        <v>0</v>
      </c>
    </row>
    <row r="86" spans="1:4" x14ac:dyDescent="0.2">
      <c r="A86">
        <v>133</v>
      </c>
      <c r="B86">
        <v>0</v>
      </c>
      <c r="C86">
        <v>0</v>
      </c>
      <c r="D86">
        <v>0</v>
      </c>
    </row>
    <row r="87" spans="1:4" x14ac:dyDescent="0.2">
      <c r="A87">
        <v>134</v>
      </c>
      <c r="B87">
        <v>0</v>
      </c>
      <c r="C87">
        <v>0</v>
      </c>
      <c r="D87">
        <v>0</v>
      </c>
    </row>
    <row r="88" spans="1:4" x14ac:dyDescent="0.2">
      <c r="A88">
        <v>135</v>
      </c>
      <c r="B88">
        <v>0</v>
      </c>
      <c r="C88">
        <v>0</v>
      </c>
      <c r="D88">
        <v>0</v>
      </c>
    </row>
    <row r="89" spans="1:4" x14ac:dyDescent="0.2">
      <c r="A89">
        <v>136</v>
      </c>
      <c r="B89">
        <v>0</v>
      </c>
      <c r="C89">
        <v>0</v>
      </c>
      <c r="D89">
        <v>0</v>
      </c>
    </row>
    <row r="90" spans="1:4" x14ac:dyDescent="0.2">
      <c r="A90">
        <v>137</v>
      </c>
      <c r="B90">
        <v>0</v>
      </c>
      <c r="C90">
        <v>0</v>
      </c>
      <c r="D90">
        <v>0</v>
      </c>
    </row>
    <row r="91" spans="1:4" x14ac:dyDescent="0.2">
      <c r="A91">
        <v>138</v>
      </c>
      <c r="B91">
        <v>0</v>
      </c>
      <c r="C91">
        <v>0</v>
      </c>
      <c r="D91">
        <v>0</v>
      </c>
    </row>
    <row r="92" spans="1:4" x14ac:dyDescent="0.2">
      <c r="A92">
        <v>139</v>
      </c>
      <c r="B92">
        <v>0</v>
      </c>
      <c r="C92">
        <v>0</v>
      </c>
      <c r="D92">
        <v>0</v>
      </c>
    </row>
    <row r="93" spans="1:4" x14ac:dyDescent="0.2">
      <c r="A93">
        <v>140</v>
      </c>
      <c r="B93">
        <v>0</v>
      </c>
      <c r="C93">
        <v>0</v>
      </c>
      <c r="D93">
        <v>0</v>
      </c>
    </row>
    <row r="94" spans="1:4" x14ac:dyDescent="0.2">
      <c r="A94">
        <v>141</v>
      </c>
      <c r="B94">
        <v>0</v>
      </c>
      <c r="C94">
        <v>0</v>
      </c>
      <c r="D94">
        <v>0</v>
      </c>
    </row>
    <row r="95" spans="1:4" x14ac:dyDescent="0.2">
      <c r="A95">
        <v>142</v>
      </c>
      <c r="B95">
        <v>0</v>
      </c>
      <c r="C95">
        <v>0</v>
      </c>
      <c r="D95">
        <v>0</v>
      </c>
    </row>
    <row r="96" spans="1:4" x14ac:dyDescent="0.2">
      <c r="A96">
        <v>143</v>
      </c>
      <c r="B96">
        <v>0</v>
      </c>
      <c r="C96">
        <v>0</v>
      </c>
      <c r="D96">
        <v>0</v>
      </c>
    </row>
    <row r="97" spans="1:4" x14ac:dyDescent="0.2">
      <c r="A97">
        <v>144</v>
      </c>
      <c r="B97">
        <v>0</v>
      </c>
      <c r="C97">
        <v>0</v>
      </c>
      <c r="D97">
        <v>0</v>
      </c>
    </row>
    <row r="98" spans="1:4" x14ac:dyDescent="0.2">
      <c r="A98">
        <v>145</v>
      </c>
      <c r="B98">
        <v>0</v>
      </c>
      <c r="C98">
        <v>0</v>
      </c>
      <c r="D98">
        <v>0</v>
      </c>
    </row>
    <row r="99" spans="1:4" x14ac:dyDescent="0.2">
      <c r="A99">
        <v>146</v>
      </c>
      <c r="B99">
        <v>0</v>
      </c>
      <c r="C99">
        <v>0</v>
      </c>
      <c r="D99">
        <v>0</v>
      </c>
    </row>
    <row r="100" spans="1:4" x14ac:dyDescent="0.2">
      <c r="A100">
        <v>147</v>
      </c>
      <c r="B100">
        <v>0</v>
      </c>
      <c r="C100">
        <v>0</v>
      </c>
      <c r="D100">
        <v>0</v>
      </c>
    </row>
    <row r="101" spans="1:4" x14ac:dyDescent="0.2">
      <c r="A101">
        <v>148</v>
      </c>
      <c r="B101">
        <v>0</v>
      </c>
      <c r="C101">
        <v>0</v>
      </c>
      <c r="D101">
        <v>0</v>
      </c>
    </row>
    <row r="102" spans="1:4" x14ac:dyDescent="0.2">
      <c r="A102">
        <v>149</v>
      </c>
      <c r="B102">
        <v>0</v>
      </c>
      <c r="C102">
        <v>0</v>
      </c>
      <c r="D102">
        <v>0</v>
      </c>
    </row>
    <row r="103" spans="1:4" x14ac:dyDescent="0.2">
      <c r="A103">
        <v>150</v>
      </c>
      <c r="B103">
        <v>0</v>
      </c>
      <c r="C103">
        <v>0</v>
      </c>
      <c r="D103">
        <v>0</v>
      </c>
    </row>
    <row r="104" spans="1:4" x14ac:dyDescent="0.2">
      <c r="A104">
        <v>151</v>
      </c>
      <c r="B104">
        <v>0</v>
      </c>
      <c r="C104">
        <v>0</v>
      </c>
      <c r="D104">
        <v>0</v>
      </c>
    </row>
    <row r="105" spans="1:4" x14ac:dyDescent="0.2">
      <c r="A105">
        <v>152</v>
      </c>
      <c r="B105">
        <v>0</v>
      </c>
      <c r="C105">
        <v>0</v>
      </c>
      <c r="D105">
        <v>0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5"/>
  <sheetViews>
    <sheetView zoomScaleNormal="100" workbookViewId="0">
      <selection activeCell="G25" sqref="G25"/>
    </sheetView>
  </sheetViews>
  <sheetFormatPr baseColWidth="10" defaultColWidth="11.5703125" defaultRowHeight="12.75" x14ac:dyDescent="0.2"/>
  <sheetData>
    <row r="1" spans="1:4" x14ac:dyDescent="0.2">
      <c r="A1" t="s">
        <v>164</v>
      </c>
      <c r="B1" t="s">
        <v>199</v>
      </c>
      <c r="C1" t="s">
        <v>200</v>
      </c>
      <c r="D1" t="s">
        <v>201</v>
      </c>
    </row>
    <row r="2" spans="1:4" x14ac:dyDescent="0.2">
      <c r="A2">
        <v>49</v>
      </c>
      <c r="B2">
        <v>0</v>
      </c>
      <c r="C2">
        <v>0</v>
      </c>
      <c r="D2">
        <v>0</v>
      </c>
    </row>
    <row r="3" spans="1:4" x14ac:dyDescent="0.2">
      <c r="A3">
        <v>50</v>
      </c>
      <c r="B3">
        <v>0</v>
      </c>
      <c r="C3">
        <v>0</v>
      </c>
      <c r="D3">
        <v>0</v>
      </c>
    </row>
    <row r="4" spans="1:4" x14ac:dyDescent="0.2">
      <c r="A4">
        <v>51</v>
      </c>
      <c r="B4">
        <v>0</v>
      </c>
      <c r="C4">
        <v>0</v>
      </c>
      <c r="D4">
        <v>0</v>
      </c>
    </row>
    <row r="5" spans="1:4" x14ac:dyDescent="0.2">
      <c r="A5">
        <v>52</v>
      </c>
      <c r="B5">
        <v>0</v>
      </c>
      <c r="C5">
        <v>0</v>
      </c>
      <c r="D5">
        <v>0</v>
      </c>
    </row>
    <row r="6" spans="1:4" x14ac:dyDescent="0.2">
      <c r="A6">
        <v>53</v>
      </c>
      <c r="B6">
        <v>0</v>
      </c>
      <c r="C6">
        <v>0</v>
      </c>
      <c r="D6">
        <v>0</v>
      </c>
    </row>
    <row r="7" spans="1:4" x14ac:dyDescent="0.2">
      <c r="A7">
        <v>54</v>
      </c>
      <c r="B7">
        <v>0</v>
      </c>
      <c r="C7">
        <v>0</v>
      </c>
      <c r="D7">
        <v>0</v>
      </c>
    </row>
    <row r="8" spans="1:4" x14ac:dyDescent="0.2">
      <c r="A8">
        <v>55</v>
      </c>
      <c r="B8">
        <v>0</v>
      </c>
      <c r="C8">
        <v>0</v>
      </c>
      <c r="D8">
        <v>0</v>
      </c>
    </row>
    <row r="9" spans="1:4" x14ac:dyDescent="0.2">
      <c r="A9">
        <v>56</v>
      </c>
      <c r="B9">
        <v>0</v>
      </c>
      <c r="C9">
        <v>0</v>
      </c>
      <c r="D9">
        <v>0</v>
      </c>
    </row>
    <row r="10" spans="1:4" x14ac:dyDescent="0.2">
      <c r="A10">
        <v>57</v>
      </c>
      <c r="B10">
        <v>0</v>
      </c>
      <c r="C10">
        <v>0</v>
      </c>
      <c r="D10">
        <v>0</v>
      </c>
    </row>
    <row r="11" spans="1:4" x14ac:dyDescent="0.2">
      <c r="A11">
        <v>58</v>
      </c>
      <c r="B11">
        <v>0</v>
      </c>
      <c r="C11">
        <v>0</v>
      </c>
      <c r="D11">
        <v>0</v>
      </c>
    </row>
    <row r="12" spans="1:4" x14ac:dyDescent="0.2">
      <c r="A12">
        <v>59</v>
      </c>
      <c r="B12">
        <v>0</v>
      </c>
      <c r="C12">
        <v>0</v>
      </c>
      <c r="D12">
        <v>0</v>
      </c>
    </row>
    <row r="13" spans="1:4" x14ac:dyDescent="0.2">
      <c r="A13">
        <v>60</v>
      </c>
      <c r="B13">
        <v>0</v>
      </c>
      <c r="C13">
        <v>0</v>
      </c>
      <c r="D13">
        <v>0</v>
      </c>
    </row>
    <row r="14" spans="1:4" x14ac:dyDescent="0.2">
      <c r="A14">
        <v>61</v>
      </c>
      <c r="B14">
        <v>0</v>
      </c>
      <c r="C14">
        <v>0</v>
      </c>
      <c r="D14">
        <v>0</v>
      </c>
    </row>
    <row r="15" spans="1:4" x14ac:dyDescent="0.2">
      <c r="A15">
        <v>62</v>
      </c>
      <c r="B15">
        <v>299270.52741666703</v>
      </c>
      <c r="C15">
        <v>53531.854149999999</v>
      </c>
      <c r="D15">
        <v>245949.98655</v>
      </c>
    </row>
    <row r="16" spans="1:4" x14ac:dyDescent="0.2">
      <c r="A16">
        <v>63</v>
      </c>
      <c r="B16">
        <v>0</v>
      </c>
      <c r="C16">
        <v>0</v>
      </c>
      <c r="D16">
        <v>0</v>
      </c>
    </row>
    <row r="17" spans="1:4" x14ac:dyDescent="0.2">
      <c r="A17">
        <v>64</v>
      </c>
      <c r="B17">
        <v>0</v>
      </c>
      <c r="C17">
        <v>0</v>
      </c>
      <c r="D17">
        <v>0</v>
      </c>
    </row>
    <row r="18" spans="1:4" x14ac:dyDescent="0.2">
      <c r="A18">
        <v>65</v>
      </c>
      <c r="B18">
        <v>0</v>
      </c>
      <c r="C18">
        <v>0</v>
      </c>
      <c r="D18">
        <v>0</v>
      </c>
    </row>
    <row r="19" spans="1:4" x14ac:dyDescent="0.2">
      <c r="A19">
        <v>66</v>
      </c>
      <c r="B19">
        <v>0</v>
      </c>
      <c r="C19">
        <v>0</v>
      </c>
      <c r="D19">
        <v>0</v>
      </c>
    </row>
    <row r="20" spans="1:4" x14ac:dyDescent="0.2">
      <c r="A20">
        <v>67</v>
      </c>
      <c r="B20">
        <v>0</v>
      </c>
      <c r="C20">
        <v>0</v>
      </c>
      <c r="D20">
        <v>0</v>
      </c>
    </row>
    <row r="21" spans="1:4" x14ac:dyDescent="0.2">
      <c r="A21">
        <v>68</v>
      </c>
      <c r="B21">
        <v>0</v>
      </c>
      <c r="C21">
        <v>0</v>
      </c>
      <c r="D21">
        <v>0</v>
      </c>
    </row>
    <row r="22" spans="1:4" x14ac:dyDescent="0.2">
      <c r="A22">
        <v>69</v>
      </c>
      <c r="B22">
        <v>2062461.8590365199</v>
      </c>
      <c r="C22">
        <v>731459.59860228805</v>
      </c>
      <c r="D22">
        <v>1331215.3979698599</v>
      </c>
    </row>
    <row r="23" spans="1:4" x14ac:dyDescent="0.2">
      <c r="A23">
        <v>70</v>
      </c>
      <c r="B23">
        <v>0</v>
      </c>
      <c r="C23">
        <v>0</v>
      </c>
      <c r="D23">
        <v>0</v>
      </c>
    </row>
    <row r="24" spans="1:4" x14ac:dyDescent="0.2">
      <c r="A24">
        <v>71</v>
      </c>
      <c r="B24">
        <v>0</v>
      </c>
      <c r="C24">
        <v>0</v>
      </c>
      <c r="D24">
        <v>0</v>
      </c>
    </row>
    <row r="25" spans="1:4" x14ac:dyDescent="0.2">
      <c r="A25">
        <v>72</v>
      </c>
      <c r="B25">
        <v>0</v>
      </c>
      <c r="C25">
        <v>0</v>
      </c>
      <c r="D25">
        <v>0</v>
      </c>
    </row>
    <row r="26" spans="1:4" x14ac:dyDescent="0.2">
      <c r="A26">
        <v>73</v>
      </c>
      <c r="B26">
        <v>0</v>
      </c>
      <c r="C26">
        <v>0</v>
      </c>
      <c r="D26">
        <v>0</v>
      </c>
    </row>
    <row r="27" spans="1:4" x14ac:dyDescent="0.2">
      <c r="A27">
        <v>74</v>
      </c>
      <c r="B27">
        <v>0</v>
      </c>
      <c r="C27">
        <v>0</v>
      </c>
      <c r="D27">
        <v>0</v>
      </c>
    </row>
    <row r="28" spans="1:4" x14ac:dyDescent="0.2">
      <c r="A28">
        <v>75</v>
      </c>
      <c r="B28">
        <v>0</v>
      </c>
      <c r="C28">
        <v>0</v>
      </c>
      <c r="D28">
        <v>0</v>
      </c>
    </row>
    <row r="29" spans="1:4" x14ac:dyDescent="0.2">
      <c r="A29">
        <v>76</v>
      </c>
      <c r="B29">
        <v>0</v>
      </c>
      <c r="C29">
        <v>0</v>
      </c>
      <c r="D29">
        <v>0</v>
      </c>
    </row>
    <row r="30" spans="1:4" x14ac:dyDescent="0.2">
      <c r="A30">
        <v>77</v>
      </c>
      <c r="B30">
        <v>0</v>
      </c>
      <c r="C30">
        <v>0</v>
      </c>
      <c r="D30">
        <v>0</v>
      </c>
    </row>
    <row r="31" spans="1:4" x14ac:dyDescent="0.2">
      <c r="A31">
        <v>78</v>
      </c>
      <c r="B31">
        <v>0</v>
      </c>
      <c r="C31">
        <v>0</v>
      </c>
      <c r="D31">
        <v>0</v>
      </c>
    </row>
    <row r="32" spans="1:4" x14ac:dyDescent="0.2">
      <c r="A32">
        <v>79</v>
      </c>
      <c r="B32">
        <v>0</v>
      </c>
      <c r="C32">
        <v>0</v>
      </c>
      <c r="D32">
        <v>0</v>
      </c>
    </row>
    <row r="33" spans="1:4" x14ac:dyDescent="0.2">
      <c r="A33">
        <v>80</v>
      </c>
      <c r="B33">
        <v>0</v>
      </c>
      <c r="C33">
        <v>0</v>
      </c>
      <c r="D33">
        <v>0</v>
      </c>
    </row>
    <row r="34" spans="1:4" x14ac:dyDescent="0.2">
      <c r="A34">
        <v>81</v>
      </c>
      <c r="B34">
        <v>0</v>
      </c>
      <c r="C34">
        <v>0</v>
      </c>
      <c r="D34">
        <v>0</v>
      </c>
    </row>
    <row r="35" spans="1:4" x14ac:dyDescent="0.2">
      <c r="A35">
        <v>82</v>
      </c>
      <c r="B35">
        <v>0</v>
      </c>
      <c r="C35">
        <v>0</v>
      </c>
      <c r="D35">
        <v>0</v>
      </c>
    </row>
    <row r="36" spans="1:4" x14ac:dyDescent="0.2">
      <c r="A36">
        <v>83</v>
      </c>
      <c r="B36">
        <v>0</v>
      </c>
      <c r="C36">
        <v>0</v>
      </c>
      <c r="D36">
        <v>0</v>
      </c>
    </row>
    <row r="37" spans="1:4" x14ac:dyDescent="0.2">
      <c r="A37">
        <v>84</v>
      </c>
      <c r="B37">
        <v>0</v>
      </c>
      <c r="C37">
        <v>0</v>
      </c>
      <c r="D37">
        <v>0</v>
      </c>
    </row>
    <row r="38" spans="1:4" x14ac:dyDescent="0.2">
      <c r="A38">
        <v>85</v>
      </c>
      <c r="B38">
        <v>0</v>
      </c>
      <c r="C38">
        <v>0</v>
      </c>
      <c r="D38">
        <v>0</v>
      </c>
    </row>
    <row r="39" spans="1:4" x14ac:dyDescent="0.2">
      <c r="A39">
        <v>86</v>
      </c>
      <c r="B39">
        <v>0</v>
      </c>
      <c r="C39">
        <v>0</v>
      </c>
      <c r="D39">
        <v>0</v>
      </c>
    </row>
    <row r="40" spans="1:4" x14ac:dyDescent="0.2">
      <c r="A40">
        <v>87</v>
      </c>
      <c r="B40">
        <v>0</v>
      </c>
      <c r="C40">
        <v>0</v>
      </c>
      <c r="D40">
        <v>0</v>
      </c>
    </row>
    <row r="41" spans="1:4" x14ac:dyDescent="0.2">
      <c r="A41">
        <v>88</v>
      </c>
      <c r="B41">
        <v>0</v>
      </c>
      <c r="C41">
        <v>0</v>
      </c>
      <c r="D41">
        <v>0</v>
      </c>
    </row>
    <row r="42" spans="1:4" x14ac:dyDescent="0.2">
      <c r="A42">
        <v>89</v>
      </c>
      <c r="B42">
        <v>0</v>
      </c>
      <c r="C42">
        <v>0</v>
      </c>
      <c r="D42">
        <v>0</v>
      </c>
    </row>
    <row r="43" spans="1:4" x14ac:dyDescent="0.2">
      <c r="A43">
        <v>90</v>
      </c>
      <c r="B43">
        <v>0</v>
      </c>
      <c r="C43">
        <v>0</v>
      </c>
      <c r="D43">
        <v>0</v>
      </c>
    </row>
    <row r="44" spans="1:4" x14ac:dyDescent="0.2">
      <c r="A44">
        <v>91</v>
      </c>
      <c r="B44">
        <v>0</v>
      </c>
      <c r="C44">
        <v>0</v>
      </c>
      <c r="D44">
        <v>0</v>
      </c>
    </row>
    <row r="45" spans="1:4" x14ac:dyDescent="0.2">
      <c r="A45">
        <v>92</v>
      </c>
      <c r="B45">
        <v>0</v>
      </c>
      <c r="C45">
        <v>0</v>
      </c>
      <c r="D45">
        <v>0</v>
      </c>
    </row>
    <row r="46" spans="1:4" x14ac:dyDescent="0.2">
      <c r="A46">
        <v>93</v>
      </c>
      <c r="B46">
        <v>0</v>
      </c>
      <c r="C46">
        <v>0</v>
      </c>
      <c r="D46">
        <v>0</v>
      </c>
    </row>
    <row r="47" spans="1:4" x14ac:dyDescent="0.2">
      <c r="A47">
        <v>94</v>
      </c>
      <c r="B47">
        <v>0</v>
      </c>
      <c r="C47">
        <v>0</v>
      </c>
      <c r="D47">
        <v>0</v>
      </c>
    </row>
    <row r="48" spans="1:4" x14ac:dyDescent="0.2">
      <c r="A48">
        <v>95</v>
      </c>
      <c r="B48">
        <v>0</v>
      </c>
      <c r="C48">
        <v>0</v>
      </c>
      <c r="D48">
        <v>0</v>
      </c>
    </row>
    <row r="49" spans="1:4" x14ac:dyDescent="0.2">
      <c r="A49">
        <v>96</v>
      </c>
      <c r="B49">
        <v>0</v>
      </c>
      <c r="C49">
        <v>0</v>
      </c>
      <c r="D49">
        <v>0</v>
      </c>
    </row>
    <row r="50" spans="1:4" x14ac:dyDescent="0.2">
      <c r="A50">
        <v>97</v>
      </c>
      <c r="B50">
        <v>0</v>
      </c>
      <c r="C50">
        <v>0</v>
      </c>
      <c r="D50">
        <v>0</v>
      </c>
    </row>
    <row r="51" spans="1:4" x14ac:dyDescent="0.2">
      <c r="A51">
        <v>98</v>
      </c>
      <c r="B51">
        <v>0</v>
      </c>
      <c r="C51">
        <v>0</v>
      </c>
      <c r="D51">
        <v>0</v>
      </c>
    </row>
    <row r="52" spans="1:4" x14ac:dyDescent="0.2">
      <c r="A52">
        <v>99</v>
      </c>
      <c r="B52">
        <v>0</v>
      </c>
      <c r="C52">
        <v>0</v>
      </c>
      <c r="D52">
        <v>0</v>
      </c>
    </row>
    <row r="53" spans="1:4" x14ac:dyDescent="0.2">
      <c r="A53">
        <v>100</v>
      </c>
      <c r="B53">
        <v>0</v>
      </c>
      <c r="C53">
        <v>0</v>
      </c>
      <c r="D53">
        <v>0</v>
      </c>
    </row>
    <row r="54" spans="1:4" x14ac:dyDescent="0.2">
      <c r="A54">
        <v>101</v>
      </c>
      <c r="B54">
        <v>0</v>
      </c>
      <c r="C54">
        <v>0</v>
      </c>
      <c r="D54">
        <v>0</v>
      </c>
    </row>
    <row r="55" spans="1:4" x14ac:dyDescent="0.2">
      <c r="A55">
        <v>102</v>
      </c>
      <c r="B55">
        <v>0</v>
      </c>
      <c r="C55">
        <v>0</v>
      </c>
      <c r="D55">
        <v>0</v>
      </c>
    </row>
    <row r="56" spans="1:4" x14ac:dyDescent="0.2">
      <c r="A56">
        <v>103</v>
      </c>
      <c r="B56">
        <v>0</v>
      </c>
      <c r="C56">
        <v>0</v>
      </c>
      <c r="D56">
        <v>0</v>
      </c>
    </row>
    <row r="57" spans="1:4" x14ac:dyDescent="0.2">
      <c r="A57">
        <v>104</v>
      </c>
      <c r="B57">
        <v>0</v>
      </c>
      <c r="C57">
        <v>0</v>
      </c>
      <c r="D57">
        <v>0</v>
      </c>
    </row>
    <row r="58" spans="1:4" x14ac:dyDescent="0.2">
      <c r="A58">
        <v>105</v>
      </c>
      <c r="B58">
        <v>0</v>
      </c>
      <c r="C58">
        <v>0</v>
      </c>
      <c r="D58">
        <v>0</v>
      </c>
    </row>
    <row r="59" spans="1:4" x14ac:dyDescent="0.2">
      <c r="A59">
        <v>106</v>
      </c>
      <c r="B59">
        <v>0</v>
      </c>
      <c r="C59">
        <v>0</v>
      </c>
      <c r="D59">
        <v>0</v>
      </c>
    </row>
    <row r="60" spans="1:4" x14ac:dyDescent="0.2">
      <c r="A60">
        <v>107</v>
      </c>
      <c r="B60">
        <v>0</v>
      </c>
      <c r="C60">
        <v>0</v>
      </c>
      <c r="D60">
        <v>0</v>
      </c>
    </row>
    <row r="61" spans="1:4" x14ac:dyDescent="0.2">
      <c r="A61">
        <v>108</v>
      </c>
      <c r="B61">
        <v>0</v>
      </c>
      <c r="C61">
        <v>0</v>
      </c>
      <c r="D61">
        <v>0</v>
      </c>
    </row>
    <row r="62" spans="1:4" x14ac:dyDescent="0.2">
      <c r="A62">
        <v>109</v>
      </c>
      <c r="B62">
        <v>0</v>
      </c>
      <c r="C62">
        <v>0</v>
      </c>
      <c r="D62">
        <v>0</v>
      </c>
    </row>
    <row r="63" spans="1:4" x14ac:dyDescent="0.2">
      <c r="A63">
        <v>110</v>
      </c>
      <c r="B63">
        <v>0</v>
      </c>
      <c r="C63">
        <v>0</v>
      </c>
      <c r="D63">
        <v>0</v>
      </c>
    </row>
    <row r="64" spans="1:4" x14ac:dyDescent="0.2">
      <c r="A64">
        <v>111</v>
      </c>
      <c r="B64">
        <v>0</v>
      </c>
      <c r="C64">
        <v>0</v>
      </c>
      <c r="D64">
        <v>0</v>
      </c>
    </row>
    <row r="65" spans="1:4" x14ac:dyDescent="0.2">
      <c r="A65">
        <v>112</v>
      </c>
      <c r="B65">
        <v>0</v>
      </c>
      <c r="C65">
        <v>0</v>
      </c>
      <c r="D65">
        <v>0</v>
      </c>
    </row>
    <row r="66" spans="1:4" x14ac:dyDescent="0.2">
      <c r="A66">
        <v>113</v>
      </c>
      <c r="B66">
        <v>0</v>
      </c>
      <c r="C66">
        <v>0</v>
      </c>
      <c r="D66">
        <v>0</v>
      </c>
    </row>
    <row r="67" spans="1:4" x14ac:dyDescent="0.2">
      <c r="A67">
        <v>114</v>
      </c>
      <c r="B67">
        <v>0</v>
      </c>
      <c r="C67">
        <v>0</v>
      </c>
      <c r="D67">
        <v>0</v>
      </c>
    </row>
    <row r="68" spans="1:4" x14ac:dyDescent="0.2">
      <c r="A68">
        <v>115</v>
      </c>
      <c r="B68">
        <v>0</v>
      </c>
      <c r="C68">
        <v>0</v>
      </c>
      <c r="D68">
        <v>0</v>
      </c>
    </row>
    <row r="69" spans="1:4" x14ac:dyDescent="0.2">
      <c r="A69">
        <v>116</v>
      </c>
      <c r="B69">
        <v>0</v>
      </c>
      <c r="C69">
        <v>0</v>
      </c>
      <c r="D69">
        <v>0</v>
      </c>
    </row>
    <row r="70" spans="1:4" x14ac:dyDescent="0.2">
      <c r="A70">
        <v>117</v>
      </c>
      <c r="B70">
        <v>0</v>
      </c>
      <c r="C70">
        <v>0</v>
      </c>
      <c r="D70">
        <v>0</v>
      </c>
    </row>
    <row r="71" spans="1:4" x14ac:dyDescent="0.2">
      <c r="A71">
        <v>118</v>
      </c>
      <c r="B71">
        <v>0</v>
      </c>
      <c r="C71">
        <v>0</v>
      </c>
      <c r="D71">
        <v>0</v>
      </c>
    </row>
    <row r="72" spans="1:4" x14ac:dyDescent="0.2">
      <c r="A72">
        <v>119</v>
      </c>
      <c r="B72">
        <v>0</v>
      </c>
      <c r="C72">
        <v>0</v>
      </c>
      <c r="D72">
        <v>0</v>
      </c>
    </row>
    <row r="73" spans="1:4" x14ac:dyDescent="0.2">
      <c r="A73">
        <v>120</v>
      </c>
      <c r="B73">
        <v>0</v>
      </c>
      <c r="C73">
        <v>0</v>
      </c>
      <c r="D73">
        <v>0</v>
      </c>
    </row>
    <row r="74" spans="1:4" x14ac:dyDescent="0.2">
      <c r="A74">
        <v>121</v>
      </c>
      <c r="B74">
        <v>0</v>
      </c>
      <c r="C74">
        <v>0</v>
      </c>
      <c r="D74">
        <v>0</v>
      </c>
    </row>
    <row r="75" spans="1:4" x14ac:dyDescent="0.2">
      <c r="A75">
        <v>122</v>
      </c>
      <c r="B75">
        <v>0</v>
      </c>
      <c r="C75">
        <v>0</v>
      </c>
      <c r="D75">
        <v>0</v>
      </c>
    </row>
    <row r="76" spans="1:4" x14ac:dyDescent="0.2">
      <c r="A76">
        <v>123</v>
      </c>
      <c r="B76">
        <v>0</v>
      </c>
      <c r="C76">
        <v>0</v>
      </c>
      <c r="D76">
        <v>0</v>
      </c>
    </row>
    <row r="77" spans="1:4" x14ac:dyDescent="0.2">
      <c r="A77">
        <v>124</v>
      </c>
      <c r="B77">
        <v>0</v>
      </c>
      <c r="C77">
        <v>0</v>
      </c>
      <c r="D77">
        <v>0</v>
      </c>
    </row>
    <row r="78" spans="1:4" x14ac:dyDescent="0.2">
      <c r="A78">
        <v>125</v>
      </c>
      <c r="B78">
        <v>0</v>
      </c>
      <c r="C78">
        <v>0</v>
      </c>
      <c r="D78">
        <v>0</v>
      </c>
    </row>
    <row r="79" spans="1:4" x14ac:dyDescent="0.2">
      <c r="A79">
        <v>126</v>
      </c>
      <c r="B79">
        <v>0</v>
      </c>
      <c r="C79">
        <v>0</v>
      </c>
      <c r="D79">
        <v>0</v>
      </c>
    </row>
    <row r="80" spans="1:4" x14ac:dyDescent="0.2">
      <c r="A80">
        <v>127</v>
      </c>
      <c r="B80">
        <v>0</v>
      </c>
      <c r="C80">
        <v>0</v>
      </c>
      <c r="D80">
        <v>0</v>
      </c>
    </row>
    <row r="81" spans="1:4" x14ac:dyDescent="0.2">
      <c r="A81">
        <v>128</v>
      </c>
      <c r="B81">
        <v>0</v>
      </c>
      <c r="C81">
        <v>0</v>
      </c>
      <c r="D81">
        <v>0</v>
      </c>
    </row>
    <row r="82" spans="1:4" x14ac:dyDescent="0.2">
      <c r="A82">
        <v>129</v>
      </c>
      <c r="B82">
        <v>0</v>
      </c>
      <c r="C82">
        <v>0</v>
      </c>
      <c r="D82">
        <v>0</v>
      </c>
    </row>
    <row r="83" spans="1:4" x14ac:dyDescent="0.2">
      <c r="A83">
        <v>130</v>
      </c>
      <c r="B83">
        <v>0</v>
      </c>
      <c r="C83">
        <v>0</v>
      </c>
      <c r="D83">
        <v>0</v>
      </c>
    </row>
    <row r="84" spans="1:4" x14ac:dyDescent="0.2">
      <c r="A84">
        <v>131</v>
      </c>
      <c r="B84">
        <v>0</v>
      </c>
      <c r="C84">
        <v>0</v>
      </c>
      <c r="D84">
        <v>0</v>
      </c>
    </row>
    <row r="85" spans="1:4" x14ac:dyDescent="0.2">
      <c r="A85">
        <v>132</v>
      </c>
      <c r="B85">
        <v>0</v>
      </c>
      <c r="C85">
        <v>0</v>
      </c>
      <c r="D85">
        <v>0</v>
      </c>
    </row>
    <row r="86" spans="1:4" x14ac:dyDescent="0.2">
      <c r="A86">
        <v>133</v>
      </c>
      <c r="B86">
        <v>0</v>
      </c>
      <c r="C86">
        <v>0</v>
      </c>
      <c r="D86">
        <v>0</v>
      </c>
    </row>
    <row r="87" spans="1:4" x14ac:dyDescent="0.2">
      <c r="A87">
        <v>134</v>
      </c>
      <c r="B87">
        <v>0</v>
      </c>
      <c r="C87">
        <v>0</v>
      </c>
      <c r="D87">
        <v>0</v>
      </c>
    </row>
    <row r="88" spans="1:4" x14ac:dyDescent="0.2">
      <c r="A88">
        <v>135</v>
      </c>
      <c r="B88">
        <v>0</v>
      </c>
      <c r="C88">
        <v>0</v>
      </c>
      <c r="D88">
        <v>0</v>
      </c>
    </row>
    <row r="89" spans="1:4" x14ac:dyDescent="0.2">
      <c r="A89">
        <v>136</v>
      </c>
      <c r="B89">
        <v>0</v>
      </c>
      <c r="C89">
        <v>0</v>
      </c>
      <c r="D89">
        <v>0</v>
      </c>
    </row>
    <row r="90" spans="1:4" x14ac:dyDescent="0.2">
      <c r="A90">
        <v>137</v>
      </c>
      <c r="B90">
        <v>0</v>
      </c>
      <c r="C90">
        <v>0</v>
      </c>
      <c r="D90">
        <v>0</v>
      </c>
    </row>
    <row r="91" spans="1:4" x14ac:dyDescent="0.2">
      <c r="A91">
        <v>138</v>
      </c>
      <c r="B91">
        <v>0</v>
      </c>
      <c r="C91">
        <v>0</v>
      </c>
      <c r="D91">
        <v>0</v>
      </c>
    </row>
    <row r="92" spans="1:4" x14ac:dyDescent="0.2">
      <c r="A92">
        <v>139</v>
      </c>
      <c r="B92">
        <v>0</v>
      </c>
      <c r="C92">
        <v>0</v>
      </c>
      <c r="D92">
        <v>0</v>
      </c>
    </row>
    <row r="93" spans="1:4" x14ac:dyDescent="0.2">
      <c r="A93">
        <v>140</v>
      </c>
      <c r="B93">
        <v>0</v>
      </c>
      <c r="C93">
        <v>0</v>
      </c>
      <c r="D93">
        <v>0</v>
      </c>
    </row>
    <row r="94" spans="1:4" x14ac:dyDescent="0.2">
      <c r="A94">
        <v>141</v>
      </c>
      <c r="B94">
        <v>0</v>
      </c>
      <c r="C94">
        <v>0</v>
      </c>
      <c r="D94">
        <v>0</v>
      </c>
    </row>
    <row r="95" spans="1:4" x14ac:dyDescent="0.2">
      <c r="A95">
        <v>142</v>
      </c>
      <c r="B95">
        <v>0</v>
      </c>
      <c r="C95">
        <v>0</v>
      </c>
      <c r="D95">
        <v>0</v>
      </c>
    </row>
    <row r="96" spans="1:4" x14ac:dyDescent="0.2">
      <c r="A96">
        <v>143</v>
      </c>
      <c r="B96">
        <v>0</v>
      </c>
      <c r="C96">
        <v>0</v>
      </c>
      <c r="D96">
        <v>0</v>
      </c>
    </row>
    <row r="97" spans="1:4" x14ac:dyDescent="0.2">
      <c r="A97">
        <v>144</v>
      </c>
      <c r="B97">
        <v>0</v>
      </c>
      <c r="C97">
        <v>0</v>
      </c>
      <c r="D97">
        <v>0</v>
      </c>
    </row>
    <row r="98" spans="1:4" x14ac:dyDescent="0.2">
      <c r="A98">
        <v>145</v>
      </c>
      <c r="B98">
        <v>0</v>
      </c>
      <c r="C98">
        <v>0</v>
      </c>
      <c r="D98">
        <v>0</v>
      </c>
    </row>
    <row r="99" spans="1:4" x14ac:dyDescent="0.2">
      <c r="A99">
        <v>146</v>
      </c>
      <c r="B99">
        <v>0</v>
      </c>
      <c r="C99">
        <v>0</v>
      </c>
      <c r="D99">
        <v>0</v>
      </c>
    </row>
    <row r="100" spans="1:4" x14ac:dyDescent="0.2">
      <c r="A100">
        <v>147</v>
      </c>
      <c r="B100">
        <v>0</v>
      </c>
      <c r="C100">
        <v>0</v>
      </c>
      <c r="D100">
        <v>0</v>
      </c>
    </row>
    <row r="101" spans="1:4" x14ac:dyDescent="0.2">
      <c r="A101">
        <v>148</v>
      </c>
      <c r="B101">
        <v>0</v>
      </c>
      <c r="C101">
        <v>0</v>
      </c>
      <c r="D101">
        <v>0</v>
      </c>
    </row>
    <row r="102" spans="1:4" x14ac:dyDescent="0.2">
      <c r="A102">
        <v>149</v>
      </c>
      <c r="B102">
        <v>0</v>
      </c>
      <c r="C102">
        <v>0</v>
      </c>
      <c r="D102">
        <v>0</v>
      </c>
    </row>
    <row r="103" spans="1:4" x14ac:dyDescent="0.2">
      <c r="A103">
        <v>150</v>
      </c>
      <c r="B103">
        <v>0</v>
      </c>
      <c r="C103">
        <v>0</v>
      </c>
      <c r="D103">
        <v>0</v>
      </c>
    </row>
    <row r="104" spans="1:4" x14ac:dyDescent="0.2">
      <c r="A104">
        <v>151</v>
      </c>
      <c r="B104">
        <v>0</v>
      </c>
      <c r="C104">
        <v>0</v>
      </c>
      <c r="D104">
        <v>0</v>
      </c>
    </row>
    <row r="105" spans="1:4" x14ac:dyDescent="0.2">
      <c r="A105">
        <v>152</v>
      </c>
      <c r="B105">
        <v>0</v>
      </c>
      <c r="C105">
        <v>0</v>
      </c>
      <c r="D105">
        <v>0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5"/>
  <sheetViews>
    <sheetView zoomScaleNormal="100" workbookViewId="0">
      <selection activeCell="B22" sqref="B22"/>
    </sheetView>
  </sheetViews>
  <sheetFormatPr baseColWidth="10" defaultColWidth="11.5703125" defaultRowHeight="12.75" x14ac:dyDescent="0.2"/>
  <sheetData>
    <row r="1" spans="1:4" x14ac:dyDescent="0.2">
      <c r="A1" t="s">
        <v>164</v>
      </c>
      <c r="B1" t="s">
        <v>199</v>
      </c>
      <c r="C1" t="s">
        <v>200</v>
      </c>
      <c r="D1" t="s">
        <v>201</v>
      </c>
    </row>
    <row r="2" spans="1:4" x14ac:dyDescent="0.2">
      <c r="A2">
        <v>49</v>
      </c>
      <c r="B2">
        <v>0</v>
      </c>
      <c r="C2">
        <v>0</v>
      </c>
      <c r="D2">
        <v>0</v>
      </c>
    </row>
    <row r="3" spans="1:4" x14ac:dyDescent="0.2">
      <c r="A3">
        <v>50</v>
      </c>
      <c r="B3">
        <v>0</v>
      </c>
      <c r="C3">
        <v>0</v>
      </c>
      <c r="D3">
        <v>0</v>
      </c>
    </row>
    <row r="4" spans="1:4" x14ac:dyDescent="0.2">
      <c r="A4">
        <v>51</v>
      </c>
      <c r="B4">
        <v>0</v>
      </c>
      <c r="C4">
        <v>0</v>
      </c>
      <c r="D4">
        <v>0</v>
      </c>
    </row>
    <row r="5" spans="1:4" x14ac:dyDescent="0.2">
      <c r="A5">
        <v>52</v>
      </c>
      <c r="B5">
        <v>0</v>
      </c>
      <c r="C5">
        <v>0</v>
      </c>
      <c r="D5">
        <v>0</v>
      </c>
    </row>
    <row r="6" spans="1:4" x14ac:dyDescent="0.2">
      <c r="A6">
        <v>53</v>
      </c>
      <c r="B6">
        <v>0</v>
      </c>
      <c r="C6">
        <v>0</v>
      </c>
      <c r="D6">
        <v>0</v>
      </c>
    </row>
    <row r="7" spans="1:4" x14ac:dyDescent="0.2">
      <c r="A7">
        <v>54</v>
      </c>
      <c r="B7">
        <v>0</v>
      </c>
      <c r="C7">
        <v>0</v>
      </c>
      <c r="D7">
        <v>0</v>
      </c>
    </row>
    <row r="8" spans="1:4" x14ac:dyDescent="0.2">
      <c r="A8">
        <v>55</v>
      </c>
      <c r="B8">
        <v>0</v>
      </c>
      <c r="C8">
        <v>0</v>
      </c>
      <c r="D8">
        <v>0</v>
      </c>
    </row>
    <row r="9" spans="1:4" x14ac:dyDescent="0.2">
      <c r="A9">
        <v>56</v>
      </c>
      <c r="B9">
        <v>0</v>
      </c>
      <c r="C9">
        <v>0</v>
      </c>
      <c r="D9">
        <v>0</v>
      </c>
    </row>
    <row r="10" spans="1:4" x14ac:dyDescent="0.2">
      <c r="A10">
        <v>57</v>
      </c>
      <c r="B10">
        <v>0</v>
      </c>
      <c r="C10">
        <v>0</v>
      </c>
      <c r="D10">
        <v>0</v>
      </c>
    </row>
    <row r="11" spans="1:4" x14ac:dyDescent="0.2">
      <c r="A11">
        <v>58</v>
      </c>
      <c r="B11">
        <v>0</v>
      </c>
      <c r="C11">
        <v>0</v>
      </c>
      <c r="D11">
        <v>0</v>
      </c>
    </row>
    <row r="12" spans="1:4" x14ac:dyDescent="0.2">
      <c r="A12">
        <v>59</v>
      </c>
      <c r="B12">
        <v>0</v>
      </c>
      <c r="C12">
        <v>0</v>
      </c>
      <c r="D12">
        <v>0</v>
      </c>
    </row>
    <row r="13" spans="1:4" x14ac:dyDescent="0.2">
      <c r="A13">
        <v>60</v>
      </c>
      <c r="B13">
        <v>0</v>
      </c>
      <c r="C13">
        <v>0</v>
      </c>
      <c r="D13">
        <v>0</v>
      </c>
    </row>
    <row r="14" spans="1:4" x14ac:dyDescent="0.2">
      <c r="A14">
        <v>61</v>
      </c>
      <c r="B14">
        <v>0</v>
      </c>
      <c r="C14">
        <v>0</v>
      </c>
      <c r="D14">
        <v>0</v>
      </c>
    </row>
    <row r="15" spans="1:4" x14ac:dyDescent="0.2">
      <c r="A15">
        <v>62</v>
      </c>
      <c r="B15">
        <v>298714.91043333302</v>
      </c>
      <c r="C15">
        <v>53531.854149999999</v>
      </c>
      <c r="D15">
        <v>245394.36956666701</v>
      </c>
    </row>
    <row r="16" spans="1:4" x14ac:dyDescent="0.2">
      <c r="A16">
        <v>63</v>
      </c>
      <c r="B16">
        <v>0</v>
      </c>
      <c r="C16">
        <v>0</v>
      </c>
      <c r="D16">
        <v>0</v>
      </c>
    </row>
    <row r="17" spans="1:4" x14ac:dyDescent="0.2">
      <c r="A17">
        <v>64</v>
      </c>
      <c r="B17">
        <v>0</v>
      </c>
      <c r="C17">
        <v>0</v>
      </c>
      <c r="D17">
        <v>0</v>
      </c>
    </row>
    <row r="18" spans="1:4" x14ac:dyDescent="0.2">
      <c r="A18">
        <v>65</v>
      </c>
      <c r="B18">
        <v>0</v>
      </c>
      <c r="C18">
        <v>0</v>
      </c>
      <c r="D18">
        <v>0</v>
      </c>
    </row>
    <row r="19" spans="1:4" x14ac:dyDescent="0.2">
      <c r="A19">
        <v>66</v>
      </c>
      <c r="B19">
        <v>0</v>
      </c>
      <c r="C19">
        <v>0</v>
      </c>
      <c r="D19">
        <v>0</v>
      </c>
    </row>
    <row r="20" spans="1:4" x14ac:dyDescent="0.2">
      <c r="A20">
        <v>67</v>
      </c>
      <c r="B20">
        <v>0</v>
      </c>
      <c r="C20">
        <v>0</v>
      </c>
      <c r="D20">
        <v>0</v>
      </c>
    </row>
    <row r="21" spans="1:4" x14ac:dyDescent="0.2">
      <c r="A21">
        <v>68</v>
      </c>
      <c r="B21">
        <v>0</v>
      </c>
      <c r="C21">
        <v>0</v>
      </c>
      <c r="D21">
        <v>0</v>
      </c>
    </row>
    <row r="22" spans="1:4" x14ac:dyDescent="0.2">
      <c r="A22">
        <v>69</v>
      </c>
      <c r="B22">
        <v>2050629.9536023999</v>
      </c>
      <c r="C22">
        <v>730431.31000655598</v>
      </c>
      <c r="D22">
        <v>1320410.8057090701</v>
      </c>
    </row>
    <row r="23" spans="1:4" x14ac:dyDescent="0.2">
      <c r="A23">
        <v>70</v>
      </c>
      <c r="B23">
        <v>0</v>
      </c>
      <c r="C23">
        <v>0</v>
      </c>
      <c r="D23">
        <v>0</v>
      </c>
    </row>
    <row r="24" spans="1:4" x14ac:dyDescent="0.2">
      <c r="A24">
        <v>71</v>
      </c>
      <c r="B24">
        <v>0</v>
      </c>
      <c r="C24">
        <v>0</v>
      </c>
      <c r="D24">
        <v>0</v>
      </c>
    </row>
    <row r="25" spans="1:4" x14ac:dyDescent="0.2">
      <c r="A25">
        <v>72</v>
      </c>
      <c r="B25">
        <v>0</v>
      </c>
      <c r="C25">
        <v>0</v>
      </c>
      <c r="D25">
        <v>0</v>
      </c>
    </row>
    <row r="26" spans="1:4" x14ac:dyDescent="0.2">
      <c r="A26">
        <v>73</v>
      </c>
      <c r="B26">
        <v>0</v>
      </c>
      <c r="C26">
        <v>0</v>
      </c>
      <c r="D26">
        <v>0</v>
      </c>
    </row>
    <row r="27" spans="1:4" x14ac:dyDescent="0.2">
      <c r="A27">
        <v>74</v>
      </c>
      <c r="B27">
        <v>0</v>
      </c>
      <c r="C27">
        <v>0</v>
      </c>
      <c r="D27">
        <v>0</v>
      </c>
    </row>
    <row r="28" spans="1:4" x14ac:dyDescent="0.2">
      <c r="A28">
        <v>75</v>
      </c>
      <c r="B28">
        <v>0</v>
      </c>
      <c r="C28">
        <v>0</v>
      </c>
      <c r="D28">
        <v>0</v>
      </c>
    </row>
    <row r="29" spans="1:4" x14ac:dyDescent="0.2">
      <c r="A29">
        <v>76</v>
      </c>
      <c r="B29">
        <v>0</v>
      </c>
      <c r="C29">
        <v>0</v>
      </c>
      <c r="D29">
        <v>0</v>
      </c>
    </row>
    <row r="30" spans="1:4" x14ac:dyDescent="0.2">
      <c r="A30">
        <v>77</v>
      </c>
      <c r="B30">
        <v>0</v>
      </c>
      <c r="C30">
        <v>0</v>
      </c>
      <c r="D30">
        <v>0</v>
      </c>
    </row>
    <row r="31" spans="1:4" x14ac:dyDescent="0.2">
      <c r="A31">
        <v>78</v>
      </c>
      <c r="B31">
        <v>0</v>
      </c>
      <c r="C31">
        <v>0</v>
      </c>
      <c r="D31">
        <v>0</v>
      </c>
    </row>
    <row r="32" spans="1:4" x14ac:dyDescent="0.2">
      <c r="A32">
        <v>79</v>
      </c>
      <c r="B32">
        <v>0</v>
      </c>
      <c r="C32">
        <v>0</v>
      </c>
      <c r="D32">
        <v>0</v>
      </c>
    </row>
    <row r="33" spans="1:4" x14ac:dyDescent="0.2">
      <c r="A33">
        <v>80</v>
      </c>
      <c r="B33">
        <v>0</v>
      </c>
      <c r="C33">
        <v>0</v>
      </c>
      <c r="D33">
        <v>0</v>
      </c>
    </row>
    <row r="34" spans="1:4" x14ac:dyDescent="0.2">
      <c r="A34">
        <v>81</v>
      </c>
      <c r="B34">
        <v>0</v>
      </c>
      <c r="C34">
        <v>0</v>
      </c>
      <c r="D34">
        <v>0</v>
      </c>
    </row>
    <row r="35" spans="1:4" x14ac:dyDescent="0.2">
      <c r="A35">
        <v>82</v>
      </c>
      <c r="B35">
        <v>0</v>
      </c>
      <c r="C35">
        <v>0</v>
      </c>
      <c r="D35">
        <v>0</v>
      </c>
    </row>
    <row r="36" spans="1:4" x14ac:dyDescent="0.2">
      <c r="A36">
        <v>83</v>
      </c>
      <c r="B36">
        <v>0</v>
      </c>
      <c r="C36">
        <v>0</v>
      </c>
      <c r="D36">
        <v>0</v>
      </c>
    </row>
    <row r="37" spans="1:4" x14ac:dyDescent="0.2">
      <c r="A37">
        <v>84</v>
      </c>
      <c r="B37">
        <v>0</v>
      </c>
      <c r="C37">
        <v>0</v>
      </c>
      <c r="D37">
        <v>0</v>
      </c>
    </row>
    <row r="38" spans="1:4" x14ac:dyDescent="0.2">
      <c r="A38">
        <v>85</v>
      </c>
      <c r="B38">
        <v>0</v>
      </c>
      <c r="C38">
        <v>0</v>
      </c>
      <c r="D38">
        <v>0</v>
      </c>
    </row>
    <row r="39" spans="1:4" x14ac:dyDescent="0.2">
      <c r="A39">
        <v>86</v>
      </c>
      <c r="B39">
        <v>0</v>
      </c>
      <c r="C39">
        <v>0</v>
      </c>
      <c r="D39">
        <v>0</v>
      </c>
    </row>
    <row r="40" spans="1:4" x14ac:dyDescent="0.2">
      <c r="A40">
        <v>87</v>
      </c>
      <c r="B40">
        <v>0</v>
      </c>
      <c r="C40">
        <v>0</v>
      </c>
      <c r="D40">
        <v>0</v>
      </c>
    </row>
    <row r="41" spans="1:4" x14ac:dyDescent="0.2">
      <c r="A41">
        <v>88</v>
      </c>
      <c r="B41">
        <v>0</v>
      </c>
      <c r="C41">
        <v>0</v>
      </c>
      <c r="D41">
        <v>0</v>
      </c>
    </row>
    <row r="42" spans="1:4" x14ac:dyDescent="0.2">
      <c r="A42">
        <v>89</v>
      </c>
      <c r="B42">
        <v>0</v>
      </c>
      <c r="C42">
        <v>0</v>
      </c>
      <c r="D42">
        <v>0</v>
      </c>
    </row>
    <row r="43" spans="1:4" x14ac:dyDescent="0.2">
      <c r="A43">
        <v>90</v>
      </c>
      <c r="B43">
        <v>0</v>
      </c>
      <c r="C43">
        <v>0</v>
      </c>
      <c r="D43">
        <v>0</v>
      </c>
    </row>
    <row r="44" spans="1:4" x14ac:dyDescent="0.2">
      <c r="A44">
        <v>91</v>
      </c>
      <c r="B44">
        <v>0</v>
      </c>
      <c r="C44">
        <v>0</v>
      </c>
      <c r="D44">
        <v>0</v>
      </c>
    </row>
    <row r="45" spans="1:4" x14ac:dyDescent="0.2">
      <c r="A45">
        <v>92</v>
      </c>
      <c r="B45">
        <v>0</v>
      </c>
      <c r="C45">
        <v>0</v>
      </c>
      <c r="D45">
        <v>0</v>
      </c>
    </row>
    <row r="46" spans="1:4" x14ac:dyDescent="0.2">
      <c r="A46">
        <v>93</v>
      </c>
      <c r="B46">
        <v>0</v>
      </c>
      <c r="C46">
        <v>0</v>
      </c>
      <c r="D46">
        <v>0</v>
      </c>
    </row>
    <row r="47" spans="1:4" x14ac:dyDescent="0.2">
      <c r="A47">
        <v>94</v>
      </c>
      <c r="B47">
        <v>0</v>
      </c>
      <c r="C47">
        <v>0</v>
      </c>
      <c r="D47">
        <v>0</v>
      </c>
    </row>
    <row r="48" spans="1:4" x14ac:dyDescent="0.2">
      <c r="A48">
        <v>95</v>
      </c>
      <c r="B48">
        <v>0</v>
      </c>
      <c r="C48">
        <v>0</v>
      </c>
      <c r="D48">
        <v>0</v>
      </c>
    </row>
    <row r="49" spans="1:4" x14ac:dyDescent="0.2">
      <c r="A49">
        <v>96</v>
      </c>
      <c r="B49">
        <v>0</v>
      </c>
      <c r="C49">
        <v>0</v>
      </c>
      <c r="D49">
        <v>0</v>
      </c>
    </row>
    <row r="50" spans="1:4" x14ac:dyDescent="0.2">
      <c r="A50">
        <v>97</v>
      </c>
      <c r="B50">
        <v>0</v>
      </c>
      <c r="C50">
        <v>0</v>
      </c>
      <c r="D50">
        <v>0</v>
      </c>
    </row>
    <row r="51" spans="1:4" x14ac:dyDescent="0.2">
      <c r="A51">
        <v>98</v>
      </c>
      <c r="B51">
        <v>0</v>
      </c>
      <c r="C51">
        <v>0</v>
      </c>
      <c r="D51">
        <v>0</v>
      </c>
    </row>
    <row r="52" spans="1:4" x14ac:dyDescent="0.2">
      <c r="A52">
        <v>99</v>
      </c>
      <c r="B52">
        <v>0</v>
      </c>
      <c r="C52">
        <v>0</v>
      </c>
      <c r="D52">
        <v>0</v>
      </c>
    </row>
    <row r="53" spans="1:4" x14ac:dyDescent="0.2">
      <c r="A53">
        <v>100</v>
      </c>
      <c r="B53">
        <v>0</v>
      </c>
      <c r="C53">
        <v>0</v>
      </c>
      <c r="D53">
        <v>0</v>
      </c>
    </row>
    <row r="54" spans="1:4" x14ac:dyDescent="0.2">
      <c r="A54">
        <v>101</v>
      </c>
      <c r="B54">
        <v>0</v>
      </c>
      <c r="C54">
        <v>0</v>
      </c>
      <c r="D54">
        <v>0</v>
      </c>
    </row>
    <row r="55" spans="1:4" x14ac:dyDescent="0.2">
      <c r="A55">
        <v>102</v>
      </c>
      <c r="B55">
        <v>0</v>
      </c>
      <c r="C55">
        <v>0</v>
      </c>
      <c r="D55">
        <v>0</v>
      </c>
    </row>
    <row r="56" spans="1:4" x14ac:dyDescent="0.2">
      <c r="A56">
        <v>103</v>
      </c>
      <c r="B56">
        <v>0</v>
      </c>
      <c r="C56">
        <v>0</v>
      </c>
      <c r="D56">
        <v>0</v>
      </c>
    </row>
    <row r="57" spans="1:4" x14ac:dyDescent="0.2">
      <c r="A57">
        <v>104</v>
      </c>
      <c r="B57">
        <v>0</v>
      </c>
      <c r="C57">
        <v>0</v>
      </c>
      <c r="D57">
        <v>0</v>
      </c>
    </row>
    <row r="58" spans="1:4" x14ac:dyDescent="0.2">
      <c r="A58">
        <v>105</v>
      </c>
      <c r="B58">
        <v>0</v>
      </c>
      <c r="C58">
        <v>0</v>
      </c>
      <c r="D58">
        <v>0</v>
      </c>
    </row>
    <row r="59" spans="1:4" x14ac:dyDescent="0.2">
      <c r="A59">
        <v>106</v>
      </c>
      <c r="B59">
        <v>0</v>
      </c>
      <c r="C59">
        <v>0</v>
      </c>
      <c r="D59">
        <v>0</v>
      </c>
    </row>
    <row r="60" spans="1:4" x14ac:dyDescent="0.2">
      <c r="A60">
        <v>107</v>
      </c>
      <c r="B60">
        <v>0</v>
      </c>
      <c r="C60">
        <v>0</v>
      </c>
      <c r="D60">
        <v>0</v>
      </c>
    </row>
    <row r="61" spans="1:4" x14ac:dyDescent="0.2">
      <c r="A61">
        <v>108</v>
      </c>
      <c r="B61">
        <v>0</v>
      </c>
      <c r="C61">
        <v>0</v>
      </c>
      <c r="D61">
        <v>0</v>
      </c>
    </row>
    <row r="62" spans="1:4" x14ac:dyDescent="0.2">
      <c r="A62">
        <v>109</v>
      </c>
      <c r="B62">
        <v>0</v>
      </c>
      <c r="C62">
        <v>0</v>
      </c>
      <c r="D62">
        <v>0</v>
      </c>
    </row>
    <row r="63" spans="1:4" x14ac:dyDescent="0.2">
      <c r="A63">
        <v>110</v>
      </c>
      <c r="B63">
        <v>0</v>
      </c>
      <c r="C63">
        <v>0</v>
      </c>
      <c r="D63">
        <v>0</v>
      </c>
    </row>
    <row r="64" spans="1:4" x14ac:dyDescent="0.2">
      <c r="A64">
        <v>111</v>
      </c>
      <c r="B64">
        <v>0</v>
      </c>
      <c r="C64">
        <v>0</v>
      </c>
      <c r="D64">
        <v>0</v>
      </c>
    </row>
    <row r="65" spans="1:4" x14ac:dyDescent="0.2">
      <c r="A65">
        <v>112</v>
      </c>
      <c r="B65">
        <v>0</v>
      </c>
      <c r="C65">
        <v>0</v>
      </c>
      <c r="D65">
        <v>0</v>
      </c>
    </row>
    <row r="66" spans="1:4" x14ac:dyDescent="0.2">
      <c r="A66">
        <v>113</v>
      </c>
      <c r="B66">
        <v>0</v>
      </c>
      <c r="C66">
        <v>0</v>
      </c>
      <c r="D66">
        <v>0</v>
      </c>
    </row>
    <row r="67" spans="1:4" x14ac:dyDescent="0.2">
      <c r="A67">
        <v>114</v>
      </c>
      <c r="B67">
        <v>0</v>
      </c>
      <c r="C67">
        <v>0</v>
      </c>
      <c r="D67">
        <v>0</v>
      </c>
    </row>
    <row r="68" spans="1:4" x14ac:dyDescent="0.2">
      <c r="A68">
        <v>115</v>
      </c>
      <c r="B68">
        <v>0</v>
      </c>
      <c r="C68">
        <v>0</v>
      </c>
      <c r="D68">
        <v>0</v>
      </c>
    </row>
    <row r="69" spans="1:4" x14ac:dyDescent="0.2">
      <c r="A69">
        <v>116</v>
      </c>
      <c r="B69">
        <v>0</v>
      </c>
      <c r="C69">
        <v>0</v>
      </c>
      <c r="D69">
        <v>0</v>
      </c>
    </row>
    <row r="70" spans="1:4" x14ac:dyDescent="0.2">
      <c r="A70">
        <v>117</v>
      </c>
      <c r="B70">
        <v>0</v>
      </c>
      <c r="C70">
        <v>0</v>
      </c>
      <c r="D70">
        <v>0</v>
      </c>
    </row>
    <row r="71" spans="1:4" x14ac:dyDescent="0.2">
      <c r="A71">
        <v>118</v>
      </c>
      <c r="B71">
        <v>0</v>
      </c>
      <c r="C71">
        <v>0</v>
      </c>
      <c r="D71">
        <v>0</v>
      </c>
    </row>
    <row r="72" spans="1:4" x14ac:dyDescent="0.2">
      <c r="A72">
        <v>119</v>
      </c>
      <c r="B72">
        <v>0</v>
      </c>
      <c r="C72">
        <v>0</v>
      </c>
      <c r="D72">
        <v>0</v>
      </c>
    </row>
    <row r="73" spans="1:4" x14ac:dyDescent="0.2">
      <c r="A73">
        <v>120</v>
      </c>
      <c r="B73">
        <v>0</v>
      </c>
      <c r="C73">
        <v>0</v>
      </c>
      <c r="D73">
        <v>0</v>
      </c>
    </row>
    <row r="74" spans="1:4" x14ac:dyDescent="0.2">
      <c r="A74">
        <v>121</v>
      </c>
      <c r="B74">
        <v>0</v>
      </c>
      <c r="C74">
        <v>0</v>
      </c>
      <c r="D74">
        <v>0</v>
      </c>
    </row>
    <row r="75" spans="1:4" x14ac:dyDescent="0.2">
      <c r="A75">
        <v>122</v>
      </c>
      <c r="B75">
        <v>0</v>
      </c>
      <c r="C75">
        <v>0</v>
      </c>
      <c r="D75">
        <v>0</v>
      </c>
    </row>
    <row r="76" spans="1:4" x14ac:dyDescent="0.2">
      <c r="A76">
        <v>123</v>
      </c>
      <c r="B76">
        <v>0</v>
      </c>
      <c r="C76">
        <v>0</v>
      </c>
      <c r="D76">
        <v>0</v>
      </c>
    </row>
    <row r="77" spans="1:4" x14ac:dyDescent="0.2">
      <c r="A77">
        <v>124</v>
      </c>
      <c r="B77">
        <v>0</v>
      </c>
      <c r="C77">
        <v>0</v>
      </c>
      <c r="D77">
        <v>0</v>
      </c>
    </row>
    <row r="78" spans="1:4" x14ac:dyDescent="0.2">
      <c r="A78">
        <v>125</v>
      </c>
      <c r="B78">
        <v>0</v>
      </c>
      <c r="C78">
        <v>0</v>
      </c>
      <c r="D78">
        <v>0</v>
      </c>
    </row>
    <row r="79" spans="1:4" x14ac:dyDescent="0.2">
      <c r="A79">
        <v>126</v>
      </c>
      <c r="B79">
        <v>0</v>
      </c>
      <c r="C79">
        <v>0</v>
      </c>
      <c r="D79">
        <v>0</v>
      </c>
    </row>
    <row r="80" spans="1:4" x14ac:dyDescent="0.2">
      <c r="A80">
        <v>127</v>
      </c>
      <c r="B80">
        <v>0</v>
      </c>
      <c r="C80">
        <v>0</v>
      </c>
      <c r="D80">
        <v>0</v>
      </c>
    </row>
    <row r="81" spans="1:4" x14ac:dyDescent="0.2">
      <c r="A81">
        <v>128</v>
      </c>
      <c r="B81">
        <v>0</v>
      </c>
      <c r="C81">
        <v>0</v>
      </c>
      <c r="D81">
        <v>0</v>
      </c>
    </row>
    <row r="82" spans="1:4" x14ac:dyDescent="0.2">
      <c r="A82">
        <v>129</v>
      </c>
      <c r="B82">
        <v>0</v>
      </c>
      <c r="C82">
        <v>0</v>
      </c>
      <c r="D82">
        <v>0</v>
      </c>
    </row>
    <row r="83" spans="1:4" x14ac:dyDescent="0.2">
      <c r="A83">
        <v>130</v>
      </c>
      <c r="B83">
        <v>0</v>
      </c>
      <c r="C83">
        <v>0</v>
      </c>
      <c r="D83">
        <v>0</v>
      </c>
    </row>
    <row r="84" spans="1:4" x14ac:dyDescent="0.2">
      <c r="A84">
        <v>131</v>
      </c>
      <c r="B84">
        <v>0</v>
      </c>
      <c r="C84">
        <v>0</v>
      </c>
      <c r="D84">
        <v>0</v>
      </c>
    </row>
    <row r="85" spans="1:4" x14ac:dyDescent="0.2">
      <c r="A85">
        <v>132</v>
      </c>
      <c r="B85">
        <v>0</v>
      </c>
      <c r="C85">
        <v>0</v>
      </c>
      <c r="D85">
        <v>0</v>
      </c>
    </row>
    <row r="86" spans="1:4" x14ac:dyDescent="0.2">
      <c r="A86">
        <v>133</v>
      </c>
      <c r="B86">
        <v>0</v>
      </c>
      <c r="C86">
        <v>0</v>
      </c>
      <c r="D86">
        <v>0</v>
      </c>
    </row>
    <row r="87" spans="1:4" x14ac:dyDescent="0.2">
      <c r="A87">
        <v>134</v>
      </c>
      <c r="B87">
        <v>0</v>
      </c>
      <c r="C87">
        <v>0</v>
      </c>
      <c r="D87">
        <v>0</v>
      </c>
    </row>
    <row r="88" spans="1:4" x14ac:dyDescent="0.2">
      <c r="A88">
        <v>135</v>
      </c>
      <c r="B88">
        <v>0</v>
      </c>
      <c r="C88">
        <v>0</v>
      </c>
      <c r="D88">
        <v>0</v>
      </c>
    </row>
    <row r="89" spans="1:4" x14ac:dyDescent="0.2">
      <c r="A89">
        <v>136</v>
      </c>
      <c r="B89">
        <v>0</v>
      </c>
      <c r="C89">
        <v>0</v>
      </c>
      <c r="D89">
        <v>0</v>
      </c>
    </row>
    <row r="90" spans="1:4" x14ac:dyDescent="0.2">
      <c r="A90">
        <v>137</v>
      </c>
      <c r="B90">
        <v>0</v>
      </c>
      <c r="C90">
        <v>0</v>
      </c>
      <c r="D90">
        <v>0</v>
      </c>
    </row>
    <row r="91" spans="1:4" x14ac:dyDescent="0.2">
      <c r="A91">
        <v>138</v>
      </c>
      <c r="B91">
        <v>0</v>
      </c>
      <c r="C91">
        <v>0</v>
      </c>
      <c r="D91">
        <v>0</v>
      </c>
    </row>
    <row r="92" spans="1:4" x14ac:dyDescent="0.2">
      <c r="A92">
        <v>139</v>
      </c>
      <c r="B92">
        <v>0</v>
      </c>
      <c r="C92">
        <v>0</v>
      </c>
      <c r="D92">
        <v>0</v>
      </c>
    </row>
    <row r="93" spans="1:4" x14ac:dyDescent="0.2">
      <c r="A93">
        <v>140</v>
      </c>
      <c r="B93">
        <v>0</v>
      </c>
      <c r="C93">
        <v>0</v>
      </c>
      <c r="D93">
        <v>0</v>
      </c>
    </row>
    <row r="94" spans="1:4" x14ac:dyDescent="0.2">
      <c r="A94">
        <v>141</v>
      </c>
      <c r="B94">
        <v>0</v>
      </c>
      <c r="C94">
        <v>0</v>
      </c>
      <c r="D94">
        <v>0</v>
      </c>
    </row>
    <row r="95" spans="1:4" x14ac:dyDescent="0.2">
      <c r="A95">
        <v>142</v>
      </c>
      <c r="B95">
        <v>0</v>
      </c>
      <c r="C95">
        <v>0</v>
      </c>
      <c r="D95">
        <v>0</v>
      </c>
    </row>
    <row r="96" spans="1:4" x14ac:dyDescent="0.2">
      <c r="A96">
        <v>143</v>
      </c>
      <c r="B96">
        <v>0</v>
      </c>
      <c r="C96">
        <v>0</v>
      </c>
      <c r="D96">
        <v>0</v>
      </c>
    </row>
    <row r="97" spans="1:4" x14ac:dyDescent="0.2">
      <c r="A97">
        <v>144</v>
      </c>
      <c r="B97">
        <v>0</v>
      </c>
      <c r="C97">
        <v>0</v>
      </c>
      <c r="D97">
        <v>0</v>
      </c>
    </row>
    <row r="98" spans="1:4" x14ac:dyDescent="0.2">
      <c r="A98">
        <v>145</v>
      </c>
      <c r="B98">
        <v>0</v>
      </c>
      <c r="C98">
        <v>0</v>
      </c>
      <c r="D98">
        <v>0</v>
      </c>
    </row>
    <row r="99" spans="1:4" x14ac:dyDescent="0.2">
      <c r="A99">
        <v>146</v>
      </c>
      <c r="B99">
        <v>0</v>
      </c>
      <c r="C99">
        <v>0</v>
      </c>
      <c r="D99">
        <v>0</v>
      </c>
    </row>
    <row r="100" spans="1:4" x14ac:dyDescent="0.2">
      <c r="A100">
        <v>147</v>
      </c>
      <c r="B100">
        <v>0</v>
      </c>
      <c r="C100">
        <v>0</v>
      </c>
      <c r="D100">
        <v>0</v>
      </c>
    </row>
    <row r="101" spans="1:4" x14ac:dyDescent="0.2">
      <c r="A101">
        <v>148</v>
      </c>
      <c r="B101">
        <v>0</v>
      </c>
      <c r="C101">
        <v>0</v>
      </c>
      <c r="D101">
        <v>0</v>
      </c>
    </row>
    <row r="102" spans="1:4" x14ac:dyDescent="0.2">
      <c r="A102">
        <v>149</v>
      </c>
      <c r="B102">
        <v>0</v>
      </c>
      <c r="C102">
        <v>0</v>
      </c>
      <c r="D102">
        <v>0</v>
      </c>
    </row>
    <row r="103" spans="1:4" x14ac:dyDescent="0.2">
      <c r="A103">
        <v>150</v>
      </c>
      <c r="B103">
        <v>0</v>
      </c>
      <c r="C103">
        <v>0</v>
      </c>
      <c r="D103">
        <v>0</v>
      </c>
    </row>
    <row r="104" spans="1:4" x14ac:dyDescent="0.2">
      <c r="A104">
        <v>151</v>
      </c>
      <c r="B104">
        <v>0</v>
      </c>
      <c r="C104">
        <v>0</v>
      </c>
      <c r="D104">
        <v>0</v>
      </c>
    </row>
    <row r="105" spans="1:4" x14ac:dyDescent="0.2">
      <c r="A105">
        <v>152</v>
      </c>
      <c r="B105">
        <v>0</v>
      </c>
      <c r="C105">
        <v>0</v>
      </c>
      <c r="D105">
        <v>0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123"/>
  <sheetViews>
    <sheetView topLeftCell="AN1" zoomScale="75" zoomScaleNormal="75" workbookViewId="0">
      <selection activeCell="AB26" sqref="AB26"/>
    </sheetView>
  </sheetViews>
  <sheetFormatPr baseColWidth="10" defaultColWidth="9" defaultRowHeight="12.75" x14ac:dyDescent="0.2"/>
  <cols>
    <col min="3" max="6" width="12.42578125" customWidth="1"/>
    <col min="9" max="9" width="14.28515625" customWidth="1"/>
    <col min="15" max="16" width="12.85546875" customWidth="1"/>
    <col min="17" max="21" width="15" customWidth="1"/>
    <col min="27" max="28" width="13.140625" customWidth="1"/>
    <col min="30" max="30" width="15.42578125" customWidth="1"/>
    <col min="33" max="33" width="14.42578125" customWidth="1"/>
    <col min="39" max="39" width="15.7109375" customWidth="1"/>
    <col min="41" max="41" width="20" customWidth="1"/>
    <col min="42" max="42" width="10.7109375" customWidth="1"/>
    <col min="43" max="43" width="11.140625" customWidth="1"/>
    <col min="44" max="44" width="17.42578125" customWidth="1"/>
  </cols>
  <sheetData>
    <row r="1" spans="1:70" ht="50.25" customHeight="1" x14ac:dyDescent="0.2">
      <c r="A1" s="14" t="s">
        <v>9</v>
      </c>
      <c r="B1" s="14" t="s">
        <v>10</v>
      </c>
      <c r="C1" s="14" t="s">
        <v>60</v>
      </c>
      <c r="D1" s="14"/>
      <c r="E1" s="14" t="s">
        <v>61</v>
      </c>
      <c r="F1" s="14"/>
      <c r="G1" s="14" t="s">
        <v>13</v>
      </c>
      <c r="H1" s="14"/>
      <c r="I1" s="14" t="s">
        <v>14</v>
      </c>
      <c r="J1" s="14"/>
      <c r="K1" s="14" t="s">
        <v>15</v>
      </c>
      <c r="L1" s="14"/>
      <c r="M1" s="15" t="s">
        <v>16</v>
      </c>
      <c r="N1" s="14"/>
      <c r="O1" s="14" t="s">
        <v>17</v>
      </c>
      <c r="P1" s="16"/>
      <c r="Q1" s="14" t="s">
        <v>18</v>
      </c>
      <c r="R1" s="14"/>
      <c r="S1" s="14" t="s">
        <v>19</v>
      </c>
      <c r="T1" s="14"/>
      <c r="U1" s="16" t="s">
        <v>20</v>
      </c>
      <c r="V1" s="14"/>
      <c r="W1" s="14" t="s">
        <v>21</v>
      </c>
      <c r="X1" s="14"/>
      <c r="Y1" s="1" t="s">
        <v>22</v>
      </c>
      <c r="Z1" s="1"/>
      <c r="AA1" s="1" t="s">
        <v>23</v>
      </c>
      <c r="AB1" s="1"/>
      <c r="AC1" s="1"/>
      <c r="AD1" s="1" t="s">
        <v>24</v>
      </c>
      <c r="AE1" s="1"/>
      <c r="AF1" s="1" t="s">
        <v>26</v>
      </c>
      <c r="AG1" s="1" t="s">
        <v>2</v>
      </c>
      <c r="AH1" s="1" t="s">
        <v>27</v>
      </c>
      <c r="AI1" s="1"/>
      <c r="AJ1" s="1" t="s">
        <v>28</v>
      </c>
      <c r="AK1" s="17" t="s">
        <v>29</v>
      </c>
      <c r="AL1" s="17"/>
      <c r="AM1" s="136" t="s">
        <v>30</v>
      </c>
      <c r="AN1" s="136"/>
      <c r="AO1" s="18" t="s">
        <v>31</v>
      </c>
      <c r="AP1" s="19" t="s">
        <v>32</v>
      </c>
      <c r="AQ1" s="136" t="s">
        <v>33</v>
      </c>
      <c r="AR1" s="136"/>
      <c r="AS1" s="136" t="s">
        <v>34</v>
      </c>
      <c r="AT1" s="136"/>
      <c r="AU1" s="1" t="s">
        <v>35</v>
      </c>
      <c r="AV1" s="1" t="s">
        <v>36</v>
      </c>
      <c r="AW1" s="1"/>
      <c r="AX1" s="1" t="s">
        <v>37</v>
      </c>
      <c r="AY1" s="1"/>
      <c r="AZ1" s="1" t="s">
        <v>38</v>
      </c>
      <c r="BA1" s="1"/>
      <c r="BB1" s="1" t="s">
        <v>39</v>
      </c>
      <c r="BC1" s="1" t="s">
        <v>40</v>
      </c>
      <c r="BD1" s="1" t="str">
        <f>'Central scenario'!BD1</f>
        <v>Remuneración del trabajo en % VAB</v>
      </c>
      <c r="BE1" s="1"/>
      <c r="BF1" s="1" t="str">
        <f>'Central scenario'!BF1</f>
        <v>Crecimiento PIB real, función de alza población, salarios y participación en el producto</v>
      </c>
      <c r="BG1" s="1"/>
      <c r="BH1" s="1"/>
      <c r="BI1" s="1" t="s">
        <v>43</v>
      </c>
      <c r="BJ1" s="1"/>
      <c r="BK1" s="1" t="s">
        <v>44</v>
      </c>
      <c r="BL1" s="1" t="s">
        <v>45</v>
      </c>
      <c r="BM1" s="1" t="s">
        <v>46</v>
      </c>
      <c r="BN1" s="1" t="s">
        <v>47</v>
      </c>
      <c r="BO1" s="17" t="s">
        <v>48</v>
      </c>
      <c r="BP1" s="1"/>
      <c r="BQ1" s="1"/>
      <c r="BR1" s="1"/>
    </row>
    <row r="2" spans="1:70" x14ac:dyDescent="0.2">
      <c r="A2" s="2"/>
      <c r="B2" s="2"/>
      <c r="C2" s="2" t="s">
        <v>49</v>
      </c>
      <c r="D2" s="2" t="s">
        <v>50</v>
      </c>
      <c r="E2" s="2" t="s">
        <v>49</v>
      </c>
      <c r="F2" s="4" t="s">
        <v>50</v>
      </c>
      <c r="G2" s="4" t="s">
        <v>51</v>
      </c>
      <c r="H2" s="4" t="s">
        <v>52</v>
      </c>
      <c r="I2" s="4" t="s">
        <v>51</v>
      </c>
      <c r="J2" s="2" t="s">
        <v>52</v>
      </c>
      <c r="K2" s="2" t="s">
        <v>49</v>
      </c>
      <c r="L2" s="4" t="s">
        <v>50</v>
      </c>
      <c r="M2" s="4" t="s">
        <v>49</v>
      </c>
      <c r="N2" s="4" t="s">
        <v>50</v>
      </c>
      <c r="O2" s="2" t="s">
        <v>49</v>
      </c>
      <c r="P2" s="2" t="s">
        <v>50</v>
      </c>
      <c r="Q2" s="4" t="s">
        <v>49</v>
      </c>
      <c r="R2" s="4" t="s">
        <v>50</v>
      </c>
      <c r="S2" s="4" t="s">
        <v>49</v>
      </c>
      <c r="T2" s="2" t="s">
        <v>50</v>
      </c>
      <c r="U2" s="2" t="s">
        <v>49</v>
      </c>
      <c r="V2" s="2" t="s">
        <v>50</v>
      </c>
      <c r="W2" s="2" t="s">
        <v>49</v>
      </c>
      <c r="X2" s="4" t="s">
        <v>50</v>
      </c>
      <c r="Y2" s="2"/>
      <c r="Z2" s="2"/>
      <c r="AA2" s="2"/>
      <c r="AB2" s="2"/>
      <c r="AC2" s="1"/>
      <c r="AD2" s="2"/>
      <c r="AE2" s="2"/>
      <c r="AF2" s="2"/>
      <c r="AG2" s="2"/>
      <c r="AH2" s="2"/>
      <c r="AI2" s="2"/>
      <c r="AJ2" s="2"/>
      <c r="AK2" s="20"/>
      <c r="AL2" s="20"/>
      <c r="AM2" s="20"/>
      <c r="AN2" s="2"/>
      <c r="AO2" s="20"/>
      <c r="AP2" s="20"/>
      <c r="AQ2" s="20"/>
      <c r="AR2" s="20"/>
      <c r="AS2" s="20"/>
      <c r="AT2" s="20"/>
      <c r="AU2" s="2"/>
      <c r="AV2" s="2" t="s">
        <v>53</v>
      </c>
      <c r="AW2" s="2" t="s">
        <v>51</v>
      </c>
      <c r="AX2" s="2" t="s">
        <v>53</v>
      </c>
      <c r="AY2" s="2" t="s">
        <v>51</v>
      </c>
      <c r="AZ2" s="2" t="s">
        <v>54</v>
      </c>
      <c r="BA2" s="2" t="s">
        <v>55</v>
      </c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0"/>
      <c r="BP2" s="2"/>
      <c r="BQ2" s="2"/>
      <c r="BR2" s="2"/>
    </row>
    <row r="3" spans="1:70" x14ac:dyDescent="0.2">
      <c r="A3" s="2">
        <v>2014</v>
      </c>
      <c r="B3" s="2">
        <v>1</v>
      </c>
      <c r="C3" s="4">
        <v>73541829.264479399</v>
      </c>
      <c r="D3" s="4"/>
      <c r="E3" s="4">
        <v>13367097.642000001</v>
      </c>
      <c r="F3" s="4"/>
      <c r="G3" s="4"/>
      <c r="H3" s="4"/>
      <c r="I3" s="4"/>
      <c r="J3" s="22"/>
      <c r="K3" s="22">
        <v>2431521.2590999999</v>
      </c>
      <c r="L3" s="4"/>
      <c r="M3" s="4">
        <v>552644.92299999902</v>
      </c>
      <c r="N3" s="4"/>
      <c r="O3" s="4">
        <v>15657663.7612308</v>
      </c>
      <c r="P3" s="4"/>
      <c r="Q3" s="4">
        <v>16188956.83674</v>
      </c>
      <c r="R3" s="4"/>
      <c r="S3" s="4">
        <v>61899879.651203699</v>
      </c>
      <c r="T3" s="4"/>
      <c r="U3" s="4">
        <v>147745.90426000001</v>
      </c>
      <c r="V3" s="22"/>
      <c r="W3" s="22">
        <v>371095.07358448301</v>
      </c>
      <c r="X3" s="4"/>
      <c r="Y3" s="4">
        <f t="shared" ref="Y3:Y8" si="0">Q3+U3-M3-K3-E3</f>
        <v>-14561.083099998534</v>
      </c>
      <c r="Z3" s="4"/>
      <c r="AA3" s="4">
        <f t="shared" ref="AA3:AA8" si="1">S3-O3-C3</f>
        <v>-27299613.374506503</v>
      </c>
      <c r="AB3" s="4"/>
      <c r="AC3" s="23"/>
      <c r="AD3" s="4">
        <f>'Central scenario'!AD3</f>
        <v>3917648861.1710801</v>
      </c>
      <c r="AE3" s="4">
        <f>'Central scenario'!AE3</f>
        <v>671066.04663506302</v>
      </c>
      <c r="AF3" s="4">
        <f>'Central scenario'!AF3</f>
        <v>87.364011981999994</v>
      </c>
      <c r="AG3" s="4">
        <f>AE3/$AE$6*$AD$6</f>
        <v>4896479257.5378141</v>
      </c>
      <c r="AH3" s="4"/>
      <c r="AI3" s="4"/>
      <c r="AJ3" s="24">
        <f>AA3/AG3</f>
        <v>-5.5753556665190628E-3</v>
      </c>
      <c r="AK3" s="20">
        <v>2014</v>
      </c>
      <c r="AL3" s="25">
        <f>(SUM(AA3:AA6)/AVERAGE(AG3:AG6))</f>
        <v>-1.9692504721512523E-2</v>
      </c>
      <c r="AM3" s="25"/>
      <c r="AO3" s="25"/>
      <c r="AP3" s="25"/>
      <c r="AQ3" s="22" t="s">
        <v>56</v>
      </c>
      <c r="AR3" s="25" t="s">
        <v>57</v>
      </c>
      <c r="AS3" s="25" t="s">
        <v>56</v>
      </c>
      <c r="AT3" s="25" t="s">
        <v>57</v>
      </c>
      <c r="AU3" s="26"/>
      <c r="AV3" s="2">
        <v>10923418</v>
      </c>
      <c r="BI3" s="24">
        <f>S3/AG3</f>
        <v>1.2641711808727224E-2</v>
      </c>
      <c r="BJ3" s="2">
        <v>2014</v>
      </c>
      <c r="BK3" s="24">
        <f>(SUM(S3:S6)/AVERAGE(AG3:AG6))</f>
        <v>5.3979759810055671E-2</v>
      </c>
      <c r="BL3" s="24">
        <f>(SUM(O3:O6)/AVERAGE(AG3:AG6))</f>
        <v>1.2520230238480812E-2</v>
      </c>
      <c r="BM3" s="24">
        <f>(SUM(C3:C6)/AVERAGE(AG3:AG6))</f>
        <v>6.1152034293087382E-2</v>
      </c>
      <c r="BN3" s="24">
        <f>(SUM(H3:H6)+SUM(J3:J6))/AVERAGE(AG3:AG6)</f>
        <v>0</v>
      </c>
      <c r="BO3" s="25">
        <f t="shared" ref="BO3:BO29" si="2">AL3-BN3</f>
        <v>-1.9692504721512523E-2</v>
      </c>
      <c r="BP3" s="26">
        <f t="shared" ref="BP3:BP29" si="3">BN3+BM3</f>
        <v>6.1152034293087382E-2</v>
      </c>
    </row>
    <row r="4" spans="1:70" x14ac:dyDescent="0.2">
      <c r="A4" s="2">
        <v>2014</v>
      </c>
      <c r="B4" s="2">
        <v>2</v>
      </c>
      <c r="C4" s="4">
        <v>76536005.645554796</v>
      </c>
      <c r="D4" s="4"/>
      <c r="E4" s="4">
        <v>13911324.754000001</v>
      </c>
      <c r="F4" s="4"/>
      <c r="G4" s="4"/>
      <c r="H4" s="4"/>
      <c r="I4" s="4"/>
      <c r="J4" s="22"/>
      <c r="K4" s="22">
        <v>2156056.4542999999</v>
      </c>
      <c r="L4" s="4"/>
      <c r="M4" s="4">
        <v>571465.44299999997</v>
      </c>
      <c r="N4" s="4"/>
      <c r="O4" s="4">
        <v>14331816.6540251</v>
      </c>
      <c r="P4" s="4"/>
      <c r="Q4" s="4">
        <v>18889074.98367</v>
      </c>
      <c r="R4" s="4"/>
      <c r="S4" s="4">
        <v>72224015.420081005</v>
      </c>
      <c r="T4" s="4"/>
      <c r="U4" s="4">
        <v>150093.53833000001</v>
      </c>
      <c r="V4" s="22"/>
      <c r="W4" s="22">
        <v>376991.65286577999</v>
      </c>
      <c r="X4" s="4"/>
      <c r="Y4" s="4">
        <f t="shared" si="0"/>
        <v>2400321.8706999999</v>
      </c>
      <c r="Z4" s="4"/>
      <c r="AA4" s="4">
        <f t="shared" si="1"/>
        <v>-18643806.879498892</v>
      </c>
      <c r="AB4" s="4"/>
      <c r="AC4" s="23"/>
      <c r="AD4" s="4">
        <f>'Central scenario'!AD4</f>
        <v>4702629524.92031</v>
      </c>
      <c r="AE4" s="4">
        <f>'Central scenario'!AE4</f>
        <v>760576.86834800395</v>
      </c>
      <c r="AF4" s="4">
        <f>'Central scenario'!AF4</f>
        <v>92.542254682000006</v>
      </c>
      <c r="AG4" s="4">
        <f>AE4/$AE$6*$AD$6</f>
        <v>5549601083.6833839</v>
      </c>
      <c r="AH4" s="4"/>
      <c r="AI4" s="4"/>
      <c r="AJ4" s="24">
        <f>AA4/AG4</f>
        <v>-3.35948595193884E-3</v>
      </c>
      <c r="AK4" s="20">
        <v>2015</v>
      </c>
      <c r="AL4" s="25">
        <f>SUM(AB14:AB17)/AVERAGE(AG14:AG17)</f>
        <v>-3.2867566498381316E-2</v>
      </c>
      <c r="AM4" s="25"/>
      <c r="AO4" s="25"/>
      <c r="AP4" s="25"/>
      <c r="AQ4" s="4">
        <f>'Central scenario'!AQ4</f>
        <v>545118865</v>
      </c>
      <c r="AR4" s="4">
        <f>'Central scenario'!AR4</f>
        <v>545118865</v>
      </c>
      <c r="AS4" s="27">
        <f>AQ4/AG17</f>
        <v>0.10616867514333773</v>
      </c>
      <c r="AT4" s="27">
        <f>AR4/AG17</f>
        <v>0.10616867514333773</v>
      </c>
      <c r="AU4" s="26"/>
      <c r="AV4" s="2">
        <v>10933469</v>
      </c>
      <c r="AX4" s="2">
        <f t="shared" ref="AX4:AX12" si="4">(AV4-AV3)/AV3</f>
        <v>9.2013324034656552E-4</v>
      </c>
      <c r="BI4" s="24">
        <f>S4/AG4</f>
        <v>1.3014271536098311E-2</v>
      </c>
      <c r="BJ4" s="2">
        <v>2015</v>
      </c>
      <c r="BK4" s="24">
        <f>SUM(T14:T17)/AVERAGE(AG14:AG17)</f>
        <v>6.080760015205177E-2</v>
      </c>
      <c r="BL4" s="24">
        <f>SUM(P14:P17)/AVERAGE(AG14:AG17)</f>
        <v>1.3985809681386373E-2</v>
      </c>
      <c r="BM4" s="24">
        <f>SUM(D14:D17)/AVERAGE(AG14:AG17)</f>
        <v>7.9689356969046707E-2</v>
      </c>
      <c r="BN4" s="24">
        <f>(SUM(H14:H17)+SUM(J14:J17))/AVERAGE(AG14:AG17)</f>
        <v>0</v>
      </c>
      <c r="BO4" s="25">
        <f t="shared" si="2"/>
        <v>-3.2867566498381316E-2</v>
      </c>
      <c r="BP4" s="26">
        <f t="shared" si="3"/>
        <v>7.9689356969046707E-2</v>
      </c>
    </row>
    <row r="5" spans="1:70" x14ac:dyDescent="0.2">
      <c r="A5" s="2">
        <v>2014</v>
      </c>
      <c r="B5" s="2">
        <v>3</v>
      </c>
      <c r="C5" s="4">
        <v>79948619.698482305</v>
      </c>
      <c r="D5" s="4"/>
      <c r="E5" s="4">
        <v>14531608.437999999</v>
      </c>
      <c r="F5" s="4"/>
      <c r="G5" s="4"/>
      <c r="H5" s="4"/>
      <c r="I5" s="4"/>
      <c r="J5" s="22"/>
      <c r="K5" s="22">
        <v>2697105.9034000002</v>
      </c>
      <c r="L5" s="4"/>
      <c r="M5" s="4">
        <v>618357.67000000004</v>
      </c>
      <c r="N5" s="4"/>
      <c r="O5" s="4">
        <v>17397319.126396801</v>
      </c>
      <c r="P5" s="4"/>
      <c r="Q5" s="4">
        <v>16666086.76898</v>
      </c>
      <c r="R5" s="4"/>
      <c r="S5" s="4">
        <v>63724227.302598797</v>
      </c>
      <c r="T5" s="4"/>
      <c r="U5" s="4">
        <v>145660.84302</v>
      </c>
      <c r="V5" s="22"/>
      <c r="W5" s="22">
        <v>365858.00147638301</v>
      </c>
      <c r="X5" s="4"/>
      <c r="Y5" s="4">
        <f t="shared" si="0"/>
        <v>-1035324.3993999995</v>
      </c>
      <c r="Z5" s="4"/>
      <c r="AA5" s="4">
        <f t="shared" si="1"/>
        <v>-33621711.522280306</v>
      </c>
      <c r="AB5" s="4"/>
      <c r="AC5" s="23"/>
      <c r="AD5" s="4">
        <f>'Central scenario'!AD5</f>
        <v>4685503118.6782703</v>
      </c>
      <c r="AE5" s="4">
        <f>'Central scenario'!AE5</f>
        <v>690879.79825168301</v>
      </c>
      <c r="AF5" s="4">
        <f>'Central scenario'!AF5</f>
        <v>96.348619912999993</v>
      </c>
      <c r="AG5" s="4">
        <f>AE5/$AE$6*$AD$6</f>
        <v>5041051649.914485</v>
      </c>
      <c r="AH5" s="4"/>
      <c r="AI5" s="4"/>
      <c r="AJ5" s="24">
        <f>AA5/AG5</f>
        <v>-6.669582828585114E-3</v>
      </c>
      <c r="AK5" s="20">
        <v>2016</v>
      </c>
      <c r="AL5" s="25">
        <f>SUM(AB18:AB21)/AVERAGE(AG18:AG21)</f>
        <v>-3.276929305522492E-2</v>
      </c>
      <c r="AM5" s="25"/>
      <c r="AO5" s="25"/>
      <c r="AP5" s="25"/>
      <c r="AQ5" s="4">
        <f>'Central scenario'!AQ5</f>
        <v>527406836</v>
      </c>
      <c r="AR5" s="4">
        <f>'Central scenario'!AR5</f>
        <v>527406836</v>
      </c>
      <c r="AS5" s="27">
        <f>AQ5/AG21</f>
        <v>0.10427618143741313</v>
      </c>
      <c r="AT5" s="27">
        <f>AR5/AG21</f>
        <v>0.10427618143741313</v>
      </c>
      <c r="AU5" s="26"/>
      <c r="AV5" s="2">
        <v>10927942</v>
      </c>
      <c r="AX5" s="2">
        <f t="shared" si="4"/>
        <v>-5.0551202001853203E-4</v>
      </c>
      <c r="BI5" s="24">
        <f>S5/AG5</f>
        <v>1.2641058201353639E-2</v>
      </c>
      <c r="BJ5" s="2">
        <v>2016</v>
      </c>
      <c r="BK5" s="24">
        <f>SUM(T18:T21)/AVERAGE(AG18:AG21)</f>
        <v>6.139803376816251E-2</v>
      </c>
      <c r="BL5" s="24">
        <f>SUM(P18:P21)/AVERAGE(AG18:AG21)</f>
        <v>1.5326072978829668E-2</v>
      </c>
      <c r="BM5" s="24">
        <f>SUM(D18:D21)/AVERAGE(AG18:AG21)</f>
        <v>7.8841253844557757E-2</v>
      </c>
      <c r="BN5" s="24">
        <f>(SUM(H18:H21)+SUM(J18:J21))/AVERAGE(AG18:AG21)</f>
        <v>3.9967972449279541E-5</v>
      </c>
      <c r="BO5" s="25">
        <f t="shared" si="2"/>
        <v>-3.2809261027674202E-2</v>
      </c>
      <c r="BP5" s="26">
        <f t="shared" si="3"/>
        <v>7.8881221817007033E-2</v>
      </c>
    </row>
    <row r="6" spans="1:70" x14ac:dyDescent="0.2">
      <c r="A6" s="2">
        <v>2014</v>
      </c>
      <c r="B6" s="2">
        <v>4</v>
      </c>
      <c r="C6" s="4">
        <v>83342500.446047202</v>
      </c>
      <c r="D6" s="4"/>
      <c r="E6" s="4">
        <v>15148485.804</v>
      </c>
      <c r="F6" s="4"/>
      <c r="G6" s="4"/>
      <c r="H6" s="4"/>
      <c r="I6" s="4"/>
      <c r="J6" s="22"/>
      <c r="K6" s="22">
        <v>2598760.7445</v>
      </c>
      <c r="L6" s="4"/>
      <c r="M6" s="4">
        <v>597485.603</v>
      </c>
      <c r="N6" s="4"/>
      <c r="O6" s="4">
        <v>16772169.366415</v>
      </c>
      <c r="P6" s="4"/>
      <c r="Q6" s="4">
        <v>20600306.344000001</v>
      </c>
      <c r="R6" s="4"/>
      <c r="S6" s="4">
        <v>78767056.8481365</v>
      </c>
      <c r="T6" s="4"/>
      <c r="U6" s="4">
        <v>143630.44399999999</v>
      </c>
      <c r="V6" s="22"/>
      <c r="W6" s="22">
        <v>360758.22508998099</v>
      </c>
      <c r="X6" s="4"/>
      <c r="Y6" s="4">
        <f t="shared" si="0"/>
        <v>2399204.6364999991</v>
      </c>
      <c r="Z6" s="4"/>
      <c r="AA6" s="4">
        <f t="shared" si="1"/>
        <v>-21347612.964325704</v>
      </c>
      <c r="AB6" s="4"/>
      <c r="AC6" s="23"/>
      <c r="AD6" s="4">
        <f>'Central scenario'!AD6</f>
        <v>5010564196.8707304</v>
      </c>
      <c r="AE6" s="4">
        <f>'Central scenario'!AE6</f>
        <v>686701.47061871097</v>
      </c>
      <c r="AF6" s="4">
        <f>'Central scenario'!AF6</f>
        <v>100</v>
      </c>
      <c r="AG6" s="4">
        <f>AE6/$AE$6*$AD$6</f>
        <v>5010564196.8707304</v>
      </c>
      <c r="AH6" s="4"/>
      <c r="AI6" s="4"/>
      <c r="AJ6" s="24">
        <f>AA6/AG6</f>
        <v>-4.260520796771354E-3</v>
      </c>
      <c r="AK6" s="20">
        <v>2017</v>
      </c>
      <c r="AL6" s="25">
        <f>SUM(AB22:AB25)/AVERAGE(AG22:AG25)</f>
        <v>-3.6563964922451557E-2</v>
      </c>
      <c r="AM6" s="25"/>
      <c r="AO6" s="25"/>
      <c r="AP6" s="4">
        <f>'Central scenario'!AP6</f>
        <v>46349018</v>
      </c>
      <c r="AQ6" s="4">
        <f>'Central scenario'!AQ6</f>
        <v>580675520</v>
      </c>
      <c r="AR6" s="4">
        <f>'Central scenario'!AR6</f>
        <v>580675520</v>
      </c>
      <c r="AS6" s="27">
        <f>AQ6/AG25</f>
        <v>0.10987837338707314</v>
      </c>
      <c r="AT6" s="27">
        <f>AR6/AG25</f>
        <v>0.10987837338707314</v>
      </c>
      <c r="AU6" s="26"/>
      <c r="AV6" s="2">
        <v>11163575</v>
      </c>
      <c r="AX6" s="2">
        <f t="shared" si="4"/>
        <v>2.1562431425789046E-2</v>
      </c>
      <c r="BI6" s="24">
        <f>S6/AG6</f>
        <v>1.5720197118186657E-2</v>
      </c>
      <c r="BJ6" s="2">
        <v>2017</v>
      </c>
      <c r="BK6" s="24">
        <f>SUM(T22:T25)/AVERAGE(AG22:AG25)</f>
        <v>6.3303543872283527E-2</v>
      </c>
      <c r="BL6" s="24">
        <f>SUM(P22:P25)/AVERAGE(AG22:AG25)</f>
        <v>1.8894300555174815E-2</v>
      </c>
      <c r="BM6" s="24">
        <f>SUM(D22:D25)/AVERAGE(AG22:AG25)</f>
        <v>8.0973208239560279E-2</v>
      </c>
      <c r="BN6" s="24">
        <f>(SUM(H22:H25)+SUM(J22:J25))/AVERAGE(AG22:AG25)</f>
        <v>5.4361465911284459E-4</v>
      </c>
      <c r="BO6" s="25">
        <f t="shared" si="2"/>
        <v>-3.7107579581564402E-2</v>
      </c>
      <c r="BP6" s="26">
        <f t="shared" si="3"/>
        <v>8.1516822898673125E-2</v>
      </c>
    </row>
    <row r="7" spans="1:70" x14ac:dyDescent="0.2">
      <c r="A7" s="2">
        <v>2015</v>
      </c>
      <c r="B7" s="2">
        <v>1</v>
      </c>
      <c r="C7" s="4">
        <v>87220448.7038403</v>
      </c>
      <c r="D7" s="4"/>
      <c r="E7" s="4">
        <v>15853348.733999999</v>
      </c>
      <c r="F7" s="4"/>
      <c r="G7" s="4"/>
      <c r="H7" s="4"/>
      <c r="I7" s="4"/>
      <c r="J7" s="22"/>
      <c r="K7" s="22">
        <v>3002195.4358999999</v>
      </c>
      <c r="L7" s="4"/>
      <c r="M7" s="4">
        <v>654530.51300000004</v>
      </c>
      <c r="N7" s="4"/>
      <c r="O7" s="4">
        <v>19179435.069263499</v>
      </c>
      <c r="P7" s="4"/>
      <c r="Q7" s="4">
        <v>18139908.10636</v>
      </c>
      <c r="R7" s="4"/>
      <c r="S7" s="4">
        <v>69359510.930272505</v>
      </c>
      <c r="T7" s="4"/>
      <c r="U7" s="4">
        <v>167252.22263999999</v>
      </c>
      <c r="V7" s="22"/>
      <c r="W7" s="22">
        <v>420089.31603637501</v>
      </c>
      <c r="X7" s="4"/>
      <c r="Y7" s="4">
        <f t="shared" si="0"/>
        <v>-1202914.3538999986</v>
      </c>
      <c r="Z7" s="4"/>
      <c r="AA7" s="4">
        <f t="shared" si="1"/>
        <v>-37040372.842831299</v>
      </c>
      <c r="AB7" s="4"/>
      <c r="AC7" s="23"/>
      <c r="AD7" s="4"/>
      <c r="AE7" s="4"/>
      <c r="AF7" s="4"/>
      <c r="AG7" s="4"/>
      <c r="AH7" s="4"/>
      <c r="AI7" s="4"/>
      <c r="AJ7" s="24"/>
      <c r="AK7" s="20">
        <f t="shared" ref="AK7:AK29" si="5">AK6+1</f>
        <v>2018</v>
      </c>
      <c r="AL7" s="25">
        <f>SUM(AB26:AB29)/AVERAGE(AG26:AG29)</f>
        <v>-3.6082251208706832E-2</v>
      </c>
      <c r="AM7" s="4">
        <f>'Central scenario'!AM6</f>
        <v>22247411.66092024</v>
      </c>
      <c r="AN7" s="25">
        <f>AM7/AVERAGE(AG26:AG29)</f>
        <v>4.3106124509319508E-3</v>
      </c>
      <c r="AO7" s="25">
        <f>AVERAGE(AG26:AG29)/AVERAGE(AG22:AG25)-1</f>
        <v>-2.4817924445603157E-2</v>
      </c>
      <c r="AP7" s="4">
        <f>'Central scenario'!AP7</f>
        <v>24790307.518782616</v>
      </c>
      <c r="AQ7" s="4">
        <f>'Central scenario'!AQ7</f>
        <v>552887150.95277083</v>
      </c>
      <c r="AR7" s="4">
        <f>'Central scenario'!AR7</f>
        <v>552887150.95277083</v>
      </c>
      <c r="AS7" s="27">
        <f>AQ7/AG29</f>
        <v>0.11139659179584536</v>
      </c>
      <c r="AT7" s="27">
        <f>AR7/AG29</f>
        <v>0.11139659179584536</v>
      </c>
      <c r="AV7" s="2">
        <v>11012334</v>
      </c>
      <c r="AX7" s="2">
        <f t="shared" si="4"/>
        <v>-1.3547721048140941E-2</v>
      </c>
      <c r="BI7" s="24">
        <f t="shared" ref="BI7:BI38" si="6">T14/AG14</f>
        <v>1.3950062446481393E-2</v>
      </c>
      <c r="BJ7" s="2">
        <f t="shared" ref="BJ7:BJ29" si="7">BJ6+1</f>
        <v>2018</v>
      </c>
      <c r="BK7" s="24">
        <f>SUM(T26:T29)/AVERAGE(AG26:AG29)</f>
        <v>5.9093689221649107E-2</v>
      </c>
      <c r="BL7" s="24">
        <f>SUM(P26:P29)/AVERAGE(AG26:AG29)</f>
        <v>1.724504686900771E-2</v>
      </c>
      <c r="BM7" s="24">
        <f>SUM(D26:D29)/AVERAGE(AG26:AG29)</f>
        <v>7.7930893561348233E-2</v>
      </c>
      <c r="BN7" s="24">
        <f>(SUM(H26:H29)+SUM(J26:J29))/AVERAGE(AG26:AG29)</f>
        <v>9.5174673878325685E-4</v>
      </c>
      <c r="BO7" s="25">
        <f t="shared" si="2"/>
        <v>-3.7033997947490092E-2</v>
      </c>
      <c r="BP7" s="26">
        <f t="shared" si="3"/>
        <v>7.8882640300131493E-2</v>
      </c>
    </row>
    <row r="8" spans="1:70" x14ac:dyDescent="0.2">
      <c r="A8" s="2">
        <v>2015</v>
      </c>
      <c r="B8" s="2">
        <v>2</v>
      </c>
      <c r="C8" s="4">
        <v>94524704.7581871</v>
      </c>
      <c r="D8" s="4"/>
      <c r="E8" s="4">
        <v>17180984.028999999</v>
      </c>
      <c r="F8" s="4"/>
      <c r="G8" s="4"/>
      <c r="H8" s="4"/>
      <c r="I8" s="4"/>
      <c r="J8" s="22"/>
      <c r="K8" s="22">
        <v>2371185.1833000001</v>
      </c>
      <c r="L8" s="4"/>
      <c r="M8" s="4">
        <v>696491.069000002</v>
      </c>
      <c r="N8" s="22"/>
      <c r="O8" s="22">
        <v>16135978.221071601</v>
      </c>
      <c r="P8" s="22"/>
      <c r="Q8" s="4">
        <v>21552530.200959999</v>
      </c>
      <c r="R8" s="4"/>
      <c r="S8" s="4">
        <v>82407967.299702004</v>
      </c>
      <c r="T8" s="22"/>
      <c r="U8" s="22">
        <v>188439.08603999999</v>
      </c>
      <c r="V8" s="22"/>
      <c r="W8" s="22">
        <v>473304.60259085899</v>
      </c>
      <c r="X8" s="4"/>
      <c r="Y8" s="4">
        <f t="shared" si="0"/>
        <v>1492309.0056999996</v>
      </c>
      <c r="Z8" s="4"/>
      <c r="AA8" s="4">
        <f t="shared" si="1"/>
        <v>-28252715.679556698</v>
      </c>
      <c r="AB8" s="4"/>
      <c r="AC8" s="23"/>
      <c r="AD8" s="4"/>
      <c r="AE8" s="4"/>
      <c r="AF8" s="4"/>
      <c r="AG8" s="4"/>
      <c r="AH8" s="4"/>
      <c r="AI8" s="4"/>
      <c r="AJ8" s="24"/>
      <c r="AK8" s="20">
        <f t="shared" si="5"/>
        <v>2019</v>
      </c>
      <c r="AL8" s="25">
        <f>SUM(AB30:AB33)/AVERAGE(AG30:AG33)</f>
        <v>-3.6959709762769091E-2</v>
      </c>
      <c r="AM8" s="4">
        <f>'Central scenario'!AM7</f>
        <v>20644316.2443057</v>
      </c>
      <c r="AN8" s="25">
        <f>AM8/AVERAGE(AG30:AG33)</f>
        <v>4.127966976264187E-3</v>
      </c>
      <c r="AO8" s="25">
        <f>AVERAGE(AG30:AG33)/AVERAGE(AG26:AG29)-1</f>
        <v>-3.1000000000000028E-2</v>
      </c>
      <c r="AP8" s="4">
        <f>'Central scenario'!AP8</f>
        <v>10349825.4547267</v>
      </c>
      <c r="AQ8" s="4">
        <f>'Central scenario'!AQ8</f>
        <v>417239344.62046146</v>
      </c>
      <c r="AR8" s="4">
        <f>'Central scenario'!AR8</f>
        <v>417239344.62046146</v>
      </c>
      <c r="AS8" s="27">
        <f>AQ8/AG33</f>
        <v>9.0958615995917563E-2</v>
      </c>
      <c r="AT8" s="27">
        <f>AR8/AG33</f>
        <v>9.0958615995917563E-2</v>
      </c>
      <c r="AU8" s="26"/>
      <c r="AV8" s="2">
        <v>11082939</v>
      </c>
      <c r="AX8" s="2">
        <f t="shared" si="4"/>
        <v>6.4114473825439729E-3</v>
      </c>
      <c r="BI8" s="24">
        <f t="shared" si="6"/>
        <v>1.4606680201068856E-2</v>
      </c>
      <c r="BJ8" s="2">
        <f t="shared" si="7"/>
        <v>2019</v>
      </c>
      <c r="BK8" s="24">
        <f>SUM(T30:T33)/AVERAGE(AG30:AG33)</f>
        <v>5.2393161489659029E-2</v>
      </c>
      <c r="BL8" s="24">
        <f>SUM(P30:P33)/AVERAGE(AG30:AG33)</f>
        <v>1.5764004141002864E-2</v>
      </c>
      <c r="BM8" s="24">
        <f>SUM(D30:D33)/AVERAGE(AG30:AG33)</f>
        <v>7.3588867111425246E-2</v>
      </c>
      <c r="BN8" s="24">
        <f>(SUM(H30:H33)+SUM(J30:J33))/AVERAGE(AG30:AG33)</f>
        <v>8.5826801221451209E-4</v>
      </c>
      <c r="BO8" s="25">
        <f t="shared" si="2"/>
        <v>-3.7817977774983601E-2</v>
      </c>
      <c r="BP8" s="26">
        <f t="shared" si="3"/>
        <v>7.4447135123639763E-2</v>
      </c>
    </row>
    <row r="9" spans="1:70" x14ac:dyDescent="0.2">
      <c r="A9" s="2">
        <v>2016</v>
      </c>
      <c r="B9" s="2">
        <v>2</v>
      </c>
      <c r="C9" s="4">
        <v>97915025.902647793</v>
      </c>
      <c r="D9" s="4"/>
      <c r="E9" s="4">
        <v>17797214.875</v>
      </c>
      <c r="F9" s="4"/>
      <c r="G9" s="4"/>
      <c r="H9" s="4"/>
      <c r="I9" s="4"/>
      <c r="J9" s="22"/>
      <c r="K9" s="22"/>
      <c r="L9" s="4"/>
      <c r="M9" s="4">
        <v>732730.52299999795</v>
      </c>
      <c r="N9" s="22"/>
      <c r="O9" s="22"/>
      <c r="P9" s="22"/>
      <c r="Q9" s="4"/>
      <c r="R9" s="4"/>
      <c r="S9" s="4"/>
      <c r="T9" s="22"/>
      <c r="U9" s="22"/>
      <c r="V9" s="22"/>
      <c r="W9" s="22"/>
      <c r="X9" s="4"/>
      <c r="Y9" s="4"/>
      <c r="Z9" s="4"/>
      <c r="AA9" s="4"/>
      <c r="AB9" s="4"/>
      <c r="AC9" s="23"/>
      <c r="AD9" s="4"/>
      <c r="AE9" s="4"/>
      <c r="AF9" s="4"/>
      <c r="AG9" s="4"/>
      <c r="AH9" s="4"/>
      <c r="AI9" s="4"/>
      <c r="AJ9" s="24"/>
      <c r="AK9" s="20">
        <f t="shared" si="5"/>
        <v>2020</v>
      </c>
      <c r="AL9" s="25">
        <f>SUM(AB34:AB37)/AVERAGE(AG34:AG37)</f>
        <v>-3.5360577800789592E-2</v>
      </c>
      <c r="AM9" s="4">
        <f>'Central scenario'!AM8</f>
        <v>19740259.6575456</v>
      </c>
      <c r="AN9" s="25">
        <f>AM9/AVERAGE(AG34:AG37)</f>
        <v>3.9471949085116793E-3</v>
      </c>
      <c r="AO9" s="25">
        <f>AVERAGE(AG34:AG37)/AVERAGE(AG30:AG33)-1</f>
        <v>0</v>
      </c>
      <c r="AP9" s="29">
        <f>'Central scenario'!AP9</f>
        <v>-653480.61372846877</v>
      </c>
      <c r="AQ9" s="4">
        <f t="shared" ref="AQ9:AQ29" si="8">AQ8*(1+AO9)</f>
        <v>417239344.62046146</v>
      </c>
      <c r="AR9" s="4">
        <f>((((((AQ8*((1+AO9)^(6/12)))*((1+AO9)^(1/12))+AP9)*((1+AO9)^(1/12))-AM9/12)*((1+AO9)^(1/12))-AM9/12)*((1+AO9)^(1/12))-AM9/12)*((1+AO9)^(1/12))-AM9/12)*((1+AO9)^(1/12))-AM9/12</f>
        <v>408360755.81608891</v>
      </c>
      <c r="AS9" s="27">
        <f>AQ9/AG37</f>
        <v>7.9456909034175502E-2</v>
      </c>
      <c r="AT9" s="27">
        <f>AR9/AG37</f>
        <v>7.7766116370260749E-2</v>
      </c>
      <c r="AV9" s="2">
        <v>11339977</v>
      </c>
      <c r="AX9" s="2">
        <f t="shared" si="4"/>
        <v>2.3192223651145243E-2</v>
      </c>
      <c r="BI9" s="24">
        <f t="shared" si="6"/>
        <v>1.4690991736714631E-2</v>
      </c>
      <c r="BJ9" s="2">
        <f t="shared" si="7"/>
        <v>2020</v>
      </c>
      <c r="BK9" s="24">
        <f>SUM(T34:T37)/AVERAGE(AG34:AG37)</f>
        <v>5.4394695540716458E-2</v>
      </c>
      <c r="BL9" s="24">
        <f>SUM(P34:P37)/AVERAGE(AG34:AG37)</f>
        <v>1.4381279776925151E-2</v>
      </c>
      <c r="BM9" s="24">
        <f>SUM(D34:D37)/AVERAGE(AG34:AG37)</f>
        <v>7.5373993564580896E-2</v>
      </c>
      <c r="BN9" s="24">
        <f>(SUM(H34:H37)+SUM(J34:J37))/AVERAGE(AG34:AG37)</f>
        <v>1.1212499452310483E-3</v>
      </c>
      <c r="BO9" s="25">
        <f t="shared" si="2"/>
        <v>-3.6481827746020642E-2</v>
      </c>
      <c r="BP9" s="26">
        <f t="shared" si="3"/>
        <v>7.6495243509811947E-2</v>
      </c>
    </row>
    <row r="10" spans="1:70" x14ac:dyDescent="0.2">
      <c r="A10" s="2">
        <v>2016</v>
      </c>
      <c r="B10" s="2">
        <v>3</v>
      </c>
      <c r="C10" s="4">
        <v>100917465.84456199</v>
      </c>
      <c r="D10" s="4"/>
      <c r="E10" s="4">
        <v>18342943.715</v>
      </c>
      <c r="F10" s="4"/>
      <c r="G10" s="4"/>
      <c r="H10" s="4"/>
      <c r="I10" s="4"/>
      <c r="J10" s="22"/>
      <c r="K10" s="22"/>
      <c r="L10" s="4"/>
      <c r="M10" s="4">
        <v>775294.91</v>
      </c>
      <c r="N10" s="22"/>
      <c r="O10" s="22"/>
      <c r="P10" s="22"/>
      <c r="Q10" s="4"/>
      <c r="R10" s="4"/>
      <c r="S10" s="4"/>
      <c r="T10" s="22"/>
      <c r="U10" s="4"/>
      <c r="V10" s="22"/>
      <c r="W10" s="22"/>
      <c r="X10" s="4"/>
      <c r="Y10" s="4"/>
      <c r="Z10" s="4"/>
      <c r="AA10" s="4"/>
      <c r="AB10" s="4"/>
      <c r="AC10" s="23"/>
      <c r="AD10" s="4"/>
      <c r="AE10" s="4"/>
      <c r="AF10" s="4"/>
      <c r="AG10" s="4"/>
      <c r="AH10" s="4"/>
      <c r="AI10" s="4"/>
      <c r="AJ10" s="24"/>
      <c r="AK10" s="20">
        <f t="shared" si="5"/>
        <v>2021</v>
      </c>
      <c r="AL10" s="25">
        <f>SUM(AB38:AB41)/AVERAGE(AG38:AG41)</f>
        <v>-3.4935344075168066E-2</v>
      </c>
      <c r="AM10" s="4">
        <f>'Central scenario'!AM9</f>
        <v>18862810.403066002</v>
      </c>
      <c r="AN10" s="25">
        <f>AM10/AVERAGE(AG38:AG41)</f>
        <v>3.6577571662480776E-3</v>
      </c>
      <c r="AO10" s="25">
        <f>AVERAGE(AG38:AG41)/AVERAGE(AG34:AG37)-1</f>
        <v>3.116280841773067E-2</v>
      </c>
      <c r="AP10" s="25"/>
      <c r="AQ10" s="4">
        <f t="shared" si="8"/>
        <v>430241694.38120842</v>
      </c>
      <c r="AR10" s="4">
        <f t="shared" ref="AR10:AR29" si="9">(((((((((((AR9*((1+AO10)^(1/12))-AM10/12)*((1+AO10)^(1/12))-AM10/12)*((1+AO10)^(1/12))-AM10/12)*((1+AO10)^(1/12))-AM10/12)*((1+AO10)^(1/12))-AM10/12)*((1+AO10)^(1/12))-AM10/12)*((1+AO10)^(1/12))-AM10/12)*((1+AO10)^(1/12))-AM10/12)*((1+AO10)^(1/12))-AM10/12)*((1+AO10)^(1/12))-AM10/12)*((1+AO10)^(1/12))-AM10/12)*((1+AO10)^(1/12))-AM10/12</f>
        <v>401955689.50184852</v>
      </c>
      <c r="AS10" s="27">
        <f>AQ10/AG41</f>
        <v>8.4136384743438403E-2</v>
      </c>
      <c r="AT10" s="27">
        <f>AR10/AG41</f>
        <v>7.8604884146297432E-2</v>
      </c>
      <c r="AV10" s="2">
        <v>11479064</v>
      </c>
      <c r="AX10" s="2">
        <f t="shared" si="4"/>
        <v>1.2265192424993455E-2</v>
      </c>
      <c r="BI10" s="24">
        <f t="shared" si="6"/>
        <v>1.7589498122824627E-2</v>
      </c>
      <c r="BJ10" s="2">
        <f t="shared" si="7"/>
        <v>2021</v>
      </c>
      <c r="BK10" s="24">
        <f>SUM(T38:T41)/AVERAGE(AG38:AG41)</f>
        <v>5.5359952183041038E-2</v>
      </c>
      <c r="BL10" s="24">
        <f>SUM(P38:P41)/AVERAGE(AG38:AG41)</f>
        <v>1.432054727258459E-2</v>
      </c>
      <c r="BM10" s="24">
        <f>SUM(D38:D41)/AVERAGE(AG38:AG41)</f>
        <v>7.5974748985624521E-2</v>
      </c>
      <c r="BN10" s="24">
        <f>(SUM(H38:H41)+SUM(J38:J41))/AVERAGE(AG38:AG41)</f>
        <v>1.5346979977050933E-3</v>
      </c>
      <c r="BO10" s="25">
        <f t="shared" si="2"/>
        <v>-3.647004207287316E-2</v>
      </c>
      <c r="BP10" s="26">
        <f t="shared" si="3"/>
        <v>7.7509446983329608E-2</v>
      </c>
    </row>
    <row r="11" spans="1:70" x14ac:dyDescent="0.2">
      <c r="A11" s="2">
        <v>2016</v>
      </c>
      <c r="B11" s="2">
        <v>4</v>
      </c>
      <c r="C11" s="4">
        <v>108710229.285033</v>
      </c>
      <c r="D11" s="4"/>
      <c r="E11" s="4">
        <v>19759371.113000002</v>
      </c>
      <c r="F11" s="4"/>
      <c r="G11" s="4"/>
      <c r="H11" s="4"/>
      <c r="I11" s="4"/>
      <c r="J11" s="22"/>
      <c r="K11" s="22"/>
      <c r="L11" s="4"/>
      <c r="M11" s="4">
        <v>832906.25299999898</v>
      </c>
      <c r="N11" s="22"/>
      <c r="O11" s="22"/>
      <c r="P11" s="4"/>
      <c r="Q11" s="4"/>
      <c r="R11" s="4"/>
      <c r="S11" s="4"/>
      <c r="T11" s="22"/>
      <c r="U11" s="22"/>
      <c r="V11" s="22"/>
      <c r="W11" s="22"/>
      <c r="X11" s="4"/>
      <c r="Y11" s="4"/>
      <c r="Z11" s="4"/>
      <c r="AA11" s="4"/>
      <c r="AB11" s="4"/>
      <c r="AC11" s="23"/>
      <c r="AD11" s="4"/>
      <c r="AE11" s="4"/>
      <c r="AF11" s="4"/>
      <c r="AG11" s="4"/>
      <c r="AH11" s="4"/>
      <c r="AI11" s="4"/>
      <c r="AJ11" s="24"/>
      <c r="AK11" s="20">
        <f t="shared" si="5"/>
        <v>2022</v>
      </c>
      <c r="AL11" s="25">
        <f>SUM(AB42:AB45)/AVERAGE(AG42:AG45)</f>
        <v>-3.5700095099385452E-2</v>
      </c>
      <c r="AM11" s="4">
        <f>'Central scenario'!AM10</f>
        <v>17835539.214349002</v>
      </c>
      <c r="AN11" s="25">
        <f>AM11/AVERAGE(AG42:AG45)</f>
        <v>3.4310341001790152E-3</v>
      </c>
      <c r="AO11" s="25">
        <f>AVERAGE(AG42:AG45)/AVERAGE(AG38:AG41)-1</f>
        <v>8.0212316701462338E-3</v>
      </c>
      <c r="AP11" s="25"/>
      <c r="AQ11" s="4">
        <f t="shared" si="8"/>
        <v>433692762.68599635</v>
      </c>
      <c r="AR11" s="4">
        <f t="shared" si="9"/>
        <v>387278854.04154915</v>
      </c>
      <c r="AS11" s="27">
        <f>AQ11/AG45</f>
        <v>8.2662493871785023E-2</v>
      </c>
      <c r="AT11" s="27">
        <f>AR11/AG45</f>
        <v>7.3815932967412595E-2</v>
      </c>
      <c r="AV11" s="2">
        <v>11462881</v>
      </c>
      <c r="AX11" s="2">
        <f t="shared" si="4"/>
        <v>-1.4097839336029488E-3</v>
      </c>
      <c r="BI11" s="24">
        <f t="shared" si="6"/>
        <v>1.487281808209851E-2</v>
      </c>
      <c r="BJ11" s="2">
        <f t="shared" si="7"/>
        <v>2022</v>
      </c>
      <c r="BK11" s="24">
        <f>SUM(T42:T45)/AVERAGE(AG42:AG45)</f>
        <v>5.7154580637725272E-2</v>
      </c>
      <c r="BL11" s="24">
        <f>SUM(P42:P45)/AVERAGE(AG42:AG45)</f>
        <v>1.4604227959542112E-2</v>
      </c>
      <c r="BM11" s="24">
        <f>SUM(D42:D45)/AVERAGE(AG42:AG45)</f>
        <v>7.8250447777568621E-2</v>
      </c>
      <c r="BN11" s="24">
        <f>(SUM(H42:H45)+SUM(J42:J45))/AVERAGE(AG42:AG45)</f>
        <v>1.9400026289715922E-3</v>
      </c>
      <c r="BO11" s="25">
        <f t="shared" si="2"/>
        <v>-3.7640097728357046E-2</v>
      </c>
      <c r="BP11" s="26">
        <f t="shared" si="3"/>
        <v>8.0190450406540215E-2</v>
      </c>
    </row>
    <row r="12" spans="1:70" ht="11.45" customHeight="1" x14ac:dyDescent="0.2">
      <c r="A12" s="2">
        <v>2017</v>
      </c>
      <c r="B12" s="2">
        <v>1</v>
      </c>
      <c r="C12" s="4">
        <v>106787377.90249901</v>
      </c>
      <c r="D12" s="4"/>
      <c r="E12" s="4">
        <v>19409869.568</v>
      </c>
      <c r="F12" s="4"/>
      <c r="G12" s="4"/>
      <c r="H12" s="4"/>
      <c r="I12" s="4"/>
      <c r="J12" s="22"/>
      <c r="K12" s="22"/>
      <c r="L12" s="4"/>
      <c r="M12" s="4">
        <v>832988.16000000003</v>
      </c>
      <c r="N12" s="22"/>
      <c r="O12" s="22"/>
      <c r="P12" s="22"/>
      <c r="Q12" s="4"/>
      <c r="R12" s="4"/>
      <c r="S12" s="4"/>
      <c r="T12" s="22"/>
      <c r="U12" s="22"/>
      <c r="V12" s="22"/>
      <c r="W12" s="22"/>
      <c r="X12" s="4"/>
      <c r="Y12" s="4"/>
      <c r="Z12" s="4"/>
      <c r="AA12" s="4"/>
      <c r="AB12" s="4"/>
      <c r="AC12" s="23"/>
      <c r="AD12" s="4"/>
      <c r="AE12" s="4"/>
      <c r="AF12" s="4"/>
      <c r="AG12" s="4"/>
      <c r="AH12" s="4"/>
      <c r="AI12" s="4"/>
      <c r="AJ12" s="24"/>
      <c r="AK12" s="20">
        <f t="shared" si="5"/>
        <v>2023</v>
      </c>
      <c r="AL12" s="25">
        <f>SUM(AB46:AB49)/AVERAGE(AG46:AG49)</f>
        <v>-3.5870790177635926E-2</v>
      </c>
      <c r="AM12" s="4">
        <f>'Central scenario'!AM11</f>
        <v>16827143.601502299</v>
      </c>
      <c r="AN12" s="25">
        <f>AM12/AVERAGE(AG46:AG49)</f>
        <v>3.198358957308748E-3</v>
      </c>
      <c r="AO12" s="25">
        <f>AVERAGE(AG46:AG49)/AVERAGE(AG42:AG45)-1</f>
        <v>1.2096651310072648E-2</v>
      </c>
      <c r="AP12" s="25"/>
      <c r="AQ12" s="4">
        <f t="shared" si="8"/>
        <v>438938992.81191093</v>
      </c>
      <c r="AR12" s="4">
        <f t="shared" si="9"/>
        <v>375043395.53335792</v>
      </c>
      <c r="AS12" s="27">
        <f>AQ12/AG49</f>
        <v>8.3026904498007342E-2</v>
      </c>
      <c r="AT12" s="27">
        <f>AR12/AG49</f>
        <v>7.0940820235808236E-2</v>
      </c>
      <c r="AV12" s="2">
        <v>11332510</v>
      </c>
      <c r="AX12" s="2">
        <f t="shared" si="4"/>
        <v>-1.1373318801791626E-2</v>
      </c>
      <c r="BI12" s="24">
        <f t="shared" si="6"/>
        <v>1.5115905413263311E-2</v>
      </c>
      <c r="BJ12" s="2">
        <f t="shared" si="7"/>
        <v>2023</v>
      </c>
      <c r="BK12" s="24">
        <f>SUM(T46:T49)/AVERAGE(AG46:AG49)</f>
        <v>5.9104215478684705E-2</v>
      </c>
      <c r="BL12" s="24">
        <f>SUM(P46:P49)/AVERAGE(AG46:AG49)</f>
        <v>1.4880708683079655E-2</v>
      </c>
      <c r="BM12" s="24">
        <f>SUM(D46:D49)/AVERAGE(AG46:AG49)</f>
        <v>8.0094296973240983E-2</v>
      </c>
      <c r="BN12" s="24">
        <f>(SUM(H46:H49)+SUM(J46:J49))/AVERAGE(AG46:AG49)</f>
        <v>2.2403790864239958E-3</v>
      </c>
      <c r="BO12" s="25">
        <f t="shared" si="2"/>
        <v>-3.811116926405992E-2</v>
      </c>
      <c r="BP12" s="26">
        <f t="shared" si="3"/>
        <v>8.2334676059664977E-2</v>
      </c>
    </row>
    <row r="13" spans="1:70" x14ac:dyDescent="0.2">
      <c r="C13" s="30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30"/>
      <c r="P13" s="13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1"/>
      <c r="AD13" s="13"/>
      <c r="AE13" s="13"/>
      <c r="AF13" s="13"/>
      <c r="AG13" s="13"/>
      <c r="AH13" s="13"/>
      <c r="AI13" s="13"/>
      <c r="AJ13" s="26"/>
      <c r="AK13" s="32">
        <f t="shared" si="5"/>
        <v>2024</v>
      </c>
      <c r="AL13" s="33">
        <f>SUM(AB50:AB53)/AVERAGE(AG50:AG53)</f>
        <v>-3.6560327530100578E-2</v>
      </c>
      <c r="AM13" s="13">
        <f>'Central scenario'!AM12</f>
        <v>15842663.688178601</v>
      </c>
      <c r="AN13" s="33">
        <f>AM13/AVERAGE(AG50:AG53)</f>
        <v>2.9627744611955358E-3</v>
      </c>
      <c r="AO13" s="33">
        <f>'GDP evolution by scenario'!G49</f>
        <v>3.9950886700828914E-2</v>
      </c>
      <c r="AP13" s="33"/>
      <c r="AQ13" s="13">
        <f t="shared" si="8"/>
        <v>456474994.78231555</v>
      </c>
      <c r="AR13" s="13">
        <f t="shared" si="9"/>
        <v>373896007.60297179</v>
      </c>
      <c r="AS13" s="34">
        <f>AQ13/AG53</f>
        <v>8.4747636853230862E-2</v>
      </c>
      <c r="AT13" s="34">
        <f>AR13/AG53</f>
        <v>6.9416295383979032E-2</v>
      </c>
      <c r="BI13" s="26">
        <f t="shared" si="6"/>
        <v>1.4437970404480506E-2</v>
      </c>
      <c r="BJ13">
        <f t="shared" si="7"/>
        <v>2024</v>
      </c>
      <c r="BK13" s="26">
        <f>SUM(T50:T53)/AVERAGE(AG50:AG53)</f>
        <v>5.9819049281490629E-2</v>
      </c>
      <c r="BL13" s="26">
        <f>SUM(P50:P53)/AVERAGE(AG50:AG53)</f>
        <v>1.4891250234784527E-2</v>
      </c>
      <c r="BM13" s="26">
        <f>SUM(D50:D53)/AVERAGE(AG50:AG53)</f>
        <v>8.1488126576806666E-2</v>
      </c>
      <c r="BN13" s="26">
        <f>(SUM(H50:H53)+SUM(J50:J53))/AVERAGE(AG50:AG53)</f>
        <v>2.6006765225211883E-3</v>
      </c>
      <c r="BO13" s="33">
        <f t="shared" si="2"/>
        <v>-3.9161004052621767E-2</v>
      </c>
      <c r="BP13" s="26">
        <f t="shared" si="3"/>
        <v>8.4088803099327855E-2</v>
      </c>
    </row>
    <row r="14" spans="1:70" x14ac:dyDescent="0.2">
      <c r="A14" s="5">
        <v>2015</v>
      </c>
      <c r="B14" s="5">
        <v>1</v>
      </c>
      <c r="C14" s="6"/>
      <c r="D14" s="55">
        <f>'Low pensions'!Q14</f>
        <v>93656358.855065987</v>
      </c>
      <c r="E14" s="6"/>
      <c r="F14" s="8">
        <f>'Low pensions'!I14</f>
        <v>17023151.853301901</v>
      </c>
      <c r="G14" s="55">
        <f>'Low pensions'!K14</f>
        <v>0</v>
      </c>
      <c r="H14" s="55">
        <f>'Low pensions'!V14</f>
        <v>0</v>
      </c>
      <c r="I14" s="55">
        <f>'Low pensions'!M14</f>
        <v>0</v>
      </c>
      <c r="J14" s="55">
        <f>'Low pensions'!W14</f>
        <v>0</v>
      </c>
      <c r="K14" s="6"/>
      <c r="L14" s="55">
        <f>'Low pensions'!N14</f>
        <v>2735454.9936135854</v>
      </c>
      <c r="M14" s="8"/>
      <c r="N14" s="55">
        <f>'Low pensions'!L14</f>
        <v>691939.44381959736</v>
      </c>
      <c r="O14" s="6"/>
      <c r="P14" s="55">
        <f>'Low pensions'!X14</f>
        <v>18001135.63042083</v>
      </c>
      <c r="Q14" s="8"/>
      <c r="R14" s="55">
        <f>'Low SIPA income'!G9</f>
        <v>17909252.133221857</v>
      </c>
      <c r="S14" s="8"/>
      <c r="T14" s="55">
        <f>'Low SIPA income'!J9</f>
        <v>68477577.756701887</v>
      </c>
      <c r="U14" s="6"/>
      <c r="V14" s="55">
        <f>'Low SIPA income'!F9</f>
        <v>135449.214417351</v>
      </c>
      <c r="W14" s="8"/>
      <c r="X14" s="55">
        <f>'Low SIPA income'!M9</f>
        <v>340209.37552427547</v>
      </c>
      <c r="Y14" s="6"/>
      <c r="Z14" s="6">
        <f t="shared" ref="Z14:Z45" si="10">R14+V14-N14-L14-F14</f>
        <v>-2405844.9430958778</v>
      </c>
      <c r="AA14" s="6"/>
      <c r="AB14" s="6">
        <f t="shared" ref="AB14:AB45" si="11">T14-P14-D14</f>
        <v>-43179916.728784934</v>
      </c>
      <c r="AC14" s="23"/>
      <c r="AD14" s="6">
        <f>'Central scenario'!AD14</f>
        <v>5092693740.32864</v>
      </c>
      <c r="AE14" s="6">
        <f>'Central scenario'!AE14</f>
        <v>672749.81139169901</v>
      </c>
      <c r="AF14" s="6">
        <f>'Central scenario'!AF14</f>
        <v>103.09103866</v>
      </c>
      <c r="AG14" s="6">
        <f t="shared" ref="AG14:AG31" si="12">AE14/$AE$6*$AD$6</f>
        <v>4908764962.1220083</v>
      </c>
      <c r="AH14" s="6"/>
      <c r="AI14" s="6"/>
      <c r="AJ14" s="35">
        <f t="shared" ref="AJ14:AJ45" si="13">AB14/AG14</f>
        <v>-8.796493020541505E-3</v>
      </c>
      <c r="AK14" s="36">
        <f t="shared" si="5"/>
        <v>2025</v>
      </c>
      <c r="AL14" s="37">
        <f>SUM(AB54:AB57)/AVERAGE(AG54:AG57)</f>
        <v>-3.7131348783478874E-2</v>
      </c>
      <c r="AM14" s="6">
        <f>'Central scenario'!AM13</f>
        <v>14900507.1403892</v>
      </c>
      <c r="AN14" s="37">
        <f>AM14/AVERAGE(AG54:AG57)</f>
        <v>2.7209953939256212E-3</v>
      </c>
      <c r="AO14" s="37">
        <f>'GDP evolution by scenario'!G53</f>
        <v>2.9815223414285441E-2</v>
      </c>
      <c r="AP14" s="37"/>
      <c r="AQ14" s="6">
        <f t="shared" si="8"/>
        <v>470084898.73478508</v>
      </c>
      <c r="AR14" s="6">
        <f t="shared" si="9"/>
        <v>369940753.51268041</v>
      </c>
      <c r="AS14" s="38">
        <f>AQ14/AG57</f>
        <v>8.4790884431443489E-2</v>
      </c>
      <c r="AT14" s="38">
        <f>AR14/AG57</f>
        <v>6.6727528925093052E-2</v>
      </c>
      <c r="AU14" s="5"/>
      <c r="AV14" s="5"/>
      <c r="AW14" s="39">
        <f>workers_and_wage_low!C2</f>
        <v>10914398</v>
      </c>
      <c r="AX14" s="5"/>
      <c r="AY14" s="35">
        <f>(AW14-AV6)/AV6</f>
        <v>-2.2320537999699918E-2</v>
      </c>
      <c r="AZ14" s="40">
        <f>workers_and_wage_low!B2</f>
        <v>6414.7890469953099</v>
      </c>
      <c r="BA14" s="5"/>
      <c r="BB14" s="5"/>
      <c r="BC14" s="5"/>
      <c r="BD14" s="5"/>
      <c r="BE14" s="5"/>
      <c r="BF14" s="5"/>
      <c r="BG14" s="5"/>
      <c r="BH14" s="5"/>
      <c r="BI14" s="35">
        <f t="shared" si="6"/>
        <v>1.6985013502603674E-2</v>
      </c>
      <c r="BJ14" s="5">
        <f t="shared" si="7"/>
        <v>2025</v>
      </c>
      <c r="BK14" s="35">
        <f>SUM(T54:T57)/AVERAGE(AG54:AG57)</f>
        <v>5.9863351972256784E-2</v>
      </c>
      <c r="BL14" s="35">
        <f>SUM(P54:P57)/AVERAGE(AG54:AG57)</f>
        <v>1.4825457065972453E-2</v>
      </c>
      <c r="BM14" s="35">
        <f>SUM(D54:D57)/AVERAGE(AG54:AG57)</f>
        <v>8.2169243689763208E-2</v>
      </c>
      <c r="BN14" s="35">
        <f>(SUM(H54:H57)+SUM(J54:J57))/AVERAGE(AG54:AG57)</f>
        <v>3.5447643730131101E-3</v>
      </c>
      <c r="BO14" s="37">
        <f t="shared" si="2"/>
        <v>-4.0676113156491986E-2</v>
      </c>
      <c r="BP14" s="26">
        <f t="shared" si="3"/>
        <v>8.571400806277632E-2</v>
      </c>
      <c r="BQ14" s="5"/>
      <c r="BR14" s="5"/>
    </row>
    <row r="15" spans="1:70" x14ac:dyDescent="0.2">
      <c r="A15" s="7">
        <v>2015</v>
      </c>
      <c r="B15" s="7">
        <v>2</v>
      </c>
      <c r="C15" s="9"/>
      <c r="D15" s="56">
        <f>'Low pensions'!Q15</f>
        <v>107958694.75927833</v>
      </c>
      <c r="E15" s="9"/>
      <c r="F15" s="41">
        <f>'Low pensions'!I15</f>
        <v>19622770.703860801</v>
      </c>
      <c r="G15" s="56">
        <f>'Low pensions'!K15</f>
        <v>0</v>
      </c>
      <c r="H15" s="56">
        <f>'Low pensions'!V15</f>
        <v>0</v>
      </c>
      <c r="I15" s="56">
        <f>'Low pensions'!M15</f>
        <v>0</v>
      </c>
      <c r="J15" s="56">
        <f>'Low pensions'!W15</f>
        <v>0</v>
      </c>
      <c r="K15" s="9"/>
      <c r="L15" s="56">
        <f>'Low pensions'!N15</f>
        <v>2478245.9090260332</v>
      </c>
      <c r="M15" s="41"/>
      <c r="N15" s="56">
        <f>'Low pensions'!L15</f>
        <v>799976.43123659864</v>
      </c>
      <c r="O15" s="9"/>
      <c r="P15" s="56">
        <f>'Low pensions'!X15</f>
        <v>17260864.096479163</v>
      </c>
      <c r="Q15" s="41"/>
      <c r="R15" s="56">
        <f>'Low SIPA income'!G10</f>
        <v>22054908.230723552</v>
      </c>
      <c r="S15" s="41"/>
      <c r="T15" s="56">
        <f>'Low SIPA income'!J10</f>
        <v>84328853.156561211</v>
      </c>
      <c r="U15" s="9"/>
      <c r="V15" s="56">
        <f>'Low SIPA income'!F10</f>
        <v>151084.142402353</v>
      </c>
      <c r="W15" s="41"/>
      <c r="X15" s="56">
        <f>'Low SIPA income'!M10</f>
        <v>379479.80694778298</v>
      </c>
      <c r="Y15" s="9"/>
      <c r="Z15" s="9">
        <f t="shared" si="10"/>
        <v>-695000.6709975265</v>
      </c>
      <c r="AA15" s="9"/>
      <c r="AB15" s="9">
        <f t="shared" si="11"/>
        <v>-40890705.699196279</v>
      </c>
      <c r="AC15" s="23"/>
      <c r="AD15" s="9">
        <f>'Central scenario'!AD15</f>
        <v>5951478855.3666</v>
      </c>
      <c r="AE15" s="9">
        <f>'Central scenario'!AE15</f>
        <v>791235.96554166998</v>
      </c>
      <c r="AF15" s="9">
        <f>'Central scenario'!AF15</f>
        <v>106.73436665</v>
      </c>
      <c r="AG15" s="9">
        <f t="shared" si="12"/>
        <v>5773307281.0336723</v>
      </c>
      <c r="AH15" s="9"/>
      <c r="AI15" s="9"/>
      <c r="AJ15" s="42">
        <f t="shared" si="13"/>
        <v>-7.0827177055912864E-3</v>
      </c>
      <c r="AK15" s="43">
        <f t="shared" si="5"/>
        <v>2026</v>
      </c>
      <c r="AL15" s="44">
        <f>SUM(AB58:AB61)/AVERAGE(AG58:AG61)</f>
        <v>-3.5047143539884987E-2</v>
      </c>
      <c r="AM15" s="9">
        <f>'Central scenario'!AM14</f>
        <v>13946867.9480024</v>
      </c>
      <c r="AN15" s="44">
        <f>AM15/AVERAGE(AG58:AG61)</f>
        <v>2.4660199260742362E-3</v>
      </c>
      <c r="AO15" s="44">
        <f>'GDP evolution by scenario'!G57</f>
        <v>3.7225826554808661E-2</v>
      </c>
      <c r="AP15" s="44"/>
      <c r="AQ15" s="9">
        <f t="shared" si="8"/>
        <v>487584197.64112097</v>
      </c>
      <c r="AR15" s="9">
        <f t="shared" si="9"/>
        <v>369528847.01674324</v>
      </c>
      <c r="AS15" s="45">
        <f>AQ15/AG61</f>
        <v>8.5459249922271316E-2</v>
      </c>
      <c r="AT15" s="45">
        <f>AR15/AG61</f>
        <v>6.4767599613505838E-2</v>
      </c>
      <c r="AU15" s="7"/>
      <c r="AV15" s="7"/>
      <c r="AW15" s="46">
        <f>workers_and_wage_low!C3</f>
        <v>11021763</v>
      </c>
      <c r="AX15" s="7"/>
      <c r="AY15" s="42">
        <f t="shared" ref="AY15:AY46" si="14">(AW15-AW14)/AW14</f>
        <v>9.8370061271359169E-3</v>
      </c>
      <c r="AZ15" s="47">
        <f>workers_and_wage_low!B3</f>
        <v>6778.9022518415804</v>
      </c>
      <c r="BA15" s="42">
        <f t="shared" ref="BA15:BA46" si="15">(AZ15-AZ14)/AZ14</f>
        <v>5.6761524374183636E-2</v>
      </c>
      <c r="BB15" s="42"/>
      <c r="BC15" s="42"/>
      <c r="BD15" s="42"/>
      <c r="BE15" s="42"/>
      <c r="BF15" s="7"/>
      <c r="BG15" s="7"/>
      <c r="BH15" s="7"/>
      <c r="BI15" s="42">
        <f t="shared" si="6"/>
        <v>1.498204573060973E-2</v>
      </c>
      <c r="BJ15" s="7">
        <f t="shared" si="7"/>
        <v>2026</v>
      </c>
      <c r="BK15" s="42">
        <f>SUM(T58:T61)/AVERAGE(AG58:AG61)</f>
        <v>6.0293381911643136E-2</v>
      </c>
      <c r="BL15" s="42">
        <f>SUM(P58:P61)/AVERAGE(AG58:AG61)</f>
        <v>1.4371316957024219E-2</v>
      </c>
      <c r="BM15" s="42">
        <f>SUM(D58:D61)/AVERAGE(AG58:AG61)</f>
        <v>8.0969208494503911E-2</v>
      </c>
      <c r="BN15" s="42">
        <f>(SUM(H58:H61)+SUM(J58:J61))/AVERAGE(AG58:AG61)</f>
        <v>4.6021505868612811E-3</v>
      </c>
      <c r="BO15" s="44">
        <f t="shared" si="2"/>
        <v>-3.9649294126746268E-2</v>
      </c>
      <c r="BP15" s="26">
        <f t="shared" si="3"/>
        <v>8.5571359081365192E-2</v>
      </c>
      <c r="BQ15" s="7"/>
      <c r="BR15" s="7"/>
    </row>
    <row r="16" spans="1:70" x14ac:dyDescent="0.2">
      <c r="A16" s="7">
        <v>2015</v>
      </c>
      <c r="B16" s="7">
        <v>3</v>
      </c>
      <c r="C16" s="9"/>
      <c r="D16" s="56">
        <f>'Low pensions'!Q16</f>
        <v>104676876.04430105</v>
      </c>
      <c r="E16" s="9"/>
      <c r="F16" s="41">
        <f>'Low pensions'!I16</f>
        <v>19026261.304787099</v>
      </c>
      <c r="G16" s="56">
        <f>'Low pensions'!K16</f>
        <v>0</v>
      </c>
      <c r="H16" s="56">
        <f>'Low pensions'!V16</f>
        <v>0</v>
      </c>
      <c r="I16" s="56">
        <f>'Low pensions'!M16</f>
        <v>0</v>
      </c>
      <c r="J16" s="56">
        <f>'Low pensions'!W16</f>
        <v>0</v>
      </c>
      <c r="K16" s="9"/>
      <c r="L16" s="56">
        <f>'Low pensions'!N16</f>
        <v>2919136.7623483003</v>
      </c>
      <c r="M16" s="41"/>
      <c r="N16" s="56">
        <f>'Low pensions'!L16</f>
        <v>777485.53169219941</v>
      </c>
      <c r="O16" s="9"/>
      <c r="P16" s="56">
        <f>'Low pensions'!X16</f>
        <v>19424910.536870245</v>
      </c>
      <c r="Q16" s="41"/>
      <c r="R16" s="56">
        <f>'Low SIPA income'!G11</f>
        <v>20136934.983180266</v>
      </c>
      <c r="S16" s="41"/>
      <c r="T16" s="56">
        <f>'Low SIPA income'!J11</f>
        <v>76995316.210577533</v>
      </c>
      <c r="U16" s="9"/>
      <c r="V16" s="56">
        <f>'Low SIPA income'!F11</f>
        <v>149343.027816335</v>
      </c>
      <c r="W16" s="41"/>
      <c r="X16" s="56">
        <f>'Low SIPA income'!M11</f>
        <v>375106.62908496987</v>
      </c>
      <c r="Y16" s="9"/>
      <c r="Z16" s="9">
        <f t="shared" si="10"/>
        <v>-2436605.5878309961</v>
      </c>
      <c r="AA16" s="9"/>
      <c r="AB16" s="9">
        <f t="shared" si="11"/>
        <v>-47106470.370593756</v>
      </c>
      <c r="AC16" s="23"/>
      <c r="AD16" s="9">
        <f>'Central scenario'!AD16</f>
        <v>6221730755.7715998</v>
      </c>
      <c r="AE16" s="9">
        <f>'Central scenario'!AE16</f>
        <v>718281.26544978202</v>
      </c>
      <c r="AF16" s="9">
        <f>'Central scenario'!AF16</f>
        <v>110.48458934999999</v>
      </c>
      <c r="AG16" s="9">
        <f t="shared" si="12"/>
        <v>5240988327.4358244</v>
      </c>
      <c r="AH16" s="9"/>
      <c r="AI16" s="9"/>
      <c r="AJ16" s="42">
        <f t="shared" si="13"/>
        <v>-8.9880891594431005E-3</v>
      </c>
      <c r="AK16" s="43">
        <f t="shared" si="5"/>
        <v>2027</v>
      </c>
      <c r="AL16" s="44">
        <f>SUM(AB62:AB65)/AVERAGE(AG62:AG65)</f>
        <v>-3.3381340130824506E-2</v>
      </c>
      <c r="AM16" s="9">
        <f>'Central scenario'!AM15</f>
        <v>13032040.928831499</v>
      </c>
      <c r="AN16" s="44">
        <f>AM16/AVERAGE(AG62:AG65)</f>
        <v>2.2660744773741188E-3</v>
      </c>
      <c r="AO16" s="44">
        <f>'GDP evolution by scenario'!G61</f>
        <v>3.1366251971677528E-2</v>
      </c>
      <c r="AP16" s="44"/>
      <c r="AQ16" s="9">
        <f t="shared" si="8"/>
        <v>502877886.44174057</v>
      </c>
      <c r="AR16" s="9">
        <f t="shared" si="9"/>
        <v>367901234.52139252</v>
      </c>
      <c r="AS16" s="45">
        <f>AQ16/AG65</f>
        <v>8.6963666752409588E-2</v>
      </c>
      <c r="AT16" s="45">
        <f>AR16/AG65</f>
        <v>6.3621887578118902E-2</v>
      </c>
      <c r="AU16" s="7"/>
      <c r="AV16" s="7"/>
      <c r="AW16" s="46">
        <f>workers_and_wage_low!C4</f>
        <v>11059493</v>
      </c>
      <c r="AX16" s="7"/>
      <c r="AY16" s="42">
        <f t="shared" si="14"/>
        <v>3.4232273003874246E-3</v>
      </c>
      <c r="AZ16" s="47">
        <f>workers_and_wage_low!B4</f>
        <v>7092.0210021706398</v>
      </c>
      <c r="BA16" s="42">
        <f t="shared" si="15"/>
        <v>4.6190185179908208E-2</v>
      </c>
      <c r="BB16" s="42"/>
      <c r="BC16" s="42"/>
      <c r="BD16" s="42"/>
      <c r="BE16" s="42"/>
      <c r="BF16" s="7"/>
      <c r="BG16" s="7"/>
      <c r="BH16" s="7"/>
      <c r="BI16" s="42">
        <f t="shared" si="6"/>
        <v>1.5692725234762336E-2</v>
      </c>
      <c r="BJ16" s="7">
        <f t="shared" si="7"/>
        <v>2027</v>
      </c>
      <c r="BK16" s="42">
        <f>SUM(T62:T65)/AVERAGE(AG62:AG65)</f>
        <v>6.1149969418735205E-2</v>
      </c>
      <c r="BL16" s="42">
        <f>SUM(P62:P65)/AVERAGE(AG62:AG65)</f>
        <v>1.4112779005519972E-2</v>
      </c>
      <c r="BM16" s="42">
        <f>SUM(D62:D65)/AVERAGE(AG62:AG65)</f>
        <v>8.0418530544039746E-2</v>
      </c>
      <c r="BN16" s="42">
        <f>(SUM(H62:H65)+SUM(J62:J65))/AVERAGE(AG62:AG65)</f>
        <v>5.5440096908805333E-3</v>
      </c>
      <c r="BO16" s="44">
        <f t="shared" si="2"/>
        <v>-3.8925349821705042E-2</v>
      </c>
      <c r="BP16" s="26">
        <f t="shared" si="3"/>
        <v>8.5962540234920282E-2</v>
      </c>
      <c r="BQ16" s="7"/>
      <c r="BR16" s="7"/>
    </row>
    <row r="17" spans="1:70" x14ac:dyDescent="0.2">
      <c r="A17" s="7">
        <v>2015</v>
      </c>
      <c r="B17" s="7">
        <v>4</v>
      </c>
      <c r="C17" s="9"/>
      <c r="D17" s="56">
        <f>'Low pensions'!Q17</f>
        <v>113223147.98628069</v>
      </c>
      <c r="E17" s="9"/>
      <c r="F17" s="41">
        <f>'Low pensions'!I17</f>
        <v>20579647.3943859</v>
      </c>
      <c r="G17" s="56">
        <f>'Low pensions'!K17</f>
        <v>0</v>
      </c>
      <c r="H17" s="56">
        <f>'Low pensions'!V17</f>
        <v>0</v>
      </c>
      <c r="I17" s="56">
        <f>'Low pensions'!M17</f>
        <v>0</v>
      </c>
      <c r="J17" s="56">
        <f>'Low pensions'!W17</f>
        <v>0</v>
      </c>
      <c r="K17" s="9"/>
      <c r="L17" s="56">
        <f>'Low pensions'!N17</f>
        <v>2757062.569891395</v>
      </c>
      <c r="M17" s="41"/>
      <c r="N17" s="56">
        <f>'Low pensions'!L17</f>
        <v>842157.00066279992</v>
      </c>
      <c r="O17" s="9"/>
      <c r="P17" s="56">
        <f>'Low pensions'!X17</f>
        <v>18939710.122851133</v>
      </c>
      <c r="Q17" s="41"/>
      <c r="R17" s="56">
        <f>'Low SIPA income'!G12</f>
        <v>23619860.210119255</v>
      </c>
      <c r="S17" s="41"/>
      <c r="T17" s="56">
        <f>'Low SIPA income'!J12</f>
        <v>90312582.68682915</v>
      </c>
      <c r="U17" s="9"/>
      <c r="V17" s="56">
        <f>'Low SIPA income'!F12</f>
        <v>146563.952510206</v>
      </c>
      <c r="W17" s="41"/>
      <c r="X17" s="56">
        <f>'Low SIPA income'!M12</f>
        <v>368126.39314561716</v>
      </c>
      <c r="Y17" s="9"/>
      <c r="Z17" s="9">
        <f t="shared" si="10"/>
        <v>-412442.8023106344</v>
      </c>
      <c r="AA17" s="9"/>
      <c r="AB17" s="9">
        <f t="shared" si="11"/>
        <v>-41850275.422302678</v>
      </c>
      <c r="AC17" s="23"/>
      <c r="AD17" s="9">
        <f>'Central scenario'!AD17</f>
        <v>6552140231.3025303</v>
      </c>
      <c r="AE17" s="9">
        <f>'Central scenario'!AE17</f>
        <v>703681.54416900803</v>
      </c>
      <c r="AF17" s="9">
        <f>'Central scenario'!AF17</f>
        <v>115.79241048</v>
      </c>
      <c r="AG17" s="9">
        <f t="shared" si="12"/>
        <v>5134460463.6352301</v>
      </c>
      <c r="AH17" s="9"/>
      <c r="AI17" s="9"/>
      <c r="AJ17" s="42">
        <f t="shared" si="13"/>
        <v>-8.150861364832172E-3</v>
      </c>
      <c r="AK17" s="43">
        <f t="shared" si="5"/>
        <v>2028</v>
      </c>
      <c r="AL17" s="44">
        <f>SUM(AB66:AB69)/AVERAGE(AG66:AG69)</f>
        <v>-3.127555790366366E-2</v>
      </c>
      <c r="AM17" s="9">
        <f>'Central scenario'!AM16</f>
        <v>12139889.4651339</v>
      </c>
      <c r="AN17" s="44">
        <f>AM17/AVERAGE(AG66:AG69)</f>
        <v>2.0586948989703333E-3</v>
      </c>
      <c r="AO17" s="44">
        <f>'GDP evolution by scenario'!G65</f>
        <v>3.4915079396412585E-2</v>
      </c>
      <c r="AP17" s="44"/>
      <c r="AQ17" s="9">
        <f t="shared" si="8"/>
        <v>520435907.77355409</v>
      </c>
      <c r="AR17" s="9">
        <f t="shared" si="9"/>
        <v>368413578.10784572</v>
      </c>
      <c r="AS17" s="45">
        <f>AQ17/AG69</f>
        <v>8.7293221310586228E-2</v>
      </c>
      <c r="AT17" s="45">
        <f>AR17/AG69</f>
        <v>6.1794368004265771E-2</v>
      </c>
      <c r="AU17" s="7"/>
      <c r="AV17" s="7"/>
      <c r="AW17" s="46">
        <f>workers_and_wage_low!C5</f>
        <v>11048388</v>
      </c>
      <c r="AX17" s="7"/>
      <c r="AY17" s="42">
        <f t="shared" si="14"/>
        <v>-1.0041147455855345E-3</v>
      </c>
      <c r="AZ17" s="47">
        <f>workers_and_wage_low!B5</f>
        <v>7113.9816443372702</v>
      </c>
      <c r="BA17" s="42">
        <f t="shared" si="15"/>
        <v>3.0965280785137132E-3</v>
      </c>
      <c r="BB17" s="42"/>
      <c r="BC17" s="42"/>
      <c r="BD17" s="42"/>
      <c r="BE17" s="42"/>
      <c r="BF17" s="7"/>
      <c r="BG17" s="7"/>
      <c r="BH17" s="7"/>
      <c r="BI17" s="42">
        <f t="shared" si="6"/>
        <v>1.4966700351503982E-2</v>
      </c>
      <c r="BJ17" s="7">
        <f t="shared" si="7"/>
        <v>2028</v>
      </c>
      <c r="BK17" s="42">
        <f>SUM(T66:T69)/AVERAGE(AG66:AG69)</f>
        <v>6.171129996618531E-2</v>
      </c>
      <c r="BL17" s="42">
        <f>SUM(P66:P69)/AVERAGE(AG66:AG69)</f>
        <v>1.3528663915199099E-2</v>
      </c>
      <c r="BM17" s="42">
        <f>SUM(D66:D69)/AVERAGE(AG66:AG69)</f>
        <v>7.9458193954649869E-2</v>
      </c>
      <c r="BN17" s="42">
        <f>(SUM(H66:H69)+SUM(J66:J69))/AVERAGE(AG66:AG69)</f>
        <v>6.4986485448316131E-3</v>
      </c>
      <c r="BO17" s="44">
        <f t="shared" si="2"/>
        <v>-3.7774206448495273E-2</v>
      </c>
      <c r="BP17" s="26">
        <f t="shared" si="3"/>
        <v>8.5956842499481489E-2</v>
      </c>
      <c r="BQ17" s="7"/>
      <c r="BR17" s="7"/>
    </row>
    <row r="18" spans="1:70" x14ac:dyDescent="0.2">
      <c r="A18" s="5">
        <f t="shared" ref="A18:A49" si="16">A14+1</f>
        <v>2016</v>
      </c>
      <c r="B18" s="5">
        <f t="shared" ref="B18:B49" si="17">B14</f>
        <v>1</v>
      </c>
      <c r="C18" s="6"/>
      <c r="D18" s="55">
        <f>'Low pensions'!Q18</f>
        <v>99367076.7664316</v>
      </c>
      <c r="E18" s="6"/>
      <c r="F18" s="8">
        <f>'Low pensions'!I18</f>
        <v>18061142.432745501</v>
      </c>
      <c r="G18" s="55">
        <f>'Low pensions'!K18</f>
        <v>0</v>
      </c>
      <c r="H18" s="55">
        <f>'Low pensions'!V18</f>
        <v>0</v>
      </c>
      <c r="I18" s="55">
        <f>'Low pensions'!M18</f>
        <v>0</v>
      </c>
      <c r="J18" s="55">
        <f>'Low pensions'!W18</f>
        <v>0</v>
      </c>
      <c r="K18" s="6"/>
      <c r="L18" s="55">
        <f>'Low pensions'!N18</f>
        <v>2795658.977222933</v>
      </c>
      <c r="M18" s="8"/>
      <c r="N18" s="55">
        <f>'Low pensions'!L18</f>
        <v>737510.4000402987</v>
      </c>
      <c r="O18" s="6"/>
      <c r="P18" s="55">
        <f>'Low pensions'!X18</f>
        <v>18564252.343087912</v>
      </c>
      <c r="Q18" s="8"/>
      <c r="R18" s="55">
        <f>'Low SIPA income'!G13</f>
        <v>19233032.332328293</v>
      </c>
      <c r="S18" s="8"/>
      <c r="T18" s="55">
        <f>'Low SIPA income'!J13</f>
        <v>73539166.08226563</v>
      </c>
      <c r="U18" s="6"/>
      <c r="V18" s="55">
        <f>'Low SIPA income'!F13</f>
        <v>140377.52522743901</v>
      </c>
      <c r="W18" s="8"/>
      <c r="X18" s="55">
        <f>'Low SIPA income'!M13</f>
        <v>352587.87140778353</v>
      </c>
      <c r="Y18" s="6"/>
      <c r="Z18" s="6">
        <f t="shared" si="10"/>
        <v>-2220901.9524530005</v>
      </c>
      <c r="AA18" s="6"/>
      <c r="AB18" s="6">
        <f t="shared" si="11"/>
        <v>-44392163.027253881</v>
      </c>
      <c r="AC18" s="23"/>
      <c r="AD18" s="6">
        <f>'Central scenario'!AD18</f>
        <v>7006645045.10604</v>
      </c>
      <c r="AE18" s="6">
        <f>'Central scenario'!AE18</f>
        <v>677652.08911570301</v>
      </c>
      <c r="AF18" s="6">
        <f>'Central scenario'!AF18</f>
        <v>131.11898839</v>
      </c>
      <c r="AG18" s="6">
        <f t="shared" si="12"/>
        <v>4944534766.466361</v>
      </c>
      <c r="AH18" s="6"/>
      <c r="AI18" s="6"/>
      <c r="AJ18" s="35">
        <f t="shared" si="13"/>
        <v>-8.9780262702003379E-3</v>
      </c>
      <c r="AK18" s="36">
        <f t="shared" si="5"/>
        <v>2029</v>
      </c>
      <c r="AL18" s="37">
        <f>SUM(AB70:AB73)/AVERAGE(AG70:AG73)</f>
        <v>-3.0862807376122674E-2</v>
      </c>
      <c r="AM18" s="6">
        <f>'Central scenario'!AM17</f>
        <v>11273018.6820578</v>
      </c>
      <c r="AN18" s="37">
        <f>AM18/AVERAGE(AG70:AG73)</f>
        <v>1.877675188491131E-3</v>
      </c>
      <c r="AO18" s="37">
        <f>'GDP evolution by scenario'!G69</f>
        <v>3.5060906702967021E-2</v>
      </c>
      <c r="AP18" s="37"/>
      <c r="AQ18" s="6">
        <f t="shared" si="8"/>
        <v>538682862.58087659</v>
      </c>
      <c r="AR18" s="6">
        <f t="shared" si="9"/>
        <v>369877447.9236179</v>
      </c>
      <c r="AS18" s="38">
        <f>AQ18/AG73</f>
        <v>8.9084880300420333E-2</v>
      </c>
      <c r="AT18" s="38">
        <f>AR18/AG73</f>
        <v>6.1168621582338427E-2</v>
      </c>
      <c r="AU18" s="5"/>
      <c r="AV18" s="5"/>
      <c r="AW18" s="39">
        <f>workers_and_wage_low!C6</f>
        <v>11064497</v>
      </c>
      <c r="AX18" s="5"/>
      <c r="AY18" s="35">
        <f t="shared" si="14"/>
        <v>1.4580407567149163E-3</v>
      </c>
      <c r="AZ18" s="40">
        <f>workers_and_wage_low!B6</f>
        <v>6705.5459972967601</v>
      </c>
      <c r="BA18" s="35">
        <f t="shared" si="15"/>
        <v>-5.7413086996875348E-2</v>
      </c>
      <c r="BB18" s="11">
        <f>'Central scenario'!BB18</f>
        <v>54.236515250880799</v>
      </c>
      <c r="BC18" s="11">
        <f>'Central scenario'!BC18</f>
        <v>12.453822881663401</v>
      </c>
      <c r="BD18" s="11">
        <f t="shared" ref="BD18:BD53" si="18">BB18+BC18/2</f>
        <v>60.463426691712499</v>
      </c>
      <c r="BE18" s="11"/>
      <c r="BF18" s="5"/>
      <c r="BG18" s="5"/>
      <c r="BH18" s="5"/>
      <c r="BI18" s="35">
        <f t="shared" si="6"/>
        <v>1.761566640793806E-2</v>
      </c>
      <c r="BJ18" s="5">
        <f t="shared" si="7"/>
        <v>2029</v>
      </c>
      <c r="BK18" s="35">
        <f>SUM(T70:T73)/AVERAGE(AG70:AG73)</f>
        <v>6.1410945857534004E-2</v>
      </c>
      <c r="BL18" s="35">
        <f>SUM(P70:P73)/AVERAGE(AG70:AG73)</f>
        <v>1.3244904163585317E-2</v>
      </c>
      <c r="BM18" s="35">
        <f>SUM(D70:D73)/AVERAGE(AG70:AG73)</f>
        <v>7.9028849070071364E-2</v>
      </c>
      <c r="BN18" s="35">
        <f>(SUM(H70:H73)+SUM(J70:J73))/AVERAGE(AG70:AG73)</f>
        <v>7.3040461793239791E-3</v>
      </c>
      <c r="BO18" s="37">
        <f t="shared" si="2"/>
        <v>-3.8166853555446655E-2</v>
      </c>
      <c r="BP18" s="26">
        <f t="shared" si="3"/>
        <v>8.6332895249395344E-2</v>
      </c>
      <c r="BQ18" s="5"/>
      <c r="BR18" s="5"/>
    </row>
    <row r="19" spans="1:70" x14ac:dyDescent="0.2">
      <c r="A19" s="7">
        <f t="shared" si="16"/>
        <v>2016</v>
      </c>
      <c r="B19" s="7">
        <f t="shared" si="17"/>
        <v>2</v>
      </c>
      <c r="C19" s="9"/>
      <c r="D19" s="56">
        <f>'Low pensions'!Q19</f>
        <v>102439962.15978983</v>
      </c>
      <c r="E19" s="9"/>
      <c r="F19" s="41">
        <f>'Low pensions'!I19</f>
        <v>18619675.727424201</v>
      </c>
      <c r="G19" s="56">
        <f>'Low pensions'!K19</f>
        <v>0</v>
      </c>
      <c r="H19" s="56">
        <f>'Low pensions'!V19</f>
        <v>0</v>
      </c>
      <c r="I19" s="56">
        <f>'Low pensions'!M19</f>
        <v>0</v>
      </c>
      <c r="J19" s="56">
        <f>'Low pensions'!W19</f>
        <v>0</v>
      </c>
      <c r="K19" s="9"/>
      <c r="L19" s="56">
        <f>'Low pensions'!N19</f>
        <v>2828183.6863331911</v>
      </c>
      <c r="M19" s="41"/>
      <c r="N19" s="56">
        <f>'Low pensions'!L19</f>
        <v>762298.45939489827</v>
      </c>
      <c r="O19" s="9"/>
      <c r="P19" s="56">
        <f>'Low pensions'!X19</f>
        <v>18869399.802186109</v>
      </c>
      <c r="Q19" s="41"/>
      <c r="R19" s="56">
        <f>'Low SIPA income'!G14</f>
        <v>21943058.902435739</v>
      </c>
      <c r="S19" s="41"/>
      <c r="T19" s="56">
        <f>'Low SIPA income'!J14</f>
        <v>83901187.555681333</v>
      </c>
      <c r="U19" s="9"/>
      <c r="V19" s="56">
        <f>'Low SIPA income'!F14</f>
        <v>141764.81012723199</v>
      </c>
      <c r="W19" s="41"/>
      <c r="X19" s="56">
        <f>'Low SIPA income'!M14</f>
        <v>356072.33111072861</v>
      </c>
      <c r="Y19" s="9"/>
      <c r="Z19" s="9">
        <f t="shared" si="10"/>
        <v>-125334.16058931872</v>
      </c>
      <c r="AA19" s="9"/>
      <c r="AB19" s="9">
        <f t="shared" si="11"/>
        <v>-37408174.406294607</v>
      </c>
      <c r="AC19" s="23"/>
      <c r="AD19" s="9">
        <f>'Central scenario'!AD19</f>
        <v>8414556482.1792097</v>
      </c>
      <c r="AE19" s="9">
        <f>'Central scenario'!AE19</f>
        <v>760703.28015165601</v>
      </c>
      <c r="AF19" s="9">
        <f>'Central scenario'!AF19</f>
        <v>147.89635652000001</v>
      </c>
      <c r="AG19" s="9">
        <f t="shared" si="12"/>
        <v>5550523456.0453796</v>
      </c>
      <c r="AH19" s="9"/>
      <c r="AI19" s="9"/>
      <c r="AJ19" s="42">
        <f t="shared" si="13"/>
        <v>-6.7395759521656122E-3</v>
      </c>
      <c r="AK19" s="43">
        <f t="shared" si="5"/>
        <v>2030</v>
      </c>
      <c r="AL19" s="44">
        <f>SUM(AB74:AB77)/AVERAGE(AG74:AG77)</f>
        <v>-2.9550569413448018E-2</v>
      </c>
      <c r="AM19" s="9">
        <f>'Central scenario'!AM18</f>
        <v>10452476.732233601</v>
      </c>
      <c r="AN19" s="44">
        <f>AM19/AVERAGE(AG74:AG77)</f>
        <v>1.7012170885309359E-3</v>
      </c>
      <c r="AO19" s="44">
        <f>'GDP evolution by scenario'!G73</f>
        <v>2.4801523418037208E-2</v>
      </c>
      <c r="AP19" s="44"/>
      <c r="AQ19" s="9">
        <f t="shared" si="8"/>
        <v>552043018.21207154</v>
      </c>
      <c r="AR19" s="9">
        <f t="shared" si="9"/>
        <v>368480203.83381706</v>
      </c>
      <c r="AS19" s="45">
        <f>AQ19/AG77</f>
        <v>8.8920698847824831E-2</v>
      </c>
      <c r="AT19" s="45">
        <f>AR19/AG77</f>
        <v>5.9353195594450639E-2</v>
      </c>
      <c r="AU19" s="7"/>
      <c r="AV19" s="7"/>
      <c r="AW19" s="46">
        <f>workers_and_wage_low!C7</f>
        <v>11128156</v>
      </c>
      <c r="AX19" s="7"/>
      <c r="AY19" s="42">
        <f t="shared" si="14"/>
        <v>5.7534472647062041E-3</v>
      </c>
      <c r="AZ19" s="47">
        <f>workers_and_wage_low!B7</f>
        <v>6521.1732186580603</v>
      </c>
      <c r="BA19" s="42">
        <f t="shared" si="15"/>
        <v>-2.7495565418987053E-2</v>
      </c>
      <c r="BB19" s="47">
        <f>'Central scenario'!BB19</f>
        <v>48.357197024301399</v>
      </c>
      <c r="BC19" s="47">
        <f>'Central scenario'!BC19</f>
        <v>10.7565894926318</v>
      </c>
      <c r="BD19" s="12">
        <f t="shared" si="18"/>
        <v>53.735491770617301</v>
      </c>
      <c r="BE19" s="42">
        <f t="shared" ref="BE19:BE53" si="19">BD19/BD18-1</f>
        <v>-0.11127280224124925</v>
      </c>
      <c r="BF19" s="7"/>
      <c r="BG19" s="7"/>
      <c r="BH19" s="7"/>
      <c r="BI19" s="42">
        <f t="shared" si="6"/>
        <v>1.4431483741817762E-2</v>
      </c>
      <c r="BJ19" s="7">
        <f t="shared" si="7"/>
        <v>2030</v>
      </c>
      <c r="BK19" s="42">
        <f>SUM(T74:T77)/AVERAGE(AG74:AG77)</f>
        <v>6.1087725226478096E-2</v>
      </c>
      <c r="BL19" s="42">
        <f>SUM(P74:P77)/AVERAGE(AG74:AG77)</f>
        <v>1.2659215162941471E-2</v>
      </c>
      <c r="BM19" s="42">
        <f>SUM(D74:D77)/AVERAGE(AG74:AG77)</f>
        <v>7.7979079476984639E-2</v>
      </c>
      <c r="BN19" s="42">
        <f>(SUM(H74:H77)+SUM(J74:J77))/AVERAGE(AG74:AG77)</f>
        <v>7.9445182213153404E-3</v>
      </c>
      <c r="BO19" s="44">
        <f t="shared" si="2"/>
        <v>-3.7495087634763356E-2</v>
      </c>
      <c r="BP19" s="26">
        <f t="shared" si="3"/>
        <v>8.5923597698299978E-2</v>
      </c>
      <c r="BQ19" s="7"/>
      <c r="BR19" s="7"/>
    </row>
    <row r="20" spans="1:70" x14ac:dyDescent="0.2">
      <c r="A20" s="7">
        <f t="shared" si="16"/>
        <v>2016</v>
      </c>
      <c r="B20" s="7">
        <f t="shared" si="17"/>
        <v>3</v>
      </c>
      <c r="C20" s="9"/>
      <c r="D20" s="56">
        <f>'Low pensions'!Q20</f>
        <v>97784354.156561255</v>
      </c>
      <c r="E20" s="9"/>
      <c r="F20" s="41">
        <f>'Low pensions'!I20</f>
        <v>17773463.863357902</v>
      </c>
      <c r="G20" s="56">
        <f>'Low pensions'!K20</f>
        <v>0</v>
      </c>
      <c r="H20" s="56">
        <f>'Low pensions'!V20</f>
        <v>0</v>
      </c>
      <c r="I20" s="56">
        <f>'Low pensions'!M20</f>
        <v>0</v>
      </c>
      <c r="J20" s="56">
        <f>'Low pensions'!W20</f>
        <v>0</v>
      </c>
      <c r="K20" s="9"/>
      <c r="L20" s="56">
        <f>'Low pensions'!N20</f>
        <v>2477813.0040905806</v>
      </c>
      <c r="M20" s="41"/>
      <c r="N20" s="56">
        <f>'Low pensions'!L20</f>
        <v>730249.34684089944</v>
      </c>
      <c r="O20" s="9"/>
      <c r="P20" s="56">
        <f>'Low pensions'!X20</f>
        <v>16874999.9051819</v>
      </c>
      <c r="Q20" s="41"/>
      <c r="R20" s="56">
        <f>'Low SIPA income'!G15</f>
        <v>19131658.20783313</v>
      </c>
      <c r="S20" s="41"/>
      <c r="T20" s="56">
        <f>'Low SIPA income'!J15</f>
        <v>73151553.330990672</v>
      </c>
      <c r="U20" s="9"/>
      <c r="V20" s="56">
        <f>'Low SIPA income'!F15</f>
        <v>144189.0349691</v>
      </c>
      <c r="W20" s="41"/>
      <c r="X20" s="56">
        <f>'Low SIPA income'!M15</f>
        <v>362161.28499008535</v>
      </c>
      <c r="Y20" s="9"/>
      <c r="Z20" s="9">
        <f t="shared" si="10"/>
        <v>-1705678.9714871533</v>
      </c>
      <c r="AA20" s="9"/>
      <c r="AB20" s="9">
        <f t="shared" si="11"/>
        <v>-41507800.730752483</v>
      </c>
      <c r="AC20" s="23"/>
      <c r="AD20" s="9">
        <f>'Central scenario'!AD20</f>
        <v>8527628825.2780304</v>
      </c>
      <c r="AE20" s="9">
        <f>'Central scenario'!AE20</f>
        <v>694382.47577623103</v>
      </c>
      <c r="AF20" s="9">
        <f>'Central scenario'!AF20</f>
        <v>155.88165151000001</v>
      </c>
      <c r="AG20" s="9">
        <f t="shared" si="12"/>
        <v>5066609175.7806692</v>
      </c>
      <c r="AH20" s="9"/>
      <c r="AI20" s="9"/>
      <c r="AJ20" s="42">
        <f t="shared" si="13"/>
        <v>-8.1924220500699876E-3</v>
      </c>
      <c r="AK20" s="43">
        <f t="shared" si="5"/>
        <v>2031</v>
      </c>
      <c r="AL20" s="44">
        <f>SUM(AB78:AB81)/AVERAGE(AG78:AG81)</f>
        <v>-2.9570183667920139E-2</v>
      </c>
      <c r="AM20" s="9">
        <f>'Central scenario'!AM19</f>
        <v>9649081.8679126594</v>
      </c>
      <c r="AN20" s="44">
        <f>AM20/AVERAGE(AG78:AG81)</f>
        <v>1.5472682393869793E-3</v>
      </c>
      <c r="AO20" s="44">
        <f>'GDP evolution by scenario'!G77</f>
        <v>2.5718429679006061E-2</v>
      </c>
      <c r="AP20" s="44"/>
      <c r="AQ20" s="9">
        <f t="shared" si="8"/>
        <v>566240697.75574493</v>
      </c>
      <c r="AR20" s="9">
        <f t="shared" si="9"/>
        <v>368194636.00652683</v>
      </c>
      <c r="AS20" s="45">
        <f>AQ20/AG81</f>
        <v>9.0383512743314326E-2</v>
      </c>
      <c r="AT20" s="45">
        <f>AR20/AG81</f>
        <v>5.8771340010376816E-2</v>
      </c>
      <c r="AU20" s="7"/>
      <c r="AV20" s="7"/>
      <c r="AW20" s="46">
        <f>workers_and_wage_low!C8</f>
        <v>11235296</v>
      </c>
      <c r="AX20" s="7"/>
      <c r="AY20" s="42">
        <f t="shared" si="14"/>
        <v>9.6278305228647051E-3</v>
      </c>
      <c r="AZ20" s="47">
        <f>workers_and_wage_low!B8</f>
        <v>6554.0196453557301</v>
      </c>
      <c r="BA20" s="42">
        <f t="shared" si="15"/>
        <v>5.0368891603264319E-3</v>
      </c>
      <c r="BB20" s="47">
        <f>'Central scenario'!BB20</f>
        <v>51.155923549896897</v>
      </c>
      <c r="BC20" s="47">
        <f>'Central scenario'!BC20</f>
        <v>11.0036892295276</v>
      </c>
      <c r="BD20" s="12">
        <f t="shared" si="18"/>
        <v>56.657768164660695</v>
      </c>
      <c r="BE20" s="42">
        <f t="shared" si="19"/>
        <v>5.4382611896766964E-2</v>
      </c>
      <c r="BF20" s="7"/>
      <c r="BG20" s="7"/>
      <c r="BH20" s="7"/>
      <c r="BI20" s="42">
        <f t="shared" si="6"/>
        <v>1.5527474463081227E-2</v>
      </c>
      <c r="BJ20" s="7">
        <f t="shared" si="7"/>
        <v>2031</v>
      </c>
      <c r="BK20" s="42">
        <f>SUM(T78:T81)/AVERAGE(AG78:AG81)</f>
        <v>6.0725746674511513E-2</v>
      </c>
      <c r="BL20" s="42">
        <f>SUM(P78:P81)/AVERAGE(AG78:AG81)</f>
        <v>1.2421165612951701E-2</v>
      </c>
      <c r="BM20" s="42">
        <f>SUM(D78:D81)/AVERAGE(AG78:AG81)</f>
        <v>7.7874764729479948E-2</v>
      </c>
      <c r="BN20" s="42">
        <f>(SUM(H78:H81)+SUM(J78:J81))/AVERAGE(AG78:AG81)</f>
        <v>8.5114498466049727E-3</v>
      </c>
      <c r="BO20" s="44">
        <f t="shared" si="2"/>
        <v>-3.8081633514525114E-2</v>
      </c>
      <c r="BP20" s="26">
        <f t="shared" si="3"/>
        <v>8.6386214576084919E-2</v>
      </c>
      <c r="BQ20" s="7"/>
      <c r="BR20" s="7"/>
    </row>
    <row r="21" spans="1:70" x14ac:dyDescent="0.2">
      <c r="A21" s="7">
        <f t="shared" si="16"/>
        <v>2016</v>
      </c>
      <c r="B21" s="7">
        <f t="shared" si="17"/>
        <v>4</v>
      </c>
      <c r="C21" s="9"/>
      <c r="D21" s="56">
        <f>'Low pensions'!Q21</f>
        <v>106824539.39865157</v>
      </c>
      <c r="E21" s="9"/>
      <c r="F21" s="41">
        <f>'Low pensions'!I21</f>
        <v>19416624.541814685</v>
      </c>
      <c r="G21" s="56">
        <f>'Low pensions'!K21</f>
        <v>36324.844012515401</v>
      </c>
      <c r="H21" s="56">
        <f>'Low pensions'!V21</f>
        <v>199848.57419518099</v>
      </c>
      <c r="I21" s="57">
        <f>'Low pensions'!M21</f>
        <v>1123.4487838923014</v>
      </c>
      <c r="J21" s="56">
        <f>'Low pensions'!W21</f>
        <v>6180.8837379956867</v>
      </c>
      <c r="K21" s="9"/>
      <c r="L21" s="56">
        <f>'Low pensions'!N21</f>
        <v>3910348.4398605041</v>
      </c>
      <c r="M21" s="41"/>
      <c r="N21" s="56">
        <f>'Low pensions'!L21</f>
        <v>800543.01667150855</v>
      </c>
      <c r="O21" s="9"/>
      <c r="P21" s="56">
        <f>'Low pensions'!X21</f>
        <v>24695168.12280139</v>
      </c>
      <c r="Q21" s="41"/>
      <c r="R21" s="56">
        <f>'Low SIPA income'!G16</f>
        <v>22467543.589929439</v>
      </c>
      <c r="S21" s="41"/>
      <c r="T21" s="56">
        <f>'Low SIPA income'!J16</f>
        <v>85906600.216292977</v>
      </c>
      <c r="U21" s="9"/>
      <c r="V21" s="56">
        <f>'Low SIPA income'!F16</f>
        <v>151268.17202622999</v>
      </c>
      <c r="W21" s="41"/>
      <c r="X21" s="56">
        <f>'Low SIPA income'!M16</f>
        <v>379942.03630574921</v>
      </c>
      <c r="Y21" s="9"/>
      <c r="Z21" s="9">
        <f t="shared" si="10"/>
        <v>-1508704.2363910303</v>
      </c>
      <c r="AA21" s="9"/>
      <c r="AB21" s="9">
        <f t="shared" si="11"/>
        <v>-45613107.305159986</v>
      </c>
      <c r="AC21" s="23"/>
      <c r="AD21" s="9">
        <f>'Central scenario'!AD21</f>
        <v>8963807873.5824299</v>
      </c>
      <c r="AE21" s="9">
        <f>'Central scenario'!AE21</f>
        <v>693173.54934705805</v>
      </c>
      <c r="AF21" s="9">
        <f>'Central scenario'!AF21</f>
        <v>164.01000929</v>
      </c>
      <c r="AG21" s="9">
        <f t="shared" si="12"/>
        <v>5057788161.4944935</v>
      </c>
      <c r="AH21" s="9"/>
      <c r="AI21" s="9"/>
      <c r="AJ21" s="42">
        <f t="shared" si="13"/>
        <v>-9.0183902229076483E-3</v>
      </c>
      <c r="AK21" s="43">
        <f t="shared" si="5"/>
        <v>2032</v>
      </c>
      <c r="AL21" s="44">
        <f>SUM(AB82:AB85)/AVERAGE(AG82:AG85)</f>
        <v>-2.944757985326377E-2</v>
      </c>
      <c r="AM21" s="9">
        <f>'Central scenario'!AM20</f>
        <v>8873587.4679367002</v>
      </c>
      <c r="AN21" s="44">
        <f>AM21/AVERAGE(AG82:AG85)</f>
        <v>1.4120619751453337E-3</v>
      </c>
      <c r="AO21" s="44">
        <f>'GDP evolution by scenario'!G81</f>
        <v>2.5686784207568092E-2</v>
      </c>
      <c r="AP21" s="44"/>
      <c r="AQ21" s="9">
        <f t="shared" si="8"/>
        <v>580785600.36853957</v>
      </c>
      <c r="AR21" s="9">
        <f t="shared" si="9"/>
        <v>368674793.37952721</v>
      </c>
      <c r="AS21" s="45">
        <f>AQ21/AG85</f>
        <v>9.1839557393090354E-2</v>
      </c>
      <c r="AT21" s="45">
        <f>AR21/AG85</f>
        <v>5.8298500900296965E-2</v>
      </c>
      <c r="AU21" s="7"/>
      <c r="AW21" s="46">
        <f>workers_and_wage_low!C9</f>
        <v>11156745</v>
      </c>
      <c r="AY21" s="42">
        <f t="shared" si="14"/>
        <v>-6.9914490904378485E-3</v>
      </c>
      <c r="AZ21" s="47">
        <f>workers_and_wage_low!B9</f>
        <v>6660.1842529204996</v>
      </c>
      <c r="BA21" s="42">
        <f t="shared" si="15"/>
        <v>1.6198396298674398E-2</v>
      </c>
      <c r="BB21" s="47">
        <f>'Central scenario'!BB21</f>
        <v>53.901815154490301</v>
      </c>
      <c r="BC21" s="47">
        <f>'Central scenario'!BC21</f>
        <v>11.514488248025501</v>
      </c>
      <c r="BD21" s="12">
        <f t="shared" si="18"/>
        <v>59.659059278503051</v>
      </c>
      <c r="BE21" s="42">
        <f t="shared" si="19"/>
        <v>5.2972279196030092E-2</v>
      </c>
      <c r="BI21" s="42">
        <f t="shared" si="6"/>
        <v>1.3758989777486581E-2</v>
      </c>
      <c r="BJ21" s="7">
        <f t="shared" si="7"/>
        <v>2032</v>
      </c>
      <c r="BK21" s="42">
        <f>SUM(T82:T85)/AVERAGE(AG82:AG85)</f>
        <v>6.1035845147875592E-2</v>
      </c>
      <c r="BL21" s="42">
        <f>SUM(P82:P85)/AVERAGE(AG82:AG85)</f>
        <v>1.229310966287194E-2</v>
      </c>
      <c r="BM21" s="42">
        <f>SUM(D82:D85)/AVERAGE(AG82:AG85)</f>
        <v>7.819031533826741E-2</v>
      </c>
      <c r="BN21" s="42">
        <f>(SUM(H82:H85)+SUM(J82:J85))/AVERAGE(AG82:AG85)</f>
        <v>9.5139480883308161E-3</v>
      </c>
      <c r="BO21" s="44">
        <f t="shared" si="2"/>
        <v>-3.896152794159459E-2</v>
      </c>
      <c r="BP21" s="26">
        <f t="shared" si="3"/>
        <v>8.7704263426598233E-2</v>
      </c>
    </row>
    <row r="22" spans="1:70" x14ac:dyDescent="0.2">
      <c r="A22" s="5">
        <f t="shared" si="16"/>
        <v>2017</v>
      </c>
      <c r="B22" s="5">
        <f t="shared" si="17"/>
        <v>1</v>
      </c>
      <c r="C22" s="6"/>
      <c r="D22" s="55">
        <f>'Low pensions'!Q22</f>
        <v>102020428.17773473</v>
      </c>
      <c r="E22" s="6"/>
      <c r="F22" s="8">
        <f>'Low pensions'!I22</f>
        <v>18543420.46006754</v>
      </c>
      <c r="G22" s="55">
        <f>'Low pensions'!K22</f>
        <v>66682.149607556305</v>
      </c>
      <c r="H22" s="55">
        <f>'Low pensions'!V22</f>
        <v>366865.51272590202</v>
      </c>
      <c r="I22" s="55">
        <f>'Low pensions'!M22</f>
        <v>2062.334523945101</v>
      </c>
      <c r="J22" s="55">
        <f>'Low pensions'!W22</f>
        <v>11346.356063688025</v>
      </c>
      <c r="K22" s="6"/>
      <c r="L22" s="55">
        <f>'Low pensions'!N22</f>
        <v>4299591.3674410377</v>
      </c>
      <c r="M22" s="8"/>
      <c r="N22" s="55">
        <f>'Low pensions'!L22</f>
        <v>765007.80687155947</v>
      </c>
      <c r="O22" s="6"/>
      <c r="P22" s="55">
        <f>'Low pensions'!X22</f>
        <v>26519447.284662407</v>
      </c>
      <c r="Q22" s="8"/>
      <c r="R22" s="55">
        <f>'Low SIPA income'!G17</f>
        <v>19431124.512665182</v>
      </c>
      <c r="S22" s="8"/>
      <c r="T22" s="55">
        <f>'Low SIPA income'!J17</f>
        <v>74296588.702769756</v>
      </c>
      <c r="U22" s="6"/>
      <c r="V22" s="55">
        <f>'Low SIPA income'!F17</f>
        <v>123378.28715431099</v>
      </c>
      <c r="W22" s="8"/>
      <c r="X22" s="55">
        <f>'Low SIPA income'!M17</f>
        <v>309890.68638441636</v>
      </c>
      <c r="Y22" s="6"/>
      <c r="Z22" s="6">
        <f t="shared" si="10"/>
        <v>-4053516.8345606457</v>
      </c>
      <c r="AA22" s="6"/>
      <c r="AB22" s="6">
        <f t="shared" si="11"/>
        <v>-54243286.759627387</v>
      </c>
      <c r="AC22" s="23"/>
      <c r="AD22" s="6">
        <f>'Central scenario'!AD22</f>
        <v>9207047993.4630699</v>
      </c>
      <c r="AE22" s="6">
        <f>'Central scenario'!AE22</f>
        <v>679640.26735506102</v>
      </c>
      <c r="AF22" s="6">
        <f>'Central scenario'!AF22</f>
        <v>172.09591728000001</v>
      </c>
      <c r="AG22" s="6">
        <f t="shared" si="12"/>
        <v>4959041644.8252344</v>
      </c>
      <c r="AH22" s="6"/>
      <c r="AI22" s="6"/>
      <c r="AJ22" s="35">
        <f t="shared" si="13"/>
        <v>-1.0938259979371281E-2</v>
      </c>
      <c r="AK22" s="36">
        <f t="shared" si="5"/>
        <v>2033</v>
      </c>
      <c r="AL22" s="37">
        <f>SUM(AB86:AB89)/AVERAGE(AG86:AG89)</f>
        <v>-2.8577002621147738E-2</v>
      </c>
      <c r="AM22" s="6">
        <f>'Central scenario'!AM21</f>
        <v>8126011.6642673099</v>
      </c>
      <c r="AN22" s="37">
        <f>AM22/AVERAGE(AG86:AG89)</f>
        <v>1.282340743585305E-3</v>
      </c>
      <c r="AO22" s="37">
        <f>'GDP evolution by scenario'!G85</f>
        <v>2.729289636916854E-2</v>
      </c>
      <c r="AP22" s="37"/>
      <c r="AQ22" s="6">
        <f t="shared" si="8"/>
        <v>596636921.5721035</v>
      </c>
      <c r="AR22" s="6">
        <f t="shared" si="9"/>
        <v>370509828.58166367</v>
      </c>
      <c r="AS22" s="38">
        <f>AQ22/AG89</f>
        <v>9.4076365770126305E-2</v>
      </c>
      <c r="AT22" s="38">
        <f>AR22/AG89</f>
        <v>5.8421155136077207E-2</v>
      </c>
      <c r="AU22" s="5"/>
      <c r="AV22" s="5"/>
      <c r="AW22" s="39">
        <f>workers_and_wage_low!C10</f>
        <v>11057148</v>
      </c>
      <c r="AX22" s="5"/>
      <c r="AY22" s="35">
        <f t="shared" si="14"/>
        <v>-8.9270660932019158E-3</v>
      </c>
      <c r="AZ22" s="40">
        <f>workers_and_wage_low!B10</f>
        <v>6744.0342912967499</v>
      </c>
      <c r="BA22" s="35">
        <f t="shared" si="15"/>
        <v>1.2589747549323717E-2</v>
      </c>
      <c r="BB22" s="40">
        <f>'Central scenario'!BB22</f>
        <v>54.553642181864497</v>
      </c>
      <c r="BC22" s="40">
        <f>'Central scenario'!BC22</f>
        <v>12.4947600115723</v>
      </c>
      <c r="BD22" s="11">
        <f t="shared" si="18"/>
        <v>60.801022187650645</v>
      </c>
      <c r="BE22" s="35">
        <f t="shared" si="19"/>
        <v>1.9141483673361881E-2</v>
      </c>
      <c r="BF22" s="5"/>
      <c r="BG22" s="5"/>
      <c r="BH22" s="5"/>
      <c r="BI22" s="35">
        <f t="shared" si="6"/>
        <v>1.5336923265242525E-2</v>
      </c>
      <c r="BJ22" s="5">
        <f t="shared" si="7"/>
        <v>2033</v>
      </c>
      <c r="BK22" s="35">
        <f>SUM(T86:T89)/AVERAGE(AG86:AG89)</f>
        <v>6.1331466862717267E-2</v>
      </c>
      <c r="BL22" s="35">
        <f>SUM(P86:P89)/AVERAGE(AG86:AG89)</f>
        <v>1.2223512172208295E-2</v>
      </c>
      <c r="BM22" s="35">
        <f>SUM(D86:D89)/AVERAGE(AG86:AG89)</f>
        <v>7.7684957311656713E-2</v>
      </c>
      <c r="BN22" s="35">
        <f>(SUM(H86:H89)+SUM(J86:J89))/AVERAGE(AG86:AG89)</f>
        <v>1.0588805434403502E-2</v>
      </c>
      <c r="BO22" s="37">
        <f t="shared" si="2"/>
        <v>-3.9165808055551241E-2</v>
      </c>
      <c r="BP22" s="26">
        <f t="shared" si="3"/>
        <v>8.8273762746060219E-2</v>
      </c>
      <c r="BQ22" s="5"/>
      <c r="BR22" s="5"/>
    </row>
    <row r="23" spans="1:70" x14ac:dyDescent="0.2">
      <c r="A23" s="7">
        <f t="shared" si="16"/>
        <v>2017</v>
      </c>
      <c r="B23" s="7">
        <f t="shared" si="17"/>
        <v>2</v>
      </c>
      <c r="C23" s="9"/>
      <c r="D23" s="56">
        <f>'Low pensions'!Q23</f>
        <v>108855914.20847927</v>
      </c>
      <c r="E23" s="9"/>
      <c r="F23" s="41">
        <f>'Low pensions'!I23</f>
        <v>19785850.959341578</v>
      </c>
      <c r="G23" s="56">
        <f>'Low pensions'!K23</f>
        <v>102244.218065323</v>
      </c>
      <c r="H23" s="56">
        <f>'Low pensions'!V23</f>
        <v>562517.52087402868</v>
      </c>
      <c r="I23" s="56">
        <f>'Low pensions'!M23</f>
        <v>3162.1923112990044</v>
      </c>
      <c r="J23" s="56">
        <f>'Low pensions'!W23</f>
        <v>17397.449099198715</v>
      </c>
      <c r="K23" s="9"/>
      <c r="L23" s="56">
        <f>'Low pensions'!N23</f>
        <v>3939404.9843641627</v>
      </c>
      <c r="M23" s="41"/>
      <c r="N23" s="56">
        <f>'Low pensions'!L23</f>
        <v>818497.02650819719</v>
      </c>
      <c r="O23" s="9"/>
      <c r="P23" s="56">
        <f>'Low pensions'!X23</f>
        <v>24944720.335192028</v>
      </c>
      <c r="Q23" s="41"/>
      <c r="R23" s="56">
        <f>'Low SIPA income'!G18</f>
        <v>23253934.138079166</v>
      </c>
      <c r="S23" s="41"/>
      <c r="T23" s="56">
        <f>'Low SIPA income'!J18</f>
        <v>88913432.634949133</v>
      </c>
      <c r="U23" s="9"/>
      <c r="V23" s="56">
        <f>'Low SIPA income'!F18</f>
        <v>131002.673091904</v>
      </c>
      <c r="W23" s="41"/>
      <c r="X23" s="56">
        <f>'Low SIPA income'!M18</f>
        <v>329040.94568818907</v>
      </c>
      <c r="Y23" s="9"/>
      <c r="Z23" s="9">
        <f t="shared" si="10"/>
        <v>-1158816.1590428688</v>
      </c>
      <c r="AA23" s="9"/>
      <c r="AB23" s="9">
        <f t="shared" si="11"/>
        <v>-44887201.908722162</v>
      </c>
      <c r="AC23" s="23"/>
      <c r="AD23" s="9">
        <f>'Central scenario'!AD23</f>
        <v>10602469309.9181</v>
      </c>
      <c r="AE23" s="9">
        <f>'Central scenario'!AE23</f>
        <v>776515.90050865698</v>
      </c>
      <c r="AF23" s="9">
        <f>'Central scenario'!AF23</f>
        <v>183.45579240999999</v>
      </c>
      <c r="AG23" s="9">
        <f t="shared" si="12"/>
        <v>5665901320.8227959</v>
      </c>
      <c r="AH23" s="9"/>
      <c r="AI23" s="9"/>
      <c r="AJ23" s="42">
        <f t="shared" si="13"/>
        <v>-7.9223409246039767E-3</v>
      </c>
      <c r="AK23" s="43">
        <f t="shared" si="5"/>
        <v>2034</v>
      </c>
      <c r="AL23" s="44">
        <f>SUM(AB90:AB93)/AVERAGE(AG90:AG93)</f>
        <v>-2.8570831837772283E-2</v>
      </c>
      <c r="AM23" s="9">
        <f>'Central scenario'!AM22</f>
        <v>7406781.3807915701</v>
      </c>
      <c r="AN23" s="44">
        <f>AM23/AVERAGE(AG90:AG93)</f>
        <v>1.1608019579057854E-3</v>
      </c>
      <c r="AO23" s="44">
        <f>'GDP evolution by scenario'!G89</f>
        <v>1.7208219460950858E-2</v>
      </c>
      <c r="AP23" s="44"/>
      <c r="AQ23" s="9">
        <f t="shared" si="8"/>
        <v>606903980.65702236</v>
      </c>
      <c r="AR23" s="9">
        <f t="shared" si="9"/>
        <v>369420623.5760088</v>
      </c>
      <c r="AS23" s="45">
        <f>AQ23/AG93</f>
        <v>9.4833456087903112E-2</v>
      </c>
      <c r="AT23" s="45">
        <f>AR23/AG93</f>
        <v>5.772483885496138E-2</v>
      </c>
      <c r="AU23" s="7"/>
      <c r="AV23" s="7"/>
      <c r="AW23" s="46">
        <f>workers_and_wage_low!C11</f>
        <v>11247506</v>
      </c>
      <c r="AX23" s="7"/>
      <c r="AY23" s="42">
        <f t="shared" si="14"/>
        <v>1.7215831785918033E-2</v>
      </c>
      <c r="AZ23" s="47">
        <f>workers_and_wage_low!B11</f>
        <v>6741.6617525258698</v>
      </c>
      <c r="BA23" s="42">
        <f t="shared" si="15"/>
        <v>-3.5179814757790341E-4</v>
      </c>
      <c r="BB23" s="47">
        <f>'Central scenario'!BB23</f>
        <v>49.9198466641054</v>
      </c>
      <c r="BC23" s="47">
        <f>'Central scenario'!BC23</f>
        <v>10.7610894199697</v>
      </c>
      <c r="BD23" s="12">
        <f t="shared" si="18"/>
        <v>55.300391374090253</v>
      </c>
      <c r="BE23" s="42">
        <f t="shared" si="19"/>
        <v>-9.0469380540737498E-2</v>
      </c>
      <c r="BF23" s="7"/>
      <c r="BG23" s="7"/>
      <c r="BH23" s="7"/>
      <c r="BI23" s="42">
        <f t="shared" si="6"/>
        <v>1.2337164902155424E-2</v>
      </c>
      <c r="BJ23" s="7">
        <f t="shared" si="7"/>
        <v>2034</v>
      </c>
      <c r="BK23" s="42">
        <f>SUM(T90:T93)/AVERAGE(AG90:AG93)</f>
        <v>6.1445046663789991E-2</v>
      </c>
      <c r="BL23" s="42">
        <f>SUM(P90:P93)/AVERAGE(AG90:AG93)</f>
        <v>1.194580726421164E-2</v>
      </c>
      <c r="BM23" s="42">
        <f>SUM(D90:D93)/AVERAGE(AG90:AG93)</f>
        <v>7.807007123735063E-2</v>
      </c>
      <c r="BN23" s="42">
        <f>(SUM(H90:H93)+SUM(J90:J93))/AVERAGE(AG90:AG93)</f>
        <v>1.1276489136173677E-2</v>
      </c>
      <c r="BO23" s="44">
        <f t="shared" si="2"/>
        <v>-3.9847320973945957E-2</v>
      </c>
      <c r="BP23" s="26">
        <f t="shared" si="3"/>
        <v>8.9346560373524314E-2</v>
      </c>
      <c r="BQ23" s="7"/>
      <c r="BR23" s="7"/>
    </row>
    <row r="24" spans="1:70" x14ac:dyDescent="0.2">
      <c r="A24" s="7">
        <f t="shared" si="16"/>
        <v>2017</v>
      </c>
      <c r="B24" s="7">
        <f t="shared" si="17"/>
        <v>3</v>
      </c>
      <c r="C24" s="9"/>
      <c r="D24" s="56">
        <f>'Low pensions'!Q24</f>
        <v>104302964.88111053</v>
      </c>
      <c r="E24" s="9"/>
      <c r="F24" s="41">
        <f>'Low pensions'!I24</f>
        <v>18958298.524806652</v>
      </c>
      <c r="G24" s="56">
        <f>'Low pensions'!K24</f>
        <v>148476.22300634999</v>
      </c>
      <c r="H24" s="56">
        <f>'Low pensions'!V24</f>
        <v>816872.37141283497</v>
      </c>
      <c r="I24" s="56">
        <f>'Low pensions'!M24</f>
        <v>4592.0481342170096</v>
      </c>
      <c r="J24" s="56">
        <f>'Low pensions'!W24</f>
        <v>25264.093961221697</v>
      </c>
      <c r="K24" s="9"/>
      <c r="L24" s="56">
        <f>'Low pensions'!N24</f>
        <v>3599614.5523328749</v>
      </c>
      <c r="M24" s="41"/>
      <c r="N24" s="56">
        <f>'Low pensions'!L24</f>
        <v>785462.55747457966</v>
      </c>
      <c r="O24" s="9"/>
      <c r="P24" s="56">
        <f>'Low pensions'!X24</f>
        <v>22999800.266207062</v>
      </c>
      <c r="Q24" s="41"/>
      <c r="R24" s="56">
        <f>'Low SIPA income'!G19</f>
        <v>20589460.949614991</v>
      </c>
      <c r="S24" s="41"/>
      <c r="T24" s="56">
        <f>'Low SIPA income'!J19</f>
        <v>78725588.464435503</v>
      </c>
      <c r="U24" s="9"/>
      <c r="V24" s="56">
        <f>'Low SIPA income'!F19</f>
        <v>137459.02665501201</v>
      </c>
      <c r="W24" s="41"/>
      <c r="X24" s="56">
        <f>'Low SIPA income'!M19</f>
        <v>345257.44442033331</v>
      </c>
      <c r="Y24" s="9"/>
      <c r="Z24" s="9">
        <f t="shared" si="10"/>
        <v>-2616455.6583441049</v>
      </c>
      <c r="AA24" s="9"/>
      <c r="AB24" s="9">
        <f t="shared" si="11"/>
        <v>-48577176.682882093</v>
      </c>
      <c r="AC24" s="23"/>
      <c r="AD24" s="9">
        <f>'Central scenario'!AD24</f>
        <v>11070090101.6518</v>
      </c>
      <c r="AE24" s="9">
        <f>'Central scenario'!AE24</f>
        <v>720893.64749107696</v>
      </c>
      <c r="AF24" s="9">
        <f>'Central scenario'!AF24</f>
        <v>191.50871928999999</v>
      </c>
      <c r="AG24" s="9">
        <f t="shared" si="12"/>
        <v>5260049751.4820948</v>
      </c>
      <c r="AH24" s="9"/>
      <c r="AI24" s="9"/>
      <c r="AJ24" s="42">
        <f t="shared" si="13"/>
        <v>-9.2351173426058891E-3</v>
      </c>
      <c r="AK24" s="43">
        <f t="shared" si="5"/>
        <v>2035</v>
      </c>
      <c r="AL24" s="44">
        <f>SUM(AB94:AB97)/AVERAGE(AG94:AG97)</f>
        <v>-2.871690688409648E-2</v>
      </c>
      <c r="AM24" s="9">
        <f>'Central scenario'!AM23</f>
        <v>6738583.4030681401</v>
      </c>
      <c r="AN24" s="44">
        <f>AM24/AVERAGE(AG94:AG97)</f>
        <v>1.0382184949986493E-3</v>
      </c>
      <c r="AO24" s="44">
        <f>'GDP evolution by scenario'!G93</f>
        <v>2.5271663107623521E-2</v>
      </c>
      <c r="AP24" s="44"/>
      <c r="AQ24" s="9">
        <f t="shared" si="8"/>
        <v>622241453.59486234</v>
      </c>
      <c r="AR24" s="9">
        <f t="shared" si="9"/>
        <v>371940213.46282589</v>
      </c>
      <c r="AS24" s="45">
        <f>AQ24/AG97</f>
        <v>9.4891489863565645E-2</v>
      </c>
      <c r="AT24" s="45">
        <f>AR24/AG97</f>
        <v>5.6720684216323321E-2</v>
      </c>
      <c r="AU24" s="7"/>
      <c r="AV24" s="7"/>
      <c r="AW24" s="46">
        <f>workers_and_wage_low!C12</f>
        <v>11410134</v>
      </c>
      <c r="AX24" s="7"/>
      <c r="AY24" s="42">
        <f t="shared" si="14"/>
        <v>1.4459027627991486E-2</v>
      </c>
      <c r="AZ24" s="47">
        <f>workers_and_wage_low!B12</f>
        <v>6886.4292106928397</v>
      </c>
      <c r="BA24" s="42">
        <f t="shared" si="15"/>
        <v>2.1473557036991723E-2</v>
      </c>
      <c r="BB24" s="47">
        <f>'Central scenario'!BB24</f>
        <v>50.646714140221597</v>
      </c>
      <c r="BC24" s="47">
        <f>'Central scenario'!BC24</f>
        <v>11.1261459164056</v>
      </c>
      <c r="BD24" s="12">
        <f t="shared" si="18"/>
        <v>56.2097870984244</v>
      </c>
      <c r="BE24" s="42">
        <f t="shared" si="19"/>
        <v>1.6444652591739661E-2</v>
      </c>
      <c r="BF24" s="7"/>
      <c r="BG24" s="7"/>
      <c r="BH24" s="7"/>
      <c r="BI24" s="42">
        <f t="shared" si="6"/>
        <v>1.2950625823347463E-2</v>
      </c>
      <c r="BJ24" s="7">
        <f t="shared" si="7"/>
        <v>2035</v>
      </c>
      <c r="BK24" s="42">
        <f>SUM(T94:T97)/AVERAGE(AG94:AG97)</f>
        <v>6.0965450397610338E-2</v>
      </c>
      <c r="BL24" s="42">
        <f>SUM(P94:P97)/AVERAGE(AG94:AG97)</f>
        <v>1.1890976630893526E-2</v>
      </c>
      <c r="BM24" s="42">
        <f>SUM(D94:D97)/AVERAGE(AG94:AG97)</f>
        <v>7.7791380650813299E-2</v>
      </c>
      <c r="BN24" s="42">
        <f>(SUM(H94:H97)+SUM(J94:J97))/AVERAGE(AG94:AG97)</f>
        <v>1.1737380834683498E-2</v>
      </c>
      <c r="BO24" s="44">
        <f t="shared" si="2"/>
        <v>-4.0454287718779978E-2</v>
      </c>
      <c r="BP24" s="26">
        <f t="shared" si="3"/>
        <v>8.9528761485496794E-2</v>
      </c>
      <c r="BQ24" s="7"/>
      <c r="BR24" s="7"/>
    </row>
    <row r="25" spans="1:70" x14ac:dyDescent="0.2">
      <c r="A25" s="7">
        <f t="shared" si="16"/>
        <v>2017</v>
      </c>
      <c r="B25" s="7">
        <f t="shared" si="17"/>
        <v>4</v>
      </c>
      <c r="C25" s="9"/>
      <c r="D25" s="56">
        <f>'Low pensions'!Q25</f>
        <v>113365412.76948711</v>
      </c>
      <c r="E25" s="9"/>
      <c r="F25" s="41">
        <f>'Low pensions'!I25</f>
        <v>20605505.702753916</v>
      </c>
      <c r="G25" s="56">
        <f>'Low pensions'!K25</f>
        <v>189845.474762486</v>
      </c>
      <c r="H25" s="56">
        <f>'Low pensions'!V25</f>
        <v>1044473.7886725139</v>
      </c>
      <c r="I25" s="56">
        <f>'Low pensions'!M25</f>
        <v>5871.5095287360018</v>
      </c>
      <c r="J25" s="56">
        <f>'Low pensions'!W25</f>
        <v>32303.3130517235</v>
      </c>
      <c r="K25" s="9"/>
      <c r="L25" s="56">
        <f>'Low pensions'!N25</f>
        <v>4012507.368122709</v>
      </c>
      <c r="M25" s="41"/>
      <c r="N25" s="56">
        <f>'Low pensions'!L25</f>
        <v>856425.70703036338</v>
      </c>
      <c r="O25" s="9"/>
      <c r="P25" s="56">
        <f>'Low pensions'!X25</f>
        <v>25532721.361492243</v>
      </c>
      <c r="Q25" s="41"/>
      <c r="R25" s="56">
        <f>'Low SIPA income'!G20</f>
        <v>24347223.038023669</v>
      </c>
      <c r="S25" s="41"/>
      <c r="T25" s="56">
        <f>'Low SIPA income'!J20</f>
        <v>93093717.50109449</v>
      </c>
      <c r="U25" s="9"/>
      <c r="V25" s="56">
        <f>'Low SIPA income'!F20</f>
        <v>143698.09455918201</v>
      </c>
      <c r="W25" s="41"/>
      <c r="X25" s="56">
        <f>'Low SIPA income'!M20</f>
        <v>360928.18422241905</v>
      </c>
      <c r="Y25" s="9"/>
      <c r="Z25" s="9">
        <f t="shared" si="10"/>
        <v>-983517.64532413706</v>
      </c>
      <c r="AA25" s="9"/>
      <c r="AB25" s="9">
        <f t="shared" si="11"/>
        <v>-45804416.629884869</v>
      </c>
      <c r="AC25" s="23"/>
      <c r="AD25" s="9">
        <f>'Central scenario'!AD25</f>
        <v>11699507791.7232</v>
      </c>
      <c r="AE25" s="9">
        <f>'Central scenario'!AE25</f>
        <v>724273.57873321604</v>
      </c>
      <c r="AF25" s="9">
        <f>'Central scenario'!AF25</f>
        <v>200.87293846</v>
      </c>
      <c r="AG25" s="9">
        <f t="shared" si="12"/>
        <v>5284711650.7124662</v>
      </c>
      <c r="AH25" s="9"/>
      <c r="AI25" s="9"/>
      <c r="AJ25" s="42">
        <f t="shared" si="13"/>
        <v>-8.6673445321675553E-3</v>
      </c>
      <c r="AK25" s="43">
        <f t="shared" si="5"/>
        <v>2036</v>
      </c>
      <c r="AL25" s="44">
        <f>SUM(AB98:AB101)/AVERAGE(AG98:AG101)</f>
        <v>-2.7663437612180691E-2</v>
      </c>
      <c r="AM25" s="9">
        <f>'Central scenario'!AM24</f>
        <v>6098422.29766839</v>
      </c>
      <c r="AN25" s="44">
        <f>AM25/AVERAGE(AG98:AG101)</f>
        <v>9.2528067555777487E-4</v>
      </c>
      <c r="AO25" s="44">
        <f>'GDP evolution by scenario'!G97</f>
        <v>2.5894297724105453E-2</v>
      </c>
      <c r="AP25" s="44"/>
      <c r="AQ25" s="9">
        <f t="shared" si="8"/>
        <v>638353959.05052781</v>
      </c>
      <c r="AR25" s="9">
        <f t="shared" si="9"/>
        <v>375400878.45169348</v>
      </c>
      <c r="AS25" s="45">
        <f>AQ25/AG101</f>
        <v>9.6808187710790833E-2</v>
      </c>
      <c r="AT25" s="45">
        <f>AR25/AG101</f>
        <v>5.6930607530031367E-2</v>
      </c>
      <c r="AU25" s="7"/>
      <c r="AV25" s="7"/>
      <c r="AW25" s="46">
        <f>workers_and_wage_low!C13</f>
        <v>11521898</v>
      </c>
      <c r="AX25" s="7"/>
      <c r="AY25" s="42">
        <f t="shared" si="14"/>
        <v>9.7951522742852973E-3</v>
      </c>
      <c r="AZ25" s="47">
        <f>workers_and_wage_low!B13</f>
        <v>6890.5453339577498</v>
      </c>
      <c r="BA25" s="42">
        <f t="shared" si="15"/>
        <v>5.9771517850192328E-4</v>
      </c>
      <c r="BB25" s="47">
        <f>'Central scenario'!BB25</f>
        <v>52.575910775771497</v>
      </c>
      <c r="BC25" s="47">
        <f>'Central scenario'!BC25</f>
        <v>11.7344517173055</v>
      </c>
      <c r="BD25" s="12">
        <f t="shared" si="18"/>
        <v>58.443136634424249</v>
      </c>
      <c r="BE25" s="42">
        <f t="shared" si="19"/>
        <v>3.9732396283394866E-2</v>
      </c>
      <c r="BF25" s="7"/>
      <c r="BI25" s="42">
        <f t="shared" si="6"/>
        <v>1.2006861824606377E-2</v>
      </c>
      <c r="BJ25" s="7">
        <f t="shared" si="7"/>
        <v>2036</v>
      </c>
      <c r="BK25" s="42">
        <f>SUM(T98:T101)/AVERAGE(AG98:AG101)</f>
        <v>6.1403061217892969E-2</v>
      </c>
      <c r="BL25" s="42">
        <f>SUM(P98:P101)/AVERAGE(AG98:AG101)</f>
        <v>1.1586852187967385E-2</v>
      </c>
      <c r="BM25" s="42">
        <f>SUM(D98:D101)/AVERAGE(AG98:AG101)</f>
        <v>7.7479646642106284E-2</v>
      </c>
      <c r="BN25" s="42">
        <f>(SUM(H98:H101)+SUM(J98:J101))/AVERAGE(AG98:AG101)</f>
        <v>1.2306533743135955E-2</v>
      </c>
      <c r="BO25" s="44">
        <f t="shared" si="2"/>
        <v>-3.9969971355316644E-2</v>
      </c>
      <c r="BP25" s="26">
        <f t="shared" si="3"/>
        <v>8.9786180385242234E-2</v>
      </c>
    </row>
    <row r="26" spans="1:70" x14ac:dyDescent="0.2">
      <c r="A26" s="5">
        <f t="shared" si="16"/>
        <v>2018</v>
      </c>
      <c r="B26" s="5">
        <f t="shared" si="17"/>
        <v>1</v>
      </c>
      <c r="C26" s="6">
        <f>D26*0.081</f>
        <v>8545577.5098297261</v>
      </c>
      <c r="D26" s="55">
        <f>'Low pensions'!Q26</f>
        <v>105500956.9114781</v>
      </c>
      <c r="E26" s="6"/>
      <c r="F26" s="8">
        <f>'Low pensions'!I26</f>
        <v>19176047.757227182</v>
      </c>
      <c r="G26" s="55">
        <f>'Low pensions'!K26</f>
        <v>193632.46803601799</v>
      </c>
      <c r="H26" s="55">
        <f>'Low pensions'!V26</f>
        <v>1065308.7083198316</v>
      </c>
      <c r="I26" s="55">
        <f>'Low pensions'!M26</f>
        <v>5988.6330320420093</v>
      </c>
      <c r="J26" s="55">
        <f>'Low pensions'!W26</f>
        <v>32947.692009892889</v>
      </c>
      <c r="K26" s="6"/>
      <c r="L26" s="55">
        <f>'Low pensions'!N26</f>
        <v>4266228.999600837</v>
      </c>
      <c r="M26" s="8"/>
      <c r="N26" s="55">
        <f>'Low pensions'!L26</f>
        <v>797212.36643475667</v>
      </c>
      <c r="O26" s="6"/>
      <c r="P26" s="55">
        <f>'Low pensions'!X26</f>
        <v>26523509.784177065</v>
      </c>
      <c r="Q26" s="8"/>
      <c r="R26" s="55">
        <f>'Low SIPA income'!G21</f>
        <v>19486155.65621588</v>
      </c>
      <c r="S26" s="8"/>
      <c r="T26" s="55">
        <f>'Low SIPA income'!J21</f>
        <v>74507005.04977861</v>
      </c>
      <c r="U26" s="6"/>
      <c r="V26" s="55">
        <f>'Low SIPA income'!F21</f>
        <v>129450.461885458</v>
      </c>
      <c r="W26" s="8"/>
      <c r="X26" s="55">
        <f>'Low SIPA income'!M21</f>
        <v>325142.23865250521</v>
      </c>
      <c r="Y26" s="6"/>
      <c r="Z26" s="6">
        <f t="shared" si="10"/>
        <v>-4623883.0051614363</v>
      </c>
      <c r="AA26" s="6"/>
      <c r="AB26" s="6">
        <f t="shared" si="11"/>
        <v>-57517461.645876557</v>
      </c>
      <c r="AC26" s="23"/>
      <c r="AD26" s="6">
        <f>'Central scenario'!AD26</f>
        <v>12295597168.7493</v>
      </c>
      <c r="AE26" s="6">
        <f>'Central scenario'!AE26</f>
        <v>707566.83526715403</v>
      </c>
      <c r="AF26" s="6">
        <f>'Central scenario'!AF26</f>
        <v>215.82755935060601</v>
      </c>
      <c r="AG26" s="6">
        <f t="shared" si="12"/>
        <v>5162809755.5819197</v>
      </c>
      <c r="AH26" s="35">
        <f t="shared" ref="AH26:AH57" si="20">(AG26-AG25)/AG25</f>
        <v>-2.306689620693159E-2</v>
      </c>
      <c r="AI26" s="35"/>
      <c r="AJ26" s="35">
        <f t="shared" si="13"/>
        <v>-1.1140728473229118E-2</v>
      </c>
      <c r="AK26" s="36">
        <f t="shared" si="5"/>
        <v>2037</v>
      </c>
      <c r="AL26" s="37">
        <f>SUM(AB102:AB105)/AVERAGE(AG102:AG105)</f>
        <v>-2.7216951068335302E-2</v>
      </c>
      <c r="AM26" s="6">
        <f>'Central scenario'!AM25</f>
        <v>5493111.4769607</v>
      </c>
      <c r="AN26" s="37">
        <f>AM26/AVERAGE(AG102:AG105)</f>
        <v>8.2310717960908705E-4</v>
      </c>
      <c r="AO26" s="37">
        <f>'GDP evolution by scenario'!G101</f>
        <v>2.0571484384780181E-2</v>
      </c>
      <c r="AP26" s="37"/>
      <c r="AQ26" s="6">
        <f t="shared" si="8"/>
        <v>651485847.55109835</v>
      </c>
      <c r="AR26" s="6">
        <f t="shared" si="9"/>
        <v>377578718.36814946</v>
      </c>
      <c r="AS26" s="38">
        <f>AQ26/AG105</f>
        <v>9.7145864091113254E-2</v>
      </c>
      <c r="AT26" s="38">
        <f>AR26/AG105</f>
        <v>5.6302390905601393E-2</v>
      </c>
      <c r="AU26" s="35">
        <f>AVERAGE(AH26:AH29)</f>
        <v>-1.4549820087136093E-2</v>
      </c>
      <c r="AV26" s="5"/>
      <c r="AW26" s="39">
        <f>workers_and_wage_low!C14</f>
        <v>11482379</v>
      </c>
      <c r="AX26" s="5"/>
      <c r="AY26" s="35">
        <f t="shared" si="14"/>
        <v>-3.4299036495549604E-3</v>
      </c>
      <c r="AZ26" s="40">
        <f>workers_and_wage_low!B14</f>
        <v>6808.8492663922098</v>
      </c>
      <c r="BA26" s="35">
        <f t="shared" si="15"/>
        <v>-1.1856255725207737E-2</v>
      </c>
      <c r="BB26" s="40">
        <f>'Central scenario'!BB26</f>
        <v>51.315371544376099</v>
      </c>
      <c r="BC26" s="40">
        <f>'Central scenario'!BC26</f>
        <v>12.3076277148944</v>
      </c>
      <c r="BD26" s="11">
        <f t="shared" si="18"/>
        <v>57.469185401823296</v>
      </c>
      <c r="BE26" s="35">
        <f t="shared" si="19"/>
        <v>-1.6664937727303264E-2</v>
      </c>
      <c r="BF26" s="5"/>
      <c r="BG26" s="5"/>
      <c r="BH26" s="5"/>
      <c r="BI26" s="35">
        <f t="shared" si="6"/>
        <v>1.5287859276955796E-2</v>
      </c>
      <c r="BJ26" s="5">
        <f t="shared" si="7"/>
        <v>2037</v>
      </c>
      <c r="BK26" s="35">
        <f>SUM(T102:T105)/AVERAGE(AG102:AG105)</f>
        <v>6.1313537203791034E-2</v>
      </c>
      <c r="BL26" s="35">
        <f>SUM(P102:P105)/AVERAGE(AG102:AG105)</f>
        <v>1.1361758419639255E-2</v>
      </c>
      <c r="BM26" s="35">
        <f>SUM(D102:D105)/AVERAGE(AG102:AG105)</f>
        <v>7.7168729852487086E-2</v>
      </c>
      <c r="BN26" s="35">
        <f>(SUM(H102:H105)+SUM(J102:J105))/AVERAGE(AG102:AG105)</f>
        <v>1.310471965679828E-2</v>
      </c>
      <c r="BO26" s="37">
        <f t="shared" si="2"/>
        <v>-4.0321670725133582E-2</v>
      </c>
      <c r="BP26" s="26">
        <f t="shared" si="3"/>
        <v>9.0273449509285369E-2</v>
      </c>
      <c r="BQ26" s="5"/>
      <c r="BR26" s="5"/>
    </row>
    <row r="27" spans="1:70" x14ac:dyDescent="0.2">
      <c r="A27" s="7">
        <f t="shared" si="16"/>
        <v>2018</v>
      </c>
      <c r="B27" s="7">
        <f t="shared" si="17"/>
        <v>2</v>
      </c>
      <c r="C27" s="9">
        <f>D27*0.081</f>
        <v>8602524.0704963524</v>
      </c>
      <c r="D27" s="56">
        <f>'Low pensions'!Q27</f>
        <v>106204000.87032534</v>
      </c>
      <c r="E27" s="9"/>
      <c r="F27" s="41">
        <f>'Low pensions'!I27</f>
        <v>19303834.318837203</v>
      </c>
      <c r="G27" s="56">
        <f>'Low pensions'!K27</f>
        <v>211229.041623464</v>
      </c>
      <c r="H27" s="56">
        <f>'Low pensions'!V27</f>
        <v>1162119.8643693947</v>
      </c>
      <c r="I27" s="56">
        <f>'Low pensions'!M27</f>
        <v>6532.8569574269932</v>
      </c>
      <c r="J27" s="56">
        <f>'Low pensions'!W27</f>
        <v>35941.851475343596</v>
      </c>
      <c r="K27" s="9"/>
      <c r="L27" s="56">
        <f>'Low pensions'!N27</f>
        <v>3381171.9076419496</v>
      </c>
      <c r="M27" s="41"/>
      <c r="N27" s="56">
        <f>'Low pensions'!L27</f>
        <v>790911.27488107607</v>
      </c>
      <c r="O27" s="9"/>
      <c r="P27" s="56">
        <f>'Low pensions'!X27</f>
        <v>21896277.58001221</v>
      </c>
      <c r="Q27" s="41"/>
      <c r="R27" s="56">
        <f>'Low SIPA income'!G22</f>
        <v>22133246.315851249</v>
      </c>
      <c r="S27" s="41"/>
      <c r="T27" s="56">
        <f>'Low SIPA income'!J22</f>
        <v>84628385.614741966</v>
      </c>
      <c r="U27" s="9"/>
      <c r="V27" s="56">
        <f>'Low SIPA income'!F22</f>
        <v>124241.716375217</v>
      </c>
      <c r="W27" s="41"/>
      <c r="X27" s="56">
        <f>'Low SIPA income'!M22</f>
        <v>312059.3716537804</v>
      </c>
      <c r="Y27" s="9"/>
      <c r="Z27" s="9">
        <f t="shared" si="10"/>
        <v>-1218429.4691337645</v>
      </c>
      <c r="AA27" s="9"/>
      <c r="AB27" s="9">
        <f t="shared" si="11"/>
        <v>-43471892.835595585</v>
      </c>
      <c r="AC27" s="23"/>
      <c r="AD27" s="9">
        <f>'Central scenario'!AD27</f>
        <v>14242781391.0506</v>
      </c>
      <c r="AE27" s="9">
        <f>'Central scenario'!AE27</f>
        <v>746958.68161084899</v>
      </c>
      <c r="AF27" s="9">
        <f>'Central scenario'!AF27</f>
        <v>231.63985042710499</v>
      </c>
      <c r="AG27" s="9">
        <f t="shared" si="12"/>
        <v>5450235053.7402563</v>
      </c>
      <c r="AH27" s="42">
        <f t="shared" si="20"/>
        <v>5.5672262152905896E-2</v>
      </c>
      <c r="AI27" s="42"/>
      <c r="AJ27" s="42">
        <f t="shared" si="13"/>
        <v>-7.9761500938868198E-3</v>
      </c>
      <c r="AK27" s="43">
        <f t="shared" si="5"/>
        <v>2038</v>
      </c>
      <c r="AL27" s="44">
        <f>SUM(AB106:AB109)/AVERAGE(AG106:AG109)</f>
        <v>-2.6164412322930545E-2</v>
      </c>
      <c r="AM27" s="9">
        <f>'Central scenario'!AM26</f>
        <v>4920541.9627627796</v>
      </c>
      <c r="AN27" s="44">
        <f>AM27/AVERAGE(AG106:AG109)</f>
        <v>7.2718265771516861E-4</v>
      </c>
      <c r="AO27" s="44">
        <f>'GDP evolution by scenario'!G105</f>
        <v>2.664178532980932E-2</v>
      </c>
      <c r="AP27" s="44"/>
      <c r="AQ27" s="9">
        <f t="shared" si="8"/>
        <v>668842593.6469636</v>
      </c>
      <c r="AR27" s="9">
        <f t="shared" si="9"/>
        <v>382657748.95787889</v>
      </c>
      <c r="AS27" s="45">
        <f>AQ27/AG109</f>
        <v>9.8577610566873114E-2</v>
      </c>
      <c r="AT27" s="45">
        <f>AR27/AG109</f>
        <v>5.6398152443438258E-2</v>
      </c>
      <c r="AU27" s="7"/>
      <c r="AV27" s="7"/>
      <c r="AW27" s="46">
        <f>workers_and_wage_low!C15</f>
        <v>11421402</v>
      </c>
      <c r="AX27" s="7"/>
      <c r="AY27" s="42">
        <f t="shared" si="14"/>
        <v>-5.3104848742582004E-3</v>
      </c>
      <c r="AZ27" s="47">
        <f>workers_and_wage_low!B15</f>
        <v>6723.1718064753604</v>
      </c>
      <c r="BA27" s="42">
        <f t="shared" si="15"/>
        <v>-1.2583251084694236E-2</v>
      </c>
      <c r="BB27" s="47">
        <f>'Central scenario'!BB27</f>
        <v>46.429258173358598</v>
      </c>
      <c r="BC27" s="47">
        <f>'Central scenario'!BC27</f>
        <v>10.7584829174465</v>
      </c>
      <c r="BD27" s="12">
        <f t="shared" si="18"/>
        <v>51.808499632081848</v>
      </c>
      <c r="BE27" s="42">
        <f t="shared" si="19"/>
        <v>-9.8499495515066982E-2</v>
      </c>
      <c r="BF27" s="7"/>
      <c r="BG27" s="7"/>
      <c r="BH27" s="7"/>
      <c r="BI27" s="42">
        <f t="shared" si="6"/>
        <v>1.299104274918943E-2</v>
      </c>
      <c r="BJ27" s="7">
        <f t="shared" si="7"/>
        <v>2038</v>
      </c>
      <c r="BK27" s="42">
        <f>SUM(T106:T109)/AVERAGE(AG106:AG109)</f>
        <v>6.1163311426954636E-2</v>
      </c>
      <c r="BL27" s="42">
        <f>SUM(P106:P109)/AVERAGE(AG106:AG109)</f>
        <v>1.1044267524570581E-2</v>
      </c>
      <c r="BM27" s="42">
        <f>SUM(D106:D109)/AVERAGE(AG106:AG109)</f>
        <v>7.6283456225314614E-2</v>
      </c>
      <c r="BN27" s="42">
        <f>(SUM(H106:H109)+SUM(J106:J109))/AVERAGE(AG106:AG109)</f>
        <v>1.3931435509310221E-2</v>
      </c>
      <c r="BO27" s="44">
        <f t="shared" si="2"/>
        <v>-4.0095847832240766E-2</v>
      </c>
      <c r="BP27" s="26">
        <f t="shared" si="3"/>
        <v>9.0214891734624839E-2</v>
      </c>
      <c r="BQ27" s="7"/>
      <c r="BR27" s="7"/>
    </row>
    <row r="28" spans="1:70" x14ac:dyDescent="0.2">
      <c r="A28" s="7">
        <f t="shared" si="16"/>
        <v>2018</v>
      </c>
      <c r="B28" s="7">
        <f t="shared" si="17"/>
        <v>3</v>
      </c>
      <c r="C28" s="9">
        <f>D28*0.081</f>
        <v>8049922.9508867608</v>
      </c>
      <c r="D28" s="56">
        <f>'Low pensions'!Q28</f>
        <v>99381764.82576248</v>
      </c>
      <c r="E28" s="9"/>
      <c r="F28" s="41">
        <f>'Low pensions'!I28</f>
        <v>18063812.161394753</v>
      </c>
      <c r="G28" s="56">
        <f>'Low pensions'!K28</f>
        <v>227995.70952744599</v>
      </c>
      <c r="H28" s="56">
        <f>'Low pensions'!V28</f>
        <v>1254365.1242103018</v>
      </c>
      <c r="I28" s="56">
        <f>'Low pensions'!M28</f>
        <v>7051.4136967260274</v>
      </c>
      <c r="J28" s="56">
        <f>'Low pensions'!W28</f>
        <v>38794.797655993636</v>
      </c>
      <c r="K28" s="9"/>
      <c r="L28" s="56">
        <f>'Low pensions'!N28</f>
        <v>3202211.134178625</v>
      </c>
      <c r="M28" s="41"/>
      <c r="N28" s="56">
        <f>'Low pensions'!L28</f>
        <v>750904.1375477761</v>
      </c>
      <c r="O28" s="9"/>
      <c r="P28" s="56">
        <f>'Low pensions'!X28</f>
        <v>20747541.810173333</v>
      </c>
      <c r="Q28" s="41"/>
      <c r="R28" s="56">
        <f>'Low SIPA income'!G23</f>
        <v>18237091.522955403</v>
      </c>
      <c r="S28" s="41"/>
      <c r="T28" s="56">
        <f>'Low SIPA income'!J23</f>
        <v>69731100.077745333</v>
      </c>
      <c r="U28" s="9"/>
      <c r="V28" s="56">
        <f>'Low SIPA income'!F23</f>
        <v>112657.52315571001</v>
      </c>
      <c r="W28" s="41"/>
      <c r="X28" s="56">
        <f>'Low SIPA income'!M23</f>
        <v>282963.21810195758</v>
      </c>
      <c r="Y28" s="9"/>
      <c r="Z28" s="9">
        <f t="shared" si="10"/>
        <v>-3667178.3870100398</v>
      </c>
      <c r="AA28" s="9"/>
      <c r="AB28" s="9">
        <f t="shared" si="11"/>
        <v>-50398206.55819048</v>
      </c>
      <c r="AC28" s="23"/>
      <c r="AD28" s="9">
        <f>'Central scenario'!AD28</f>
        <v>14960937951.183699</v>
      </c>
      <c r="AE28" s="9">
        <f>'Central scenario'!AE28</f>
        <v>694578.46694602806</v>
      </c>
      <c r="AF28" s="9">
        <f>'Central scenario'!AF28</f>
        <v>257.384544350716</v>
      </c>
      <c r="AG28" s="9">
        <f t="shared" si="12"/>
        <v>5068039238.7415113</v>
      </c>
      <c r="AH28" s="42">
        <f t="shared" si="20"/>
        <v>-7.0124648062006203E-2</v>
      </c>
      <c r="AI28" s="42"/>
      <c r="AJ28" s="42">
        <f t="shared" si="13"/>
        <v>-9.9443205121484603E-3</v>
      </c>
      <c r="AK28" s="43">
        <f t="shared" si="5"/>
        <v>2039</v>
      </c>
      <c r="AL28" s="44">
        <f>SUM(AB110:AB113)/AVERAGE(AG110:AG113)</f>
        <v>-2.6265909347726896E-2</v>
      </c>
      <c r="AM28" s="9">
        <f>'Central scenario'!AM27</f>
        <v>4379286.2132199397</v>
      </c>
      <c r="AN28" s="44">
        <f>AM28/AVERAGE(AG110:AG113)</f>
        <v>6.4174689364961471E-4</v>
      </c>
      <c r="AO28" s="44">
        <f>'GDP evolution by scenario'!G109</f>
        <v>1.4422146140486536E-2</v>
      </c>
      <c r="AP28" s="44"/>
      <c r="AQ28" s="9">
        <f t="shared" si="8"/>
        <v>678488739.27752221</v>
      </c>
      <c r="AR28" s="9">
        <f t="shared" si="9"/>
        <v>383768335.82299793</v>
      </c>
      <c r="AS28" s="45">
        <f>AQ28/AG113</f>
        <v>9.9789219516547734E-2</v>
      </c>
      <c r="AT28" s="45">
        <f>AR28/AG113</f>
        <v>5.6443004120776075E-2</v>
      </c>
      <c r="AU28" s="9"/>
      <c r="AV28" s="7"/>
      <c r="AW28" s="46">
        <f>workers_and_wage_low!C16</f>
        <v>11521980</v>
      </c>
      <c r="AX28" s="7"/>
      <c r="AY28" s="42">
        <f t="shared" si="14"/>
        <v>8.8060992862347368E-3</v>
      </c>
      <c r="AZ28" s="47">
        <f>workers_and_wage_low!B16</f>
        <v>6342.5407561381298</v>
      </c>
      <c r="BA28" s="42">
        <f t="shared" si="15"/>
        <v>-5.6614803443016185E-2</v>
      </c>
      <c r="BB28" s="47">
        <f>'Central scenario'!BB28</f>
        <v>45.537953064162501</v>
      </c>
      <c r="BC28" s="47">
        <f>'Central scenario'!BC28</f>
        <v>11.4316580981135</v>
      </c>
      <c r="BD28" s="12">
        <f t="shared" si="18"/>
        <v>51.253782113219252</v>
      </c>
      <c r="BE28" s="42">
        <f t="shared" si="19"/>
        <v>-1.0707075533974653E-2</v>
      </c>
      <c r="BF28" s="7"/>
      <c r="BG28" s="7"/>
      <c r="BH28" s="7"/>
      <c r="BI28" s="42">
        <f t="shared" si="6"/>
        <v>1.4912251721640641E-2</v>
      </c>
      <c r="BJ28" s="7">
        <f t="shared" si="7"/>
        <v>2039</v>
      </c>
      <c r="BK28" s="42">
        <f>SUM(T110:T113)/AVERAGE(AG110:AG113)</f>
        <v>6.1132434927621188E-2</v>
      </c>
      <c r="BL28" s="42">
        <f>SUM(P110:P113)/AVERAGE(AG110:AG113)</f>
        <v>1.1010002366965697E-2</v>
      </c>
      <c r="BM28" s="42">
        <f>SUM(D110:D113)/AVERAGE(AG110:AG113)</f>
        <v>7.6388341908382396E-2</v>
      </c>
      <c r="BN28" s="42">
        <f>(SUM(H110:H113)+SUM(J110:J113))/AVERAGE(AG110:AG113)</f>
        <v>1.4665989632909096E-2</v>
      </c>
      <c r="BO28" s="44">
        <f t="shared" si="2"/>
        <v>-4.093189898063599E-2</v>
      </c>
      <c r="BP28" s="26">
        <f t="shared" si="3"/>
        <v>9.1054331541291486E-2</v>
      </c>
      <c r="BQ28" s="7"/>
      <c r="BR28" s="7"/>
    </row>
    <row r="29" spans="1:70" x14ac:dyDescent="0.2">
      <c r="A29" s="7">
        <f t="shared" si="16"/>
        <v>2018</v>
      </c>
      <c r="B29" s="7">
        <f t="shared" si="17"/>
        <v>4</v>
      </c>
      <c r="C29" s="9">
        <f>D29*0.081</f>
        <v>7380783.2093936354</v>
      </c>
      <c r="D29" s="56">
        <f>'Low pensions'!Q29</f>
        <v>91120780.362884387</v>
      </c>
      <c r="E29" s="9"/>
      <c r="F29" s="41">
        <f>'Low pensions'!I29</f>
        <v>16562280.448134745</v>
      </c>
      <c r="G29" s="56">
        <f>'Low pensions'!K29</f>
        <v>233179.582375956</v>
      </c>
      <c r="H29" s="56">
        <f>'Low pensions'!V29</f>
        <v>1282885.263133043</v>
      </c>
      <c r="I29" s="56">
        <f>'Low pensions'!M29</f>
        <v>7211.7396611130098</v>
      </c>
      <c r="J29" s="56">
        <f>'Low pensions'!W29</f>
        <v>39676.863808243768</v>
      </c>
      <c r="K29" s="9"/>
      <c r="L29" s="56">
        <f>'Low pensions'!N29</f>
        <v>3094461.0022649867</v>
      </c>
      <c r="M29" s="41"/>
      <c r="N29" s="56">
        <f>'Low pensions'!L29</f>
        <v>686795.87693508901</v>
      </c>
      <c r="O29" s="9"/>
      <c r="P29" s="56">
        <f>'Low pensions'!X29</f>
        <v>19835721.128554728</v>
      </c>
      <c r="Q29" s="41"/>
      <c r="R29" s="56">
        <f>'Low SIPA income'!G24</f>
        <v>19908195.596753992</v>
      </c>
      <c r="S29" s="41"/>
      <c r="T29" s="56">
        <f>'Low SIPA income'!J24</f>
        <v>76120711.341345191</v>
      </c>
      <c r="U29" s="9"/>
      <c r="V29" s="56">
        <f>'Low SIPA income'!F24</f>
        <v>111977.056282442</v>
      </c>
      <c r="W29" s="41"/>
      <c r="X29" s="56">
        <f>'Low SIPA income'!M24</f>
        <v>281254.08150035166</v>
      </c>
      <c r="Y29" s="9"/>
      <c r="Z29" s="9">
        <f t="shared" si="10"/>
        <v>-323364.67429838888</v>
      </c>
      <c r="AA29" s="9"/>
      <c r="AB29" s="9">
        <f t="shared" si="11"/>
        <v>-34835790.150093928</v>
      </c>
      <c r="AC29" s="23"/>
      <c r="AD29" s="9">
        <f>'Central scenario'!AD29</f>
        <v>16923844884.968002</v>
      </c>
      <c r="AE29" s="9">
        <f>'Central scenario'!AE29</f>
        <v>680214.58547724294</v>
      </c>
      <c r="AF29" s="9">
        <f>'Central scenario'!AF29</f>
        <v>298.099530285664</v>
      </c>
      <c r="AG29" s="9">
        <f t="shared" si="12"/>
        <v>4963232196.242033</v>
      </c>
      <c r="AH29" s="42">
        <f t="shared" si="20"/>
        <v>-2.067999823251248E-2</v>
      </c>
      <c r="AI29" s="42"/>
      <c r="AJ29" s="42">
        <f t="shared" si="13"/>
        <v>-7.0187709888870882E-3</v>
      </c>
      <c r="AK29" s="43">
        <f t="shared" si="5"/>
        <v>2040</v>
      </c>
      <c r="AL29" s="44">
        <f>SUM(AB114:AB117)/AVERAGE(AG114:AG117)</f>
        <v>-2.6568581284783361E-2</v>
      </c>
      <c r="AM29" s="9">
        <f>'Central scenario'!AM28</f>
        <v>3887732.6916358299</v>
      </c>
      <c r="AN29" s="44">
        <f>AM29/AVERAGE(AG114:AG117)</f>
        <v>5.6632321422348691E-4</v>
      </c>
      <c r="AO29" s="44">
        <f>'GDP evolution by scenario'!G113</f>
        <v>1.2051879048398773E-2</v>
      </c>
      <c r="AP29" s="44"/>
      <c r="AQ29" s="9">
        <f t="shared" si="8"/>
        <v>686665803.49899542</v>
      </c>
      <c r="AR29" s="9">
        <f t="shared" si="9"/>
        <v>384484304.17619318</v>
      </c>
      <c r="AS29" s="45">
        <f>AQ29/AG117</f>
        <v>9.9880531334821485E-2</v>
      </c>
      <c r="AT29" s="45">
        <f>AR29/AG117</f>
        <v>5.592603621052971E-2</v>
      </c>
      <c r="AV29" s="7"/>
      <c r="AW29" s="46">
        <f>workers_and_wage_low!C17</f>
        <v>11538154</v>
      </c>
      <c r="AX29" s="7"/>
      <c r="AY29" s="42">
        <f t="shared" si="14"/>
        <v>1.4037517857173854E-3</v>
      </c>
      <c r="AZ29" s="47">
        <f>workers_and_wage_low!B17</f>
        <v>6004.7550431554</v>
      </c>
      <c r="BA29" s="42">
        <f t="shared" si="15"/>
        <v>-5.3257160808281828E-2</v>
      </c>
      <c r="BB29" s="47">
        <f>'Central scenario'!BB29</f>
        <v>47.142882950167099</v>
      </c>
      <c r="BC29" s="47">
        <f>'Central scenario'!BC29</f>
        <v>12.2792900390599</v>
      </c>
      <c r="BD29" s="12">
        <f t="shared" si="18"/>
        <v>53.28252796969705</v>
      </c>
      <c r="BE29" s="42">
        <f t="shared" si="19"/>
        <v>3.9582363931627729E-2</v>
      </c>
      <c r="BF29" s="7"/>
      <c r="BG29" s="49">
        <f>(BB29-BB25)/BB25</f>
        <v>-0.10333682755921168</v>
      </c>
      <c r="BH29" s="7"/>
      <c r="BI29" s="42">
        <f t="shared" si="6"/>
        <v>1.2369170638660708E-2</v>
      </c>
      <c r="BJ29" s="7">
        <f t="shared" si="7"/>
        <v>2040</v>
      </c>
      <c r="BK29" s="42">
        <f>SUM(T114:T117)/AVERAGE(AG114:AG117)</f>
        <v>6.1086349900506882E-2</v>
      </c>
      <c r="BL29" s="42">
        <f>SUM(P114:P117)/AVERAGE(AG114:AG117)</f>
        <v>1.095175425722281E-2</v>
      </c>
      <c r="BM29" s="42">
        <f>SUM(D114:D117)/AVERAGE(AG114:AG117)</f>
        <v>7.6703176928067426E-2</v>
      </c>
      <c r="BN29" s="42">
        <f>(SUM(H114:H117)+SUM(J114:J117))/AVERAGE(AG114:AG117)</f>
        <v>1.531923960865823E-2</v>
      </c>
      <c r="BO29" s="44">
        <f t="shared" si="2"/>
        <v>-4.1887820893441591E-2</v>
      </c>
      <c r="BP29" s="26">
        <f t="shared" si="3"/>
        <v>9.202241653672566E-2</v>
      </c>
      <c r="BQ29" s="7"/>
      <c r="BR29" s="7"/>
    </row>
    <row r="30" spans="1:70" x14ac:dyDescent="0.2">
      <c r="A30" s="5">
        <f t="shared" si="16"/>
        <v>2019</v>
      </c>
      <c r="B30" s="5">
        <f t="shared" si="17"/>
        <v>1</v>
      </c>
      <c r="C30" s="6"/>
      <c r="D30" s="55">
        <f>'Low pensions'!Q30</f>
        <v>90608611.327175409</v>
      </c>
      <c r="E30" s="6"/>
      <c r="F30" s="8">
        <f>'Low pensions'!I30</f>
        <v>16469187.663234519</v>
      </c>
      <c r="G30" s="55">
        <f>'Low pensions'!K30</f>
        <v>189879.95484707999</v>
      </c>
      <c r="H30" s="55">
        <f>'Low pensions'!V30</f>
        <v>1044663.4879246803</v>
      </c>
      <c r="I30" s="55">
        <f>'Low pensions'!M30</f>
        <v>5872.5759231050033</v>
      </c>
      <c r="J30" s="55">
        <f>'Low pensions'!W30</f>
        <v>32309.180038904538</v>
      </c>
      <c r="K30" s="6"/>
      <c r="L30" s="55">
        <f>'Low pensions'!N30</f>
        <v>3259887.1306636832</v>
      </c>
      <c r="M30" s="8"/>
      <c r="N30" s="55">
        <f>'Low pensions'!L30</f>
        <v>683418.49991409667</v>
      </c>
      <c r="O30" s="6"/>
      <c r="P30" s="55">
        <f>'Low pensions'!X30</f>
        <v>20675536.763336115</v>
      </c>
      <c r="Q30" s="8"/>
      <c r="R30" s="55">
        <f>'Low SIPA income'!G25</f>
        <v>15686385.792556798</v>
      </c>
      <c r="S30" s="8"/>
      <c r="T30" s="55">
        <f>'Low SIPA income'!J25</f>
        <v>59978255.643564418</v>
      </c>
      <c r="U30" s="6"/>
      <c r="V30" s="55">
        <f>'Low SIPA income'!F25</f>
        <v>112983.375310289</v>
      </c>
      <c r="W30" s="8"/>
      <c r="X30" s="55">
        <f>'Low SIPA income'!M25</f>
        <v>283781.66476847703</v>
      </c>
      <c r="Y30" s="6"/>
      <c r="Z30" s="6">
        <f t="shared" si="10"/>
        <v>-4613124.1259452123</v>
      </c>
      <c r="AA30" s="6"/>
      <c r="AB30" s="6">
        <f t="shared" si="11"/>
        <v>-51305892.446947105</v>
      </c>
      <c r="AC30" s="23"/>
      <c r="AD30" s="6">
        <f>'Central scenario'!AD30</f>
        <v>17555535048.112301</v>
      </c>
      <c r="AE30" s="6">
        <f>'Central scenario'!AE30</f>
        <v>666284.64985939302</v>
      </c>
      <c r="AF30" s="6">
        <f>'Central scenario'!AF30</f>
        <v>326.494679287868</v>
      </c>
      <c r="AG30" s="6">
        <f t="shared" si="12"/>
        <v>4861591469.2917519</v>
      </c>
      <c r="AH30" s="35">
        <f t="shared" si="20"/>
        <v>-2.0478737026899438E-2</v>
      </c>
      <c r="AI30" s="35"/>
      <c r="AJ30" s="35">
        <f t="shared" si="13"/>
        <v>-1.0553312175862747E-2</v>
      </c>
      <c r="AK30" s="5"/>
      <c r="AL30" s="5"/>
      <c r="AM30" s="6"/>
      <c r="AN30" s="5"/>
      <c r="AO30" s="5"/>
      <c r="AP30" s="5"/>
      <c r="AQ30" s="5"/>
      <c r="AR30" s="50">
        <f>(AR29-AR6)/AR6</f>
        <v>-0.33786720649736846</v>
      </c>
      <c r="AS30" s="5"/>
      <c r="AT30" s="5"/>
      <c r="AU30" s="35">
        <f>AVERAGE(AH30:AH33)</f>
        <v>-1.5781212837801404E-2</v>
      </c>
      <c r="AV30" s="5"/>
      <c r="AW30" s="39">
        <f>workers_and_wage_low!C18</f>
        <v>11452346</v>
      </c>
      <c r="AX30" s="5"/>
      <c r="AY30" s="35">
        <f t="shared" si="14"/>
        <v>-7.4368915512828138E-3</v>
      </c>
      <c r="AZ30" s="40">
        <f>workers_and_wage_low!B18</f>
        <v>5984.6603814234404</v>
      </c>
      <c r="BA30" s="35">
        <f t="shared" si="15"/>
        <v>-3.346458196469608E-3</v>
      </c>
      <c r="BB30" s="40">
        <f>'Central scenario'!BB30</f>
        <v>48.222214917215901</v>
      </c>
      <c r="BC30" s="40">
        <f>'Central scenario'!BC30</f>
        <v>13.7158643683573</v>
      </c>
      <c r="BD30" s="11">
        <f t="shared" si="18"/>
        <v>55.080147101394552</v>
      </c>
      <c r="BE30" s="35">
        <f t="shared" si="19"/>
        <v>3.3737497078213829E-2</v>
      </c>
      <c r="BF30" s="5"/>
      <c r="BG30" s="5"/>
      <c r="BH30" s="5"/>
      <c r="BI30" s="35">
        <f t="shared" si="6"/>
        <v>1.412891390072347E-2</v>
      </c>
      <c r="BJ30" s="5"/>
      <c r="BK30" s="5"/>
      <c r="BL30" s="5"/>
      <c r="BM30" s="5"/>
      <c r="BN30" s="5"/>
      <c r="BO30" s="5"/>
      <c r="BP30" s="5"/>
      <c r="BQ30" s="5"/>
      <c r="BR30" s="5"/>
    </row>
    <row r="31" spans="1:70" x14ac:dyDescent="0.2">
      <c r="A31" s="7">
        <f t="shared" si="16"/>
        <v>2019</v>
      </c>
      <c r="B31" s="7">
        <f t="shared" si="17"/>
        <v>2</v>
      </c>
      <c r="C31" s="9"/>
      <c r="D31" s="56">
        <f>'Low pensions'!Q31</f>
        <v>91497971.767047763</v>
      </c>
      <c r="E31" s="9"/>
      <c r="F31" s="41">
        <f>'Low pensions'!I31</f>
        <v>16630839.450740963</v>
      </c>
      <c r="G31" s="56">
        <f>'Low pensions'!K31</f>
        <v>192650.576848536</v>
      </c>
      <c r="H31" s="56">
        <f>'Low pensions'!V31</f>
        <v>1059906.6327110422</v>
      </c>
      <c r="I31" s="56">
        <f>'Low pensions'!M31</f>
        <v>5958.265263356996</v>
      </c>
      <c r="J31" s="56">
        <f>'Low pensions'!W31</f>
        <v>32780.617506528251</v>
      </c>
      <c r="K31" s="9"/>
      <c r="L31" s="56">
        <f>'Low pensions'!N31</f>
        <v>2983997.2260328452</v>
      </c>
      <c r="M31" s="41"/>
      <c r="N31" s="56">
        <f>'Low pensions'!L31</f>
        <v>691159.76099774241</v>
      </c>
      <c r="O31" s="9"/>
      <c r="P31" s="56">
        <f>'Low pensions'!X31</f>
        <v>19286532.871122211</v>
      </c>
      <c r="Q31" s="41"/>
      <c r="R31" s="56">
        <f>'Low SIPA income'!G26</f>
        <v>18580016.697737679</v>
      </c>
      <c r="S31" s="41"/>
      <c r="T31" s="56">
        <f>'Low SIPA income'!J26</f>
        <v>71042304.205433235</v>
      </c>
      <c r="U31" s="9"/>
      <c r="V31" s="56">
        <f>'Low SIPA income'!F26</f>
        <v>111109.744064318</v>
      </c>
      <c r="W31" s="41"/>
      <c r="X31" s="56">
        <f>'Low SIPA income'!M26</f>
        <v>279075.64326147514</v>
      </c>
      <c r="Y31" s="9"/>
      <c r="Z31" s="9">
        <f t="shared" si="10"/>
        <v>-1614869.9959695563</v>
      </c>
      <c r="AA31" s="9"/>
      <c r="AB31" s="9">
        <f t="shared" si="11"/>
        <v>-39742200.43273674</v>
      </c>
      <c r="AC31" s="23"/>
      <c r="AD31" s="9">
        <f>'Central scenario'!AD31</f>
        <v>21502303713.3428</v>
      </c>
      <c r="AE31" s="9">
        <f>'Central scenario'!AE31</f>
        <v>751809.18971574702</v>
      </c>
      <c r="AF31" s="9">
        <f>'Central scenario'!AF31</f>
        <v>364.36140508200901</v>
      </c>
      <c r="AG31" s="9">
        <f t="shared" si="12"/>
        <v>5485627117.5218229</v>
      </c>
      <c r="AH31" s="42">
        <f t="shared" si="20"/>
        <v>0.12836036350890298</v>
      </c>
      <c r="AI31" s="42"/>
      <c r="AJ31" s="42">
        <f t="shared" si="13"/>
        <v>-7.2447870738050826E-3</v>
      </c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46">
        <f>workers_and_wage_low!C19</f>
        <v>11487356</v>
      </c>
      <c r="AX31" s="7"/>
      <c r="AY31" s="42">
        <f t="shared" si="14"/>
        <v>3.0570155669414809E-3</v>
      </c>
      <c r="AZ31" s="47">
        <f>workers_and_wage_low!B19</f>
        <v>5957.7182370473902</v>
      </c>
      <c r="BA31" s="42">
        <f t="shared" si="15"/>
        <v>-4.5018668828191877E-3</v>
      </c>
      <c r="BB31" s="47">
        <f>'Central scenario'!BB31</f>
        <v>42.462046450139397</v>
      </c>
      <c r="BC31" s="47">
        <f>'Central scenario'!BC31</f>
        <v>11.539586945375801</v>
      </c>
      <c r="BD31" s="12">
        <f t="shared" si="18"/>
        <v>48.231839922827298</v>
      </c>
      <c r="BE31" s="42">
        <f t="shared" si="19"/>
        <v>-0.12433349471562805</v>
      </c>
      <c r="BF31" s="7"/>
      <c r="BG31" s="7"/>
      <c r="BH31" s="7"/>
      <c r="BI31" s="42">
        <f t="shared" si="6"/>
        <v>1.2517317729653145E-2</v>
      </c>
      <c r="BJ31" s="7"/>
      <c r="BK31" s="7"/>
      <c r="BL31" s="7"/>
      <c r="BM31" s="7"/>
      <c r="BN31" s="7"/>
      <c r="BO31" s="7"/>
      <c r="BP31" s="7"/>
      <c r="BQ31" s="7"/>
      <c r="BR31" s="7"/>
    </row>
    <row r="32" spans="1:70" x14ac:dyDescent="0.2">
      <c r="A32" s="7">
        <f t="shared" si="16"/>
        <v>2019</v>
      </c>
      <c r="B32" s="7">
        <f t="shared" si="17"/>
        <v>3</v>
      </c>
      <c r="C32" s="9">
        <f>SUM(C26:C29)</f>
        <v>32578807.740606476</v>
      </c>
      <c r="D32" s="56">
        <f>'Low pensions'!Q32</f>
        <v>93561963.311568603</v>
      </c>
      <c r="E32" s="9"/>
      <c r="F32" s="41">
        <f>'Low pensions'!I32</f>
        <v>17005994.345889963</v>
      </c>
      <c r="G32" s="56">
        <f>'Low pensions'!K32</f>
        <v>183887.34693403699</v>
      </c>
      <c r="H32" s="56">
        <f>'Low pensions'!V32</f>
        <v>1011693.9272922996</v>
      </c>
      <c r="I32" s="56">
        <f>'Low pensions'!M32</f>
        <v>5687.2375340420112</v>
      </c>
      <c r="J32" s="56">
        <f>'Low pensions'!W32</f>
        <v>31289.502905945374</v>
      </c>
      <c r="K32" s="9"/>
      <c r="L32" s="56">
        <f>'Low pensions'!N32</f>
        <v>2899259.2346299156</v>
      </c>
      <c r="M32" s="41"/>
      <c r="N32" s="56">
        <f>'Low pensions'!L32</f>
        <v>708229.88978285715</v>
      </c>
      <c r="O32" s="9"/>
      <c r="P32" s="56">
        <f>'Low pensions'!X32</f>
        <v>18940741.84297841</v>
      </c>
      <c r="Q32" s="41"/>
      <c r="R32" s="56">
        <f>'Low SIPA income'!G27</f>
        <v>15920829.024889918</v>
      </c>
      <c r="S32" s="41"/>
      <c r="T32" s="56">
        <f>'Low SIPA income'!J27</f>
        <v>60874669.661983602</v>
      </c>
      <c r="U32" s="9"/>
      <c r="V32" s="56">
        <f>'Low SIPA income'!F27</f>
        <v>109390.258252687</v>
      </c>
      <c r="W32" s="41"/>
      <c r="X32" s="56">
        <f>'Low SIPA income'!M27</f>
        <v>274756.79064417339</v>
      </c>
      <c r="Y32" s="9"/>
      <c r="Z32" s="9">
        <f t="shared" si="10"/>
        <v>-4583264.1871601306</v>
      </c>
      <c r="AA32" s="9"/>
      <c r="AB32" s="9">
        <f t="shared" si="11"/>
        <v>-51628035.492563412</v>
      </c>
      <c r="AC32" s="23"/>
      <c r="AD32" s="9"/>
      <c r="AE32" s="9"/>
      <c r="AF32" s="9">
        <f>'Central scenario'!AF32</f>
        <v>397.614228233701</v>
      </c>
      <c r="AG32" s="9">
        <f>'Central scenario'!AG32</f>
        <v>5069990023.3072987</v>
      </c>
      <c r="AH32" s="42">
        <f t="shared" si="20"/>
        <v>-7.5768382595113704E-2</v>
      </c>
      <c r="AI32" s="42"/>
      <c r="AJ32" s="42">
        <f t="shared" si="13"/>
        <v>-1.0183064513978072E-2</v>
      </c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9"/>
      <c r="AV32" s="7"/>
      <c r="AW32" s="46">
        <f>workers_and_wage_low!C20</f>
        <v>11445931</v>
      </c>
      <c r="AX32" s="7"/>
      <c r="AY32" s="42">
        <f t="shared" si="14"/>
        <v>-3.6061387842424315E-3</v>
      </c>
      <c r="AZ32" s="47">
        <f>workers_and_wage_low!B20</f>
        <v>5902.6327097858002</v>
      </c>
      <c r="BA32" s="42">
        <f t="shared" si="15"/>
        <v>-9.2460779563301437E-3</v>
      </c>
      <c r="BB32" s="12">
        <f>(4*45-(BB30+BB31))/2</f>
        <v>44.657869316322348</v>
      </c>
      <c r="BC32" s="12">
        <f>(4*12-(BC30+BC31))/2</f>
        <v>11.37227434313345</v>
      </c>
      <c r="BD32" s="12">
        <f t="shared" si="18"/>
        <v>50.344006487889075</v>
      </c>
      <c r="BE32" s="42">
        <f t="shared" si="19"/>
        <v>4.3791955033051222E-2</v>
      </c>
      <c r="BF32" s="7"/>
      <c r="BG32" s="7"/>
      <c r="BH32" s="7"/>
      <c r="BI32" s="42">
        <f t="shared" si="6"/>
        <v>1.4725761784378896E-2</v>
      </c>
      <c r="BJ32" s="7"/>
      <c r="BK32" s="7"/>
      <c r="BL32" s="7"/>
      <c r="BM32" s="7"/>
      <c r="BN32" s="7"/>
      <c r="BO32" s="7"/>
      <c r="BP32" s="7"/>
      <c r="BQ32" s="7"/>
      <c r="BR32" s="7"/>
    </row>
    <row r="33" spans="1:70" x14ac:dyDescent="0.2">
      <c r="A33" s="7">
        <f t="shared" si="16"/>
        <v>2019</v>
      </c>
      <c r="B33" s="7">
        <f t="shared" si="17"/>
        <v>4</v>
      </c>
      <c r="C33" s="9"/>
      <c r="D33" s="56">
        <f>'Low pensions'!Q33</f>
        <v>92355677.974830449</v>
      </c>
      <c r="E33" s="9"/>
      <c r="F33" s="41">
        <f>'Low pensions'!I33</f>
        <v>16786737.706866842</v>
      </c>
      <c r="G33" s="56">
        <f>'Low pensions'!K33</f>
        <v>190348.194341756</v>
      </c>
      <c r="H33" s="56">
        <f>'Low pensions'!V33</f>
        <v>1047239.6034714017</v>
      </c>
      <c r="I33" s="56">
        <f>'Low pensions'!M33</f>
        <v>5887.0575569620123</v>
      </c>
      <c r="J33" s="56">
        <f>'Low pensions'!W33</f>
        <v>32388.853715613041</v>
      </c>
      <c r="K33" s="9"/>
      <c r="L33" s="56">
        <f>'Low pensions'!N33</f>
        <v>3099283.3893298707</v>
      </c>
      <c r="M33" s="41"/>
      <c r="N33" s="56">
        <f>'Low pensions'!L33</f>
        <v>700169.59902264178</v>
      </c>
      <c r="O33" s="9"/>
      <c r="P33" s="56">
        <f>'Low pensions'!X33</f>
        <v>19934322.79099885</v>
      </c>
      <c r="Q33" s="41"/>
      <c r="R33" s="56">
        <f>'Low SIPA income'!G28</f>
        <v>18340752.416047744</v>
      </c>
      <c r="S33" s="41"/>
      <c r="T33" s="56">
        <f>'Low SIPA income'!J28</f>
        <v>70127456.486949727</v>
      </c>
      <c r="U33" s="9"/>
      <c r="V33" s="56">
        <f>'Low SIPA income'!F28</f>
        <v>108953.57795993501</v>
      </c>
      <c r="W33" s="41"/>
      <c r="X33" s="56">
        <f>'Low SIPA income'!M28</f>
        <v>273659.97564720229</v>
      </c>
      <c r="Y33" s="9"/>
      <c r="Z33" s="9">
        <f t="shared" si="10"/>
        <v>-2136484.7012116741</v>
      </c>
      <c r="AA33" s="9"/>
      <c r="AB33" s="9">
        <f t="shared" si="11"/>
        <v>-42162544.278879568</v>
      </c>
      <c r="AC33" s="23"/>
      <c r="AD33" s="9"/>
      <c r="AE33" s="9"/>
      <c r="AF33" s="9"/>
      <c r="AG33" s="9">
        <f>'Central scenario'!AG33</f>
        <v>4587133830.6113644</v>
      </c>
      <c r="AH33" s="42">
        <f t="shared" si="20"/>
        <v>-9.5238095238095455E-2</v>
      </c>
      <c r="AI33" s="42">
        <f>(AG33-AG29)/AG29</f>
        <v>-7.5776903187289066E-2</v>
      </c>
      <c r="AJ33" s="42">
        <f t="shared" si="13"/>
        <v>-9.1914790010083972E-3</v>
      </c>
      <c r="AK33" s="7"/>
      <c r="AL33" s="7"/>
      <c r="AM33" s="7"/>
      <c r="AN33" s="7"/>
      <c r="AO33" s="7"/>
      <c r="AP33" s="7"/>
      <c r="AQ33" s="7"/>
      <c r="AR33" s="7"/>
      <c r="AS33" s="7"/>
      <c r="AT33" s="7"/>
      <c r="AV33" s="7"/>
      <c r="AW33" s="46">
        <f>workers_and_wage_low!C21</f>
        <v>11546507</v>
      </c>
      <c r="AX33" s="7"/>
      <c r="AY33" s="42">
        <f t="shared" si="14"/>
        <v>8.7870527963168753E-3</v>
      </c>
      <c r="AZ33" s="47">
        <f>workers_and_wage_low!B21</f>
        <v>5855.1155803566398</v>
      </c>
      <c r="BA33" s="42">
        <f t="shared" si="15"/>
        <v>-8.0501585928569007E-3</v>
      </c>
      <c r="BB33" s="12">
        <f>BB32</f>
        <v>44.657869316322348</v>
      </c>
      <c r="BC33" s="12">
        <f>BC32</f>
        <v>11.37227434313345</v>
      </c>
      <c r="BD33" s="12">
        <f t="shared" si="18"/>
        <v>50.344006487889075</v>
      </c>
      <c r="BE33" s="42">
        <f t="shared" si="19"/>
        <v>0</v>
      </c>
      <c r="BF33" s="7"/>
      <c r="BG33" s="49">
        <f>(BB33-BB29)/BB29</f>
        <v>-5.2712381558666282E-2</v>
      </c>
      <c r="BH33" s="7"/>
      <c r="BI33" s="42">
        <f t="shared" si="6"/>
        <v>1.2942632979526487E-2</v>
      </c>
      <c r="BJ33" s="7"/>
      <c r="BK33" s="7"/>
      <c r="BL33" s="7"/>
      <c r="BM33" s="7"/>
      <c r="BN33" s="7"/>
      <c r="BO33" s="7"/>
      <c r="BP33" s="7"/>
      <c r="BQ33" s="7"/>
      <c r="BR33" s="7"/>
    </row>
    <row r="34" spans="1:70" x14ac:dyDescent="0.2">
      <c r="A34" s="5">
        <f t="shared" si="16"/>
        <v>2020</v>
      </c>
      <c r="B34" s="5">
        <f t="shared" si="17"/>
        <v>1</v>
      </c>
      <c r="C34" s="6"/>
      <c r="D34" s="55">
        <f>'Low pensions'!Q34</f>
        <v>102608640.07054347</v>
      </c>
      <c r="E34" s="6"/>
      <c r="F34" s="8">
        <f>'Low pensions'!I34</f>
        <v>18650334.934382059</v>
      </c>
      <c r="G34" s="55">
        <f>'Low pensions'!K34</f>
        <v>210837.34448046199</v>
      </c>
      <c r="H34" s="55">
        <f>'Low pensions'!V34</f>
        <v>1159964.8622579388</v>
      </c>
      <c r="I34" s="55">
        <f>'Low pensions'!M34</f>
        <v>6520.7426127979998</v>
      </c>
      <c r="J34" s="55">
        <f>'Low pensions'!W34</f>
        <v>35875.201925504392</v>
      </c>
      <c r="K34" s="6"/>
      <c r="L34" s="55">
        <f>'Low pensions'!N34</f>
        <v>3411531.2786598648</v>
      </c>
      <c r="M34" s="8"/>
      <c r="N34" s="55">
        <f>'Low pensions'!L34</f>
        <v>692447.81541060284</v>
      </c>
      <c r="O34" s="6"/>
      <c r="P34" s="55">
        <f>'Low pensions'!X34</f>
        <v>21512095.597957261</v>
      </c>
      <c r="Q34" s="8"/>
      <c r="R34" s="55">
        <f>'Low SIPA income'!G29</f>
        <v>16142134.703877496</v>
      </c>
      <c r="S34" s="8"/>
      <c r="T34" s="55">
        <f>'Low SIPA income'!J29</f>
        <v>61720851.106532022</v>
      </c>
      <c r="U34" s="6"/>
      <c r="V34" s="55">
        <f>'Low SIPA income'!F29</f>
        <v>110895.328749862</v>
      </c>
      <c r="W34" s="8"/>
      <c r="X34" s="55">
        <f>'Low SIPA income'!M29</f>
        <v>278537.09380921215</v>
      </c>
      <c r="Y34" s="6"/>
      <c r="Z34" s="6">
        <f t="shared" si="10"/>
        <v>-6501283.9958251696</v>
      </c>
      <c r="AA34" s="6"/>
      <c r="AB34" s="6">
        <f t="shared" si="11"/>
        <v>-62399884.561968707</v>
      </c>
      <c r="AC34" s="23"/>
      <c r="AD34" s="6"/>
      <c r="AE34" s="6"/>
      <c r="AF34" s="6"/>
      <c r="AG34" s="6">
        <f>'Central scenario'!AG34</f>
        <v>4751031329.6739063</v>
      </c>
      <c r="AH34" s="35">
        <f t="shared" si="20"/>
        <v>3.5729827189432149E-2</v>
      </c>
      <c r="AI34" s="35"/>
      <c r="AJ34" s="35">
        <f t="shared" si="13"/>
        <v>-1.3133966129044999E-2</v>
      </c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35">
        <f>AVERAGE(AH34:AH37)</f>
        <v>3.4429477961901704E-2</v>
      </c>
      <c r="AV34" s="5"/>
      <c r="AW34" s="39">
        <f>workers_and_wage_low!C22</f>
        <v>11515334</v>
      </c>
      <c r="AX34" s="5"/>
      <c r="AY34" s="35">
        <f t="shared" si="14"/>
        <v>-2.6997775171313716E-3</v>
      </c>
      <c r="AZ34" s="40">
        <f>workers_and_wage_low!B22</f>
        <v>5889.1545050334698</v>
      </c>
      <c r="BA34" s="35">
        <f t="shared" si="15"/>
        <v>5.8135359088430927E-3</v>
      </c>
      <c r="BB34" s="11">
        <f>BB33*3/4+BB37*1/4</f>
        <v>44.993401987241761</v>
      </c>
      <c r="BC34" s="11">
        <f t="shared" ref="BC34:BC53" si="21">$BC$33</f>
        <v>11.37227434313345</v>
      </c>
      <c r="BD34" s="11">
        <f t="shared" si="18"/>
        <v>50.679539158808488</v>
      </c>
      <c r="BE34" s="35">
        <f t="shared" si="19"/>
        <v>6.6647987382595364E-3</v>
      </c>
      <c r="BF34" s="5"/>
      <c r="BG34" s="5"/>
      <c r="BH34" s="5"/>
      <c r="BI34" s="35">
        <f t="shared" si="6"/>
        <v>1.5197567531818092E-2</v>
      </c>
      <c r="BJ34" s="5"/>
      <c r="BK34" s="5"/>
      <c r="BL34" s="5"/>
      <c r="BM34" s="5"/>
      <c r="BN34" s="5"/>
      <c r="BO34" s="5"/>
      <c r="BP34" s="5"/>
      <c r="BQ34" s="5"/>
      <c r="BR34" s="5"/>
    </row>
    <row r="35" spans="1:70" x14ac:dyDescent="0.2">
      <c r="A35" s="7">
        <f t="shared" si="16"/>
        <v>2020</v>
      </c>
      <c r="B35" s="7">
        <f t="shared" si="17"/>
        <v>2</v>
      </c>
      <c r="C35" s="9"/>
      <c r="D35" s="56">
        <f>'Low pensions'!Q35</f>
        <v>91705385.799773932</v>
      </c>
      <c r="E35" s="9"/>
      <c r="F35" s="41">
        <f>'Low pensions'!I35</f>
        <v>16668539.406395521</v>
      </c>
      <c r="G35" s="56">
        <f>'Low pensions'!K35</f>
        <v>237196.82032327799</v>
      </c>
      <c r="H35" s="56">
        <f>'Low pensions'!V35</f>
        <v>1304986.9210423918</v>
      </c>
      <c r="I35" s="56">
        <f>'Low pensions'!M35</f>
        <v>7335.9841337100079</v>
      </c>
      <c r="J35" s="56">
        <f>'Low pensions'!W35</f>
        <v>40360.420238426574</v>
      </c>
      <c r="K35" s="9"/>
      <c r="L35" s="56">
        <f>'Low pensions'!N35</f>
        <v>2533858.3173709111</v>
      </c>
      <c r="M35" s="41"/>
      <c r="N35" s="56">
        <f>'Low pensions'!L35</f>
        <v>697641.06544389203</v>
      </c>
      <c r="O35" s="9"/>
      <c r="P35" s="56">
        <f>'Low pensions'!X35</f>
        <v>16986418.158973835</v>
      </c>
      <c r="Q35" s="41"/>
      <c r="R35" s="56">
        <f>'Low SIPA income'!G30</f>
        <v>19016964.320749294</v>
      </c>
      <c r="S35" s="41"/>
      <c r="T35" s="56">
        <f>'Low SIPA income'!J30</f>
        <v>72713011.313011453</v>
      </c>
      <c r="U35" s="9"/>
      <c r="V35" s="56">
        <f>'Low SIPA income'!F30</f>
        <v>111735.512325865</v>
      </c>
      <c r="W35" s="41"/>
      <c r="X35" s="56">
        <f>'Low SIPA income'!M30</f>
        <v>280647.39272048522</v>
      </c>
      <c r="Y35" s="9"/>
      <c r="Z35" s="9">
        <f t="shared" si="10"/>
        <v>-771338.95613516495</v>
      </c>
      <c r="AA35" s="9"/>
      <c r="AB35" s="9">
        <f t="shared" si="11"/>
        <v>-35978792.645736314</v>
      </c>
      <c r="AC35" s="23"/>
      <c r="AD35" s="9"/>
      <c r="AE35" s="9"/>
      <c r="AF35" s="9"/>
      <c r="AG35" s="9">
        <f>'Central scenario'!AG35</f>
        <v>4876058469.928483</v>
      </c>
      <c r="AH35" s="42">
        <f t="shared" si="20"/>
        <v>2.6315789473684254E-2</v>
      </c>
      <c r="AI35" s="42"/>
      <c r="AJ35" s="42">
        <f t="shared" si="13"/>
        <v>-7.3786630877426731E-3</v>
      </c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46">
        <f>workers_and_wage_low!C23</f>
        <v>11577895</v>
      </c>
      <c r="AX35" s="7"/>
      <c r="AY35" s="42">
        <f t="shared" si="14"/>
        <v>5.4328428511061858E-3</v>
      </c>
      <c r="AZ35" s="47">
        <f>workers_and_wage_low!B23</f>
        <v>5895.4641844798798</v>
      </c>
      <c r="BA35" s="42">
        <f t="shared" si="15"/>
        <v>1.0714066749339111E-3</v>
      </c>
      <c r="BB35" s="12">
        <f>BB33*2/4+BB37*2/4</f>
        <v>45.328934658161174</v>
      </c>
      <c r="BC35" s="12">
        <f t="shared" si="21"/>
        <v>11.37227434313345</v>
      </c>
      <c r="BD35" s="12">
        <f t="shared" si="18"/>
        <v>51.015071829727901</v>
      </c>
      <c r="BE35" s="42">
        <f t="shared" si="19"/>
        <v>6.6206732833145043E-3</v>
      </c>
      <c r="BF35" s="7"/>
      <c r="BG35" s="7">
        <f>AVERAGE(BF34:BF37)</f>
        <v>100</v>
      </c>
      <c r="BH35" s="7"/>
      <c r="BI35" s="42">
        <f t="shared" si="6"/>
        <v>1.3214896426166177E-2</v>
      </c>
      <c r="BJ35" s="7"/>
      <c r="BK35" s="7"/>
      <c r="BL35" s="7"/>
      <c r="BM35" s="7"/>
      <c r="BN35" s="7"/>
      <c r="BO35" s="7"/>
      <c r="BP35" s="7"/>
      <c r="BQ35" s="7"/>
      <c r="BR35" s="7"/>
    </row>
    <row r="36" spans="1:70" x14ac:dyDescent="0.2">
      <c r="A36" s="7">
        <f t="shared" si="16"/>
        <v>2020</v>
      </c>
      <c r="B36" s="7">
        <f t="shared" si="17"/>
        <v>3</v>
      </c>
      <c r="C36" s="9"/>
      <c r="D36" s="56">
        <f>'Low pensions'!Q36</f>
        <v>90571871.244006872</v>
      </c>
      <c r="E36" s="9"/>
      <c r="F36" s="41">
        <f>'Low pensions'!I36</f>
        <v>16462509.718218004</v>
      </c>
      <c r="G36" s="56">
        <f>'Low pensions'!K36</f>
        <v>257395.44202559601</v>
      </c>
      <c r="H36" s="56">
        <f>'Low pensions'!V36</f>
        <v>1416113.7780916691</v>
      </c>
      <c r="I36" s="56">
        <f>'Low pensions'!M36</f>
        <v>7960.6837739869661</v>
      </c>
      <c r="J36" s="56">
        <f>'Low pensions'!W36</f>
        <v>43797.333343038343</v>
      </c>
      <c r="K36" s="9"/>
      <c r="L36" s="56">
        <f>'Low pensions'!N36</f>
        <v>2503086.0535381949</v>
      </c>
      <c r="M36" s="41"/>
      <c r="N36" s="56">
        <f>'Low pensions'!L36</f>
        <v>690539.55327201448</v>
      </c>
      <c r="O36" s="9"/>
      <c r="P36" s="56">
        <f>'Low pensions'!X36</f>
        <v>16787670.310975846</v>
      </c>
      <c r="Q36" s="41"/>
      <c r="R36" s="56">
        <f>'Low SIPA income'!G31</f>
        <v>16582797.453624016</v>
      </c>
      <c r="S36" s="41"/>
      <c r="T36" s="56">
        <f>'Low SIPA income'!J31</f>
        <v>63405763.323177487</v>
      </c>
      <c r="U36" s="9"/>
      <c r="V36" s="56">
        <f>'Low SIPA income'!F31</f>
        <v>112811.77132169199</v>
      </c>
      <c r="W36" s="41"/>
      <c r="X36" s="56">
        <f>'Low SIPA income'!M31</f>
        <v>283350.64502392407</v>
      </c>
      <c r="Y36" s="9"/>
      <c r="Z36" s="9">
        <f t="shared" si="10"/>
        <v>-2960526.1000825074</v>
      </c>
      <c r="AA36" s="9"/>
      <c r="AB36" s="9">
        <f t="shared" si="11"/>
        <v>-43953778.231805235</v>
      </c>
      <c r="AC36" s="23"/>
      <c r="AD36" s="9"/>
      <c r="AE36" s="9"/>
      <c r="AF36" s="9"/>
      <c r="AG36" s="9">
        <f>'Central scenario'!AG36</f>
        <v>5126112750.4376354</v>
      </c>
      <c r="AH36" s="42">
        <f t="shared" si="20"/>
        <v>5.1282051282051169E-2</v>
      </c>
      <c r="AI36" s="42"/>
      <c r="AJ36" s="42">
        <f t="shared" si="13"/>
        <v>-8.5744852623564974E-3</v>
      </c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9"/>
      <c r="AV36" s="7"/>
      <c r="AW36" s="46">
        <f>workers_and_wage_low!C24</f>
        <v>11566653</v>
      </c>
      <c r="AX36" s="7"/>
      <c r="AY36" s="42">
        <f t="shared" si="14"/>
        <v>-9.7098824959113898E-4</v>
      </c>
      <c r="AZ36" s="47">
        <f>workers_and_wage_low!B24</f>
        <v>5906.9180759127603</v>
      </c>
      <c r="BA36" s="42">
        <f t="shared" si="15"/>
        <v>1.9428311451765673E-3</v>
      </c>
      <c r="BB36" s="12">
        <f>BB33*1/4+BB37*3/4</f>
        <v>45.664467329080587</v>
      </c>
      <c r="BC36" s="12">
        <f t="shared" si="21"/>
        <v>11.37227434313345</v>
      </c>
      <c r="BD36" s="12">
        <f t="shared" si="18"/>
        <v>51.350604500647314</v>
      </c>
      <c r="BE36" s="42">
        <f t="shared" si="19"/>
        <v>6.577128265923271E-3</v>
      </c>
      <c r="BF36" s="7"/>
      <c r="BG36" s="7"/>
      <c r="BH36" s="7"/>
      <c r="BI36" s="42">
        <f t="shared" si="6"/>
        <v>1.5249408824704333E-2</v>
      </c>
      <c r="BJ36" s="7"/>
      <c r="BK36" s="7"/>
      <c r="BL36" s="7"/>
      <c r="BM36" s="7"/>
      <c r="BN36" s="7"/>
      <c r="BO36" s="7"/>
      <c r="BP36" s="7"/>
      <c r="BQ36" s="7"/>
      <c r="BR36" s="7"/>
    </row>
    <row r="37" spans="1:70" x14ac:dyDescent="0.2">
      <c r="A37" s="7">
        <f t="shared" si="16"/>
        <v>2020</v>
      </c>
      <c r="B37" s="7">
        <f t="shared" si="17"/>
        <v>4</v>
      </c>
      <c r="C37" s="9"/>
      <c r="D37" s="56">
        <f>'Low pensions'!Q37</f>
        <v>92065897.483531773</v>
      </c>
      <c r="E37" s="9"/>
      <c r="F37" s="41">
        <f>'Low pensions'!I37</f>
        <v>16734066.672376428</v>
      </c>
      <c r="G37" s="56">
        <f>'Low pensions'!K37</f>
        <v>283217.18624237197</v>
      </c>
      <c r="H37" s="56">
        <f>'Low pensions'!V37</f>
        <v>1558177.3961261292</v>
      </c>
      <c r="I37" s="56">
        <f>'Low pensions'!M37</f>
        <v>8759.2944198680343</v>
      </c>
      <c r="J37" s="56">
        <f>'Low pensions'!W37</f>
        <v>48191.053488441721</v>
      </c>
      <c r="K37" s="9"/>
      <c r="L37" s="56">
        <f>'Low pensions'!N37</f>
        <v>2459961.1946990644</v>
      </c>
      <c r="M37" s="41"/>
      <c r="N37" s="56">
        <f>'Low pensions'!L37</f>
        <v>703614.05793213099</v>
      </c>
      <c r="O37" s="9"/>
      <c r="P37" s="56">
        <f>'Low pensions'!X37</f>
        <v>16635827.280490076</v>
      </c>
      <c r="Q37" s="41"/>
      <c r="R37" s="56">
        <f>'Low SIPA income'!G32</f>
        <v>19404007.223212209</v>
      </c>
      <c r="S37" s="41"/>
      <c r="T37" s="56">
        <f>'Low SIPA income'!J32</f>
        <v>74192903.396244735</v>
      </c>
      <c r="U37" s="9"/>
      <c r="V37" s="56">
        <f>'Low SIPA income'!F32</f>
        <v>115665.706632701</v>
      </c>
      <c r="W37" s="41"/>
      <c r="X37" s="56">
        <f>'Low SIPA income'!M32</f>
        <v>290518.90771279705</v>
      </c>
      <c r="Y37" s="9"/>
      <c r="Z37" s="9">
        <f t="shared" si="10"/>
        <v>-377968.99516271427</v>
      </c>
      <c r="AA37" s="9"/>
      <c r="AB37" s="9">
        <f t="shared" si="11"/>
        <v>-34508821.367777117</v>
      </c>
      <c r="AC37" s="23"/>
      <c r="AD37" s="9"/>
      <c r="AE37" s="9"/>
      <c r="AF37" s="9"/>
      <c r="AG37" s="9">
        <f>'Central scenario'!AG37</f>
        <v>5251139890.6922131</v>
      </c>
      <c r="AH37" s="42">
        <f t="shared" si="20"/>
        <v>2.4390243902439251E-2</v>
      </c>
      <c r="AI37" s="42">
        <f>(AG37-AG33)/AG33</f>
        <v>0.14475401952516201</v>
      </c>
      <c r="AJ37" s="42">
        <f t="shared" si="13"/>
        <v>-6.5716819749831708E-3</v>
      </c>
      <c r="AK37" s="7"/>
      <c r="AL37" s="7"/>
      <c r="AM37" s="7"/>
      <c r="AN37" s="7"/>
      <c r="AO37" s="7"/>
      <c r="AP37" s="7"/>
      <c r="AQ37" s="7"/>
      <c r="AR37" s="7"/>
      <c r="AS37" s="7"/>
      <c r="AT37" s="7"/>
      <c r="AV37" s="7"/>
      <c r="AW37" s="46">
        <f>workers_and_wage_low!C25</f>
        <v>11616948</v>
      </c>
      <c r="AX37" s="7"/>
      <c r="AY37" s="42">
        <f t="shared" si="14"/>
        <v>4.3482760311042441E-3</v>
      </c>
      <c r="AZ37" s="47">
        <f>workers_and_wage_low!B25</f>
        <v>5914.9433327874603</v>
      </c>
      <c r="BA37" s="42">
        <f t="shared" si="15"/>
        <v>1.3586199726428351E-3</v>
      </c>
      <c r="BB37" s="52">
        <v>46</v>
      </c>
      <c r="BC37" s="12">
        <f t="shared" si="21"/>
        <v>11.37227434313345</v>
      </c>
      <c r="BD37" s="12">
        <f t="shared" si="18"/>
        <v>51.686137171566727</v>
      </c>
      <c r="BE37" s="42">
        <f t="shared" si="19"/>
        <v>6.5341523080839625E-3</v>
      </c>
      <c r="BF37" s="7">
        <v>100</v>
      </c>
      <c r="BG37" s="49">
        <f>(BB37-BB33)/BB33</f>
        <v>3.0053621102498651E-2</v>
      </c>
      <c r="BH37" s="7"/>
      <c r="BI37" s="42">
        <f t="shared" si="6"/>
        <v>1.3304251868035469E-2</v>
      </c>
      <c r="BJ37" s="7"/>
      <c r="BK37" s="7"/>
      <c r="BL37" s="7"/>
      <c r="BM37" s="7"/>
      <c r="BN37" s="7"/>
      <c r="BO37" s="7"/>
      <c r="BP37" s="7"/>
      <c r="BQ37" s="7"/>
      <c r="BR37" s="7"/>
    </row>
    <row r="38" spans="1:70" x14ac:dyDescent="0.2">
      <c r="A38" s="5">
        <f t="shared" si="16"/>
        <v>2021</v>
      </c>
      <c r="B38" s="5">
        <f t="shared" si="17"/>
        <v>1</v>
      </c>
      <c r="C38" s="6"/>
      <c r="D38" s="55">
        <f>'Low pensions'!Q38</f>
        <v>97786011.348821044</v>
      </c>
      <c r="E38" s="6"/>
      <c r="F38" s="8">
        <f>'Low pensions'!I38</f>
        <v>17773765.077667676</v>
      </c>
      <c r="G38" s="55">
        <f>'Low pensions'!K38</f>
        <v>323721.241249624</v>
      </c>
      <c r="H38" s="55">
        <f>'Low pensions'!V38</f>
        <v>1781018.7561477593</v>
      </c>
      <c r="I38" s="55">
        <f>'Low pensions'!M38</f>
        <v>10011.997152050026</v>
      </c>
      <c r="J38" s="55">
        <f>'Low pensions'!W38</f>
        <v>55083.054313847118</v>
      </c>
      <c r="K38" s="6"/>
      <c r="L38" s="55">
        <f>'Low pensions'!N38</f>
        <v>3011236.8013581913</v>
      </c>
      <c r="M38" s="8"/>
      <c r="N38" s="55">
        <f>'Low pensions'!L38</f>
        <v>750476.94255014881</v>
      </c>
      <c r="O38" s="6"/>
      <c r="P38" s="55">
        <f>'Low pensions'!X38</f>
        <v>19754224.788480278</v>
      </c>
      <c r="Q38" s="8"/>
      <c r="R38" s="55">
        <f>'Low SIPA income'!G33</f>
        <v>17098565.219348717</v>
      </c>
      <c r="S38" s="8"/>
      <c r="T38" s="55">
        <f>'Low SIPA income'!J33</f>
        <v>65377846.077894948</v>
      </c>
      <c r="U38" s="6"/>
      <c r="V38" s="55">
        <f>'Low SIPA income'!F33</f>
        <v>117095.96275325899</v>
      </c>
      <c r="W38" s="8"/>
      <c r="X38" s="55">
        <f>'Low SIPA income'!M33</f>
        <v>294111.29873335711</v>
      </c>
      <c r="Y38" s="6"/>
      <c r="Z38" s="6">
        <f t="shared" si="10"/>
        <v>-4319817.6394740399</v>
      </c>
      <c r="AA38" s="6"/>
      <c r="AB38" s="6">
        <f t="shared" si="11"/>
        <v>-52162390.05940637</v>
      </c>
      <c r="AC38" s="23"/>
      <c r="AD38" s="6"/>
      <c r="AE38" s="6"/>
      <c r="AF38" s="6"/>
      <c r="AG38" s="6">
        <f t="shared" ref="AG38:AG69" si="22">BF38/100*$AG$37</f>
        <v>5222991657.6309967</v>
      </c>
      <c r="AH38" s="35">
        <f t="shared" si="20"/>
        <v>-5.3604043402290342E-3</v>
      </c>
      <c r="AI38" s="35"/>
      <c r="AJ38" s="35">
        <f t="shared" si="13"/>
        <v>-9.9870712952786472E-3</v>
      </c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35">
        <f>AVERAGE(AH38:AH41)</f>
        <v>-6.6069663624801133E-3</v>
      </c>
      <c r="AV38" s="5"/>
      <c r="AW38" s="39">
        <f>workers_and_wage_low!C26</f>
        <v>11618526</v>
      </c>
      <c r="AX38" s="5"/>
      <c r="AY38" s="35">
        <f t="shared" si="14"/>
        <v>1.3583602164699368E-4</v>
      </c>
      <c r="AZ38" s="40">
        <f>workers_and_wage_low!B26</f>
        <v>5969.0526963740404</v>
      </c>
      <c r="BA38" s="35">
        <f t="shared" si="15"/>
        <v>9.1479090402512061E-3</v>
      </c>
      <c r="BB38" s="11">
        <f>BB37*3/4+BB41*1/4</f>
        <v>46.75</v>
      </c>
      <c r="BC38" s="11">
        <f t="shared" si="21"/>
        <v>11.37227434313345</v>
      </c>
      <c r="BD38" s="11">
        <f t="shared" si="18"/>
        <v>52.436137171566727</v>
      </c>
      <c r="BE38" s="35">
        <f t="shared" si="19"/>
        <v>1.4510660711796852E-2</v>
      </c>
      <c r="BF38" s="5">
        <f t="shared" ref="BF38:BF69" si="23">BF37*(1+AY38)*(1+BA38)*(1-BE38)</f>
        <v>99.463959565977092</v>
      </c>
      <c r="BG38" s="5"/>
      <c r="BH38" s="5"/>
      <c r="BI38" s="35">
        <f t="shared" si="6"/>
        <v>1.53751078049427E-2</v>
      </c>
      <c r="BJ38" s="5"/>
      <c r="BK38" s="5"/>
      <c r="BL38" s="5"/>
      <c r="BM38" s="5"/>
      <c r="BN38" s="5"/>
      <c r="BO38" s="5"/>
      <c r="BP38" s="5"/>
      <c r="BQ38" s="5"/>
      <c r="BR38" s="5"/>
    </row>
    <row r="39" spans="1:70" x14ac:dyDescent="0.2">
      <c r="A39" s="7">
        <f t="shared" si="16"/>
        <v>2021</v>
      </c>
      <c r="B39" s="7">
        <f t="shared" si="17"/>
        <v>2</v>
      </c>
      <c r="C39" s="9"/>
      <c r="D39" s="56">
        <f>'Low pensions'!Q39</f>
        <v>97207790.156782538</v>
      </c>
      <c r="E39" s="9"/>
      <c r="F39" s="41">
        <f>'Low pensions'!I39</f>
        <v>17668666.53148032</v>
      </c>
      <c r="G39" s="56">
        <f>'Low pensions'!K39</f>
        <v>333252.85813448299</v>
      </c>
      <c r="H39" s="56">
        <f>'Low pensions'!V39</f>
        <v>1833458.8999666143</v>
      </c>
      <c r="I39" s="56">
        <f>'Low pensions'!M39</f>
        <v>10306.789426840027</v>
      </c>
      <c r="J39" s="56">
        <f>'Low pensions'!W39</f>
        <v>56704.914431959056</v>
      </c>
      <c r="K39" s="9"/>
      <c r="L39" s="56">
        <f>'Low pensions'!N39</f>
        <v>2731889.3115534447</v>
      </c>
      <c r="M39" s="41"/>
      <c r="N39" s="56">
        <f>'Low pensions'!L39</f>
        <v>748296.65016605705</v>
      </c>
      <c r="O39" s="9"/>
      <c r="P39" s="56">
        <f>'Low pensions'!X39</f>
        <v>18292694.01051433</v>
      </c>
      <c r="Q39" s="41"/>
      <c r="R39" s="56">
        <f>'Low SIPA income'!G34</f>
        <v>19872665.453910202</v>
      </c>
      <c r="S39" s="41"/>
      <c r="T39" s="56">
        <f>'Low SIPA income'!J34</f>
        <v>75984858.760724083</v>
      </c>
      <c r="U39" s="9"/>
      <c r="V39" s="56">
        <f>'Low SIPA income'!F34</f>
        <v>112815.624363854</v>
      </c>
      <c r="W39" s="41"/>
      <c r="X39" s="56">
        <f>'Low SIPA income'!M34</f>
        <v>283360.32275497215</v>
      </c>
      <c r="Y39" s="9"/>
      <c r="Z39" s="9">
        <f t="shared" si="10"/>
        <v>-1163371.4149257652</v>
      </c>
      <c r="AA39" s="9"/>
      <c r="AB39" s="9">
        <f t="shared" si="11"/>
        <v>-39515625.406572789</v>
      </c>
      <c r="AC39" s="23"/>
      <c r="AD39" s="9"/>
      <c r="AE39" s="9"/>
      <c r="AF39" s="9"/>
      <c r="AG39" s="9">
        <f t="shared" si="22"/>
        <v>5159995107.4401398</v>
      </c>
      <c r="AH39" s="42">
        <f t="shared" si="20"/>
        <v>-1.2061392075711339E-2</v>
      </c>
      <c r="AI39" s="42"/>
      <c r="AJ39" s="42">
        <f t="shared" si="13"/>
        <v>-7.6580742004184552E-3</v>
      </c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46">
        <f>workers_and_wage_low!C27</f>
        <v>11624911</v>
      </c>
      <c r="AX39" s="7"/>
      <c r="AY39" s="42">
        <f t="shared" si="14"/>
        <v>5.4955335986681955E-4</v>
      </c>
      <c r="AZ39" s="47">
        <f>workers_and_wage_low!B27</f>
        <v>5979.3418462792197</v>
      </c>
      <c r="BA39" s="42">
        <f t="shared" si="15"/>
        <v>1.7237492159232527E-3</v>
      </c>
      <c r="BB39" s="12">
        <f>BB37*2/4+BB41*2/4</f>
        <v>47.5</v>
      </c>
      <c r="BC39" s="12">
        <f t="shared" si="21"/>
        <v>11.37227434313345</v>
      </c>
      <c r="BD39" s="12">
        <f t="shared" si="18"/>
        <v>53.186137171566727</v>
      </c>
      <c r="BE39" s="42">
        <f t="shared" si="19"/>
        <v>1.4303113090616604E-2</v>
      </c>
      <c r="BF39" s="7">
        <f t="shared" si="23"/>
        <v>98.264285752249151</v>
      </c>
      <c r="BG39" s="7"/>
      <c r="BH39" s="7"/>
      <c r="BI39" s="42">
        <f t="shared" ref="BI39:BI70" si="24">T46/AG46</f>
        <v>1.3473161647078253E-2</v>
      </c>
      <c r="BJ39" s="7"/>
      <c r="BK39" s="7"/>
      <c r="BL39" s="7"/>
      <c r="BM39" s="7"/>
      <c r="BN39" s="7"/>
      <c r="BO39" s="7"/>
      <c r="BP39" s="7"/>
      <c r="BQ39" s="7"/>
      <c r="BR39" s="7"/>
    </row>
    <row r="40" spans="1:70" x14ac:dyDescent="0.2">
      <c r="A40" s="7">
        <f t="shared" si="16"/>
        <v>2021</v>
      </c>
      <c r="B40" s="7">
        <f t="shared" si="17"/>
        <v>3</v>
      </c>
      <c r="C40" s="9"/>
      <c r="D40" s="56">
        <f>'Low pensions'!Q40</f>
        <v>97828346.356150329</v>
      </c>
      <c r="E40" s="9"/>
      <c r="F40" s="41">
        <f>'Low pensions'!I40</f>
        <v>17781459.966378782</v>
      </c>
      <c r="G40" s="56">
        <f>'Low pensions'!K40</f>
        <v>363324.46218081901</v>
      </c>
      <c r="H40" s="56">
        <f>'Low pensions'!V40</f>
        <v>1998903.992871946</v>
      </c>
      <c r="I40" s="56">
        <f>'Low pensions'!M40</f>
        <v>11236.839036520978</v>
      </c>
      <c r="J40" s="56">
        <f>'Low pensions'!W40</f>
        <v>61821.772975425425</v>
      </c>
      <c r="K40" s="9"/>
      <c r="L40" s="56">
        <f>'Low pensions'!N40</f>
        <v>2623962.5626999247</v>
      </c>
      <c r="M40" s="41"/>
      <c r="N40" s="56">
        <f>'Low pensions'!L40</f>
        <v>755213.71465277672</v>
      </c>
      <c r="O40" s="9"/>
      <c r="P40" s="56">
        <f>'Low pensions'!X40</f>
        <v>17770717.245593198</v>
      </c>
      <c r="Q40" s="41"/>
      <c r="R40" s="56">
        <f>'Low SIPA income'!G35</f>
        <v>17368578.628346257</v>
      </c>
      <c r="S40" s="41"/>
      <c r="T40" s="56">
        <f>'Low SIPA income'!J35</f>
        <v>66410265.749718219</v>
      </c>
      <c r="U40" s="9"/>
      <c r="V40" s="56">
        <f>'Low SIPA income'!F35</f>
        <v>118695.719873636</v>
      </c>
      <c r="W40" s="41"/>
      <c r="X40" s="56">
        <f>'Low SIPA income'!M35</f>
        <v>298129.4273969683</v>
      </c>
      <c r="Y40" s="9"/>
      <c r="Z40" s="9">
        <f t="shared" si="10"/>
        <v>-3673361.8955115899</v>
      </c>
      <c r="AA40" s="9"/>
      <c r="AB40" s="9">
        <f t="shared" si="11"/>
        <v>-49188797.852025308</v>
      </c>
      <c r="AC40" s="23"/>
      <c r="AD40" s="9"/>
      <c r="AE40" s="9"/>
      <c r="AF40" s="9"/>
      <c r="AG40" s="9">
        <f t="shared" si="22"/>
        <v>5131124853.4027328</v>
      </c>
      <c r="AH40" s="42">
        <f t="shared" si="20"/>
        <v>-5.5950157773946765E-3</v>
      </c>
      <c r="AI40" s="42"/>
      <c r="AJ40" s="42">
        <f t="shared" si="13"/>
        <v>-9.5863576228135423E-3</v>
      </c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9"/>
      <c r="AV40" s="7"/>
      <c r="AW40" s="46">
        <f>workers_and_wage_low!C28</f>
        <v>11711597</v>
      </c>
      <c r="AX40" s="7"/>
      <c r="AY40" s="42">
        <f t="shared" si="14"/>
        <v>7.4569173045711916E-3</v>
      </c>
      <c r="AZ40" s="47">
        <f>workers_and_wage_low!B28</f>
        <v>5986.2927433295999</v>
      </c>
      <c r="BA40" s="42">
        <f t="shared" si="15"/>
        <v>1.1624853084299931E-3</v>
      </c>
      <c r="BB40" s="12">
        <f>BB37*1/4+BB41*3/4</f>
        <v>48.25</v>
      </c>
      <c r="BC40" s="12">
        <f t="shared" si="21"/>
        <v>11.37227434313345</v>
      </c>
      <c r="BD40" s="12">
        <f t="shared" si="18"/>
        <v>53.936137171566727</v>
      </c>
      <c r="BE40" s="42">
        <f t="shared" si="19"/>
        <v>1.4101418901332652E-2</v>
      </c>
      <c r="BF40" s="7">
        <f t="shared" si="23"/>
        <v>97.714495523110884</v>
      </c>
      <c r="BG40" s="7"/>
      <c r="BH40" s="7"/>
      <c r="BI40" s="42">
        <f t="shared" si="24"/>
        <v>1.5899611649740426E-2</v>
      </c>
      <c r="BJ40" s="7"/>
      <c r="BK40" s="7"/>
      <c r="BL40" s="7"/>
      <c r="BM40" s="7"/>
      <c r="BN40" s="7"/>
      <c r="BO40" s="7"/>
      <c r="BP40" s="7"/>
      <c r="BQ40" s="7"/>
      <c r="BR40" s="7"/>
    </row>
    <row r="41" spans="1:70" x14ac:dyDescent="0.2">
      <c r="A41" s="7">
        <f t="shared" si="16"/>
        <v>2021</v>
      </c>
      <c r="B41" s="7">
        <f t="shared" si="17"/>
        <v>4</v>
      </c>
      <c r="C41" s="9"/>
      <c r="D41" s="56">
        <f>'Low pensions'!Q41</f>
        <v>98974579.039708838</v>
      </c>
      <c r="E41" s="9"/>
      <c r="F41" s="41">
        <f>'Low pensions'!I41</f>
        <v>17989801.324829731</v>
      </c>
      <c r="G41" s="56">
        <f>'Low pensions'!K41</f>
        <v>375069.87283846701</v>
      </c>
      <c r="H41" s="56">
        <f>'Low pensions'!V41</f>
        <v>2063523.7768539251</v>
      </c>
      <c r="I41" s="56">
        <f>'Low pensions'!M41</f>
        <v>11600.099159951962</v>
      </c>
      <c r="J41" s="56">
        <f>'Low pensions'!W41</f>
        <v>63820.322995478775</v>
      </c>
      <c r="K41" s="9"/>
      <c r="L41" s="56">
        <f>'Low pensions'!N41</f>
        <v>2663491.1281825784</v>
      </c>
      <c r="M41" s="41"/>
      <c r="N41" s="56">
        <f>'Low pensions'!L41</f>
        <v>765509.16307074949</v>
      </c>
      <c r="O41" s="9"/>
      <c r="P41" s="56">
        <f>'Low pensions'!X41</f>
        <v>18032473.679340895</v>
      </c>
      <c r="Q41" s="41"/>
      <c r="R41" s="56">
        <f>'Low SIPA income'!G36</f>
        <v>20325057.886932172</v>
      </c>
      <c r="S41" s="41"/>
      <c r="T41" s="56">
        <f>'Low SIPA income'!J36</f>
        <v>77714620.438004822</v>
      </c>
      <c r="U41" s="9"/>
      <c r="V41" s="56">
        <f>'Low SIPA income'!F36</f>
        <v>114687.41764689601</v>
      </c>
      <c r="W41" s="41"/>
      <c r="X41" s="56">
        <f>'Low SIPA income'!M36</f>
        <v>288061.72782899585</v>
      </c>
      <c r="Y41" s="9"/>
      <c r="Z41" s="9">
        <f t="shared" si="10"/>
        <v>-979056.31150399148</v>
      </c>
      <c r="AA41" s="9"/>
      <c r="AB41" s="9">
        <f t="shared" si="11"/>
        <v>-39292432.281044915</v>
      </c>
      <c r="AC41" s="23"/>
      <c r="AD41" s="9"/>
      <c r="AE41" s="9"/>
      <c r="AF41" s="9"/>
      <c r="AG41" s="9">
        <f t="shared" si="22"/>
        <v>5113622313.2615871</v>
      </c>
      <c r="AH41" s="42">
        <f t="shared" si="20"/>
        <v>-3.411053256585406E-3</v>
      </c>
      <c r="AI41" s="42">
        <f>(AG41-AG37)/AG37</f>
        <v>-2.618813825058813E-2</v>
      </c>
      <c r="AJ41" s="42">
        <f t="shared" si="13"/>
        <v>-7.6838745362841025E-3</v>
      </c>
      <c r="AK41" s="7"/>
      <c r="AL41" s="7"/>
      <c r="AM41" s="7"/>
      <c r="AN41" s="7"/>
      <c r="AO41" s="7"/>
      <c r="AP41" s="7"/>
      <c r="AQ41" s="7"/>
      <c r="AR41" s="7"/>
      <c r="AS41" s="7"/>
      <c r="AT41" s="7"/>
      <c r="AV41" s="7"/>
      <c r="AW41" s="46">
        <f>workers_and_wage_low!C29</f>
        <v>11780722</v>
      </c>
      <c r="AX41" s="7"/>
      <c r="AY41" s="42">
        <f t="shared" si="14"/>
        <v>5.9022693489197073E-3</v>
      </c>
      <c r="AZ41" s="47">
        <f>workers_and_wage_low!B29</f>
        <v>6014.5012504162396</v>
      </c>
      <c r="BA41" s="42">
        <f t="shared" si="15"/>
        <v>4.7121830314883623E-3</v>
      </c>
      <c r="BB41" s="52">
        <v>49</v>
      </c>
      <c r="BC41" s="12">
        <f t="shared" si="21"/>
        <v>11.37227434313345</v>
      </c>
      <c r="BD41" s="12">
        <f t="shared" si="18"/>
        <v>54.686137171566727</v>
      </c>
      <c r="BE41" s="42">
        <f t="shared" si="19"/>
        <v>1.3905333962169086E-2</v>
      </c>
      <c r="BF41" s="7">
        <f t="shared" si="23"/>
        <v>97.381186174941192</v>
      </c>
      <c r="BG41" s="49">
        <f>(BB41-BB37)/BB37</f>
        <v>6.5217391304347824E-2</v>
      </c>
      <c r="BH41" s="7"/>
      <c r="BI41" s="42">
        <f t="shared" si="24"/>
        <v>1.3805476269170457E-2</v>
      </c>
      <c r="BJ41" s="7"/>
      <c r="BK41" s="7"/>
      <c r="BL41" s="7"/>
      <c r="BM41" s="7"/>
      <c r="BN41" s="7"/>
      <c r="BO41" s="7"/>
      <c r="BP41" s="7"/>
      <c r="BQ41" s="7"/>
      <c r="BR41" s="7"/>
    </row>
    <row r="42" spans="1:70" x14ac:dyDescent="0.2">
      <c r="A42" s="5">
        <f t="shared" si="16"/>
        <v>2022</v>
      </c>
      <c r="B42" s="5">
        <f t="shared" si="17"/>
        <v>1</v>
      </c>
      <c r="C42" s="6"/>
      <c r="D42" s="55">
        <f>'Low pensions'!Q42</f>
        <v>99856001.014244616</v>
      </c>
      <c r="E42" s="6"/>
      <c r="F42" s="8">
        <f>'Low pensions'!I42</f>
        <v>18150010.202291854</v>
      </c>
      <c r="G42" s="55">
        <f>'Low pensions'!K42</f>
        <v>397712.47614954697</v>
      </c>
      <c r="H42" s="55">
        <f>'Low pensions'!V42</f>
        <v>2188096.6996234581</v>
      </c>
      <c r="I42" s="55">
        <f>'Low pensions'!M42</f>
        <v>12300.385860295035</v>
      </c>
      <c r="J42" s="55">
        <f>'Low pensions'!W42</f>
        <v>67673.093802786083</v>
      </c>
      <c r="K42" s="6"/>
      <c r="L42" s="55">
        <f>'Low pensions'!N42</f>
        <v>3169397.6914012828</v>
      </c>
      <c r="M42" s="8"/>
      <c r="N42" s="55">
        <f>'Low pensions'!L42</f>
        <v>774479.77545430511</v>
      </c>
      <c r="O42" s="6"/>
      <c r="P42" s="55">
        <f>'Low pensions'!X42</f>
        <v>20706978.903437145</v>
      </c>
      <c r="Q42" s="8"/>
      <c r="R42" s="55">
        <f>'Low SIPA income'!G37</f>
        <v>17783174.873202514</v>
      </c>
      <c r="S42" s="8"/>
      <c r="T42" s="55">
        <f>'Low SIPA income'!J37</f>
        <v>67995510.425687477</v>
      </c>
      <c r="U42" s="6"/>
      <c r="V42" s="55">
        <f>'Low SIPA income'!F37</f>
        <v>117374.912621981</v>
      </c>
      <c r="W42" s="8"/>
      <c r="X42" s="55">
        <f>'Low SIPA income'!M37</f>
        <v>294811.94038010808</v>
      </c>
      <c r="Y42" s="6"/>
      <c r="Z42" s="6">
        <f t="shared" si="10"/>
        <v>-4193337.8833229449</v>
      </c>
      <c r="AA42" s="6"/>
      <c r="AB42" s="6">
        <f t="shared" si="11"/>
        <v>-52567469.491994284</v>
      </c>
      <c r="AC42" s="23"/>
      <c r="AD42" s="6"/>
      <c r="AE42" s="6"/>
      <c r="AF42" s="6"/>
      <c r="AG42" s="6">
        <f t="shared" si="22"/>
        <v>5145368395.8546095</v>
      </c>
      <c r="AH42" s="35">
        <f t="shared" si="20"/>
        <v>6.2081398758552344E-3</v>
      </c>
      <c r="AI42" s="35"/>
      <c r="AJ42" s="35">
        <f t="shared" si="13"/>
        <v>-1.0216463710226369E-2</v>
      </c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35">
        <f>AVERAGE(AH42:AH45)</f>
        <v>6.4392856113926148E-3</v>
      </c>
      <c r="AV42" s="5"/>
      <c r="AW42" s="39">
        <f>workers_and_wage_low!C30</f>
        <v>11768481</v>
      </c>
      <c r="AX42" s="5"/>
      <c r="AY42" s="35">
        <f t="shared" si="14"/>
        <v>-1.0390704406741794E-3</v>
      </c>
      <c r="AZ42" s="40">
        <f>workers_and_wage_low!B30</f>
        <v>6058.13494440868</v>
      </c>
      <c r="BA42" s="35">
        <f t="shared" si="15"/>
        <v>7.2547485112619556E-3</v>
      </c>
      <c r="BB42" s="11">
        <f>BB41*3/4+BB45*1/4</f>
        <v>49</v>
      </c>
      <c r="BC42" s="11">
        <f t="shared" si="21"/>
        <v>11.37227434313345</v>
      </c>
      <c r="BD42" s="11">
        <f t="shared" si="18"/>
        <v>54.686137171566727</v>
      </c>
      <c r="BE42" s="35">
        <f t="shared" si="19"/>
        <v>0</v>
      </c>
      <c r="BF42" s="5">
        <f t="shared" si="23"/>
        <v>97.985742199991918</v>
      </c>
      <c r="BG42" s="5"/>
      <c r="BH42" s="5"/>
      <c r="BI42" s="35">
        <f t="shared" si="24"/>
        <v>1.593171287812226E-2</v>
      </c>
      <c r="BJ42" s="5"/>
      <c r="BK42" s="5"/>
      <c r="BL42" s="5"/>
      <c r="BM42" s="5"/>
      <c r="BN42" s="5"/>
      <c r="BO42" s="5"/>
      <c r="BP42" s="5"/>
      <c r="BQ42" s="5"/>
      <c r="BR42" s="5"/>
    </row>
    <row r="43" spans="1:70" x14ac:dyDescent="0.2">
      <c r="A43" s="7">
        <f t="shared" si="16"/>
        <v>2022</v>
      </c>
      <c r="B43" s="7">
        <f t="shared" si="17"/>
        <v>2</v>
      </c>
      <c r="C43" s="9"/>
      <c r="D43" s="56">
        <f>'Low pensions'!Q43</f>
        <v>101248747.82821207</v>
      </c>
      <c r="E43" s="9"/>
      <c r="F43" s="41">
        <f>'Low pensions'!I43</f>
        <v>18403158.421987861</v>
      </c>
      <c r="G43" s="56">
        <f>'Low pensions'!K43</f>
        <v>428594.24128433701</v>
      </c>
      <c r="H43" s="56">
        <f>'Low pensions'!V43</f>
        <v>2357999.0598012982</v>
      </c>
      <c r="I43" s="56">
        <f>'Low pensions'!M43</f>
        <v>13255.491998484998</v>
      </c>
      <c r="J43" s="56">
        <f>'Low pensions'!W43</f>
        <v>72927.805973237933</v>
      </c>
      <c r="K43" s="9"/>
      <c r="L43" s="56">
        <f>'Low pensions'!N43</f>
        <v>2725074.8105574013</v>
      </c>
      <c r="M43" s="41"/>
      <c r="N43" s="56">
        <f>'Low pensions'!L43</f>
        <v>787153.91538821533</v>
      </c>
      <c r="O43" s="9"/>
      <c r="P43" s="56">
        <f>'Low pensions'!X43</f>
        <v>18471114.740956668</v>
      </c>
      <c r="Q43" s="41"/>
      <c r="R43" s="56">
        <f>'Low SIPA income'!G38</f>
        <v>20633877.597233038</v>
      </c>
      <c r="S43" s="41"/>
      <c r="T43" s="56">
        <f>'Low SIPA income'!J38</f>
        <v>78895419.366269469</v>
      </c>
      <c r="U43" s="9"/>
      <c r="V43" s="56">
        <f>'Low SIPA income'!F38</f>
        <v>118900.60121722901</v>
      </c>
      <c r="W43" s="41"/>
      <c r="X43" s="56">
        <f>'Low SIPA income'!M38</f>
        <v>298644.03026314353</v>
      </c>
      <c r="Y43" s="9"/>
      <c r="Z43" s="9">
        <f t="shared" si="10"/>
        <v>-1162608.9494832121</v>
      </c>
      <c r="AA43" s="9"/>
      <c r="AB43" s="9">
        <f t="shared" si="11"/>
        <v>-40824443.202899262</v>
      </c>
      <c r="AC43" s="23"/>
      <c r="AD43" s="9"/>
      <c r="AE43" s="9"/>
      <c r="AF43" s="9"/>
      <c r="AG43" s="9">
        <f t="shared" si="22"/>
        <v>5173670682.791151</v>
      </c>
      <c r="AH43" s="42">
        <f t="shared" si="20"/>
        <v>5.5005365523182808E-3</v>
      </c>
      <c r="AI43" s="42"/>
      <c r="AJ43" s="42">
        <f t="shared" si="13"/>
        <v>-7.8908082299654261E-3</v>
      </c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46">
        <f>workers_and_wage_low!C31</f>
        <v>11802809</v>
      </c>
      <c r="AX43" s="7"/>
      <c r="AY43" s="42">
        <f t="shared" si="14"/>
        <v>2.9169439964257071E-3</v>
      </c>
      <c r="AZ43" s="47">
        <f>workers_and_wage_low!B31</f>
        <v>6073.7411742551903</v>
      </c>
      <c r="BA43" s="42">
        <f t="shared" si="15"/>
        <v>2.5760782798201019E-3</v>
      </c>
      <c r="BB43" s="12">
        <f>BB41*2/4+BB45*2/4</f>
        <v>49</v>
      </c>
      <c r="BC43" s="12">
        <f t="shared" si="21"/>
        <v>11.37227434313345</v>
      </c>
      <c r="BD43" s="12">
        <f t="shared" si="18"/>
        <v>54.686137171566727</v>
      </c>
      <c r="BE43" s="42">
        <f t="shared" si="19"/>
        <v>0</v>
      </c>
      <c r="BF43" s="7">
        <f t="shared" si="23"/>
        <v>98.524716356569016</v>
      </c>
      <c r="BG43" s="7"/>
      <c r="BH43" s="7"/>
      <c r="BI43" s="42">
        <f t="shared" si="24"/>
        <v>1.3830631854596265E-2</v>
      </c>
      <c r="BJ43" s="7"/>
      <c r="BK43" s="7"/>
      <c r="BL43" s="7"/>
      <c r="BM43" s="7"/>
      <c r="BN43" s="7"/>
      <c r="BO43" s="7"/>
      <c r="BP43" s="7"/>
      <c r="BQ43" s="7"/>
      <c r="BR43" s="7"/>
    </row>
    <row r="44" spans="1:70" x14ac:dyDescent="0.2">
      <c r="A44" s="7">
        <f t="shared" si="16"/>
        <v>2022</v>
      </c>
      <c r="B44" s="7">
        <f t="shared" si="17"/>
        <v>3</v>
      </c>
      <c r="C44" s="9"/>
      <c r="D44" s="56">
        <f>'Low pensions'!Q44</f>
        <v>102247889.15542476</v>
      </c>
      <c r="E44" s="9"/>
      <c r="F44" s="41">
        <f>'Low pensions'!I44</f>
        <v>18584764.185269479</v>
      </c>
      <c r="G44" s="56">
        <f>'Low pensions'!K44</f>
        <v>459925.89283632103</v>
      </c>
      <c r="H44" s="56">
        <f>'Low pensions'!V44</f>
        <v>2530376.5623085867</v>
      </c>
      <c r="I44" s="56">
        <f>'Low pensions'!M44</f>
        <v>14224.512149576971</v>
      </c>
      <c r="J44" s="56">
        <f>'Low pensions'!W44</f>
        <v>78259.068937379139</v>
      </c>
      <c r="K44" s="9"/>
      <c r="L44" s="56">
        <f>'Low pensions'!N44</f>
        <v>2672794.0733626201</v>
      </c>
      <c r="M44" s="41"/>
      <c r="N44" s="56">
        <f>'Low pensions'!L44</f>
        <v>796533.03777622432</v>
      </c>
      <c r="O44" s="9"/>
      <c r="P44" s="56">
        <f>'Low pensions'!X44</f>
        <v>18251430.911211118</v>
      </c>
      <c r="Q44" s="41"/>
      <c r="R44" s="56">
        <f>'Low SIPA income'!G39</f>
        <v>18189568.758500341</v>
      </c>
      <c r="S44" s="41"/>
      <c r="T44" s="56">
        <f>'Low SIPA income'!J39</f>
        <v>69549392.668972626</v>
      </c>
      <c r="U44" s="9"/>
      <c r="V44" s="56">
        <f>'Low SIPA income'!F39</f>
        <v>119396.831971516</v>
      </c>
      <c r="W44" s="41"/>
      <c r="X44" s="56">
        <f>'Low SIPA income'!M39</f>
        <v>299890.41885061614</v>
      </c>
      <c r="Y44" s="9"/>
      <c r="Z44" s="9">
        <f t="shared" si="10"/>
        <v>-3745125.7059364673</v>
      </c>
      <c r="AA44" s="9"/>
      <c r="AB44" s="9">
        <f t="shared" si="11"/>
        <v>-50949927.397663251</v>
      </c>
      <c r="AC44" s="23"/>
      <c r="AD44" s="9"/>
      <c r="AE44" s="9"/>
      <c r="AF44" s="9"/>
      <c r="AG44" s="9">
        <f t="shared" si="22"/>
        <v>5227606434.3062096</v>
      </c>
      <c r="AH44" s="42">
        <f t="shared" si="20"/>
        <v>1.0425045354058107E-2</v>
      </c>
      <c r="AI44" s="42"/>
      <c r="AJ44" s="42">
        <f t="shared" si="13"/>
        <v>-9.7463204313362108E-3</v>
      </c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9"/>
      <c r="AV44" s="7"/>
      <c r="AW44" s="46">
        <f>workers_and_wage_low!C32</f>
        <v>11839013</v>
      </c>
      <c r="AX44" s="7"/>
      <c r="AY44" s="42">
        <f t="shared" si="14"/>
        <v>3.0674053947666187E-3</v>
      </c>
      <c r="AZ44" s="47">
        <f>workers_and_wage_low!B32</f>
        <v>6118.2929167659604</v>
      </c>
      <c r="BA44" s="42">
        <f t="shared" si="15"/>
        <v>7.3351401109437858E-3</v>
      </c>
      <c r="BB44" s="12">
        <f>BB41*1/4+BB45*3/4</f>
        <v>49</v>
      </c>
      <c r="BC44" s="12">
        <f t="shared" si="21"/>
        <v>11.37227434313345</v>
      </c>
      <c r="BD44" s="12">
        <f t="shared" si="18"/>
        <v>54.686137171566727</v>
      </c>
      <c r="BE44" s="42">
        <f t="shared" si="19"/>
        <v>0</v>
      </c>
      <c r="BF44" s="7">
        <f t="shared" si="23"/>
        <v>99.551840993081953</v>
      </c>
      <c r="BG44" s="7"/>
      <c r="BH44" s="7"/>
      <c r="BI44" s="42">
        <f t="shared" si="24"/>
        <v>1.5945589573857999E-2</v>
      </c>
      <c r="BJ44" s="7"/>
      <c r="BK44" s="7"/>
      <c r="BL44" s="7"/>
      <c r="BM44" s="7"/>
      <c r="BN44" s="7"/>
      <c r="BO44" s="7"/>
      <c r="BP44" s="7"/>
      <c r="BQ44" s="7"/>
      <c r="BR44" s="7"/>
    </row>
    <row r="45" spans="1:70" x14ac:dyDescent="0.2">
      <c r="A45" s="7">
        <f t="shared" si="16"/>
        <v>2022</v>
      </c>
      <c r="B45" s="7">
        <f t="shared" si="17"/>
        <v>4</v>
      </c>
      <c r="C45" s="9"/>
      <c r="D45" s="56">
        <f>'Low pensions'!Q45</f>
        <v>103416542.70025732</v>
      </c>
      <c r="E45" s="9"/>
      <c r="F45" s="41">
        <f>'Low pensions'!I45</f>
        <v>18797180.800657768</v>
      </c>
      <c r="G45" s="56">
        <f>'Low pensions'!K45</f>
        <v>491792.81048253097</v>
      </c>
      <c r="H45" s="56">
        <f>'Low pensions'!V45</f>
        <v>2705698.940937276</v>
      </c>
      <c r="I45" s="56">
        <f>'Low pensions'!M45</f>
        <v>15210.086922140035</v>
      </c>
      <c r="J45" s="56">
        <f>'Low pensions'!W45</f>
        <v>83681.410544451297</v>
      </c>
      <c r="K45" s="9"/>
      <c r="L45" s="56">
        <f>'Low pensions'!N45</f>
        <v>2706895.2238295348</v>
      </c>
      <c r="M45" s="41"/>
      <c r="N45" s="56">
        <f>'Low pensions'!L45</f>
        <v>807298.59817766026</v>
      </c>
      <c r="O45" s="9"/>
      <c r="P45" s="56">
        <f>'Low pensions'!X45</f>
        <v>18487610.880068853</v>
      </c>
      <c r="Q45" s="41"/>
      <c r="R45" s="56">
        <f>'Low SIPA income'!G40</f>
        <v>21097009.665658996</v>
      </c>
      <c r="S45" s="41">
        <f>SUM(T42:T45)/AVERAGE(AG42:AG45)</f>
        <v>5.7154580637725272E-2</v>
      </c>
      <c r="T45" s="56">
        <f>'Low SIPA income'!J40</f>
        <v>80666244.97033982</v>
      </c>
      <c r="U45" s="9"/>
      <c r="V45" s="56">
        <f>'Low SIPA income'!F40</f>
        <v>115712.588610148</v>
      </c>
      <c r="W45" s="41"/>
      <c r="X45" s="56">
        <f>'Low SIPA income'!M40</f>
        <v>290636.66172369476</v>
      </c>
      <c r="Y45" s="9"/>
      <c r="Z45" s="9">
        <f t="shared" si="10"/>
        <v>-1098652.3683958203</v>
      </c>
      <c r="AA45" s="9"/>
      <c r="AB45" s="9">
        <f t="shared" si="11"/>
        <v>-41237908.60998635</v>
      </c>
      <c r="AC45" s="23"/>
      <c r="AD45" s="9"/>
      <c r="AE45" s="9"/>
      <c r="AF45" s="9"/>
      <c r="AG45" s="9">
        <f t="shared" si="22"/>
        <v>5246548251.4800777</v>
      </c>
      <c r="AH45" s="42">
        <f t="shared" si="20"/>
        <v>3.623420663338837E-3</v>
      </c>
      <c r="AI45" s="42">
        <f>(AG45-AG41)/AG41</f>
        <v>2.5994477119235533E-2</v>
      </c>
      <c r="AJ45" s="42">
        <f t="shared" si="13"/>
        <v>-7.8600075008083518E-3</v>
      </c>
      <c r="AK45" s="7"/>
      <c r="AL45" s="7"/>
      <c r="AM45" s="7"/>
      <c r="AN45" s="7"/>
      <c r="AO45" s="7"/>
      <c r="AP45" s="7"/>
      <c r="AQ45" s="7"/>
      <c r="AR45" s="7"/>
      <c r="AS45" s="7"/>
      <c r="AT45" s="7"/>
      <c r="AV45" s="7"/>
      <c r="AW45" s="46">
        <f>workers_and_wage_low!C33</f>
        <v>11820684</v>
      </c>
      <c r="AX45" s="7"/>
      <c r="AY45" s="42">
        <f t="shared" si="14"/>
        <v>-1.5481864915597272E-3</v>
      </c>
      <c r="AZ45" s="47">
        <f>workers_and_wage_low!B33</f>
        <v>6149.9833869479198</v>
      </c>
      <c r="BA45" s="42">
        <f t="shared" si="15"/>
        <v>5.1796261821852336E-3</v>
      </c>
      <c r="BB45" s="52">
        <v>49</v>
      </c>
      <c r="BC45" s="12">
        <f t="shared" si="21"/>
        <v>11.37227434313345</v>
      </c>
      <c r="BD45" s="12">
        <f t="shared" si="18"/>
        <v>54.686137171566727</v>
      </c>
      <c r="BE45" s="42">
        <f t="shared" si="19"/>
        <v>0</v>
      </c>
      <c r="BF45" s="7">
        <f t="shared" si="23"/>
        <v>99.912559190809716</v>
      </c>
      <c r="BG45" s="49">
        <f>(BB45-BB41)/BB41</f>
        <v>0</v>
      </c>
      <c r="BH45" s="7"/>
      <c r="BI45" s="42">
        <f t="shared" si="24"/>
        <v>1.3953376846965808E-2</v>
      </c>
      <c r="BJ45" s="7"/>
      <c r="BK45" s="7"/>
      <c r="BL45" s="7"/>
      <c r="BM45" s="7"/>
      <c r="BN45" s="7"/>
      <c r="BO45" s="7"/>
      <c r="BP45" s="7"/>
      <c r="BQ45" s="7"/>
      <c r="BR45" s="7"/>
    </row>
    <row r="46" spans="1:70" x14ac:dyDescent="0.2">
      <c r="A46" s="5">
        <f t="shared" si="16"/>
        <v>2023</v>
      </c>
      <c r="B46" s="5">
        <f t="shared" si="17"/>
        <v>1</v>
      </c>
      <c r="C46" s="6"/>
      <c r="D46" s="55">
        <f>'Low pensions'!Q46</f>
        <v>104356618.5662794</v>
      </c>
      <c r="E46" s="6"/>
      <c r="F46" s="8">
        <f>'Low pensions'!I46</f>
        <v>18968050.717196837</v>
      </c>
      <c r="G46" s="55">
        <f>'Low pensions'!K46</f>
        <v>500857.87417015998</v>
      </c>
      <c r="H46" s="55">
        <f>'Low pensions'!V46</f>
        <v>2755572.2467204193</v>
      </c>
      <c r="I46" s="55">
        <f>'Low pensions'!M46</f>
        <v>15490.449716603034</v>
      </c>
      <c r="J46" s="55">
        <f>'Low pensions'!W46</f>
        <v>85223.883919189044</v>
      </c>
      <c r="K46" s="6"/>
      <c r="L46" s="55">
        <f>'Low pensions'!N46</f>
        <v>3304154.7390162409</v>
      </c>
      <c r="M46" s="8"/>
      <c r="N46" s="55">
        <f>'Low pensions'!L46</f>
        <v>816408.36908509955</v>
      </c>
      <c r="O46" s="6"/>
      <c r="P46" s="55">
        <f>'Low pensions'!X46</f>
        <v>21636912.615340732</v>
      </c>
      <c r="Q46" s="8"/>
      <c r="R46" s="55">
        <f>'Low SIPA income'!G41</f>
        <v>18530396.16200117</v>
      </c>
      <c r="S46" s="8"/>
      <c r="T46" s="55">
        <f>'Low SIPA income'!J41</f>
        <v>70852575.786348507</v>
      </c>
      <c r="U46" s="6"/>
      <c r="V46" s="55">
        <f>'Low SIPA income'!F41</f>
        <v>120062.54141661301</v>
      </c>
      <c r="W46" s="8"/>
      <c r="X46" s="55">
        <f>'Low SIPA income'!M41</f>
        <v>301562.48904734111</v>
      </c>
      <c r="Y46" s="6"/>
      <c r="Z46" s="6">
        <f t="shared" ref="Z46:Z77" si="25">R46+V46-N46-L46-F46</f>
        <v>-4438155.1218803953</v>
      </c>
      <c r="AA46" s="6"/>
      <c r="AB46" s="6">
        <f t="shared" ref="AB46:AB77" si="26">T46-P46-D46</f>
        <v>-55140955.395271622</v>
      </c>
      <c r="AC46" s="23"/>
      <c r="AD46" s="6"/>
      <c r="AE46" s="6"/>
      <c r="AF46" s="6"/>
      <c r="AG46" s="6">
        <f t="shared" si="22"/>
        <v>5258793566.2238102</v>
      </c>
      <c r="AH46" s="35">
        <f t="shared" si="20"/>
        <v>2.333975436188543E-3</v>
      </c>
      <c r="AI46" s="35"/>
      <c r="AJ46" s="35">
        <f t="shared" ref="AJ46:AJ77" si="27">AB46/AG46</f>
        <v>-1.048547631712168E-2</v>
      </c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35">
        <f>AVERAGE(AH46:AH49)</f>
        <v>1.9294686711226916E-3</v>
      </c>
      <c r="AV46" s="5"/>
      <c r="AW46" s="39">
        <f>workers_and_wage_low!C34</f>
        <v>11845061</v>
      </c>
      <c r="AX46" s="5"/>
      <c r="AY46" s="35">
        <f t="shared" si="14"/>
        <v>2.0622326085360204E-3</v>
      </c>
      <c r="AZ46" s="40">
        <f>workers_and_wage_low!B34</f>
        <v>6179.9028499818396</v>
      </c>
      <c r="BA46" s="35">
        <f t="shared" si="15"/>
        <v>4.8649664806278527E-3</v>
      </c>
      <c r="BB46" s="11">
        <f>BB45*3/4+BB49*1/4</f>
        <v>49.25</v>
      </c>
      <c r="BC46" s="11">
        <f t="shared" si="21"/>
        <v>11.37227434313345</v>
      </c>
      <c r="BD46" s="11">
        <f t="shared" si="18"/>
        <v>54.936137171566727</v>
      </c>
      <c r="BE46" s="35">
        <f t="shared" si="19"/>
        <v>4.5715424955994344E-3</v>
      </c>
      <c r="BF46" s="5">
        <f t="shared" si="23"/>
        <v>100.1457526497278</v>
      </c>
      <c r="BG46" s="5"/>
      <c r="BH46" s="5"/>
      <c r="BI46" s="35">
        <f t="shared" si="24"/>
        <v>1.6081255659590853E-2</v>
      </c>
      <c r="BJ46" s="5"/>
      <c r="BK46" s="5"/>
      <c r="BL46" s="5"/>
      <c r="BM46" s="5"/>
      <c r="BN46" s="5"/>
      <c r="BO46" s="5"/>
      <c r="BP46" s="5"/>
      <c r="BQ46" s="5"/>
      <c r="BR46" s="5"/>
    </row>
    <row r="47" spans="1:70" x14ac:dyDescent="0.2">
      <c r="A47" s="7">
        <f t="shared" si="16"/>
        <v>2023</v>
      </c>
      <c r="B47" s="7">
        <f t="shared" si="17"/>
        <v>2</v>
      </c>
      <c r="C47" s="9"/>
      <c r="D47" s="56">
        <f>'Low pensions'!Q47</f>
        <v>104900304.72373416</v>
      </c>
      <c r="E47" s="9"/>
      <c r="F47" s="41">
        <f>'Low pensions'!I47</f>
        <v>19066872.112049621</v>
      </c>
      <c r="G47" s="56">
        <f>'Low pensions'!K47</f>
        <v>503059.34945038002</v>
      </c>
      <c r="H47" s="56">
        <f>'Low pensions'!V47</f>
        <v>2767684.114171972</v>
      </c>
      <c r="I47" s="56">
        <f>'Low pensions'!M47</f>
        <v>15558.536580938962</v>
      </c>
      <c r="J47" s="56">
        <f>'Low pensions'!W47</f>
        <v>85598.4777578926</v>
      </c>
      <c r="K47" s="9"/>
      <c r="L47" s="56">
        <f>'Low pensions'!N47</f>
        <v>2770321.7752339067</v>
      </c>
      <c r="M47" s="41"/>
      <c r="N47" s="56">
        <f>'Low pensions'!L47</f>
        <v>821487.3041440621</v>
      </c>
      <c r="O47" s="9"/>
      <c r="P47" s="56">
        <f>'Low pensions'!X47</f>
        <v>18894793.63070536</v>
      </c>
      <c r="Q47" s="41"/>
      <c r="R47" s="56">
        <f>'Low SIPA income'!G42</f>
        <v>21708162.605261173</v>
      </c>
      <c r="S47" s="41"/>
      <c r="T47" s="56">
        <f>'Low SIPA income'!J42</f>
        <v>83003041.204572976</v>
      </c>
      <c r="U47" s="9"/>
      <c r="V47" s="56">
        <f>'Low SIPA income'!F42</f>
        <v>121525.173916464</v>
      </c>
      <c r="W47" s="41"/>
      <c r="X47" s="56">
        <f>'Low SIPA income'!M42</f>
        <v>305236.20019831607</v>
      </c>
      <c r="Y47" s="9"/>
      <c r="Z47" s="9">
        <f t="shared" si="25"/>
        <v>-828993.41224995255</v>
      </c>
      <c r="AA47" s="9"/>
      <c r="AB47" s="9">
        <f t="shared" si="26"/>
        <v>-40792057.149866536</v>
      </c>
      <c r="AC47" s="23"/>
      <c r="AD47" s="9"/>
      <c r="AE47" s="9"/>
      <c r="AF47" s="9"/>
      <c r="AG47" s="9">
        <f t="shared" si="22"/>
        <v>5220444563.8726072</v>
      </c>
      <c r="AH47" s="42">
        <f t="shared" si="20"/>
        <v>-7.2923574329882453E-3</v>
      </c>
      <c r="AI47" s="42"/>
      <c r="AJ47" s="42">
        <f t="shared" si="27"/>
        <v>-7.8139048601650798E-3</v>
      </c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46">
        <f>workers_and_wage_low!C35</f>
        <v>11820613</v>
      </c>
      <c r="AX47" s="7"/>
      <c r="AY47" s="42">
        <f t="shared" ref="AY47:AY78" si="28">(AW47-AW46)/AW46</f>
        <v>-2.063982616889858E-3</v>
      </c>
      <c r="AZ47" s="47">
        <f>workers_and_wage_low!B35</f>
        <v>6175.6288471743201</v>
      </c>
      <c r="BA47" s="42">
        <f t="shared" ref="BA47:BA78" si="29">(AZ47-AZ46)/AZ46</f>
        <v>-6.9159708676198633E-4</v>
      </c>
      <c r="BB47" s="12">
        <f>BB45*2/4+BB49*2/4</f>
        <v>49.5</v>
      </c>
      <c r="BC47" s="12">
        <f t="shared" si="21"/>
        <v>11.37227434313345</v>
      </c>
      <c r="BD47" s="12">
        <f t="shared" si="18"/>
        <v>55.186137171566727</v>
      </c>
      <c r="BE47" s="42">
        <f t="shared" si="19"/>
        <v>4.5507386006999884E-3</v>
      </c>
      <c r="BF47" s="7">
        <f t="shared" si="23"/>
        <v>99.415454026010337</v>
      </c>
      <c r="BG47" s="7"/>
      <c r="BH47" s="7"/>
      <c r="BI47" s="42">
        <f t="shared" si="24"/>
        <v>1.3909179981380262E-2</v>
      </c>
      <c r="BJ47" s="7"/>
      <c r="BK47" s="7"/>
      <c r="BL47" s="7"/>
      <c r="BM47" s="7"/>
      <c r="BN47" s="7"/>
      <c r="BO47" s="7"/>
      <c r="BP47" s="7"/>
      <c r="BQ47" s="7"/>
      <c r="BR47" s="7"/>
    </row>
    <row r="48" spans="1:70" x14ac:dyDescent="0.2">
      <c r="A48" s="7">
        <f t="shared" si="16"/>
        <v>2023</v>
      </c>
      <c r="B48" s="7">
        <f t="shared" si="17"/>
        <v>3</v>
      </c>
      <c r="C48" s="9"/>
      <c r="D48" s="56">
        <f>'Low pensions'!Q48</f>
        <v>105750375.48452912</v>
      </c>
      <c r="E48" s="9"/>
      <c r="F48" s="41">
        <f>'Low pensions'!I48</f>
        <v>19221382.535302978</v>
      </c>
      <c r="G48" s="56">
        <f>'Low pensions'!K48</f>
        <v>527893.20613932202</v>
      </c>
      <c r="H48" s="56">
        <f>'Low pensions'!V48</f>
        <v>2904312.6665022327</v>
      </c>
      <c r="I48" s="56">
        <f>'Low pensions'!M48</f>
        <v>16326.594004308921</v>
      </c>
      <c r="J48" s="56">
        <f>'Low pensions'!W48</f>
        <v>89824.103087697877</v>
      </c>
      <c r="K48" s="9"/>
      <c r="L48" s="56">
        <f>'Low pensions'!N48</f>
        <v>2746794.1710352646</v>
      </c>
      <c r="M48" s="41"/>
      <c r="N48" s="56">
        <f>'Low pensions'!L48</f>
        <v>830158.10843579099</v>
      </c>
      <c r="O48" s="9"/>
      <c r="P48" s="56">
        <f>'Low pensions'!X48</f>
        <v>18820412.98758531</v>
      </c>
      <c r="Q48" s="41"/>
      <c r="R48" s="56">
        <f>'Low SIPA income'!G43</f>
        <v>19059594.940928638</v>
      </c>
      <c r="S48" s="41"/>
      <c r="T48" s="56">
        <f>'Low SIPA income'!J43</f>
        <v>72876013.184135497</v>
      </c>
      <c r="U48" s="9"/>
      <c r="V48" s="56">
        <f>'Low SIPA income'!F43</f>
        <v>124670.794272231</v>
      </c>
      <c r="W48" s="41"/>
      <c r="X48" s="56">
        <f>'Low SIPA income'!M43</f>
        <v>313137.09162448923</v>
      </c>
      <c r="Y48" s="9"/>
      <c r="Z48" s="9">
        <f t="shared" si="25"/>
        <v>-3614069.0795731619</v>
      </c>
      <c r="AA48" s="9"/>
      <c r="AB48" s="9">
        <f t="shared" si="26"/>
        <v>-51694775.287978932</v>
      </c>
      <c r="AC48" s="23"/>
      <c r="AD48" s="9"/>
      <c r="AE48" s="9"/>
      <c r="AF48" s="9"/>
      <c r="AG48" s="9">
        <f t="shared" si="22"/>
        <v>5278775738.2103319</v>
      </c>
      <c r="AH48" s="42">
        <f t="shared" si="20"/>
        <v>1.1173602865433688E-2</v>
      </c>
      <c r="AI48" s="42"/>
      <c r="AJ48" s="42">
        <f t="shared" si="27"/>
        <v>-9.7929478067778387E-3</v>
      </c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9"/>
      <c r="AV48" s="7"/>
      <c r="AW48" s="46">
        <f>workers_and_wage_low!C36</f>
        <v>11888105</v>
      </c>
      <c r="AX48" s="7"/>
      <c r="AY48" s="42">
        <f t="shared" si="28"/>
        <v>5.7096869680108809E-3</v>
      </c>
      <c r="AZ48" s="47">
        <f>workers_and_wage_low!B36</f>
        <v>6237.43675187587</v>
      </c>
      <c r="BA48" s="42">
        <f t="shared" si="29"/>
        <v>1.0008358052448424E-2</v>
      </c>
      <c r="BB48" s="12">
        <f>BB45*1/4+BB49*3/4</f>
        <v>49.75</v>
      </c>
      <c r="BC48" s="12">
        <f t="shared" si="21"/>
        <v>11.37227434313345</v>
      </c>
      <c r="BD48" s="12">
        <f t="shared" si="18"/>
        <v>55.436137171566727</v>
      </c>
      <c r="BE48" s="42">
        <f t="shared" si="19"/>
        <v>4.5301231942140863E-3</v>
      </c>
      <c r="BF48" s="7">
        <f t="shared" si="23"/>
        <v>100.52628282798378</v>
      </c>
      <c r="BG48" s="7"/>
      <c r="BH48" s="7"/>
      <c r="BI48" s="42">
        <f t="shared" si="24"/>
        <v>1.6001178082533225E-2</v>
      </c>
      <c r="BJ48" s="7"/>
      <c r="BK48" s="7"/>
      <c r="BL48" s="7"/>
      <c r="BM48" s="7"/>
      <c r="BN48" s="7"/>
      <c r="BO48" s="7"/>
      <c r="BP48" s="7"/>
      <c r="BQ48" s="7"/>
      <c r="BR48" s="7"/>
    </row>
    <row r="49" spans="1:70" x14ac:dyDescent="0.2">
      <c r="A49" s="7">
        <f t="shared" si="16"/>
        <v>2023</v>
      </c>
      <c r="B49" s="7">
        <f t="shared" si="17"/>
        <v>4</v>
      </c>
      <c r="C49" s="9"/>
      <c r="D49" s="56">
        <f>'Low pensions'!Q49</f>
        <v>106383250.19753553</v>
      </c>
      <c r="E49" s="9"/>
      <c r="F49" s="41">
        <f>'Low pensions'!I49</f>
        <v>19336415.005872276</v>
      </c>
      <c r="G49" s="56">
        <f>'Low pensions'!K49</f>
        <v>546350.35463552503</v>
      </c>
      <c r="H49" s="56">
        <f>'Low pensions'!V49</f>
        <v>3005858.4517891291</v>
      </c>
      <c r="I49" s="56">
        <f>'Low pensions'!M49</f>
        <v>16897.433648522012</v>
      </c>
      <c r="J49" s="56">
        <f>'Low pensions'!W49</f>
        <v>92964.694385234208</v>
      </c>
      <c r="K49" s="9"/>
      <c r="L49" s="56">
        <f>'Low pensions'!N49</f>
        <v>2763205.1873656618</v>
      </c>
      <c r="M49" s="41"/>
      <c r="N49" s="56">
        <f>'Low pensions'!L49</f>
        <v>836048.00344787538</v>
      </c>
      <c r="O49" s="9"/>
      <c r="P49" s="56">
        <f>'Low pensions'!X49</f>
        <v>18937974.293894943</v>
      </c>
      <c r="Q49" s="41"/>
      <c r="R49" s="56">
        <f>'Low SIPA income'!G44</f>
        <v>22028090.30783226</v>
      </c>
      <c r="S49" s="41"/>
      <c r="T49" s="56">
        <f>'Low SIPA income'!J44</f>
        <v>84226312.50403139</v>
      </c>
      <c r="U49" s="9"/>
      <c r="V49" s="56">
        <f>'Low SIPA income'!F44</f>
        <v>120691.434095772</v>
      </c>
      <c r="W49" s="41"/>
      <c r="X49" s="56">
        <f>'Low SIPA income'!M44</f>
        <v>303142.08614259795</v>
      </c>
      <c r="Y49" s="9"/>
      <c r="Z49" s="9">
        <f t="shared" si="25"/>
        <v>-786886.45475777984</v>
      </c>
      <c r="AA49" s="9"/>
      <c r="AB49" s="9">
        <f t="shared" si="26"/>
        <v>-41094911.987399086</v>
      </c>
      <c r="AC49" s="23"/>
      <c r="AD49" s="9"/>
      <c r="AE49" s="9"/>
      <c r="AF49" s="9"/>
      <c r="AG49" s="9">
        <f t="shared" si="22"/>
        <v>5286707910.7164059</v>
      </c>
      <c r="AH49" s="42">
        <f t="shared" si="20"/>
        <v>1.5026538158567811E-3</v>
      </c>
      <c r="AI49" s="42">
        <f>(AG49-AG45)/AG45</f>
        <v>7.6544915459414451E-3</v>
      </c>
      <c r="AJ49" s="42">
        <f t="shared" si="27"/>
        <v>-7.7732518386532693E-3</v>
      </c>
      <c r="AK49" s="7"/>
      <c r="AL49" s="7"/>
      <c r="AM49" s="7"/>
      <c r="AN49" s="7"/>
      <c r="AO49" s="7"/>
      <c r="AP49" s="7"/>
      <c r="AQ49" s="7"/>
      <c r="AR49" s="7"/>
      <c r="AS49" s="7"/>
      <c r="AT49" s="7"/>
      <c r="AV49" s="7"/>
      <c r="AW49" s="46">
        <f>workers_and_wage_low!C37</f>
        <v>11884410</v>
      </c>
      <c r="AX49" s="7"/>
      <c r="AY49" s="42">
        <f t="shared" si="28"/>
        <v>-3.108148859721545E-4</v>
      </c>
      <c r="AZ49" s="47">
        <f>workers_and_wage_low!B37</f>
        <v>6277.0592799012002</v>
      </c>
      <c r="BA49" s="42">
        <f t="shared" si="29"/>
        <v>6.3523735151966047E-3</v>
      </c>
      <c r="BB49" s="52">
        <v>50</v>
      </c>
      <c r="BC49" s="12">
        <f t="shared" si="21"/>
        <v>11.37227434313345</v>
      </c>
      <c r="BD49" s="12">
        <f t="shared" si="18"/>
        <v>55.686137171566727</v>
      </c>
      <c r="BE49" s="42">
        <f t="shared" si="19"/>
        <v>4.5096937260669101E-3</v>
      </c>
      <c r="BF49" s="7">
        <f t="shared" si="23"/>
        <v>100.67733903046913</v>
      </c>
      <c r="BG49" s="49">
        <f>(BB49-BB45)/BB45</f>
        <v>2.0408163265306121E-2</v>
      </c>
      <c r="BH49" s="7"/>
      <c r="BI49" s="42">
        <f t="shared" si="24"/>
        <v>1.3948604093956145E-2</v>
      </c>
      <c r="BJ49" s="7"/>
      <c r="BK49" s="7"/>
      <c r="BL49" s="7"/>
      <c r="BM49" s="7"/>
      <c r="BN49" s="7"/>
      <c r="BO49" s="7"/>
      <c r="BP49" s="7"/>
      <c r="BQ49" s="7"/>
      <c r="BR49" s="7"/>
    </row>
    <row r="50" spans="1:70" x14ac:dyDescent="0.2">
      <c r="A50" s="5">
        <f t="shared" ref="A50:A81" si="30">A46+1</f>
        <v>2024</v>
      </c>
      <c r="B50" s="5">
        <f t="shared" ref="B50:B81" si="31">B46</f>
        <v>1</v>
      </c>
      <c r="C50" s="6"/>
      <c r="D50" s="55">
        <f>'Low pensions'!Q50</f>
        <v>107594671.70388648</v>
      </c>
      <c r="E50" s="6"/>
      <c r="F50" s="8">
        <f>'Low pensions'!I50</f>
        <v>19556605.204520516</v>
      </c>
      <c r="G50" s="55">
        <f>'Low pensions'!K50</f>
        <v>567464.90430968395</v>
      </c>
      <c r="H50" s="55">
        <f>'Low pensions'!V50</f>
        <v>3122024.4742970336</v>
      </c>
      <c r="I50" s="55">
        <f>'Low pensions'!M50</f>
        <v>17550.460958032054</v>
      </c>
      <c r="J50" s="55">
        <f>'Low pensions'!W50</f>
        <v>96557.457967952752</v>
      </c>
      <c r="K50" s="6"/>
      <c r="L50" s="55">
        <f>'Low pensions'!N50</f>
        <v>3378100.664125565</v>
      </c>
      <c r="M50" s="8"/>
      <c r="N50" s="55">
        <f>'Low pensions'!L50</f>
        <v>847056.5691565685</v>
      </c>
      <c r="O50" s="6"/>
      <c r="P50" s="55">
        <f>'Low pensions'!X50</f>
        <v>22189235.726369433</v>
      </c>
      <c r="Q50" s="8"/>
      <c r="R50" s="55">
        <f>'Low SIPA income'!G45</f>
        <v>19221267.321619242</v>
      </c>
      <c r="S50" s="8"/>
      <c r="T50" s="55">
        <f>'Low SIPA income'!J45</f>
        <v>73494181.544126093</v>
      </c>
      <c r="U50" s="6"/>
      <c r="V50" s="55">
        <f>'Low SIPA income'!F45</f>
        <v>124111.238254657</v>
      </c>
      <c r="W50" s="8"/>
      <c r="X50" s="55">
        <f>'Low SIPA income'!M45</f>
        <v>311731.64823281969</v>
      </c>
      <c r="Y50" s="6"/>
      <c r="Z50" s="6">
        <f t="shared" si="25"/>
        <v>-4436383.8779287525</v>
      </c>
      <c r="AA50" s="6"/>
      <c r="AB50" s="6">
        <f t="shared" si="26"/>
        <v>-56289725.886129819</v>
      </c>
      <c r="AC50" s="23"/>
      <c r="AD50" s="6"/>
      <c r="AE50" s="6"/>
      <c r="AF50" s="6"/>
      <c r="AG50" s="6">
        <f t="shared" si="22"/>
        <v>5313870133.8292179</v>
      </c>
      <c r="AH50" s="35">
        <f t="shared" si="20"/>
        <v>5.1378331414438346E-3</v>
      </c>
      <c r="AI50" s="35"/>
      <c r="AJ50" s="35">
        <f t="shared" si="27"/>
        <v>-1.0592981098235268E-2</v>
      </c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35">
        <f>AVERAGE(AH50:AH53)</f>
        <v>4.6775358327783923E-3</v>
      </c>
      <c r="AV50" s="5"/>
      <c r="AW50" s="39">
        <f>workers_and_wage_low!C38</f>
        <v>11915499</v>
      </c>
      <c r="AX50" s="5"/>
      <c r="AY50" s="35">
        <f t="shared" si="28"/>
        <v>2.615948120268486E-3</v>
      </c>
      <c r="AZ50" s="40">
        <f>workers_and_wage_low!B38</f>
        <v>6307.0054848141699</v>
      </c>
      <c r="BA50" s="35">
        <f t="shared" si="29"/>
        <v>4.7707379487168201E-3</v>
      </c>
      <c r="BB50" s="11">
        <f>BB49*3/4+BB53*1/4</f>
        <v>50.125</v>
      </c>
      <c r="BC50" s="11">
        <f t="shared" si="21"/>
        <v>11.37227434313345</v>
      </c>
      <c r="BD50" s="11">
        <f t="shared" si="18"/>
        <v>55.811137171566727</v>
      </c>
      <c r="BE50" s="35">
        <f t="shared" si="19"/>
        <v>2.2447238459883945E-3</v>
      </c>
      <c r="BF50" s="5">
        <f t="shared" si="23"/>
        <v>101.19460239953226</v>
      </c>
      <c r="BG50" s="5"/>
      <c r="BH50" s="5"/>
      <c r="BI50" s="35">
        <f t="shared" si="24"/>
        <v>1.5988968774819173E-2</v>
      </c>
      <c r="BJ50" s="5"/>
      <c r="BK50" s="5"/>
      <c r="BL50" s="5"/>
      <c r="BM50" s="5"/>
      <c r="BN50" s="5"/>
      <c r="BO50" s="5"/>
      <c r="BP50" s="5"/>
      <c r="BQ50" s="5"/>
      <c r="BR50" s="5"/>
    </row>
    <row r="51" spans="1:70" x14ac:dyDescent="0.2">
      <c r="A51" s="7">
        <f t="shared" si="30"/>
        <v>2024</v>
      </c>
      <c r="B51" s="7">
        <f t="shared" si="31"/>
        <v>2</v>
      </c>
      <c r="C51" s="9"/>
      <c r="D51" s="56">
        <f>'Low pensions'!Q51</f>
        <v>108332740.01076406</v>
      </c>
      <c r="E51" s="9"/>
      <c r="F51" s="41">
        <f>'Low pensions'!I51</f>
        <v>19690757.855976142</v>
      </c>
      <c r="G51" s="56">
        <f>'Low pensions'!K51</f>
        <v>585377.47910865804</v>
      </c>
      <c r="H51" s="56">
        <f>'Low pensions'!V51</f>
        <v>3220574.1757769939</v>
      </c>
      <c r="I51" s="56">
        <f>'Low pensions'!M51</f>
        <v>18104.458116762922</v>
      </c>
      <c r="J51" s="56">
        <f>'Low pensions'!W51</f>
        <v>99605.386879702492</v>
      </c>
      <c r="K51" s="9"/>
      <c r="L51" s="56">
        <f>'Low pensions'!N51</f>
        <v>2754938.0986749176</v>
      </c>
      <c r="M51" s="41"/>
      <c r="N51" s="56">
        <f>'Low pensions'!L51</f>
        <v>854874.66206063703</v>
      </c>
      <c r="O51" s="9"/>
      <c r="P51" s="56">
        <f>'Low pensions'!X51</f>
        <v>18998655.052303676</v>
      </c>
      <c r="Q51" s="41"/>
      <c r="R51" s="56">
        <f>'Low SIPA income'!G46</f>
        <v>22208946.103697248</v>
      </c>
      <c r="S51" s="41"/>
      <c r="T51" s="56">
        <f>'Low SIPA income'!J46</f>
        <v>84917830.314600453</v>
      </c>
      <c r="U51" s="9"/>
      <c r="V51" s="56">
        <f>'Low SIPA income'!F46</f>
        <v>124251.799082364</v>
      </c>
      <c r="W51" s="41"/>
      <c r="X51" s="56">
        <f>'Low SIPA income'!M46</f>
        <v>312084.69650720851</v>
      </c>
      <c r="Y51" s="9"/>
      <c r="Z51" s="9">
        <f t="shared" si="25"/>
        <v>-967372.71393208206</v>
      </c>
      <c r="AA51" s="9"/>
      <c r="AB51" s="9">
        <f t="shared" si="26"/>
        <v>-42413564.748467281</v>
      </c>
      <c r="AC51" s="23"/>
      <c r="AD51" s="9"/>
      <c r="AE51" s="9"/>
      <c r="AF51" s="9"/>
      <c r="AG51" s="9">
        <f t="shared" si="22"/>
        <v>5325474478.1478014</v>
      </c>
      <c r="AH51" s="42">
        <f t="shared" si="20"/>
        <v>2.1837839514947466E-3</v>
      </c>
      <c r="AI51" s="42"/>
      <c r="AJ51" s="42">
        <f t="shared" si="27"/>
        <v>-7.9642790370143147E-3</v>
      </c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46">
        <f>workers_and_wage_low!C39</f>
        <v>11975566</v>
      </c>
      <c r="AX51" s="7"/>
      <c r="AY51" s="42">
        <f t="shared" si="28"/>
        <v>5.0410813680568474E-3</v>
      </c>
      <c r="AZ51" s="47">
        <f>workers_and_wage_low!B39</f>
        <v>6303.1921203152997</v>
      </c>
      <c r="BA51" s="42">
        <f t="shared" si="29"/>
        <v>-6.0462362178880706E-4</v>
      </c>
      <c r="BB51" s="12">
        <f>BB49*2/4+BB53*2/4</f>
        <v>50.25</v>
      </c>
      <c r="BC51" s="12">
        <f t="shared" si="21"/>
        <v>11.37227434313345</v>
      </c>
      <c r="BD51" s="12">
        <f t="shared" si="18"/>
        <v>55.936137171566727</v>
      </c>
      <c r="BE51" s="42">
        <f t="shared" si="19"/>
        <v>2.2396963461923658E-3</v>
      </c>
      <c r="BF51" s="7">
        <f t="shared" si="23"/>
        <v>101.41558954823024</v>
      </c>
      <c r="BG51" s="7"/>
      <c r="BH51" s="7"/>
      <c r="BI51" s="42">
        <f t="shared" si="24"/>
        <v>1.391633498934779E-2</v>
      </c>
      <c r="BJ51" s="7"/>
      <c r="BK51" s="7"/>
      <c r="BL51" s="7"/>
      <c r="BM51" s="7"/>
      <c r="BN51" s="7"/>
      <c r="BO51" s="7"/>
      <c r="BP51" s="7"/>
      <c r="BQ51" s="7"/>
      <c r="BR51" s="7"/>
    </row>
    <row r="52" spans="1:70" x14ac:dyDescent="0.2">
      <c r="A52" s="7">
        <f t="shared" si="30"/>
        <v>2024</v>
      </c>
      <c r="B52" s="7">
        <f t="shared" si="31"/>
        <v>3</v>
      </c>
      <c r="C52" s="9"/>
      <c r="D52" s="56">
        <f>'Low pensions'!Q52</f>
        <v>109509173.71023576</v>
      </c>
      <c r="E52" s="9"/>
      <c r="F52" s="41">
        <f>'Low pensions'!I52</f>
        <v>19904588.606565535</v>
      </c>
      <c r="G52" s="56">
        <f>'Low pensions'!K52</f>
        <v>614892.230787465</v>
      </c>
      <c r="H52" s="56">
        <f>'Low pensions'!V52</f>
        <v>3382955.6312541906</v>
      </c>
      <c r="I52" s="56">
        <f>'Low pensions'!M52</f>
        <v>19017.285488273017</v>
      </c>
      <c r="J52" s="56">
        <f>'Low pensions'!W52</f>
        <v>104627.49375013458</v>
      </c>
      <c r="K52" s="9"/>
      <c r="L52" s="56">
        <f>'Low pensions'!N52</f>
        <v>2773603.6101403376</v>
      </c>
      <c r="M52" s="41"/>
      <c r="N52" s="56">
        <f>'Low pensions'!L52</f>
        <v>866482.13789592683</v>
      </c>
      <c r="O52" s="9"/>
      <c r="P52" s="56">
        <f>'Low pensions'!X52</f>
        <v>19159371.387316566</v>
      </c>
      <c r="Q52" s="41"/>
      <c r="R52" s="56">
        <f>'Low SIPA income'!G47</f>
        <v>19572333.361850649</v>
      </c>
      <c r="S52" s="41"/>
      <c r="T52" s="56">
        <f>'Low SIPA income'!J47</f>
        <v>74836512.976441398</v>
      </c>
      <c r="U52" s="9"/>
      <c r="V52" s="56">
        <f>'Low SIPA income'!F47</f>
        <v>124346.864541359</v>
      </c>
      <c r="W52" s="41"/>
      <c r="X52" s="56">
        <f>'Low SIPA income'!M47</f>
        <v>312323.47353207163</v>
      </c>
      <c r="Y52" s="9"/>
      <c r="Z52" s="9">
        <f t="shared" si="25"/>
        <v>-3847994.1282097921</v>
      </c>
      <c r="AA52" s="9"/>
      <c r="AB52" s="9">
        <f t="shared" si="26"/>
        <v>-53832032.121110931</v>
      </c>
      <c r="AC52" s="23"/>
      <c r="AD52" s="9"/>
      <c r="AE52" s="9"/>
      <c r="AF52" s="9"/>
      <c r="AG52" s="9">
        <f t="shared" si="22"/>
        <v>5363326297.0830431</v>
      </c>
      <c r="AH52" s="42">
        <f t="shared" si="20"/>
        <v>7.1076894820471569E-3</v>
      </c>
      <c r="AI52" s="42"/>
      <c r="AJ52" s="42">
        <f t="shared" si="27"/>
        <v>-1.0037060797585373E-2</v>
      </c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9"/>
      <c r="AV52" s="7"/>
      <c r="AW52" s="46">
        <f>workers_and_wage_low!C40</f>
        <v>12011301</v>
      </c>
      <c r="AX52" s="7"/>
      <c r="AY52" s="42">
        <f t="shared" si="28"/>
        <v>2.9839925728771398E-3</v>
      </c>
      <c r="AZ52" s="47">
        <f>workers_and_wage_low!B40</f>
        <v>6343.2825220124596</v>
      </c>
      <c r="BA52" s="42">
        <f t="shared" si="29"/>
        <v>6.3603331346902521E-3</v>
      </c>
      <c r="BB52" s="12">
        <f>BB49*1/4+BB53*3/4</f>
        <v>50.375</v>
      </c>
      <c r="BC52" s="12">
        <f t="shared" si="21"/>
        <v>11.37227434313345</v>
      </c>
      <c r="BD52" s="12">
        <f t="shared" si="18"/>
        <v>56.061137171566727</v>
      </c>
      <c r="BE52" s="42">
        <f t="shared" si="19"/>
        <v>2.2346913162165638E-3</v>
      </c>
      <c r="BF52" s="7">
        <f t="shared" si="23"/>
        <v>102.13642006737781</v>
      </c>
      <c r="BG52" s="7"/>
      <c r="BH52" s="7"/>
      <c r="BI52" s="42">
        <f t="shared" si="24"/>
        <v>1.6110595868172855E-2</v>
      </c>
      <c r="BJ52" s="7"/>
      <c r="BK52" s="7"/>
      <c r="BL52" s="7"/>
      <c r="BM52" s="7"/>
      <c r="BN52" s="7"/>
      <c r="BO52" s="7"/>
      <c r="BP52" s="7"/>
      <c r="BQ52" s="7"/>
      <c r="BR52" s="7"/>
    </row>
    <row r="53" spans="1:70" x14ac:dyDescent="0.2">
      <c r="A53" s="7">
        <f t="shared" si="30"/>
        <v>2024</v>
      </c>
      <c r="B53" s="7">
        <f t="shared" si="31"/>
        <v>4</v>
      </c>
      <c r="C53" s="9"/>
      <c r="D53" s="56">
        <f>'Low pensions'!Q53</f>
        <v>110299917.92513181</v>
      </c>
      <c r="E53" s="9"/>
      <c r="F53" s="41">
        <f>'Low pensions'!I53</f>
        <v>20048315.727840092</v>
      </c>
      <c r="G53" s="56">
        <f>'Low pensions'!K53</f>
        <v>684095.561608408</v>
      </c>
      <c r="H53" s="56">
        <f>'Low pensions'!V53</f>
        <v>3763691.9391474281</v>
      </c>
      <c r="I53" s="56">
        <f>'Low pensions'!M53</f>
        <v>21157.594688919955</v>
      </c>
      <c r="J53" s="56">
        <f>'Low pensions'!W53</f>
        <v>116402.84347878709</v>
      </c>
      <c r="K53" s="9"/>
      <c r="L53" s="56">
        <f>'Low pensions'!N53</f>
        <v>2788120.6147508086</v>
      </c>
      <c r="M53" s="41"/>
      <c r="N53" s="56">
        <f>'Low pensions'!L53</f>
        <v>874682.20947908238</v>
      </c>
      <c r="O53" s="9"/>
      <c r="P53" s="56">
        <f>'Low pensions'!X53</f>
        <v>19279814.567689497</v>
      </c>
      <c r="Q53" s="41"/>
      <c r="R53" s="56">
        <f>'Low SIPA income'!G48</f>
        <v>22653661.806898501</v>
      </c>
      <c r="S53" s="41"/>
      <c r="T53" s="56">
        <f>'Low SIPA income'!J48</f>
        <v>86618239.350056455</v>
      </c>
      <c r="U53" s="9"/>
      <c r="V53" s="56">
        <f>'Low SIPA income'!F48</f>
        <v>125640.670673003</v>
      </c>
      <c r="W53" s="41"/>
      <c r="X53" s="56">
        <f>'Low SIPA income'!M48</f>
        <v>315573.14152010315</v>
      </c>
      <c r="Y53" s="9"/>
      <c r="Z53" s="9">
        <f t="shared" si="25"/>
        <v>-931816.07449848205</v>
      </c>
      <c r="AA53" s="9"/>
      <c r="AB53" s="9">
        <f t="shared" si="26"/>
        <v>-42961493.142764851</v>
      </c>
      <c r="AC53" s="23"/>
      <c r="AD53" s="9"/>
      <c r="AE53" s="9"/>
      <c r="AF53" s="9"/>
      <c r="AG53" s="9">
        <f t="shared" si="22"/>
        <v>5386285821.4307032</v>
      </c>
      <c r="AH53" s="42">
        <f t="shared" si="20"/>
        <v>4.280836756127831E-3</v>
      </c>
      <c r="AI53" s="42">
        <f>(AG53-AG49)/AG49</f>
        <v>1.8835523428946808E-2</v>
      </c>
      <c r="AJ53" s="42">
        <f t="shared" si="27"/>
        <v>-7.97608863826566E-3</v>
      </c>
      <c r="AK53" s="7"/>
      <c r="AL53" s="7"/>
      <c r="AM53" s="7"/>
      <c r="AN53" s="7"/>
      <c r="AO53" s="7"/>
      <c r="AP53" s="7"/>
      <c r="AQ53" s="7"/>
      <c r="AR53" s="7"/>
      <c r="AS53" s="7"/>
      <c r="AT53" s="7"/>
      <c r="AV53" s="7"/>
      <c r="AW53" s="46">
        <f>workers_and_wage_low!C41</f>
        <v>12028470</v>
      </c>
      <c r="AX53" s="7"/>
      <c r="AY53" s="42">
        <f t="shared" si="28"/>
        <v>1.429403858915866E-3</v>
      </c>
      <c r="AZ53" s="47">
        <f>workers_and_wage_low!B41</f>
        <v>6375.5597896420504</v>
      </c>
      <c r="BA53" s="42">
        <f t="shared" si="29"/>
        <v>5.0884171590311871E-3</v>
      </c>
      <c r="BB53" s="53">
        <v>50.5</v>
      </c>
      <c r="BC53" s="12">
        <f t="shared" si="21"/>
        <v>11.37227434313345</v>
      </c>
      <c r="BD53" s="12">
        <f t="shared" si="18"/>
        <v>56.186137171566727</v>
      </c>
      <c r="BE53" s="42">
        <f t="shared" si="19"/>
        <v>2.2297086057576632E-3</v>
      </c>
      <c r="BF53" s="7">
        <f t="shared" si="23"/>
        <v>102.57364940854157</v>
      </c>
      <c r="BG53" s="49">
        <f>(BB53-BB49)/BB49</f>
        <v>0.01</v>
      </c>
      <c r="BH53" s="7"/>
      <c r="BI53" s="42">
        <f t="shared" si="24"/>
        <v>1.4098238642476351E-2</v>
      </c>
      <c r="BJ53" s="7"/>
      <c r="BK53" s="7"/>
      <c r="BL53" s="7"/>
      <c r="BM53" s="7"/>
      <c r="BN53" s="7"/>
      <c r="BO53" s="7"/>
      <c r="BP53" s="7"/>
      <c r="BQ53" s="7"/>
      <c r="BR53" s="7"/>
    </row>
    <row r="54" spans="1:70" x14ac:dyDescent="0.2">
      <c r="A54" s="5">
        <f t="shared" si="30"/>
        <v>2025</v>
      </c>
      <c r="B54" s="5">
        <f t="shared" si="31"/>
        <v>1</v>
      </c>
      <c r="C54" s="6"/>
      <c r="D54" s="55">
        <f>'Low pensions'!Q54</f>
        <v>111117611.13734137</v>
      </c>
      <c r="E54" s="6"/>
      <c r="F54" s="8">
        <f>'Low pensions'!I54</f>
        <v>20196941.148377724</v>
      </c>
      <c r="G54" s="55">
        <f>'Low pensions'!K54</f>
        <v>749843.47376327403</v>
      </c>
      <c r="H54" s="55">
        <f>'Low pensions'!V54</f>
        <v>4125417.5530532398</v>
      </c>
      <c r="I54" s="55">
        <f>'Low pensions'!M54</f>
        <v>23191.035271028988</v>
      </c>
      <c r="J54" s="55">
        <f>'Low pensions'!W54</f>
        <v>127590.23359958416</v>
      </c>
      <c r="K54" s="6"/>
      <c r="L54" s="55">
        <f>'Low pensions'!N54</f>
        <v>3402395.6687264489</v>
      </c>
      <c r="M54" s="8"/>
      <c r="N54" s="55">
        <f>'Low pensions'!L54</f>
        <v>883385.14061397314</v>
      </c>
      <c r="O54" s="6"/>
      <c r="P54" s="55">
        <f>'Low pensions'!X54</f>
        <v>22515171.702234201</v>
      </c>
      <c r="Q54" s="8"/>
      <c r="R54" s="55">
        <f>'Low SIPA income'!G49</f>
        <v>19687406.287816215</v>
      </c>
      <c r="S54" s="8"/>
      <c r="T54" s="55">
        <f>'Low SIPA income'!J49</f>
        <v>75276504.282436863</v>
      </c>
      <c r="U54" s="6"/>
      <c r="V54" s="55">
        <f>'Low SIPA income'!F49</f>
        <v>127438.422013121</v>
      </c>
      <c r="W54" s="8"/>
      <c r="X54" s="55">
        <f>'Low SIPA income'!M49</f>
        <v>320088.57458038622</v>
      </c>
      <c r="Y54" s="6"/>
      <c r="Z54" s="6">
        <f t="shared" si="25"/>
        <v>-4667877.2478888072</v>
      </c>
      <c r="AA54" s="6"/>
      <c r="AB54" s="6">
        <f t="shared" si="26"/>
        <v>-58356278.557138704</v>
      </c>
      <c r="AC54" s="23"/>
      <c r="AD54" s="6"/>
      <c r="AE54" s="6"/>
      <c r="AF54" s="6"/>
      <c r="AG54" s="6">
        <f t="shared" si="22"/>
        <v>5412001597.7366686</v>
      </c>
      <c r="AH54" s="35">
        <f t="shared" si="20"/>
        <v>4.7743059240652787E-3</v>
      </c>
      <c r="AI54" s="35"/>
      <c r="AJ54" s="35">
        <f t="shared" si="27"/>
        <v>-1.0782753386758727E-2</v>
      </c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35">
        <f>AVERAGE(AH54:AH57)</f>
        <v>7.2448704329864761E-3</v>
      </c>
      <c r="AV54" s="5"/>
      <c r="AW54" s="39">
        <f>workers_and_wage_low!C42</f>
        <v>12026102</v>
      </c>
      <c r="AX54" s="5"/>
      <c r="AY54" s="35">
        <f t="shared" si="28"/>
        <v>-1.9686626811223705E-4</v>
      </c>
      <c r="AZ54" s="40">
        <f>workers_and_wage_low!B42</f>
        <v>6407.2600358870604</v>
      </c>
      <c r="BA54" s="35">
        <f t="shared" si="29"/>
        <v>4.9721510409974209E-3</v>
      </c>
      <c r="BB54" s="35"/>
      <c r="BC54" s="35"/>
      <c r="BD54" s="35"/>
      <c r="BE54" s="35"/>
      <c r="BF54" s="5">
        <f t="shared" si="23"/>
        <v>103.06336739056577</v>
      </c>
      <c r="BG54" s="5"/>
      <c r="BH54" s="5"/>
      <c r="BI54" s="35">
        <f t="shared" si="24"/>
        <v>1.6159009147475954E-2</v>
      </c>
      <c r="BJ54" s="5"/>
      <c r="BK54" s="5"/>
      <c r="BL54" s="5"/>
      <c r="BM54" s="5"/>
      <c r="BN54" s="5"/>
      <c r="BO54" s="5"/>
      <c r="BP54" s="5"/>
      <c r="BQ54" s="5"/>
      <c r="BR54" s="5"/>
    </row>
    <row r="55" spans="1:70" x14ac:dyDescent="0.2">
      <c r="A55" s="7">
        <f t="shared" si="30"/>
        <v>2025</v>
      </c>
      <c r="B55" s="7">
        <f t="shared" si="31"/>
        <v>2</v>
      </c>
      <c r="C55" s="9"/>
      <c r="D55" s="56">
        <f>'Low pensions'!Q55</f>
        <v>111867523.94690049</v>
      </c>
      <c r="E55" s="9"/>
      <c r="F55" s="41">
        <f>'Low pensions'!I55</f>
        <v>20333246.678401761</v>
      </c>
      <c r="G55" s="56">
        <f>'Low pensions'!K55</f>
        <v>833066.68368924002</v>
      </c>
      <c r="H55" s="56">
        <f>'Low pensions'!V55</f>
        <v>4583287.0992492298</v>
      </c>
      <c r="I55" s="56">
        <f>'Low pensions'!M55</f>
        <v>25764.948980079032</v>
      </c>
      <c r="J55" s="56">
        <f>'Low pensions'!W55</f>
        <v>141751.14739945764</v>
      </c>
      <c r="K55" s="9"/>
      <c r="L55" s="56">
        <f>'Low pensions'!N55</f>
        <v>2803532.7404338596</v>
      </c>
      <c r="M55" s="41"/>
      <c r="N55" s="56">
        <f>'Low pensions'!L55</f>
        <v>892038.67746711895</v>
      </c>
      <c r="O55" s="9"/>
      <c r="P55" s="56">
        <f>'Low pensions'!X55</f>
        <v>19455278.327009231</v>
      </c>
      <c r="Q55" s="41"/>
      <c r="R55" s="56">
        <f>'Low SIPA income'!G50</f>
        <v>22801264.356593732</v>
      </c>
      <c r="S55" s="41"/>
      <c r="T55" s="56">
        <f>'Low SIPA income'!J50</f>
        <v>87182610.491780072</v>
      </c>
      <c r="U55" s="9"/>
      <c r="V55" s="56">
        <f>'Low SIPA income'!F50</f>
        <v>127135.97476052299</v>
      </c>
      <c r="W55" s="41"/>
      <c r="X55" s="56">
        <f>'Low SIPA income'!M50</f>
        <v>319328.91427982249</v>
      </c>
      <c r="Y55" s="9"/>
      <c r="Z55" s="9">
        <f t="shared" si="25"/>
        <v>-1100417.7649484873</v>
      </c>
      <c r="AA55" s="9"/>
      <c r="AB55" s="9">
        <f t="shared" si="26"/>
        <v>-44140191.782129645</v>
      </c>
      <c r="AC55" s="23"/>
      <c r="AD55" s="9"/>
      <c r="AE55" s="9"/>
      <c r="AF55" s="9"/>
      <c r="AG55" s="9">
        <f t="shared" si="22"/>
        <v>5448511980.9364538</v>
      </c>
      <c r="AH55" s="42">
        <f t="shared" si="20"/>
        <v>6.7461885478847777E-3</v>
      </c>
      <c r="AI55" s="42"/>
      <c r="AJ55" s="42">
        <f t="shared" si="27"/>
        <v>-8.1013296724995222E-3</v>
      </c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46">
        <f>workers_and_wage_low!C43</f>
        <v>12083990</v>
      </c>
      <c r="AX55" s="7"/>
      <c r="AY55" s="42">
        <f t="shared" si="28"/>
        <v>4.8135297704942131E-3</v>
      </c>
      <c r="AZ55" s="47">
        <f>workers_and_wage_low!B43</f>
        <v>6419.5837626089797</v>
      </c>
      <c r="BA55" s="42">
        <f t="shared" si="29"/>
        <v>1.9234004321494744E-3</v>
      </c>
      <c r="BB55" s="42"/>
      <c r="BC55" s="42"/>
      <c r="BD55" s="42"/>
      <c r="BE55" s="42"/>
      <c r="BF55" s="7">
        <f t="shared" si="23"/>
        <v>103.75865229936242</v>
      </c>
      <c r="BG55" s="7"/>
      <c r="BH55" s="7"/>
      <c r="BI55" s="42">
        <f t="shared" si="24"/>
        <v>1.4146385474328562E-2</v>
      </c>
      <c r="BJ55" s="7"/>
      <c r="BK55" s="7"/>
      <c r="BL55" s="7"/>
      <c r="BM55" s="7"/>
      <c r="BN55" s="7"/>
      <c r="BO55" s="7"/>
      <c r="BP55" s="7"/>
      <c r="BQ55" s="7"/>
      <c r="BR55" s="7"/>
    </row>
    <row r="56" spans="1:70" x14ac:dyDescent="0.2">
      <c r="A56" s="7">
        <f t="shared" si="30"/>
        <v>2025</v>
      </c>
      <c r="B56" s="7">
        <f t="shared" si="31"/>
        <v>3</v>
      </c>
      <c r="C56" s="9"/>
      <c r="D56" s="56">
        <f>'Low pensions'!Q56</f>
        <v>113181339.06835923</v>
      </c>
      <c r="E56" s="9"/>
      <c r="F56" s="41">
        <f>'Low pensions'!I56</f>
        <v>20572048.128652103</v>
      </c>
      <c r="G56" s="56">
        <f>'Low pensions'!K56</f>
        <v>874489.43133329705</v>
      </c>
      <c r="H56" s="56">
        <f>'Low pensions'!V56</f>
        <v>4811182.8351004114</v>
      </c>
      <c r="I56" s="56">
        <f>'Low pensions'!M56</f>
        <v>27046.064886595937</v>
      </c>
      <c r="J56" s="56">
        <f>'Low pensions'!W56</f>
        <v>148799.46912681201</v>
      </c>
      <c r="K56" s="9"/>
      <c r="L56" s="56">
        <f>'Low pensions'!N56</f>
        <v>2804765.1000123639</v>
      </c>
      <c r="M56" s="41"/>
      <c r="N56" s="56">
        <f>'Low pensions'!L56</f>
        <v>904005.96624920517</v>
      </c>
      <c r="O56" s="9"/>
      <c r="P56" s="56">
        <f>'Low pensions'!X56</f>
        <v>19527513.53867849</v>
      </c>
      <c r="Q56" s="41"/>
      <c r="R56" s="56">
        <f>'Low SIPA income'!G51</f>
        <v>20063978.097183347</v>
      </c>
      <c r="S56" s="41"/>
      <c r="T56" s="56">
        <f>'Low SIPA income'!J51</f>
        <v>76716359.23367098</v>
      </c>
      <c r="U56" s="9"/>
      <c r="V56" s="56">
        <f>'Low SIPA income'!F51</f>
        <v>128338.397252649</v>
      </c>
      <c r="W56" s="41"/>
      <c r="X56" s="56">
        <f>'Low SIPA income'!M51</f>
        <v>322349.05291201913</v>
      </c>
      <c r="Y56" s="9"/>
      <c r="Z56" s="9">
        <f t="shared" si="25"/>
        <v>-4088502.7004776765</v>
      </c>
      <c r="AA56" s="9"/>
      <c r="AB56" s="9">
        <f t="shared" si="26"/>
        <v>-55992493.373366736</v>
      </c>
      <c r="AC56" s="23"/>
      <c r="AD56" s="9"/>
      <c r="AE56" s="9"/>
      <c r="AF56" s="9"/>
      <c r="AG56" s="9">
        <f t="shared" si="22"/>
        <v>5499930940.5384703</v>
      </c>
      <c r="AH56" s="42">
        <f t="shared" si="20"/>
        <v>9.4372481481042655E-3</v>
      </c>
      <c r="AI56" s="42"/>
      <c r="AJ56" s="42">
        <f t="shared" si="27"/>
        <v>-1.0180581170694626E-2</v>
      </c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9"/>
      <c r="AV56" s="7"/>
      <c r="AW56" s="46">
        <f>workers_and_wage_low!C44</f>
        <v>12165808</v>
      </c>
      <c r="AX56" s="7"/>
      <c r="AY56" s="42">
        <f t="shared" si="28"/>
        <v>6.7707768708845338E-3</v>
      </c>
      <c r="AZ56" s="47">
        <f>workers_and_wage_low!B44</f>
        <v>6436.5862780851503</v>
      </c>
      <c r="BA56" s="42">
        <f t="shared" si="29"/>
        <v>2.6485386132356725E-3</v>
      </c>
      <c r="BB56" s="42"/>
      <c r="BC56" s="42"/>
      <c r="BD56" s="42"/>
      <c r="BE56" s="42"/>
      <c r="BF56" s="7">
        <f t="shared" si="23"/>
        <v>104.73784844862439</v>
      </c>
      <c r="BG56" s="7"/>
      <c r="BH56" s="7"/>
      <c r="BI56" s="42">
        <f t="shared" si="24"/>
        <v>1.6287115664219455E-2</v>
      </c>
      <c r="BJ56" s="7"/>
      <c r="BK56" s="7"/>
      <c r="BL56" s="7"/>
      <c r="BM56" s="7"/>
      <c r="BN56" s="7"/>
      <c r="BO56" s="7"/>
      <c r="BP56" s="7"/>
      <c r="BQ56" s="7"/>
      <c r="BR56" s="7"/>
    </row>
    <row r="57" spans="1:70" x14ac:dyDescent="0.2">
      <c r="A57" s="7">
        <f t="shared" si="30"/>
        <v>2025</v>
      </c>
      <c r="B57" s="7">
        <f t="shared" si="31"/>
        <v>4</v>
      </c>
      <c r="C57" s="9"/>
      <c r="D57" s="56">
        <f>'Low pensions'!Q57</f>
        <v>113802461.86727552</v>
      </c>
      <c r="E57" s="9"/>
      <c r="F57" s="41">
        <f>'Low pensions'!I57</f>
        <v>20684944.549725473</v>
      </c>
      <c r="G57" s="56">
        <f>'Low pensions'!K57</f>
        <v>965034.18919712806</v>
      </c>
      <c r="H57" s="56">
        <f>'Low pensions'!V57</f>
        <v>5309333.377844654</v>
      </c>
      <c r="I57" s="56">
        <f>'Low pensions'!M57</f>
        <v>29846.418222591979</v>
      </c>
      <c r="J57" s="56">
        <f>'Low pensions'!W57</f>
        <v>164206.18694365126</v>
      </c>
      <c r="K57" s="9"/>
      <c r="L57" s="56">
        <f>'Low pensions'!N57</f>
        <v>2828906.3926469926</v>
      </c>
      <c r="M57" s="41"/>
      <c r="N57" s="56">
        <f>'Low pensions'!L57</f>
        <v>910420.19492170587</v>
      </c>
      <c r="O57" s="9"/>
      <c r="P57" s="56">
        <f>'Low pensions'!X57</f>
        <v>19688072.014575135</v>
      </c>
      <c r="Q57" s="41"/>
      <c r="R57" s="56">
        <f>'Low SIPA income'!G52</f>
        <v>23183374.452968217</v>
      </c>
      <c r="S57" s="41"/>
      <c r="T57" s="56">
        <f>'Low SIPA income'!J52</f>
        <v>88643641.563399553</v>
      </c>
      <c r="U57" s="9"/>
      <c r="V57" s="56">
        <f>'Low SIPA income'!F52</f>
        <v>130189.022479835</v>
      </c>
      <c r="W57" s="41"/>
      <c r="X57" s="56">
        <f>'Low SIPA income'!M52</f>
        <v>326997.28993265238</v>
      </c>
      <c r="Y57" s="9"/>
      <c r="Z57" s="9">
        <f t="shared" si="25"/>
        <v>-1110707.6618461162</v>
      </c>
      <c r="AA57" s="9"/>
      <c r="AB57" s="9">
        <f t="shared" si="26"/>
        <v>-44846892.318451107</v>
      </c>
      <c r="AC57" s="23"/>
      <c r="AD57" s="9"/>
      <c r="AE57" s="9"/>
      <c r="AF57" s="9"/>
      <c r="AG57" s="9">
        <f t="shared" si="22"/>
        <v>5544049951.6768904</v>
      </c>
      <c r="AH57" s="42">
        <f t="shared" si="20"/>
        <v>8.0217391118915828E-3</v>
      </c>
      <c r="AI57" s="42">
        <f>(AG57-AG53)/AG53</f>
        <v>2.9289966310083775E-2</v>
      </c>
      <c r="AJ57" s="42">
        <f t="shared" si="27"/>
        <v>-8.0891934072286655E-3</v>
      </c>
      <c r="AK57" s="7"/>
      <c r="AL57" s="7"/>
      <c r="AM57" s="7"/>
      <c r="AN57" s="7"/>
      <c r="AO57" s="7"/>
      <c r="AP57" s="7"/>
      <c r="AQ57" s="7"/>
      <c r="AR57" s="7"/>
      <c r="AS57" s="7"/>
      <c r="AT57" s="7"/>
      <c r="AV57" s="7"/>
      <c r="AW57" s="46">
        <f>workers_and_wage_low!C45</f>
        <v>12207453</v>
      </c>
      <c r="AX57" s="7"/>
      <c r="AY57" s="42">
        <f t="shared" si="28"/>
        <v>3.4231183000750956E-3</v>
      </c>
      <c r="AZ57" s="47">
        <f>workers_and_wage_low!B45</f>
        <v>6466.0847210407001</v>
      </c>
      <c r="BA57" s="42">
        <f t="shared" si="29"/>
        <v>4.5829328903714142E-3</v>
      </c>
      <c r="BB57" s="42"/>
      <c r="BC57" s="42"/>
      <c r="BD57" s="42"/>
      <c r="BE57" s="42"/>
      <c r="BF57" s="7">
        <f t="shared" si="23"/>
        <v>105.57802814402008</v>
      </c>
      <c r="BG57" s="49">
        <f>(BB57-BB53)/BB53</f>
        <v>-1</v>
      </c>
      <c r="BH57" s="7"/>
      <c r="BI57" s="42">
        <f t="shared" si="24"/>
        <v>1.4228997903220504E-2</v>
      </c>
      <c r="BJ57" s="7"/>
      <c r="BK57" s="7"/>
      <c r="BL57" s="7"/>
      <c r="BM57" s="7"/>
      <c r="BN57" s="7"/>
      <c r="BO57" s="7"/>
      <c r="BP57" s="7"/>
      <c r="BQ57" s="7"/>
      <c r="BR57" s="7"/>
    </row>
    <row r="58" spans="1:70" x14ac:dyDescent="0.2">
      <c r="A58" s="5">
        <f t="shared" si="30"/>
        <v>2026</v>
      </c>
      <c r="B58" s="5">
        <f t="shared" si="31"/>
        <v>1</v>
      </c>
      <c r="C58" s="6"/>
      <c r="D58" s="55">
        <f>'Low pensions'!Q58</f>
        <v>114088731.94782408</v>
      </c>
      <c r="E58" s="6"/>
      <c r="F58" s="8">
        <f>'Low pensions'!I58</f>
        <v>20736977.52550853</v>
      </c>
      <c r="G58" s="55">
        <f>'Low pensions'!K58</f>
        <v>1035406.43948157</v>
      </c>
      <c r="H58" s="55">
        <f>'Low pensions'!V58</f>
        <v>5696500.7357390644</v>
      </c>
      <c r="I58" s="55">
        <f>'Low pensions'!M58</f>
        <v>32022.879571600002</v>
      </c>
      <c r="J58" s="55">
        <f>'Low pensions'!W58</f>
        <v>176180.43512597823</v>
      </c>
      <c r="K58" s="6"/>
      <c r="L58" s="55">
        <f>'Low pensions'!N58</f>
        <v>3414116.6817726847</v>
      </c>
      <c r="M58" s="8"/>
      <c r="N58" s="55">
        <f>'Low pensions'!L58</f>
        <v>913653.92142390087</v>
      </c>
      <c r="O58" s="6"/>
      <c r="P58" s="55">
        <f>'Low pensions'!X58</f>
        <v>22742521.995932534</v>
      </c>
      <c r="Q58" s="8"/>
      <c r="R58" s="55">
        <f>'Low SIPA income'!G53</f>
        <v>20408004.312513273</v>
      </c>
      <c r="S58" s="8"/>
      <c r="T58" s="55">
        <f>'Low SIPA income'!J53</f>
        <v>78031773.285321876</v>
      </c>
      <c r="U58" s="6"/>
      <c r="V58" s="55">
        <f>'Low SIPA income'!F53</f>
        <v>132405.34632189301</v>
      </c>
      <c r="W58" s="8"/>
      <c r="X58" s="55">
        <f>'Low SIPA income'!M53</f>
        <v>332564.05644000787</v>
      </c>
      <c r="Y58" s="6"/>
      <c r="Z58" s="6">
        <f t="shared" si="25"/>
        <v>-4524338.4698699508</v>
      </c>
      <c r="AA58" s="6"/>
      <c r="AB58" s="6">
        <f t="shared" si="26"/>
        <v>-58799480.658434734</v>
      </c>
      <c r="AC58" s="23"/>
      <c r="AD58" s="6"/>
      <c r="AE58" s="6"/>
      <c r="AF58" s="6"/>
      <c r="AG58" s="6">
        <f t="shared" si="22"/>
        <v>5607207166.6175776</v>
      </c>
      <c r="AH58" s="35">
        <f t="shared" ref="AH58:AH89" si="32">(AG58-AG57)/AG57</f>
        <v>1.1391891395492248E-2</v>
      </c>
      <c r="AI58" s="35"/>
      <c r="AJ58" s="35">
        <f t="shared" si="27"/>
        <v>-1.0486411311587798E-2</v>
      </c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35">
        <f>AVERAGE(AH58:AH61)</f>
        <v>7.2068928689867397E-3</v>
      </c>
      <c r="AV58" s="5"/>
      <c r="AW58" s="39">
        <f>workers_and_wage_low!C46</f>
        <v>12263793</v>
      </c>
      <c r="AX58" s="5"/>
      <c r="AY58" s="35">
        <f t="shared" si="28"/>
        <v>4.6152133454865647E-3</v>
      </c>
      <c r="AZ58" s="40">
        <f>workers_and_wage_low!B46</f>
        <v>6509.7019924262604</v>
      </c>
      <c r="BA58" s="35">
        <f t="shared" si="29"/>
        <v>6.7455459164692559E-3</v>
      </c>
      <c r="BB58" s="35"/>
      <c r="BC58" s="35"/>
      <c r="BD58" s="35"/>
      <c r="BE58" s="35"/>
      <c r="BF58" s="5">
        <f t="shared" si="23"/>
        <v>106.78076157438699</v>
      </c>
      <c r="BG58" s="5"/>
      <c r="BH58" s="5"/>
      <c r="BI58" s="35">
        <f t="shared" si="24"/>
        <v>1.6479509203227622E-2</v>
      </c>
      <c r="BJ58" s="5"/>
      <c r="BK58" s="5"/>
      <c r="BL58" s="5"/>
      <c r="BM58" s="5"/>
      <c r="BN58" s="5"/>
      <c r="BO58" s="5"/>
      <c r="BP58" s="5"/>
      <c r="BQ58" s="5"/>
      <c r="BR58" s="5"/>
    </row>
    <row r="59" spans="1:70" x14ac:dyDescent="0.2">
      <c r="A59" s="7">
        <f t="shared" si="30"/>
        <v>2026</v>
      </c>
      <c r="B59" s="7">
        <f t="shared" si="31"/>
        <v>2</v>
      </c>
      <c r="C59" s="9"/>
      <c r="D59" s="56">
        <f>'Low pensions'!Q59</f>
        <v>114271767.88380246</v>
      </c>
      <c r="E59" s="9"/>
      <c r="F59" s="41">
        <f>'Low pensions'!I59</f>
        <v>20770246.473510161</v>
      </c>
      <c r="G59" s="56">
        <f>'Low pensions'!K59</f>
        <v>1127488.60938514</v>
      </c>
      <c r="H59" s="56">
        <f>'Low pensions'!V59</f>
        <v>6203109.6659160648</v>
      </c>
      <c r="I59" s="56">
        <f>'Low pensions'!M59</f>
        <v>34870.78173355991</v>
      </c>
      <c r="J59" s="56">
        <f>'Low pensions'!W59</f>
        <v>191848.75255409893</v>
      </c>
      <c r="K59" s="9"/>
      <c r="L59" s="56">
        <f>'Low pensions'!N59</f>
        <v>2815084.5545920539</v>
      </c>
      <c r="M59" s="41"/>
      <c r="N59" s="56">
        <f>'Low pensions'!L59</f>
        <v>916942.3440685384</v>
      </c>
      <c r="O59" s="9"/>
      <c r="P59" s="56">
        <f>'Low pensions'!X59</f>
        <v>19652233.371462572</v>
      </c>
      <c r="Q59" s="41"/>
      <c r="R59" s="56">
        <f>'Low SIPA income'!G54</f>
        <v>23705313.305514734</v>
      </c>
      <c r="S59" s="41"/>
      <c r="T59" s="56">
        <f>'Low SIPA income'!J54</f>
        <v>90639320.003438815</v>
      </c>
      <c r="U59" s="9"/>
      <c r="V59" s="56">
        <f>'Low SIPA income'!F54</f>
        <v>126516.029974808</v>
      </c>
      <c r="W59" s="41"/>
      <c r="X59" s="56">
        <f>'Low SIPA income'!M54</f>
        <v>317771.79171314772</v>
      </c>
      <c r="Y59" s="9"/>
      <c r="Z59" s="9">
        <f t="shared" si="25"/>
        <v>-670444.03668121248</v>
      </c>
      <c r="AA59" s="9"/>
      <c r="AB59" s="9">
        <f t="shared" si="26"/>
        <v>-43284681.251826212</v>
      </c>
      <c r="AC59" s="23"/>
      <c r="AD59" s="9"/>
      <c r="AE59" s="9"/>
      <c r="AF59" s="9"/>
      <c r="AG59" s="9">
        <f t="shared" si="22"/>
        <v>5626068752.8324461</v>
      </c>
      <c r="AH59" s="42">
        <f t="shared" si="32"/>
        <v>3.3638111905621593E-3</v>
      </c>
      <c r="AI59" s="42"/>
      <c r="AJ59" s="42">
        <f t="shared" si="27"/>
        <v>-7.693592658289952E-3</v>
      </c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46">
        <f>workers_and_wage_low!C47</f>
        <v>12244018</v>
      </c>
      <c r="AX59" s="7"/>
      <c r="AY59" s="42">
        <f t="shared" si="28"/>
        <v>-1.6124701387246181E-3</v>
      </c>
      <c r="AZ59" s="47">
        <f>workers_and_wage_low!B47</f>
        <v>6542.1484198056496</v>
      </c>
      <c r="BA59" s="42">
        <f t="shared" si="29"/>
        <v>4.984318393858757E-3</v>
      </c>
      <c r="BB59" s="42"/>
      <c r="BC59" s="42"/>
      <c r="BD59" s="42"/>
      <c r="BE59" s="42"/>
      <c r="BF59" s="7">
        <f t="shared" si="23"/>
        <v>107.13995189510766</v>
      </c>
      <c r="BG59" s="7"/>
      <c r="BH59" s="7"/>
      <c r="BI59" s="42">
        <f t="shared" si="24"/>
        <v>1.4500098111376215E-2</v>
      </c>
      <c r="BJ59" s="7"/>
      <c r="BK59" s="7"/>
      <c r="BL59" s="7"/>
      <c r="BM59" s="7"/>
      <c r="BN59" s="7"/>
      <c r="BO59" s="7"/>
      <c r="BP59" s="7"/>
      <c r="BQ59" s="7"/>
      <c r="BR59" s="7"/>
    </row>
    <row r="60" spans="1:70" x14ac:dyDescent="0.2">
      <c r="A60" s="7">
        <f t="shared" si="30"/>
        <v>2026</v>
      </c>
      <c r="B60" s="7">
        <f t="shared" si="31"/>
        <v>3</v>
      </c>
      <c r="C60" s="9"/>
      <c r="D60" s="56">
        <f>'Low pensions'!Q60</f>
        <v>114355904.45421396</v>
      </c>
      <c r="E60" s="9"/>
      <c r="F60" s="41">
        <f>'Low pensions'!I60</f>
        <v>20785539.291125968</v>
      </c>
      <c r="G60" s="56">
        <f>'Low pensions'!K60</f>
        <v>1195035.36592673</v>
      </c>
      <c r="H60" s="56">
        <f>'Low pensions'!V60</f>
        <v>6574731.9908927325</v>
      </c>
      <c r="I60" s="56">
        <f>'Low pensions'!M60</f>
        <v>36959.856678150129</v>
      </c>
      <c r="J60" s="56">
        <f>'Low pensions'!W60</f>
        <v>203342.22652247679</v>
      </c>
      <c r="K60" s="9"/>
      <c r="L60" s="56">
        <f>'Low pensions'!N60</f>
        <v>2781515.4462036062</v>
      </c>
      <c r="M60" s="41"/>
      <c r="N60" s="56">
        <f>'Low pensions'!L60</f>
        <v>918849.09439105541</v>
      </c>
      <c r="O60" s="9"/>
      <c r="P60" s="56">
        <f>'Low pensions'!X60</f>
        <v>19488533.486146279</v>
      </c>
      <c r="Q60" s="41"/>
      <c r="R60" s="56">
        <f>'Low SIPA income'!G55</f>
        <v>20956951.063202467</v>
      </c>
      <c r="S60" s="41"/>
      <c r="T60" s="56">
        <f>'Low SIPA income'!J55</f>
        <v>80130718.764730096</v>
      </c>
      <c r="U60" s="9"/>
      <c r="V60" s="56">
        <f>'Low SIPA income'!F55</f>
        <v>125500.067712619</v>
      </c>
      <c r="W60" s="41"/>
      <c r="X60" s="56">
        <f>'Low SIPA income'!M55</f>
        <v>315219.98742057686</v>
      </c>
      <c r="Y60" s="9"/>
      <c r="Z60" s="9">
        <f t="shared" si="25"/>
        <v>-3403452.7008055449</v>
      </c>
      <c r="AA60" s="9"/>
      <c r="AB60" s="9">
        <f t="shared" si="26"/>
        <v>-53713719.175630145</v>
      </c>
      <c r="AC60" s="23"/>
      <c r="AD60" s="9"/>
      <c r="AE60" s="9"/>
      <c r="AF60" s="9"/>
      <c r="AG60" s="9">
        <f t="shared" si="22"/>
        <v>5683739706.5549431</v>
      </c>
      <c r="AH60" s="42">
        <f t="shared" si="32"/>
        <v>1.0250666363339858E-2</v>
      </c>
      <c r="AI60" s="42"/>
      <c r="AJ60" s="42">
        <f t="shared" si="27"/>
        <v>-9.450418553418832E-3</v>
      </c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9"/>
      <c r="AV60" s="7"/>
      <c r="AW60" s="46">
        <f>workers_and_wage_low!C48</f>
        <v>12302860</v>
      </c>
      <c r="AX60" s="7"/>
      <c r="AY60" s="42">
        <f t="shared" si="28"/>
        <v>4.8057753590365513E-3</v>
      </c>
      <c r="AZ60" s="47">
        <f>workers_and_wage_low!B48</f>
        <v>6577.5993357471798</v>
      </c>
      <c r="BA60" s="42">
        <f t="shared" si="29"/>
        <v>5.4188492321889789E-3</v>
      </c>
      <c r="BB60" s="42"/>
      <c r="BC60" s="42"/>
      <c r="BD60" s="42"/>
      <c r="BE60" s="42"/>
      <c r="BF60" s="7">
        <f t="shared" si="23"/>
        <v>108.23820779616868</v>
      </c>
      <c r="BG60" s="7"/>
      <c r="BH60" s="7"/>
      <c r="BI60" s="42">
        <f t="shared" si="24"/>
        <v>1.6517857338375585E-2</v>
      </c>
      <c r="BJ60" s="7"/>
      <c r="BK60" s="7"/>
      <c r="BL60" s="7"/>
      <c r="BM60" s="7"/>
      <c r="BN60" s="7"/>
      <c r="BO60" s="7"/>
      <c r="BP60" s="7"/>
      <c r="BQ60" s="7"/>
      <c r="BR60" s="7"/>
    </row>
    <row r="61" spans="1:70" x14ac:dyDescent="0.2">
      <c r="A61" s="7">
        <f t="shared" si="30"/>
        <v>2026</v>
      </c>
      <c r="B61" s="7">
        <f t="shared" si="31"/>
        <v>4</v>
      </c>
      <c r="C61" s="9"/>
      <c r="D61" s="56">
        <f>'Low pensions'!Q61</f>
        <v>115214550.28063332</v>
      </c>
      <c r="E61" s="9"/>
      <c r="F61" s="41">
        <f>'Low pensions'!I61</f>
        <v>20941608.334061537</v>
      </c>
      <c r="G61" s="56">
        <f>'Low pensions'!K61</f>
        <v>1231041.19255616</v>
      </c>
      <c r="H61" s="56">
        <f>'Low pensions'!V61</f>
        <v>6772825.4255715236</v>
      </c>
      <c r="I61" s="56">
        <f>'Low pensions'!M61</f>
        <v>38073.438945039874</v>
      </c>
      <c r="J61" s="56">
        <f>'Low pensions'!W61</f>
        <v>209468.82759501756</v>
      </c>
      <c r="K61" s="9"/>
      <c r="L61" s="56">
        <f>'Low pensions'!N61</f>
        <v>2753324.917931797</v>
      </c>
      <c r="M61" s="41"/>
      <c r="N61" s="56">
        <f>'Low pensions'!L61</f>
        <v>928508.7704786621</v>
      </c>
      <c r="O61" s="9"/>
      <c r="P61" s="56">
        <f>'Low pensions'!X61</f>
        <v>19395397.38870053</v>
      </c>
      <c r="Q61" s="41"/>
      <c r="R61" s="56">
        <f>'Low SIPA income'!G56</f>
        <v>24112060.959970254</v>
      </c>
      <c r="S61" s="41"/>
      <c r="T61" s="56">
        <f>'Low SIPA income'!J56</f>
        <v>92194554.91376017</v>
      </c>
      <c r="U61" s="9"/>
      <c r="V61" s="56">
        <f>'Low SIPA income'!F56</f>
        <v>135545.501117782</v>
      </c>
      <c r="W61" s="41"/>
      <c r="X61" s="56">
        <f>'Low SIPA income'!M56</f>
        <v>340451.21995553211</v>
      </c>
      <c r="Y61" s="9"/>
      <c r="Z61" s="9">
        <f t="shared" si="25"/>
        <v>-375835.56138395891</v>
      </c>
      <c r="AA61" s="9"/>
      <c r="AB61" s="9">
        <f t="shared" si="26"/>
        <v>-42415392.755573675</v>
      </c>
      <c r="AC61" s="23"/>
      <c r="AD61" s="9"/>
      <c r="AE61" s="9"/>
      <c r="AF61" s="9"/>
      <c r="AG61" s="9">
        <f t="shared" si="22"/>
        <v>5705458427.0818987</v>
      </c>
      <c r="AH61" s="42">
        <f t="shared" si="32"/>
        <v>3.8212025265526922E-3</v>
      </c>
      <c r="AI61" s="42">
        <f>(AG61-AG57)/AG57</f>
        <v>2.9113820548494089E-2</v>
      </c>
      <c r="AJ61" s="42">
        <f t="shared" si="27"/>
        <v>-7.4341778662766209E-3</v>
      </c>
      <c r="AK61" s="7"/>
      <c r="AL61" s="7"/>
      <c r="AM61" s="7"/>
      <c r="AN61" s="7"/>
      <c r="AO61" s="7"/>
      <c r="AP61" s="7"/>
      <c r="AQ61" s="7"/>
      <c r="AR61" s="7"/>
      <c r="AS61" s="7"/>
      <c r="AT61" s="7"/>
      <c r="AV61" s="7"/>
      <c r="AW61" s="46">
        <f>workers_and_wage_low!C49</f>
        <v>12317123</v>
      </c>
      <c r="AX61" s="7"/>
      <c r="AY61" s="42">
        <f t="shared" si="28"/>
        <v>1.1593239295578427E-3</v>
      </c>
      <c r="AZ61" s="47">
        <f>workers_and_wage_low!B49</f>
        <v>6595.0878318066398</v>
      </c>
      <c r="BA61" s="42">
        <f t="shared" si="29"/>
        <v>2.6587961909469784E-3</v>
      </c>
      <c r="BB61" s="42"/>
      <c r="BC61" s="42"/>
      <c r="BD61" s="42"/>
      <c r="BE61" s="42"/>
      <c r="BF61" s="7">
        <f t="shared" si="23"/>
        <v>108.65180790926894</v>
      </c>
      <c r="BG61" s="7"/>
      <c r="BH61" s="7"/>
      <c r="BI61" s="42">
        <f t="shared" si="24"/>
        <v>1.426782773806976E-2</v>
      </c>
      <c r="BJ61" s="7"/>
      <c r="BK61" s="7"/>
      <c r="BL61" s="7"/>
      <c r="BM61" s="7"/>
      <c r="BN61" s="7"/>
      <c r="BO61" s="7"/>
      <c r="BP61" s="7"/>
      <c r="BQ61" s="7"/>
      <c r="BR61" s="7"/>
    </row>
    <row r="62" spans="1:70" x14ac:dyDescent="0.2">
      <c r="A62" s="5">
        <f t="shared" si="30"/>
        <v>2027</v>
      </c>
      <c r="B62" s="5">
        <f t="shared" si="31"/>
        <v>1</v>
      </c>
      <c r="C62" s="6"/>
      <c r="D62" s="55">
        <f>'Low pensions'!Q62</f>
        <v>115441724.43154126</v>
      </c>
      <c r="E62" s="6"/>
      <c r="F62" s="8">
        <f>'Low pensions'!I62</f>
        <v>20982899.925100598</v>
      </c>
      <c r="G62" s="55">
        <f>'Low pensions'!K62</f>
        <v>1326814.9088343</v>
      </c>
      <c r="H62" s="55">
        <f>'Low pensions'!V62</f>
        <v>7299744.1547191413</v>
      </c>
      <c r="I62" s="55">
        <f>'Low pensions'!M62</f>
        <v>41035.512644360075</v>
      </c>
      <c r="J62" s="55">
        <f>'Low pensions'!W62</f>
        <v>225765.28313564509</v>
      </c>
      <c r="K62" s="6"/>
      <c r="L62" s="55">
        <f>'Low pensions'!N62</f>
        <v>3392807.3938551042</v>
      </c>
      <c r="M62" s="8"/>
      <c r="N62" s="55">
        <f>'Low pensions'!L62</f>
        <v>932732.38123744354</v>
      </c>
      <c r="O62" s="6"/>
      <c r="P62" s="55">
        <f>'Low pensions'!X62</f>
        <v>22736912.056466538</v>
      </c>
      <c r="Q62" s="8"/>
      <c r="R62" s="55">
        <f>'Low SIPA income'!G57</f>
        <v>21150236.771945722</v>
      </c>
      <c r="S62" s="8"/>
      <c r="T62" s="55">
        <f>'Low SIPA income'!J57</f>
        <v>80869763.424510896</v>
      </c>
      <c r="U62" s="6"/>
      <c r="V62" s="55">
        <f>'Low SIPA income'!F57</f>
        <v>134675.18801382501</v>
      </c>
      <c r="W62" s="8"/>
      <c r="X62" s="55">
        <f>'Low SIPA income'!M57</f>
        <v>338265.24435662257</v>
      </c>
      <c r="Y62" s="6"/>
      <c r="Z62" s="6">
        <f t="shared" si="25"/>
        <v>-4023527.7402335964</v>
      </c>
      <c r="AA62" s="6"/>
      <c r="AB62" s="6">
        <f t="shared" si="26"/>
        <v>-57308873.063496903</v>
      </c>
      <c r="AC62" s="23"/>
      <c r="AD62" s="6"/>
      <c r="AE62" s="6"/>
      <c r="AF62" s="6"/>
      <c r="AG62" s="6">
        <f t="shared" si="22"/>
        <v>5716637905.2278204</v>
      </c>
      <c r="AH62" s="35">
        <f t="shared" si="32"/>
        <v>1.9594355631190777E-3</v>
      </c>
      <c r="AI62" s="35"/>
      <c r="AJ62" s="35">
        <f t="shared" si="27"/>
        <v>-1.0024926191509942E-2</v>
      </c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35">
        <f>AVERAGE(AH62:AH65)</f>
        <v>3.3648143401226027E-3</v>
      </c>
      <c r="AV62" s="5"/>
      <c r="AW62" s="39">
        <f>workers_and_wage_low!C50</f>
        <v>12308220</v>
      </c>
      <c r="AX62" s="5"/>
      <c r="AY62" s="35">
        <f t="shared" si="28"/>
        <v>-7.2281489760230532E-4</v>
      </c>
      <c r="AZ62" s="40">
        <f>workers_and_wage_low!B50</f>
        <v>6612.7903047932004</v>
      </c>
      <c r="BA62" s="35">
        <f t="shared" si="29"/>
        <v>2.6841906336994626E-3</v>
      </c>
      <c r="BB62" s="35"/>
      <c r="BC62" s="35"/>
      <c r="BD62" s="35"/>
      <c r="BE62" s="35"/>
      <c r="BF62" s="5">
        <f t="shared" si="23"/>
        <v>108.86470412568355</v>
      </c>
      <c r="BG62" s="5"/>
      <c r="BH62" s="5"/>
      <c r="BI62" s="35">
        <f t="shared" si="24"/>
        <v>1.6412868932676607E-2</v>
      </c>
      <c r="BJ62" s="5"/>
      <c r="BK62" s="5"/>
      <c r="BL62" s="5"/>
      <c r="BM62" s="5"/>
      <c r="BN62" s="5"/>
      <c r="BO62" s="5"/>
      <c r="BP62" s="5"/>
      <c r="BQ62" s="5"/>
      <c r="BR62" s="5"/>
    </row>
    <row r="63" spans="1:70" x14ac:dyDescent="0.2">
      <c r="A63" s="7">
        <f t="shared" si="30"/>
        <v>2027</v>
      </c>
      <c r="B63" s="7">
        <f t="shared" si="31"/>
        <v>2</v>
      </c>
      <c r="C63" s="9"/>
      <c r="D63" s="56">
        <f>'Low pensions'!Q63</f>
        <v>115400748.6156631</v>
      </c>
      <c r="E63" s="9"/>
      <c r="F63" s="41">
        <f>'Low pensions'!I63</f>
        <v>20975452.08552479</v>
      </c>
      <c r="G63" s="56">
        <f>'Low pensions'!K63</f>
        <v>1354391.13885021</v>
      </c>
      <c r="H63" s="56">
        <f>'Low pensions'!V63</f>
        <v>7451460.435963437</v>
      </c>
      <c r="I63" s="56">
        <f>'Low pensions'!M63</f>
        <v>41888.385737630073</v>
      </c>
      <c r="J63" s="56">
        <f>'Low pensions'!W63</f>
        <v>230457.53925657205</v>
      </c>
      <c r="K63" s="9"/>
      <c r="L63" s="56">
        <f>'Low pensions'!N63</f>
        <v>2748150.171882262</v>
      </c>
      <c r="M63" s="41"/>
      <c r="N63" s="56">
        <f>'Low pensions'!L63</f>
        <v>932950.46870347112</v>
      </c>
      <c r="O63" s="9"/>
      <c r="P63" s="56">
        <f>'Low pensions'!X63</f>
        <v>19392982.519969836</v>
      </c>
      <c r="Q63" s="41"/>
      <c r="R63" s="56">
        <f>'Low SIPA income'!G58</f>
        <v>24438216.970923852</v>
      </c>
      <c r="S63" s="41"/>
      <c r="T63" s="56">
        <f>'Low SIPA income'!J58</f>
        <v>93441640.690137193</v>
      </c>
      <c r="U63" s="9"/>
      <c r="V63" s="56">
        <f>'Low SIPA income'!F58</f>
        <v>136524.51021621501</v>
      </c>
      <c r="W63" s="41"/>
      <c r="X63" s="56">
        <f>'Low SIPA income'!M58</f>
        <v>342910.2085546407</v>
      </c>
      <c r="Y63" s="9"/>
      <c r="Z63" s="9">
        <f t="shared" si="25"/>
        <v>-81811.244970455766</v>
      </c>
      <c r="AA63" s="9"/>
      <c r="AB63" s="9">
        <f t="shared" si="26"/>
        <v>-41352090.44549574</v>
      </c>
      <c r="AC63" s="23"/>
      <c r="AD63" s="9"/>
      <c r="AE63" s="9"/>
      <c r="AF63" s="9"/>
      <c r="AG63" s="9">
        <f t="shared" si="22"/>
        <v>5737150924.4829378</v>
      </c>
      <c r="AH63" s="42">
        <f t="shared" si="32"/>
        <v>3.5883013049258241E-3</v>
      </c>
      <c r="AI63" s="42"/>
      <c r="AJ63" s="42">
        <f t="shared" si="27"/>
        <v>-7.2077745539215719E-3</v>
      </c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46">
        <f>workers_and_wage_low!C51</f>
        <v>12312665</v>
      </c>
      <c r="AX63" s="7"/>
      <c r="AY63" s="42">
        <f t="shared" si="28"/>
        <v>3.6114076608965393E-4</v>
      </c>
      <c r="AZ63" s="47">
        <f>workers_and_wage_low!B51</f>
        <v>6634.1231365612202</v>
      </c>
      <c r="BA63" s="42">
        <f t="shared" si="29"/>
        <v>3.2259955003498212E-3</v>
      </c>
      <c r="BB63" s="42"/>
      <c r="BC63" s="42"/>
      <c r="BD63" s="42"/>
      <c r="BE63" s="42"/>
      <c r="BF63" s="7">
        <f t="shared" si="23"/>
        <v>109.2553434855581</v>
      </c>
      <c r="BG63" s="7"/>
      <c r="BH63" s="7"/>
      <c r="BI63" s="42">
        <f t="shared" si="24"/>
        <v>1.430046461655724E-2</v>
      </c>
      <c r="BJ63" s="7"/>
      <c r="BK63" s="7"/>
      <c r="BL63" s="7"/>
      <c r="BM63" s="7"/>
      <c r="BN63" s="7"/>
      <c r="BO63" s="7"/>
      <c r="BP63" s="7"/>
      <c r="BQ63" s="7"/>
      <c r="BR63" s="7"/>
    </row>
    <row r="64" spans="1:70" x14ac:dyDescent="0.2">
      <c r="A64" s="7">
        <f t="shared" si="30"/>
        <v>2027</v>
      </c>
      <c r="B64" s="7">
        <f t="shared" si="31"/>
        <v>3</v>
      </c>
      <c r="C64" s="9"/>
      <c r="D64" s="56">
        <f>'Low pensions'!Q64</f>
        <v>115615762.43182611</v>
      </c>
      <c r="E64" s="9"/>
      <c r="F64" s="41">
        <f>'Low pensions'!I64</f>
        <v>21014533.391779341</v>
      </c>
      <c r="G64" s="56">
        <f>'Low pensions'!K64</f>
        <v>1429244.87394686</v>
      </c>
      <c r="H64" s="56">
        <f>'Low pensions'!V64</f>
        <v>7863283.6010428285</v>
      </c>
      <c r="I64" s="56">
        <f>'Low pensions'!M64</f>
        <v>44203.449709699955</v>
      </c>
      <c r="J64" s="56">
        <f>'Low pensions'!W64</f>
        <v>243194.33817660023</v>
      </c>
      <c r="K64" s="9"/>
      <c r="L64" s="56">
        <f>'Low pensions'!N64</f>
        <v>2747938.5480801081</v>
      </c>
      <c r="M64" s="41"/>
      <c r="N64" s="56">
        <f>'Low pensions'!L64</f>
        <v>936902.87916409969</v>
      </c>
      <c r="O64" s="9"/>
      <c r="P64" s="56">
        <f>'Low pensions'!X64</f>
        <v>19413629.399259206</v>
      </c>
      <c r="Q64" s="41"/>
      <c r="R64" s="56">
        <f>'Low SIPA income'!G59</f>
        <v>21462357.009309251</v>
      </c>
      <c r="S64" s="41"/>
      <c r="T64" s="56">
        <f>'Low SIPA income'!J59</f>
        <v>82063182.204061925</v>
      </c>
      <c r="U64" s="9"/>
      <c r="V64" s="56">
        <f>'Low SIPA income'!F59</f>
        <v>139217.166551781</v>
      </c>
      <c r="W64" s="41"/>
      <c r="X64" s="56">
        <f>'Low SIPA income'!M59</f>
        <v>349673.38495521969</v>
      </c>
      <c r="Y64" s="9"/>
      <c r="Z64" s="9">
        <f t="shared" si="25"/>
        <v>-3097800.6431625187</v>
      </c>
      <c r="AA64" s="9"/>
      <c r="AB64" s="9">
        <f t="shared" si="26"/>
        <v>-52966209.627023399</v>
      </c>
      <c r="AC64" s="23"/>
      <c r="AD64" s="9"/>
      <c r="AE64" s="9"/>
      <c r="AF64" s="9"/>
      <c r="AG64" s="9">
        <f t="shared" si="22"/>
        <v>5767319860.6268854</v>
      </c>
      <c r="AH64" s="42">
        <f t="shared" si="32"/>
        <v>5.2585223120422938E-3</v>
      </c>
      <c r="AI64" s="42"/>
      <c r="AJ64" s="42">
        <f t="shared" si="27"/>
        <v>-9.1838515821916246E-3</v>
      </c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9"/>
      <c r="AV64" s="7"/>
      <c r="AW64" s="46">
        <f>workers_and_wage_low!C52</f>
        <v>12329956</v>
      </c>
      <c r="AX64" s="7"/>
      <c r="AY64" s="42">
        <f t="shared" si="28"/>
        <v>1.4043263582660618E-3</v>
      </c>
      <c r="AZ64" s="47">
        <f>workers_and_wage_low!B52</f>
        <v>6659.6564899498298</v>
      </c>
      <c r="BA64" s="42">
        <f t="shared" si="29"/>
        <v>3.848790995134401E-3</v>
      </c>
      <c r="BB64" s="42"/>
      <c r="BC64" s="42"/>
      <c r="BD64" s="42"/>
      <c r="BE64" s="42"/>
      <c r="BF64" s="7">
        <f t="shared" si="23"/>
        <v>109.82986514698676</v>
      </c>
      <c r="BG64" s="7"/>
      <c r="BH64" s="7"/>
      <c r="BI64" s="42">
        <f t="shared" si="24"/>
        <v>1.6414589637499151E-2</v>
      </c>
      <c r="BJ64" s="7"/>
      <c r="BK64" s="7"/>
      <c r="BL64" s="7"/>
      <c r="BM64" s="7"/>
      <c r="BN64" s="7"/>
      <c r="BO64" s="7"/>
      <c r="BP64" s="7"/>
      <c r="BQ64" s="7"/>
      <c r="BR64" s="7"/>
    </row>
    <row r="65" spans="1:70" x14ac:dyDescent="0.2">
      <c r="A65" s="7">
        <f t="shared" si="30"/>
        <v>2027</v>
      </c>
      <c r="B65" s="7">
        <f t="shared" si="31"/>
        <v>4</v>
      </c>
      <c r="C65" s="9"/>
      <c r="D65" s="56">
        <f>'Low pensions'!Q65</f>
        <v>116023290.15062734</v>
      </c>
      <c r="E65" s="9"/>
      <c r="F65" s="41">
        <f>'Low pensions'!I65</f>
        <v>21088606.37866877</v>
      </c>
      <c r="G65" s="56">
        <f>'Low pensions'!K65</f>
        <v>1510847.9289446301</v>
      </c>
      <c r="H65" s="56">
        <f>'Low pensions'!V65</f>
        <v>8312239.5328468699</v>
      </c>
      <c r="I65" s="56">
        <f>'Low pensions'!M65</f>
        <v>46727.255534369964</v>
      </c>
      <c r="J65" s="56">
        <f>'Low pensions'!W65</f>
        <v>257079.5731808308</v>
      </c>
      <c r="K65" s="9"/>
      <c r="L65" s="56">
        <f>'Low pensions'!N65</f>
        <v>2782078.5310808993</v>
      </c>
      <c r="M65" s="41"/>
      <c r="N65" s="56">
        <f>'Low pensions'!L65</f>
        <v>941870.58611033112</v>
      </c>
      <c r="O65" s="9"/>
      <c r="P65" s="56">
        <f>'Low pensions'!X65</f>
        <v>19618112.791252621</v>
      </c>
      <c r="Q65" s="41"/>
      <c r="R65" s="56">
        <f>'Low SIPA income'!G60</f>
        <v>24922868.696360253</v>
      </c>
      <c r="S65" s="41"/>
      <c r="T65" s="56">
        <f>'Low SIPA income'!J60</f>
        <v>95294748.567932218</v>
      </c>
      <c r="U65" s="9"/>
      <c r="V65" s="56">
        <f>'Low SIPA income'!F60</f>
        <v>140437.84170906799</v>
      </c>
      <c r="W65" s="41"/>
      <c r="X65" s="56">
        <f>'Low SIPA income'!M60</f>
        <v>352739.36901991133</v>
      </c>
      <c r="Y65" s="9"/>
      <c r="Z65" s="9">
        <f t="shared" si="25"/>
        <v>250751.04220931977</v>
      </c>
      <c r="AA65" s="9"/>
      <c r="AB65" s="9">
        <f t="shared" si="26"/>
        <v>-40346654.37394774</v>
      </c>
      <c r="AC65" s="23"/>
      <c r="AD65" s="9"/>
      <c r="AE65" s="9"/>
      <c r="AF65" s="9"/>
      <c r="AG65" s="9">
        <f t="shared" si="22"/>
        <v>5782620549.7229319</v>
      </c>
      <c r="AH65" s="42">
        <f t="shared" si="32"/>
        <v>2.6529981804032147E-3</v>
      </c>
      <c r="AI65" s="42">
        <f>(AG65-AG61)/AG61</f>
        <v>1.3524263409714887E-2</v>
      </c>
      <c r="AJ65" s="42">
        <f t="shared" si="27"/>
        <v>-6.9772266789805025E-3</v>
      </c>
      <c r="AK65" s="7"/>
      <c r="AL65" s="7"/>
      <c r="AM65" s="7"/>
      <c r="AN65" s="7"/>
      <c r="AO65" s="7"/>
      <c r="AP65" s="7"/>
      <c r="AQ65" s="7"/>
      <c r="AR65" s="7"/>
      <c r="AS65" s="7"/>
      <c r="AT65" s="7"/>
      <c r="AV65" s="7"/>
      <c r="AW65" s="46">
        <f>workers_and_wage_low!C53</f>
        <v>12373127</v>
      </c>
      <c r="AX65" s="7"/>
      <c r="AY65" s="42">
        <f t="shared" si="28"/>
        <v>3.501310142550387E-3</v>
      </c>
      <c r="AZ65" s="47">
        <f>workers_and_wage_low!B53</f>
        <v>6654.0267352030096</v>
      </c>
      <c r="BA65" s="42">
        <f t="shared" si="29"/>
        <v>-8.453521221877114E-4</v>
      </c>
      <c r="BB65" s="42"/>
      <c r="BC65" s="42"/>
      <c r="BD65" s="42"/>
      <c r="BE65" s="42"/>
      <c r="BF65" s="7">
        <f t="shared" si="23"/>
        <v>110.12124357937564</v>
      </c>
      <c r="BG65" s="7"/>
      <c r="BH65" s="7"/>
      <c r="BI65" s="42">
        <f t="shared" si="24"/>
        <v>1.4294754291553139E-2</v>
      </c>
      <c r="BJ65" s="7"/>
      <c r="BK65" s="7"/>
      <c r="BL65" s="7"/>
      <c r="BM65" s="7"/>
      <c r="BN65" s="7"/>
      <c r="BO65" s="7"/>
      <c r="BP65" s="7"/>
      <c r="BQ65" s="7"/>
      <c r="BR65" s="7"/>
    </row>
    <row r="66" spans="1:70" x14ac:dyDescent="0.2">
      <c r="A66" s="5">
        <f t="shared" si="30"/>
        <v>2028</v>
      </c>
      <c r="B66" s="5">
        <f t="shared" si="31"/>
        <v>1</v>
      </c>
      <c r="C66" s="6"/>
      <c r="D66" s="55">
        <f>'Low pensions'!Q66</f>
        <v>116420567.60406822</v>
      </c>
      <c r="E66" s="6"/>
      <c r="F66" s="8">
        <f>'Low pensions'!I66</f>
        <v>21160816.258494258</v>
      </c>
      <c r="G66" s="55">
        <f>'Low pensions'!K66</f>
        <v>1595312.24371334</v>
      </c>
      <c r="H66" s="55">
        <f>'Low pensions'!V66</f>
        <v>8776937.2717025075</v>
      </c>
      <c r="I66" s="55">
        <f>'Low pensions'!M66</f>
        <v>49339.553929280024</v>
      </c>
      <c r="J66" s="55">
        <f>'Low pensions'!W66</f>
        <v>271451.66819699283</v>
      </c>
      <c r="K66" s="6"/>
      <c r="L66" s="55">
        <f>'Low pensions'!N66</f>
        <v>3329532.1157018035</v>
      </c>
      <c r="M66" s="8"/>
      <c r="N66" s="55">
        <f>'Low pensions'!L66</f>
        <v>947281.67949302495</v>
      </c>
      <c r="O66" s="6"/>
      <c r="P66" s="55">
        <f>'Low pensions'!X66</f>
        <v>22488622.28359627</v>
      </c>
      <c r="Q66" s="8"/>
      <c r="R66" s="55">
        <f>'Low SIPA income'!G61</f>
        <v>22017744.14769524</v>
      </c>
      <c r="S66" s="8"/>
      <c r="T66" s="55">
        <f>'Low SIPA income'!J61</f>
        <v>84186753.064028203</v>
      </c>
      <c r="U66" s="6"/>
      <c r="V66" s="55">
        <f>'Low SIPA income'!F61</f>
        <v>143142.39307122899</v>
      </c>
      <c r="W66" s="8"/>
      <c r="X66" s="55">
        <f>'Low SIPA income'!M61</f>
        <v>359532.42229786562</v>
      </c>
      <c r="Y66" s="6"/>
      <c r="Z66" s="6">
        <f t="shared" si="25"/>
        <v>-3276743.5129226148</v>
      </c>
      <c r="AA66" s="6"/>
      <c r="AB66" s="6">
        <f t="shared" si="26"/>
        <v>-54722436.823636286</v>
      </c>
      <c r="AC66" s="23"/>
      <c r="AD66" s="6"/>
      <c r="AE66" s="6"/>
      <c r="AF66" s="6"/>
      <c r="AG66" s="6">
        <f t="shared" si="22"/>
        <v>5805943685.1657257</v>
      </c>
      <c r="AH66" s="35">
        <f t="shared" si="32"/>
        <v>4.0333159062133778E-3</v>
      </c>
      <c r="AI66" s="35"/>
      <c r="AJ66" s="35">
        <f t="shared" si="27"/>
        <v>-9.4252441620219195E-3</v>
      </c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35">
        <f>AVERAGE(AH66:AH69)</f>
        <v>7.6715291840175623E-3</v>
      </c>
      <c r="AV66" s="5"/>
      <c r="AW66" s="39">
        <f>workers_and_wage_low!C54</f>
        <v>12376402</v>
      </c>
      <c r="AX66" s="5"/>
      <c r="AY66" s="35">
        <f t="shared" si="28"/>
        <v>2.6468652588791821E-4</v>
      </c>
      <c r="AZ66" s="40">
        <f>workers_and_wage_low!B54</f>
        <v>6679.0966601834198</v>
      </c>
      <c r="BA66" s="35">
        <f t="shared" si="29"/>
        <v>3.7676321388638535E-3</v>
      </c>
      <c r="BB66" s="35"/>
      <c r="BC66" s="35"/>
      <c r="BD66" s="35"/>
      <c r="BE66" s="35"/>
      <c r="BF66" s="5">
        <f t="shared" si="23"/>
        <v>110.56539734271634</v>
      </c>
      <c r="BG66" s="5"/>
      <c r="BH66" s="5"/>
      <c r="BI66" s="35">
        <f t="shared" si="24"/>
        <v>1.6390639272645009E-2</v>
      </c>
      <c r="BJ66" s="5"/>
      <c r="BK66" s="5"/>
      <c r="BL66" s="5"/>
      <c r="BM66" s="5"/>
      <c r="BN66" s="5"/>
      <c r="BO66" s="5"/>
      <c r="BP66" s="5"/>
      <c r="BQ66" s="5"/>
      <c r="BR66" s="5"/>
    </row>
    <row r="67" spans="1:70" x14ac:dyDescent="0.2">
      <c r="A67" s="7">
        <f t="shared" si="30"/>
        <v>2028</v>
      </c>
      <c r="B67" s="7">
        <f t="shared" si="31"/>
        <v>2</v>
      </c>
      <c r="C67" s="9"/>
      <c r="D67" s="56">
        <f>'Low pensions'!Q67</f>
        <v>116813578.9842817</v>
      </c>
      <c r="E67" s="9"/>
      <c r="F67" s="41">
        <f>'Low pensions'!I67</f>
        <v>21232250.729012199</v>
      </c>
      <c r="G67" s="56">
        <f>'Low pensions'!K67</f>
        <v>1649414.0787394</v>
      </c>
      <c r="H67" s="56">
        <f>'Low pensions'!V67</f>
        <v>9074589.6053938996</v>
      </c>
      <c r="I67" s="56">
        <f>'Low pensions'!M67</f>
        <v>51012.806558949873</v>
      </c>
      <c r="J67" s="56">
        <f>'Low pensions'!W67</f>
        <v>280657.41047609644</v>
      </c>
      <c r="K67" s="9"/>
      <c r="L67" s="56">
        <f>'Low pensions'!N67</f>
        <v>2684688.3661129517</v>
      </c>
      <c r="M67" s="41"/>
      <c r="N67" s="56">
        <f>'Low pensions'!L67</f>
        <v>951794.32216375321</v>
      </c>
      <c r="O67" s="9"/>
      <c r="P67" s="56">
        <f>'Low pensions'!X67</f>
        <v>19167352.230051003</v>
      </c>
      <c r="Q67" s="41"/>
      <c r="R67" s="56">
        <f>'Low SIPA income'!G62</f>
        <v>25390374.345440142</v>
      </c>
      <c r="S67" s="41"/>
      <c r="T67" s="56">
        <f>'Low SIPA income'!J62</f>
        <v>97082296.936698541</v>
      </c>
      <c r="U67" s="9"/>
      <c r="V67" s="56">
        <f>'Low SIPA income'!F62</f>
        <v>142001.11751008499</v>
      </c>
      <c r="W67" s="41"/>
      <c r="X67" s="56">
        <f>'Low SIPA income'!M62</f>
        <v>356665.8671271464</v>
      </c>
      <c r="Y67" s="9"/>
      <c r="Z67" s="9">
        <f t="shared" si="25"/>
        <v>663642.04566132277</v>
      </c>
      <c r="AA67" s="9"/>
      <c r="AB67" s="9">
        <f t="shared" si="26"/>
        <v>-38898634.277634159</v>
      </c>
      <c r="AC67" s="23"/>
      <c r="AD67" s="9"/>
      <c r="AE67" s="9"/>
      <c r="AF67" s="9"/>
      <c r="AG67" s="9">
        <f t="shared" si="22"/>
        <v>5877414663.895257</v>
      </c>
      <c r="AH67" s="42">
        <f t="shared" si="32"/>
        <v>1.2309967613385698E-2</v>
      </c>
      <c r="AI67" s="42"/>
      <c r="AJ67" s="42">
        <f t="shared" si="27"/>
        <v>-6.6183239574003593E-3</v>
      </c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46">
        <f>workers_and_wage_low!C55</f>
        <v>12416238</v>
      </c>
      <c r="AX67" s="7"/>
      <c r="AY67" s="42">
        <f t="shared" si="28"/>
        <v>3.2187060504337206E-3</v>
      </c>
      <c r="AZ67" s="47">
        <f>workers_and_wage_low!B55</f>
        <v>6739.6232576000702</v>
      </c>
      <c r="BA67" s="42">
        <f t="shared" si="29"/>
        <v>9.0620933482625041E-3</v>
      </c>
      <c r="BB67" s="42"/>
      <c r="BC67" s="42"/>
      <c r="BD67" s="42"/>
      <c r="BE67" s="42"/>
      <c r="BF67" s="7">
        <f t="shared" si="23"/>
        <v>111.92645380316631</v>
      </c>
      <c r="BG67" s="7"/>
      <c r="BH67" s="7"/>
      <c r="BI67" s="42">
        <f t="shared" si="24"/>
        <v>1.4180958324213584E-2</v>
      </c>
      <c r="BJ67" s="7"/>
      <c r="BK67" s="7"/>
      <c r="BL67" s="7"/>
      <c r="BM67" s="7"/>
      <c r="BN67" s="7"/>
      <c r="BO67" s="7"/>
      <c r="BP67" s="7"/>
      <c r="BQ67" s="7"/>
      <c r="BR67" s="7"/>
    </row>
    <row r="68" spans="1:70" x14ac:dyDescent="0.2">
      <c r="A68" s="7">
        <f t="shared" si="30"/>
        <v>2028</v>
      </c>
      <c r="B68" s="7">
        <f t="shared" si="31"/>
        <v>3</v>
      </c>
      <c r="C68" s="9"/>
      <c r="D68" s="56">
        <f>'Low pensions'!Q68</f>
        <v>117424730.99287122</v>
      </c>
      <c r="E68" s="9"/>
      <c r="F68" s="41">
        <f>'Low pensions'!I68</f>
        <v>21343334.840917189</v>
      </c>
      <c r="G68" s="56">
        <f>'Low pensions'!K68</f>
        <v>1708268.25031751</v>
      </c>
      <c r="H68" s="56">
        <f>'Low pensions'!V68</f>
        <v>9398387.8926287014</v>
      </c>
      <c r="I68" s="56">
        <f>'Low pensions'!M68</f>
        <v>52833.03866960993</v>
      </c>
      <c r="J68" s="56">
        <f>'Low pensions'!W68</f>
        <v>290671.79049365036</v>
      </c>
      <c r="K68" s="9"/>
      <c r="L68" s="56">
        <f>'Low pensions'!N68</f>
        <v>2678684.5817178297</v>
      </c>
      <c r="M68" s="41"/>
      <c r="N68" s="56">
        <f>'Low pensions'!L68</f>
        <v>959299.66142599285</v>
      </c>
      <c r="O68" s="9"/>
      <c r="P68" s="56">
        <f>'Low pensions'!X68</f>
        <v>19177490.726471681</v>
      </c>
      <c r="Q68" s="41"/>
      <c r="R68" s="56">
        <f>'Low SIPA income'!G63</f>
        <v>22173713.831944093</v>
      </c>
      <c r="S68" s="41"/>
      <c r="T68" s="56">
        <f>'Low SIPA income'!J63</f>
        <v>84783116.66991137</v>
      </c>
      <c r="U68" s="9"/>
      <c r="V68" s="56">
        <f>'Low SIPA income'!F63</f>
        <v>142349.42431443799</v>
      </c>
      <c r="W68" s="41"/>
      <c r="X68" s="56">
        <f>'Low SIPA income'!M63</f>
        <v>357540.71340004297</v>
      </c>
      <c r="Y68" s="9"/>
      <c r="Z68" s="9">
        <f t="shared" si="25"/>
        <v>-2665255.8278024793</v>
      </c>
      <c r="AA68" s="9"/>
      <c r="AB68" s="9">
        <f t="shared" si="26"/>
        <v>-51819105.049431533</v>
      </c>
      <c r="AC68" s="23"/>
      <c r="AD68" s="9"/>
      <c r="AE68" s="9"/>
      <c r="AF68" s="9"/>
      <c r="AG68" s="9">
        <f t="shared" si="22"/>
        <v>5942258220.8286009</v>
      </c>
      <c r="AH68" s="42">
        <f t="shared" si="32"/>
        <v>1.1032666681096278E-2</v>
      </c>
      <c r="AI68" s="42"/>
      <c r="AJ68" s="42">
        <f t="shared" si="27"/>
        <v>-8.7204397930397866E-3</v>
      </c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9"/>
      <c r="AV68" s="7"/>
      <c r="AW68" s="46">
        <f>workers_and_wage_low!C56</f>
        <v>12444966</v>
      </c>
      <c r="AX68" s="7"/>
      <c r="AY68" s="42">
        <f t="shared" si="28"/>
        <v>2.3137443080585279E-3</v>
      </c>
      <c r="AZ68" s="47">
        <f>workers_and_wage_low!B56</f>
        <v>6798.2498626329098</v>
      </c>
      <c r="BA68" s="42">
        <f t="shared" si="29"/>
        <v>8.698795584267718E-3</v>
      </c>
      <c r="BB68" s="42"/>
      <c r="BC68" s="42"/>
      <c r="BD68" s="42"/>
      <c r="BE68" s="42"/>
      <c r="BF68" s="7">
        <f t="shared" si="23"/>
        <v>113.16130106077377</v>
      </c>
      <c r="BG68" s="7"/>
      <c r="BH68" s="7"/>
      <c r="BI68" s="42">
        <f t="shared" si="24"/>
        <v>1.6383515918863993E-2</v>
      </c>
      <c r="BJ68" s="7"/>
      <c r="BK68" s="7"/>
      <c r="BL68" s="7"/>
      <c r="BM68" s="7"/>
      <c r="BN68" s="7"/>
      <c r="BO68" s="7"/>
      <c r="BP68" s="7"/>
      <c r="BQ68" s="7"/>
      <c r="BR68" s="7"/>
    </row>
    <row r="69" spans="1:70" x14ac:dyDescent="0.2">
      <c r="A69" s="7">
        <f t="shared" si="30"/>
        <v>2028</v>
      </c>
      <c r="B69" s="7">
        <f t="shared" si="31"/>
        <v>4</v>
      </c>
      <c r="C69" s="9"/>
      <c r="D69" s="56">
        <f>'Low pensions'!Q69</f>
        <v>117897046.94702069</v>
      </c>
      <c r="E69" s="9"/>
      <c r="F69" s="41">
        <f>'Low pensions'!I69</f>
        <v>21429183.85649408</v>
      </c>
      <c r="G69" s="56">
        <f>'Low pensions'!K69</f>
        <v>1803481.3358440199</v>
      </c>
      <c r="H69" s="56">
        <f>'Low pensions'!V69</f>
        <v>9922222.1967936642</v>
      </c>
      <c r="I69" s="56">
        <f>'Low pensions'!M69</f>
        <v>55777.773273530183</v>
      </c>
      <c r="J69" s="56">
        <f>'Low pensions'!W69</f>
        <v>306872.85144724761</v>
      </c>
      <c r="K69" s="9"/>
      <c r="L69" s="56">
        <f>'Low pensions'!N69</f>
        <v>2627003.9704274535</v>
      </c>
      <c r="M69" s="41"/>
      <c r="N69" s="56">
        <f>'Low pensions'!L69</f>
        <v>965517.01168707013</v>
      </c>
      <c r="O69" s="9"/>
      <c r="P69" s="56">
        <f>'Low pensions'!X69</f>
        <v>18943525.81552818</v>
      </c>
      <c r="Q69" s="41"/>
      <c r="R69" s="56">
        <f>'Low SIPA income'!G64</f>
        <v>25591768.318375945</v>
      </c>
      <c r="S69" s="41"/>
      <c r="T69" s="56">
        <f>'Low SIPA income'!J64</f>
        <v>97852344.247376591</v>
      </c>
      <c r="U69" s="9"/>
      <c r="V69" s="56">
        <f>'Low SIPA income'!F64</f>
        <v>142237.820389367</v>
      </c>
      <c r="W69" s="41"/>
      <c r="X69" s="56">
        <f>'Low SIPA income'!M64</f>
        <v>357260.39651656908</v>
      </c>
      <c r="Y69" s="9"/>
      <c r="Z69" s="9">
        <f t="shared" si="25"/>
        <v>712301.30015670881</v>
      </c>
      <c r="AA69" s="9"/>
      <c r="AB69" s="9">
        <f t="shared" si="26"/>
        <v>-38988228.515172288</v>
      </c>
      <c r="AC69" s="23"/>
      <c r="AD69" s="9"/>
      <c r="AE69" s="9"/>
      <c r="AF69" s="9"/>
      <c r="AG69" s="9">
        <f t="shared" si="22"/>
        <v>5961928085.1357441</v>
      </c>
      <c r="AH69" s="42">
        <f t="shared" si="32"/>
        <v>3.3101665353748974E-3</v>
      </c>
      <c r="AI69" s="42">
        <f>(AG69-AG65)/AG65</f>
        <v>3.1008006468867054E-2</v>
      </c>
      <c r="AJ69" s="42">
        <f t="shared" si="27"/>
        <v>-6.5395335130555479E-3</v>
      </c>
      <c r="AK69" s="7"/>
      <c r="AL69" s="7"/>
      <c r="AM69" s="7"/>
      <c r="AN69" s="7"/>
      <c r="AO69" s="7"/>
      <c r="AP69" s="7"/>
      <c r="AQ69" s="7"/>
      <c r="AR69" s="7"/>
      <c r="AS69" s="7"/>
      <c r="AT69" s="7"/>
      <c r="AV69" s="7"/>
      <c r="AW69" s="46">
        <f>workers_and_wage_low!C57</f>
        <v>12423882</v>
      </c>
      <c r="AX69" s="7"/>
      <c r="AY69" s="42">
        <f t="shared" si="28"/>
        <v>-1.6941789957481603E-3</v>
      </c>
      <c r="AZ69" s="47">
        <f>workers_and_wage_low!B57</f>
        <v>6832.3283890761404</v>
      </c>
      <c r="BA69" s="42">
        <f t="shared" si="29"/>
        <v>5.0128381762703121E-3</v>
      </c>
      <c r="BB69" s="42"/>
      <c r="BC69" s="42"/>
      <c r="BD69" s="42"/>
      <c r="BE69" s="42"/>
      <c r="BF69" s="7">
        <f t="shared" si="23"/>
        <v>113.53588381264461</v>
      </c>
      <c r="BG69" s="7"/>
      <c r="BH69" s="7"/>
      <c r="BI69" s="42">
        <f t="shared" si="24"/>
        <v>1.4248551666415516E-2</v>
      </c>
      <c r="BJ69" s="7"/>
      <c r="BK69" s="7"/>
      <c r="BL69" s="7"/>
      <c r="BM69" s="7"/>
      <c r="BN69" s="7"/>
      <c r="BO69" s="7"/>
      <c r="BP69" s="7"/>
      <c r="BQ69" s="7"/>
      <c r="BR69" s="7"/>
    </row>
    <row r="70" spans="1:70" x14ac:dyDescent="0.2">
      <c r="A70" s="5">
        <f t="shared" si="30"/>
        <v>2029</v>
      </c>
      <c r="B70" s="5">
        <f t="shared" si="31"/>
        <v>1</v>
      </c>
      <c r="C70" s="6"/>
      <c r="D70" s="55">
        <f>'Low pensions'!Q70</f>
        <v>118196069.17437553</v>
      </c>
      <c r="E70" s="6"/>
      <c r="F70" s="8">
        <f>'Low pensions'!I70</f>
        <v>21483534.685909212</v>
      </c>
      <c r="G70" s="55">
        <f>'Low pensions'!K70</f>
        <v>1846298.7554985899</v>
      </c>
      <c r="H70" s="55">
        <f>'Low pensions'!V70</f>
        <v>10157791.00655192</v>
      </c>
      <c r="I70" s="55">
        <f>'Low pensions'!M70</f>
        <v>57102.023365929956</v>
      </c>
      <c r="J70" s="55">
        <f>'Low pensions'!W70</f>
        <v>314158.48473868717</v>
      </c>
      <c r="K70" s="6"/>
      <c r="L70" s="55">
        <f>'Low pensions'!N70</f>
        <v>3237652.6857314268</v>
      </c>
      <c r="M70" s="8"/>
      <c r="N70" s="55">
        <f>'Low pensions'!L70</f>
        <v>969307.47584856674</v>
      </c>
      <c r="O70" s="6"/>
      <c r="P70" s="55">
        <f>'Low pensions'!X70</f>
        <v>22133038.917591181</v>
      </c>
      <c r="Q70" s="8"/>
      <c r="R70" s="55">
        <f>'Low SIPA income'!G65</f>
        <v>22381360.208900031</v>
      </c>
      <c r="S70" s="8"/>
      <c r="T70" s="55">
        <f>'Low SIPA income'!J65</f>
        <v>85577070.589266896</v>
      </c>
      <c r="U70" s="6"/>
      <c r="V70" s="55">
        <f>'Low SIPA income'!F65</f>
        <v>146287.50360266899</v>
      </c>
      <c r="W70" s="8"/>
      <c r="X70" s="55">
        <f>'Low SIPA income'!M65</f>
        <v>367432.03319231584</v>
      </c>
      <c r="Y70" s="6"/>
      <c r="Z70" s="6">
        <f t="shared" si="25"/>
        <v>-3162847.1349865049</v>
      </c>
      <c r="AA70" s="6"/>
      <c r="AB70" s="6">
        <f t="shared" si="26"/>
        <v>-54752037.502699822</v>
      </c>
      <c r="AC70" s="23"/>
      <c r="AD70" s="6"/>
      <c r="AE70" s="6"/>
      <c r="AF70" s="6"/>
      <c r="AG70" s="6">
        <f t="shared" ref="AG70:AG101" si="33">BF70/100*$AG$37</f>
        <v>5984216099.5374088</v>
      </c>
      <c r="AH70" s="35">
        <f t="shared" si="32"/>
        <v>3.7383903467794462E-3</v>
      </c>
      <c r="AI70" s="35"/>
      <c r="AJ70" s="35">
        <f t="shared" si="27"/>
        <v>-9.1494084758958257E-3</v>
      </c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35">
        <f>AVERAGE(AH70:AH73)</f>
        <v>3.547832441931281E-3</v>
      </c>
      <c r="AV70" s="5"/>
      <c r="AW70" s="39">
        <f>workers_and_wage_low!C58</f>
        <v>12508743</v>
      </c>
      <c r="AX70" s="5"/>
      <c r="AY70" s="35">
        <f t="shared" si="28"/>
        <v>6.8304737601339099E-3</v>
      </c>
      <c r="AZ70" s="40">
        <f>workers_and_wage_low!B58</f>
        <v>6811.3455823007798</v>
      </c>
      <c r="BA70" s="35">
        <f t="shared" si="29"/>
        <v>-3.0711063023418079E-3</v>
      </c>
      <c r="BB70" s="35"/>
      <c r="BC70" s="35"/>
      <c r="BD70" s="35"/>
      <c r="BE70" s="35"/>
      <c r="BF70" s="5">
        <f t="shared" ref="BF70:BF101" si="34">BF69*(1+AY70)*(1+BA70)*(1-BE70)</f>
        <v>113.96032526470287</v>
      </c>
      <c r="BG70" s="5"/>
      <c r="BH70" s="5"/>
      <c r="BI70" s="35">
        <f t="shared" si="24"/>
        <v>1.6255980906508712E-2</v>
      </c>
      <c r="BJ70" s="5"/>
      <c r="BK70" s="5"/>
      <c r="BL70" s="5"/>
      <c r="BM70" s="5"/>
      <c r="BN70" s="5"/>
      <c r="BO70" s="5"/>
      <c r="BP70" s="5"/>
      <c r="BQ70" s="5"/>
      <c r="BR70" s="5"/>
    </row>
    <row r="71" spans="1:70" x14ac:dyDescent="0.2">
      <c r="A71" s="7">
        <f t="shared" si="30"/>
        <v>2029</v>
      </c>
      <c r="B71" s="7">
        <f t="shared" si="31"/>
        <v>2</v>
      </c>
      <c r="C71" s="9"/>
      <c r="D71" s="56">
        <f>'Low pensions'!Q71</f>
        <v>118266828.5729031</v>
      </c>
      <c r="E71" s="9"/>
      <c r="F71" s="41">
        <f>'Low pensions'!I71</f>
        <v>21496396.044186518</v>
      </c>
      <c r="G71" s="56">
        <f>'Low pensions'!K71</f>
        <v>1923015.01842128</v>
      </c>
      <c r="H71" s="56">
        <f>'Low pensions'!V71</f>
        <v>10579861.250195632</v>
      </c>
      <c r="I71" s="56">
        <f>'Low pensions'!M71</f>
        <v>59474.691291379975</v>
      </c>
      <c r="J71" s="56">
        <f>'Low pensions'!W71</f>
        <v>327212.20361429889</v>
      </c>
      <c r="K71" s="9"/>
      <c r="L71" s="56">
        <f>'Low pensions'!N71</f>
        <v>2639511.6447403277</v>
      </c>
      <c r="M71" s="41"/>
      <c r="N71" s="56">
        <f>'Low pensions'!L71</f>
        <v>970591.27907261997</v>
      </c>
      <c r="O71" s="9"/>
      <c r="P71" s="56">
        <f>'Low pensions'!X71</f>
        <v>19036345.319001041</v>
      </c>
      <c r="Q71" s="41"/>
      <c r="R71" s="56">
        <f>'Low SIPA income'!G66</f>
        <v>25718586.844462395</v>
      </c>
      <c r="S71" s="41"/>
      <c r="T71" s="56">
        <f>'Low SIPA income'!J66</f>
        <v>98337245.873445377</v>
      </c>
      <c r="U71" s="9"/>
      <c r="V71" s="56">
        <f>'Low SIPA income'!F66</f>
        <v>145947.14311315201</v>
      </c>
      <c r="W71" s="41"/>
      <c r="X71" s="56">
        <f>'Low SIPA income'!M66</f>
        <v>366577.14577130118</v>
      </c>
      <c r="Y71" s="9"/>
      <c r="Z71" s="9">
        <f t="shared" si="25"/>
        <v>758035.01957608014</v>
      </c>
      <c r="AA71" s="9"/>
      <c r="AB71" s="9">
        <f t="shared" si="26"/>
        <v>-38965928.018458754</v>
      </c>
      <c r="AC71" s="23"/>
      <c r="AD71" s="9"/>
      <c r="AE71" s="9"/>
      <c r="AF71" s="9"/>
      <c r="AG71" s="9">
        <f t="shared" si="33"/>
        <v>5990844001.8990068</v>
      </c>
      <c r="AH71" s="42">
        <f t="shared" si="32"/>
        <v>1.1075640069399173E-3</v>
      </c>
      <c r="AI71" s="42"/>
      <c r="AJ71" s="42">
        <f t="shared" si="27"/>
        <v>-6.5042468149908664E-3</v>
      </c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46">
        <f>workers_and_wage_low!C59</f>
        <v>12514368</v>
      </c>
      <c r="AX71" s="7"/>
      <c r="AY71" s="42">
        <f t="shared" si="28"/>
        <v>4.496854719934689E-4</v>
      </c>
      <c r="AZ71" s="47">
        <f>workers_and_wage_low!B59</f>
        <v>6815.8246062014996</v>
      </c>
      <c r="BA71" s="42">
        <f t="shared" si="29"/>
        <v>6.5758282950118842E-4</v>
      </c>
      <c r="BB71" s="42"/>
      <c r="BC71" s="42"/>
      <c r="BD71" s="42"/>
      <c r="BE71" s="42"/>
      <c r="BF71" s="7">
        <f t="shared" si="34"/>
        <v>114.08654361918522</v>
      </c>
      <c r="BG71" s="7"/>
      <c r="BH71" s="7"/>
      <c r="BI71" s="42">
        <f t="shared" ref="BI71:BI102" si="35">T78/AG78</f>
        <v>1.4108787027408731E-2</v>
      </c>
      <c r="BJ71" s="7"/>
      <c r="BK71" s="7"/>
      <c r="BL71" s="7"/>
      <c r="BM71" s="7"/>
      <c r="BN71" s="7"/>
      <c r="BO71" s="7"/>
      <c r="BP71" s="7"/>
      <c r="BQ71" s="7"/>
      <c r="BR71" s="7"/>
    </row>
    <row r="72" spans="1:70" x14ac:dyDescent="0.2">
      <c r="A72" s="7">
        <f t="shared" si="30"/>
        <v>2029</v>
      </c>
      <c r="B72" s="7">
        <f t="shared" si="31"/>
        <v>3</v>
      </c>
      <c r="C72" s="9"/>
      <c r="D72" s="56">
        <f>'Low pensions'!Q72</f>
        <v>119156718.83321691</v>
      </c>
      <c r="E72" s="9"/>
      <c r="F72" s="41">
        <f>'Low pensions'!I72</f>
        <v>21658144.1328298</v>
      </c>
      <c r="G72" s="56">
        <f>'Low pensions'!K72</f>
        <v>1948659.7886526</v>
      </c>
      <c r="H72" s="56">
        <f>'Low pensions'!V72</f>
        <v>10720951.209577881</v>
      </c>
      <c r="I72" s="56">
        <f>'Low pensions'!M72</f>
        <v>60267.828515029978</v>
      </c>
      <c r="J72" s="56">
        <f>'Low pensions'!W72</f>
        <v>331575.81060550758</v>
      </c>
      <c r="K72" s="9"/>
      <c r="L72" s="56">
        <f>'Low pensions'!N72</f>
        <v>2673470.4036585344</v>
      </c>
      <c r="M72" s="41"/>
      <c r="N72" s="56">
        <f>'Low pensions'!L72</f>
        <v>979305.64409676939</v>
      </c>
      <c r="O72" s="9"/>
      <c r="P72" s="56">
        <f>'Low pensions'!X72</f>
        <v>19260501.345670279</v>
      </c>
      <c r="Q72" s="41"/>
      <c r="R72" s="56">
        <f>'Low SIPA income'!G67</f>
        <v>22405013.148214512</v>
      </c>
      <c r="S72" s="41"/>
      <c r="T72" s="56">
        <f>'Low SIPA income'!J67</f>
        <v>85667509.652776271</v>
      </c>
      <c r="U72" s="9"/>
      <c r="V72" s="56">
        <f>'Low SIPA income'!F67</f>
        <v>150673.24788127199</v>
      </c>
      <c r="W72" s="41"/>
      <c r="X72" s="56">
        <f>'Low SIPA income'!M67</f>
        <v>378447.7583750051</v>
      </c>
      <c r="Y72" s="9"/>
      <c r="Z72" s="9">
        <f t="shared" si="25"/>
        <v>-2755233.7844893225</v>
      </c>
      <c r="AA72" s="9"/>
      <c r="AB72" s="9">
        <f t="shared" si="26"/>
        <v>-52749710.526110917</v>
      </c>
      <c r="AC72" s="23"/>
      <c r="AD72" s="9"/>
      <c r="AE72" s="9"/>
      <c r="AF72" s="9"/>
      <c r="AG72" s="9">
        <f t="shared" si="33"/>
        <v>5992933345.0241776</v>
      </c>
      <c r="AH72" s="42">
        <f t="shared" si="32"/>
        <v>3.4875605582592665E-4</v>
      </c>
      <c r="AI72" s="42"/>
      <c r="AJ72" s="42">
        <f t="shared" si="27"/>
        <v>-8.8019851864209429E-3</v>
      </c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9"/>
      <c r="AV72" s="7"/>
      <c r="AW72" s="46">
        <f>workers_and_wage_low!C60</f>
        <v>12500918</v>
      </c>
      <c r="AX72" s="7"/>
      <c r="AY72" s="42">
        <f t="shared" si="28"/>
        <v>-1.0747646225522536E-3</v>
      </c>
      <c r="AZ72" s="47">
        <f>workers_and_wage_low!B60</f>
        <v>6825.5375125567598</v>
      </c>
      <c r="BA72" s="42">
        <f t="shared" si="29"/>
        <v>1.4250522741478325E-3</v>
      </c>
      <c r="BB72" s="42"/>
      <c r="BC72" s="42"/>
      <c r="BD72" s="42"/>
      <c r="BE72" s="42"/>
      <c r="BF72" s="7">
        <f t="shared" si="34"/>
        <v>114.12633199216067</v>
      </c>
      <c r="BG72" s="7"/>
      <c r="BH72" s="7"/>
      <c r="BI72" s="42">
        <f t="shared" si="35"/>
        <v>1.6306533961490319E-2</v>
      </c>
      <c r="BJ72" s="7"/>
      <c r="BK72" s="7"/>
      <c r="BL72" s="7"/>
      <c r="BM72" s="7"/>
      <c r="BN72" s="7"/>
      <c r="BO72" s="7"/>
      <c r="BP72" s="7"/>
      <c r="BQ72" s="7"/>
      <c r="BR72" s="7"/>
    </row>
    <row r="73" spans="1:70" x14ac:dyDescent="0.2">
      <c r="A73" s="7">
        <f t="shared" si="30"/>
        <v>2029</v>
      </c>
      <c r="B73" s="7">
        <f t="shared" si="31"/>
        <v>4</v>
      </c>
      <c r="C73" s="9"/>
      <c r="D73" s="56">
        <f>'Low pensions'!Q73</f>
        <v>118846732.79079702</v>
      </c>
      <c r="E73" s="9"/>
      <c r="F73" s="41">
        <f>'Low pensions'!I73</f>
        <v>21601800.500245452</v>
      </c>
      <c r="G73" s="56">
        <f>'Low pensions'!K73</f>
        <v>2013418.68692675</v>
      </c>
      <c r="H73" s="56">
        <f>'Low pensions'!V73</f>
        <v>11077235.560918264</v>
      </c>
      <c r="I73" s="56">
        <f>'Low pensions'!M73</f>
        <v>62270.681038969895</v>
      </c>
      <c r="J73" s="56">
        <f>'Low pensions'!W73</f>
        <v>342594.91425519437</v>
      </c>
      <c r="K73" s="9"/>
      <c r="L73" s="56">
        <f>'Low pensions'!N73</f>
        <v>2642647.7288186671</v>
      </c>
      <c r="M73" s="41"/>
      <c r="N73" s="56">
        <f>'Low pensions'!L73</f>
        <v>977147.28800132871</v>
      </c>
      <c r="O73" s="9"/>
      <c r="P73" s="56">
        <f>'Low pensions'!X73</f>
        <v>19088687.700982261</v>
      </c>
      <c r="Q73" s="41"/>
      <c r="R73" s="56">
        <f>'Low SIPA income'!G68</f>
        <v>25921140.844260473</v>
      </c>
      <c r="S73" s="41"/>
      <c r="T73" s="56">
        <f>'Low SIPA income'!J68</f>
        <v>99111728.647372842</v>
      </c>
      <c r="U73" s="9"/>
      <c r="V73" s="56">
        <f>'Low SIPA income'!F68</f>
        <v>145760.70083689599</v>
      </c>
      <c r="W73" s="41"/>
      <c r="X73" s="56">
        <f>'Low SIPA income'!M68</f>
        <v>366108.85652614583</v>
      </c>
      <c r="Y73" s="9"/>
      <c r="Z73" s="9">
        <f t="shared" si="25"/>
        <v>845306.02803192288</v>
      </c>
      <c r="AA73" s="9"/>
      <c r="AB73" s="9">
        <f t="shared" si="26"/>
        <v>-38823691.844406441</v>
      </c>
      <c r="AC73" s="23"/>
      <c r="AD73" s="9"/>
      <c r="AE73" s="9"/>
      <c r="AF73" s="9"/>
      <c r="AG73" s="9">
        <f t="shared" si="33"/>
        <v>6046849485.1683035</v>
      </c>
      <c r="AH73" s="42">
        <f t="shared" si="32"/>
        <v>8.9966193581798339E-3</v>
      </c>
      <c r="AI73" s="42">
        <f>(AG73-AG69)/AG69</f>
        <v>1.4243949074844612E-2</v>
      </c>
      <c r="AJ73" s="42">
        <f t="shared" si="27"/>
        <v>-6.4204825900881259E-3</v>
      </c>
      <c r="AK73" s="7"/>
      <c r="AL73" s="7"/>
      <c r="AM73" s="7"/>
      <c r="AN73" s="7"/>
      <c r="AO73" s="7"/>
      <c r="AP73" s="7"/>
      <c r="AQ73" s="7"/>
      <c r="AR73" s="7"/>
      <c r="AS73" s="7"/>
      <c r="AT73" s="7"/>
      <c r="AV73" s="7"/>
      <c r="AW73" s="46">
        <f>workers_and_wage_low!C61</f>
        <v>12543749</v>
      </c>
      <c r="AX73" s="7"/>
      <c r="AY73" s="42">
        <f t="shared" si="28"/>
        <v>3.4262283777879354E-3</v>
      </c>
      <c r="AZ73" s="47">
        <f>workers_and_wage_low!B61</f>
        <v>6863.4286016283904</v>
      </c>
      <c r="BA73" s="42">
        <f t="shared" si="29"/>
        <v>5.5513707165074401E-3</v>
      </c>
      <c r="BB73" s="42"/>
      <c r="BC73" s="42"/>
      <c r="BD73" s="42"/>
      <c r="BE73" s="42"/>
      <c r="BF73" s="7">
        <f t="shared" si="34"/>
        <v>115.1530831598394</v>
      </c>
      <c r="BG73" s="7"/>
      <c r="BH73" s="7"/>
      <c r="BI73" s="42">
        <f t="shared" si="35"/>
        <v>1.4147495343859017E-2</v>
      </c>
      <c r="BJ73" s="7"/>
      <c r="BK73" s="7"/>
      <c r="BL73" s="7"/>
      <c r="BM73" s="7"/>
      <c r="BN73" s="7"/>
      <c r="BO73" s="7"/>
      <c r="BP73" s="7"/>
      <c r="BQ73" s="7"/>
      <c r="BR73" s="7"/>
    </row>
    <row r="74" spans="1:70" x14ac:dyDescent="0.2">
      <c r="A74" s="5">
        <f t="shared" si="30"/>
        <v>2030</v>
      </c>
      <c r="B74" s="5">
        <f t="shared" si="31"/>
        <v>1</v>
      </c>
      <c r="C74" s="6"/>
      <c r="D74" s="55">
        <f>'Low pensions'!Q74</f>
        <v>119225115.62420371</v>
      </c>
      <c r="E74" s="6"/>
      <c r="F74" s="8">
        <f>'Low pensions'!I74</f>
        <v>21670576.05921986</v>
      </c>
      <c r="G74" s="55">
        <f>'Low pensions'!K74</f>
        <v>2081588.83250254</v>
      </c>
      <c r="H74" s="55">
        <f>'Low pensions'!V74</f>
        <v>11452287.588431599</v>
      </c>
      <c r="I74" s="55">
        <f>'Low pensions'!M74</f>
        <v>64379.036056780024</v>
      </c>
      <c r="J74" s="55">
        <f>'Low pensions'!W74</f>
        <v>354194.46149788692</v>
      </c>
      <c r="K74" s="6"/>
      <c r="L74" s="55">
        <f>'Low pensions'!N74</f>
        <v>3151973.3004407166</v>
      </c>
      <c r="M74" s="8"/>
      <c r="N74" s="55">
        <f>'Low pensions'!L74</f>
        <v>982090.90066152066</v>
      </c>
      <c r="O74" s="6"/>
      <c r="P74" s="55">
        <f>'Low pensions'!X74</f>
        <v>21758778.81161581</v>
      </c>
      <c r="Q74" s="8"/>
      <c r="R74" s="55">
        <f>'Low SIPA income'!G69</f>
        <v>22635093.986504737</v>
      </c>
      <c r="S74" s="8"/>
      <c r="T74" s="55">
        <f>'Low SIPA income'!J69</f>
        <v>86547243.679476336</v>
      </c>
      <c r="U74" s="6"/>
      <c r="V74" s="55">
        <f>'Low SIPA income'!F69</f>
        <v>150882.058047664</v>
      </c>
      <c r="W74" s="8"/>
      <c r="X74" s="55">
        <f>'Low SIPA income'!M69</f>
        <v>378972.22931134037</v>
      </c>
      <c r="Y74" s="6"/>
      <c r="Z74" s="6">
        <f t="shared" si="25"/>
        <v>-3018664.215769697</v>
      </c>
      <c r="AA74" s="6"/>
      <c r="AB74" s="6">
        <f t="shared" si="26"/>
        <v>-54436650.756343186</v>
      </c>
      <c r="AC74" s="23"/>
      <c r="AD74" s="6"/>
      <c r="AE74" s="6"/>
      <c r="AF74" s="6"/>
      <c r="AG74" s="6">
        <f t="shared" si="33"/>
        <v>6103060294.0070257</v>
      </c>
      <c r="AH74" s="35">
        <f t="shared" si="32"/>
        <v>9.2958835798039874E-3</v>
      </c>
      <c r="AI74" s="35"/>
      <c r="AJ74" s="35">
        <f t="shared" si="27"/>
        <v>-8.9195662723171708E-3</v>
      </c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35">
        <f>AVERAGE(AH74:AH77)</f>
        <v>6.6213939246921967E-3</v>
      </c>
      <c r="AV74" s="5"/>
      <c r="AW74" s="39">
        <f>workers_and_wage_low!C62</f>
        <v>12603229</v>
      </c>
      <c r="AX74" s="5"/>
      <c r="AY74" s="35">
        <f t="shared" si="28"/>
        <v>4.741804065116418E-3</v>
      </c>
      <c r="AZ74" s="40">
        <f>workers_and_wage_low!B62</f>
        <v>6894.5376880312197</v>
      </c>
      <c r="BA74" s="35">
        <f t="shared" si="29"/>
        <v>4.5325868758142856E-3</v>
      </c>
      <c r="BB74" s="35"/>
      <c r="BC74" s="35"/>
      <c r="BD74" s="35"/>
      <c r="BE74" s="35"/>
      <c r="BF74" s="5">
        <f t="shared" si="34"/>
        <v>116.22353281474875</v>
      </c>
      <c r="BG74" s="5"/>
      <c r="BH74" s="5"/>
      <c r="BI74" s="35">
        <f t="shared" si="35"/>
        <v>1.6159995511417866E-2</v>
      </c>
      <c r="BJ74" s="5"/>
      <c r="BK74" s="5"/>
      <c r="BL74" s="5"/>
      <c r="BM74" s="5"/>
      <c r="BN74" s="5"/>
      <c r="BO74" s="5"/>
      <c r="BP74" s="5"/>
      <c r="BQ74" s="5"/>
      <c r="BR74" s="5"/>
    </row>
    <row r="75" spans="1:70" x14ac:dyDescent="0.2">
      <c r="A75" s="7">
        <f t="shared" si="30"/>
        <v>2030</v>
      </c>
      <c r="B75" s="7">
        <f t="shared" si="31"/>
        <v>2</v>
      </c>
      <c r="C75" s="9"/>
      <c r="D75" s="56">
        <f>'Low pensions'!Q75</f>
        <v>119452198.55944926</v>
      </c>
      <c r="E75" s="9"/>
      <c r="F75" s="41">
        <f>'Low pensions'!I75</f>
        <v>21711851.070732538</v>
      </c>
      <c r="G75" s="56">
        <f>'Low pensions'!K75</f>
        <v>2136512.4054455599</v>
      </c>
      <c r="H75" s="56">
        <f>'Low pensions'!V75</f>
        <v>11754460.881690223</v>
      </c>
      <c r="I75" s="56">
        <f>'Low pensions'!M75</f>
        <v>66077.703261210117</v>
      </c>
      <c r="J75" s="56">
        <f>'Low pensions'!W75</f>
        <v>363540.02726880956</v>
      </c>
      <c r="K75" s="9"/>
      <c r="L75" s="56">
        <f>'Low pensions'!N75</f>
        <v>2522670.734251081</v>
      </c>
      <c r="M75" s="41"/>
      <c r="N75" s="56">
        <f>'Low pensions'!L75</f>
        <v>984886.50652009249</v>
      </c>
      <c r="O75" s="9"/>
      <c r="P75" s="56">
        <f>'Low pensions'!X75</f>
        <v>18508705.402676035</v>
      </c>
      <c r="Q75" s="41"/>
      <c r="R75" s="56">
        <f>'Low SIPA income'!G70</f>
        <v>26293468.458823305</v>
      </c>
      <c r="S75" s="41"/>
      <c r="T75" s="56">
        <f>'Low SIPA income'!J70</f>
        <v>100535355.55192113</v>
      </c>
      <c r="U75" s="9"/>
      <c r="V75" s="56">
        <f>'Low SIPA income'!F70</f>
        <v>149338.44980356499</v>
      </c>
      <c r="W75" s="41"/>
      <c r="X75" s="56">
        <f>'Low SIPA income'!M70</f>
        <v>375095.13043676928</v>
      </c>
      <c r="Y75" s="9"/>
      <c r="Z75" s="9">
        <f t="shared" si="25"/>
        <v>1223398.5971231572</v>
      </c>
      <c r="AA75" s="9"/>
      <c r="AB75" s="9">
        <f t="shared" si="26"/>
        <v>-37425548.410204157</v>
      </c>
      <c r="AC75" s="23"/>
      <c r="AD75" s="9"/>
      <c r="AE75" s="9"/>
      <c r="AF75" s="9"/>
      <c r="AG75" s="9">
        <f t="shared" si="33"/>
        <v>6136372439.8231668</v>
      </c>
      <c r="AH75" s="42">
        <f t="shared" si="32"/>
        <v>5.4582691652010048E-3</v>
      </c>
      <c r="AI75" s="42"/>
      <c r="AJ75" s="42">
        <f t="shared" si="27"/>
        <v>-6.0989695096281766E-3</v>
      </c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46">
        <f>workers_and_wage_low!C63</f>
        <v>12658872</v>
      </c>
      <c r="AX75" s="7"/>
      <c r="AY75" s="42">
        <f t="shared" si="28"/>
        <v>4.4149796849680348E-3</v>
      </c>
      <c r="AZ75" s="47">
        <f>workers_and_wage_low!B63</f>
        <v>6901.6990693193102</v>
      </c>
      <c r="BA75" s="42">
        <f t="shared" si="29"/>
        <v>1.0387036248307904E-3</v>
      </c>
      <c r="BB75" s="42"/>
      <c r="BC75" s="42"/>
      <c r="BD75" s="42"/>
      <c r="BE75" s="42"/>
      <c r="BF75" s="7">
        <f t="shared" si="34"/>
        <v>116.85791214018222</v>
      </c>
      <c r="BG75" s="7"/>
      <c r="BH75" s="7"/>
      <c r="BI75" s="42">
        <f t="shared" si="35"/>
        <v>1.4201348150656861E-2</v>
      </c>
      <c r="BJ75" s="7"/>
      <c r="BK75" s="7"/>
      <c r="BL75" s="7"/>
      <c r="BM75" s="7"/>
      <c r="BN75" s="7"/>
      <c r="BO75" s="7"/>
      <c r="BP75" s="7"/>
      <c r="BQ75" s="7"/>
      <c r="BR75" s="7"/>
    </row>
    <row r="76" spans="1:70" x14ac:dyDescent="0.2">
      <c r="A76" s="7">
        <f t="shared" si="30"/>
        <v>2030</v>
      </c>
      <c r="B76" s="7">
        <f t="shared" si="31"/>
        <v>3</v>
      </c>
      <c r="C76" s="9"/>
      <c r="D76" s="56">
        <f>'Low pensions'!Q76</f>
        <v>119992477.83856472</v>
      </c>
      <c r="E76" s="9"/>
      <c r="F76" s="41">
        <f>'Low pensions'!I76</f>
        <v>21810053.22511917</v>
      </c>
      <c r="G76" s="56">
        <f>'Low pensions'!K76</f>
        <v>2171440.17453343</v>
      </c>
      <c r="H76" s="56">
        <f>'Low pensions'!V76</f>
        <v>11946623.161853747</v>
      </c>
      <c r="I76" s="56">
        <f>'Low pensions'!M76</f>
        <v>67157.94354226999</v>
      </c>
      <c r="J76" s="56">
        <f>'Low pensions'!W76</f>
        <v>369483.19057279063</v>
      </c>
      <c r="K76" s="9"/>
      <c r="L76" s="56">
        <f>'Low pensions'!N76</f>
        <v>2567460.9132934939</v>
      </c>
      <c r="M76" s="41"/>
      <c r="N76" s="56">
        <f>'Low pensions'!L76</f>
        <v>991185.59548152983</v>
      </c>
      <c r="O76" s="9"/>
      <c r="P76" s="56">
        <f>'Low pensions'!X76</f>
        <v>18775777.583584785</v>
      </c>
      <c r="Q76" s="41"/>
      <c r="R76" s="56">
        <f>'Low SIPA income'!G71</f>
        <v>22838801.104863588</v>
      </c>
      <c r="S76" s="41"/>
      <c r="T76" s="56">
        <f>'Low SIPA income'!J71</f>
        <v>87326135.502163649</v>
      </c>
      <c r="U76" s="9"/>
      <c r="V76" s="56">
        <f>'Low SIPA income'!F71</f>
        <v>147033.30399187701</v>
      </c>
      <c r="W76" s="41"/>
      <c r="X76" s="56">
        <f>'Low SIPA income'!M71</f>
        <v>369305.26874978776</v>
      </c>
      <c r="Y76" s="9"/>
      <c r="Z76" s="9">
        <f t="shared" si="25"/>
        <v>-2382865.3250387274</v>
      </c>
      <c r="AA76" s="9"/>
      <c r="AB76" s="9">
        <f t="shared" si="26"/>
        <v>-51442119.919985861</v>
      </c>
      <c r="AC76" s="23"/>
      <c r="AD76" s="9"/>
      <c r="AE76" s="9"/>
      <c r="AF76" s="9"/>
      <c r="AG76" s="9">
        <f t="shared" si="33"/>
        <v>6128772772.6036406</v>
      </c>
      <c r="AH76" s="42">
        <f t="shared" si="32"/>
        <v>-1.2384625108813135E-3</v>
      </c>
      <c r="AI76" s="42"/>
      <c r="AJ76" s="42">
        <f t="shared" si="27"/>
        <v>-8.3935433452417083E-3</v>
      </c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9"/>
      <c r="AV76" s="7"/>
      <c r="AW76" s="46">
        <f>workers_and_wage_low!C64</f>
        <v>12628251</v>
      </c>
      <c r="AX76" s="7"/>
      <c r="AY76" s="42">
        <f t="shared" si="28"/>
        <v>-2.4189359051896568E-3</v>
      </c>
      <c r="AZ76" s="47">
        <f>workers_and_wage_low!B64</f>
        <v>6909.8660969625698</v>
      </c>
      <c r="BA76" s="42">
        <f t="shared" si="29"/>
        <v>1.1833358077817681E-3</v>
      </c>
      <c r="BB76" s="42"/>
      <c r="BC76" s="42"/>
      <c r="BD76" s="42"/>
      <c r="BE76" s="42"/>
      <c r="BF76" s="7">
        <f t="shared" si="34"/>
        <v>116.71318799689675</v>
      </c>
      <c r="BG76" s="7"/>
      <c r="BH76" s="7"/>
      <c r="BI76" s="42">
        <f t="shared" si="35"/>
        <v>1.633277248611625E-2</v>
      </c>
      <c r="BJ76" s="7"/>
      <c r="BK76" s="7"/>
      <c r="BL76" s="7"/>
      <c r="BM76" s="7"/>
      <c r="BN76" s="7"/>
      <c r="BO76" s="7"/>
      <c r="BP76" s="7"/>
      <c r="BQ76" s="7"/>
      <c r="BR76" s="7"/>
    </row>
    <row r="77" spans="1:70" x14ac:dyDescent="0.2">
      <c r="A77" s="7">
        <f t="shared" si="30"/>
        <v>2030</v>
      </c>
      <c r="B77" s="7">
        <f t="shared" si="31"/>
        <v>4</v>
      </c>
      <c r="C77" s="9"/>
      <c r="D77" s="56">
        <f>'Low pensions'!Q77</f>
        <v>120442791.15670143</v>
      </c>
      <c r="E77" s="9"/>
      <c r="F77" s="41">
        <f>'Low pensions'!I77</f>
        <v>21891903.001150589</v>
      </c>
      <c r="G77" s="56">
        <f>'Low pensions'!K77</f>
        <v>2216461.2584351101</v>
      </c>
      <c r="H77" s="56">
        <f>'Low pensions'!V77</f>
        <v>12194315.882113535</v>
      </c>
      <c r="I77" s="56">
        <f>'Low pensions'!M77</f>
        <v>68550.348199029919</v>
      </c>
      <c r="J77" s="56">
        <f>'Low pensions'!W77</f>
        <v>377143.7901684923</v>
      </c>
      <c r="K77" s="9"/>
      <c r="L77" s="56">
        <f>'Low pensions'!N77</f>
        <v>2554396.3924474297</v>
      </c>
      <c r="M77" s="41"/>
      <c r="N77" s="56">
        <f>'Low pensions'!L77</f>
        <v>996356.8667684719</v>
      </c>
      <c r="O77" s="9"/>
      <c r="P77" s="56">
        <f>'Low pensions'!X77</f>
        <v>18736436.531657495</v>
      </c>
      <c r="Q77" s="41"/>
      <c r="R77" s="56">
        <f>'Low SIPA income'!G72</f>
        <v>26394430.497027375</v>
      </c>
      <c r="S77" s="41"/>
      <c r="T77" s="56">
        <f>'Low SIPA income'!J72</f>
        <v>100921392.65554588</v>
      </c>
      <c r="U77" s="9"/>
      <c r="V77" s="56">
        <f>'Low SIPA income'!F72</f>
        <v>149423.193171035</v>
      </c>
      <c r="W77" s="41"/>
      <c r="X77" s="56">
        <f>'Low SIPA income'!M72</f>
        <v>375307.98134366318</v>
      </c>
      <c r="Y77" s="9"/>
      <c r="Z77" s="9">
        <f t="shared" si="25"/>
        <v>1101197.4298319183</v>
      </c>
      <c r="AA77" s="9"/>
      <c r="AB77" s="9">
        <f t="shared" si="26"/>
        <v>-38257835.032813057</v>
      </c>
      <c r="AC77" s="23"/>
      <c r="AD77" s="9"/>
      <c r="AE77" s="9"/>
      <c r="AF77" s="9"/>
      <c r="AG77" s="9">
        <f t="shared" si="33"/>
        <v>6208262253.5031452</v>
      </c>
      <c r="AH77" s="42">
        <f t="shared" si="32"/>
        <v>1.2969885464645109E-2</v>
      </c>
      <c r="AI77" s="42">
        <f>(AG77-AG73)/AG73</f>
        <v>2.6693697061710323E-2</v>
      </c>
      <c r="AJ77" s="42">
        <f t="shared" si="27"/>
        <v>-6.1624063982196071E-3</v>
      </c>
      <c r="AK77" s="7"/>
      <c r="AL77" s="7"/>
      <c r="AM77" s="7"/>
      <c r="AN77" s="7"/>
      <c r="AO77" s="7"/>
      <c r="AP77" s="7"/>
      <c r="AQ77" s="7"/>
      <c r="AR77" s="7"/>
      <c r="AS77" s="7"/>
      <c r="AT77" s="7"/>
      <c r="AV77" s="7"/>
      <c r="AW77" s="46">
        <f>workers_and_wage_low!C65</f>
        <v>12718078</v>
      </c>
      <c r="AX77" s="7"/>
      <c r="AY77" s="42">
        <f t="shared" si="28"/>
        <v>7.1131782223840812E-3</v>
      </c>
      <c r="AZ77" s="47">
        <f>workers_and_wage_low!B65</f>
        <v>6950.0493292826604</v>
      </c>
      <c r="BA77" s="42">
        <f t="shared" si="29"/>
        <v>5.8153416804638666E-3</v>
      </c>
      <c r="BB77" s="42"/>
      <c r="BC77" s="42"/>
      <c r="BD77" s="42"/>
      <c r="BE77" s="42"/>
      <c r="BF77" s="7">
        <f t="shared" si="34"/>
        <v>118.2269446774301</v>
      </c>
      <c r="BG77" s="7"/>
      <c r="BH77" s="7"/>
      <c r="BI77" s="42">
        <f t="shared" si="35"/>
        <v>1.4245662496381895E-2</v>
      </c>
      <c r="BJ77" s="7"/>
      <c r="BK77" s="7"/>
      <c r="BL77" s="7"/>
      <c r="BM77" s="7"/>
      <c r="BN77" s="7"/>
      <c r="BO77" s="7"/>
      <c r="BP77" s="7"/>
      <c r="BQ77" s="7"/>
      <c r="BR77" s="7"/>
    </row>
    <row r="78" spans="1:70" x14ac:dyDescent="0.2">
      <c r="A78" s="5">
        <f t="shared" si="30"/>
        <v>2031</v>
      </c>
      <c r="B78" s="5">
        <f t="shared" si="31"/>
        <v>1</v>
      </c>
      <c r="C78" s="6"/>
      <c r="D78" s="55">
        <f>'Low pensions'!Q78</f>
        <v>120929726.91815227</v>
      </c>
      <c r="E78" s="6"/>
      <c r="F78" s="8">
        <f>'Low pensions'!I78</f>
        <v>21980409.339762457</v>
      </c>
      <c r="G78" s="55">
        <f>'Low pensions'!K78</f>
        <v>2252172.2089390401</v>
      </c>
      <c r="H78" s="55">
        <f>'Low pensions'!V78</f>
        <v>12390786.995352346</v>
      </c>
      <c r="I78" s="55">
        <f>'Low pensions'!M78</f>
        <v>69654.810585749801</v>
      </c>
      <c r="J78" s="55">
        <f>'Low pensions'!W78</f>
        <v>383220.21635113814</v>
      </c>
      <c r="K78" s="6"/>
      <c r="L78" s="55">
        <f>'Low pensions'!N78</f>
        <v>3137506.6753943474</v>
      </c>
      <c r="M78" s="8"/>
      <c r="N78" s="55">
        <f>'Low pensions'!L78</f>
        <v>1001106.8247096539</v>
      </c>
      <c r="O78" s="6"/>
      <c r="P78" s="55">
        <f>'Low pensions'!X78</f>
        <v>21788331.428986929</v>
      </c>
      <c r="Q78" s="8"/>
      <c r="R78" s="55">
        <f>'Low SIPA income'!G73</f>
        <v>22969054.943425573</v>
      </c>
      <c r="S78" s="8"/>
      <c r="T78" s="55">
        <f>'Low SIPA income'!J73</f>
        <v>87824172.343227029</v>
      </c>
      <c r="U78" s="6"/>
      <c r="V78" s="55">
        <f>'Low SIPA income'!F73</f>
        <v>156201.177816321</v>
      </c>
      <c r="W78" s="8"/>
      <c r="X78" s="55">
        <f>'Low SIPA income'!M73</f>
        <v>392332.32462542446</v>
      </c>
      <c r="Y78" s="6"/>
      <c r="Z78" s="6">
        <f t="shared" ref="Z78:Z109" si="36">R78+V78-N78-L78-F78</f>
        <v>-2993766.7186245658</v>
      </c>
      <c r="AA78" s="6"/>
      <c r="AB78" s="6">
        <f t="shared" ref="AB78:AB109" si="37">T78-P78-D78</f>
        <v>-54893886.003912173</v>
      </c>
      <c r="AC78" s="23"/>
      <c r="AD78" s="6"/>
      <c r="AE78" s="6"/>
      <c r="AF78" s="6"/>
      <c r="AG78" s="6">
        <f t="shared" si="33"/>
        <v>6224785459.7715282</v>
      </c>
      <c r="AH78" s="35">
        <f t="shared" si="32"/>
        <v>2.6614865148551757E-3</v>
      </c>
      <c r="AI78" s="35"/>
      <c r="AJ78" s="35">
        <f t="shared" ref="AJ78:AJ109" si="38">AB78/AG78</f>
        <v>-8.8185988671691459E-3</v>
      </c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35">
        <f>AVERAGE(AH78:AH81)</f>
        <v>2.2737924425620722E-3</v>
      </c>
      <c r="AV78" s="5"/>
      <c r="AW78" s="39">
        <f>workers_and_wage_low!C66</f>
        <v>12676968</v>
      </c>
      <c r="AX78" s="5"/>
      <c r="AY78" s="35">
        <f t="shared" si="28"/>
        <v>-3.2324066576726452E-3</v>
      </c>
      <c r="AZ78" s="40">
        <f>workers_and_wage_low!B66</f>
        <v>6991.1450155431203</v>
      </c>
      <c r="BA78" s="35">
        <f t="shared" si="29"/>
        <v>5.9130064138266302E-3</v>
      </c>
      <c r="BB78" s="35"/>
      <c r="BC78" s="35"/>
      <c r="BD78" s="35"/>
      <c r="BE78" s="35"/>
      <c r="BF78" s="5">
        <f t="shared" si="34"/>
        <v>118.54160409638159</v>
      </c>
      <c r="BG78" s="5"/>
      <c r="BH78" s="5"/>
      <c r="BI78" s="35">
        <f t="shared" si="35"/>
        <v>1.6243149155320453E-2</v>
      </c>
      <c r="BJ78" s="5"/>
      <c r="BK78" s="5"/>
      <c r="BL78" s="5"/>
      <c r="BM78" s="5"/>
      <c r="BN78" s="5"/>
      <c r="BO78" s="5"/>
      <c r="BP78" s="5"/>
      <c r="BQ78" s="5"/>
      <c r="BR78" s="5"/>
    </row>
    <row r="79" spans="1:70" x14ac:dyDescent="0.2">
      <c r="A79" s="7">
        <f t="shared" si="30"/>
        <v>2031</v>
      </c>
      <c r="B79" s="7">
        <f t="shared" si="31"/>
        <v>2</v>
      </c>
      <c r="C79" s="9"/>
      <c r="D79" s="56">
        <f>'Low pensions'!Q79</f>
        <v>121134105.05466546</v>
      </c>
      <c r="E79" s="9"/>
      <c r="F79" s="41">
        <f>'Low pensions'!I79</f>
        <v>22017557.485343717</v>
      </c>
      <c r="G79" s="56">
        <f>'Low pensions'!K79</f>
        <v>2301560.5796392802</v>
      </c>
      <c r="H79" s="56">
        <f>'Low pensions'!V79</f>
        <v>12662507.239019886</v>
      </c>
      <c r="I79" s="56">
        <f>'Low pensions'!M79</f>
        <v>71182.285968219861</v>
      </c>
      <c r="J79" s="56">
        <f>'Low pensions'!W79</f>
        <v>391623.93522739003</v>
      </c>
      <c r="K79" s="9"/>
      <c r="L79" s="56">
        <f>'Low pensions'!N79</f>
        <v>2475402.3023911864</v>
      </c>
      <c r="M79" s="41"/>
      <c r="N79" s="56">
        <f>'Low pensions'!L79</f>
        <v>1003914.3314737827</v>
      </c>
      <c r="O79" s="9"/>
      <c r="P79" s="56">
        <f>'Low pensions'!X79</f>
        <v>18368114.763829585</v>
      </c>
      <c r="Q79" s="41"/>
      <c r="R79" s="56">
        <f>'Low SIPA income'!G74</f>
        <v>26517019.330247872</v>
      </c>
      <c r="S79" s="41"/>
      <c r="T79" s="56">
        <f>'Low SIPA income'!J74</f>
        <v>101390121.68434703</v>
      </c>
      <c r="U79" s="9"/>
      <c r="V79" s="56">
        <f>'Low SIPA income'!F74</f>
        <v>150659.22601961199</v>
      </c>
      <c r="W79" s="41"/>
      <c r="X79" s="56">
        <f>'Low SIPA income'!M74</f>
        <v>378412.53950113006</v>
      </c>
      <c r="Y79" s="9"/>
      <c r="Z79" s="9">
        <f t="shared" si="36"/>
        <v>1170804.437058799</v>
      </c>
      <c r="AA79" s="9"/>
      <c r="AB79" s="9">
        <f t="shared" si="37"/>
        <v>-38112098.134148017</v>
      </c>
      <c r="AC79" s="23"/>
      <c r="AD79" s="9"/>
      <c r="AE79" s="9"/>
      <c r="AF79" s="9"/>
      <c r="AG79" s="9">
        <f t="shared" si="33"/>
        <v>6217760434.1787777</v>
      </c>
      <c r="AH79" s="42">
        <f t="shared" si="32"/>
        <v>-1.1285570624322196E-3</v>
      </c>
      <c r="AI79" s="42"/>
      <c r="AJ79" s="42">
        <f t="shared" si="38"/>
        <v>-6.129553966834643E-3</v>
      </c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46">
        <f>workers_and_wage_low!C67</f>
        <v>12703504</v>
      </c>
      <c r="AX79" s="7"/>
      <c r="AY79" s="42">
        <f t="shared" ref="AY79:AY110" si="39">(AW79-AW78)/AW78</f>
        <v>2.0932450093744813E-3</v>
      </c>
      <c r="AZ79" s="47">
        <f>workers_and_wage_low!B67</f>
        <v>6968.6679799902404</v>
      </c>
      <c r="BA79" s="42">
        <f t="shared" ref="BA79:BA110" si="40">(AZ79-AZ78)/AZ78</f>
        <v>-3.2150721380986439E-3</v>
      </c>
      <c r="BB79" s="42"/>
      <c r="BC79" s="42"/>
      <c r="BD79" s="42"/>
      <c r="BE79" s="42"/>
      <c r="BF79" s="7">
        <f t="shared" si="34"/>
        <v>118.40782313188659</v>
      </c>
      <c r="BG79" s="7"/>
      <c r="BH79" s="7"/>
      <c r="BI79" s="42">
        <f t="shared" si="35"/>
        <v>1.4196139588080503E-2</v>
      </c>
      <c r="BJ79" s="7"/>
      <c r="BK79" s="7"/>
      <c r="BL79" s="7"/>
      <c r="BM79" s="7"/>
      <c r="BN79" s="7"/>
      <c r="BO79" s="7"/>
      <c r="BP79" s="7"/>
      <c r="BQ79" s="7"/>
      <c r="BR79" s="7"/>
    </row>
    <row r="80" spans="1:70" x14ac:dyDescent="0.2">
      <c r="A80" s="7">
        <f t="shared" si="30"/>
        <v>2031</v>
      </c>
      <c r="B80" s="7">
        <f t="shared" si="31"/>
        <v>3</v>
      </c>
      <c r="C80" s="9"/>
      <c r="D80" s="56">
        <f>'Low pensions'!Q80</f>
        <v>121612600.91103251</v>
      </c>
      <c r="E80" s="9"/>
      <c r="F80" s="41">
        <f>'Low pensions'!I80</f>
        <v>22104529.771301549</v>
      </c>
      <c r="G80" s="56">
        <f>'Low pensions'!K80</f>
        <v>2355962.2167491498</v>
      </c>
      <c r="H80" s="56">
        <f>'Low pensions'!V80</f>
        <v>12961808.995320484</v>
      </c>
      <c r="I80" s="56">
        <f>'Low pensions'!M80</f>
        <v>72864.810827290174</v>
      </c>
      <c r="J80" s="56">
        <f>'Low pensions'!W80</f>
        <v>400880.69057690498</v>
      </c>
      <c r="K80" s="9"/>
      <c r="L80" s="56">
        <f>'Low pensions'!N80</f>
        <v>2540435.2304025819</v>
      </c>
      <c r="M80" s="41"/>
      <c r="N80" s="56">
        <f>'Low pensions'!L80</f>
        <v>1010009.9082476124</v>
      </c>
      <c r="O80" s="9"/>
      <c r="P80" s="56">
        <f>'Low pensions'!X80</f>
        <v>18739107.001357954</v>
      </c>
      <c r="Q80" s="41"/>
      <c r="R80" s="56">
        <f>'Low SIPA income'!G75</f>
        <v>23078771.707974512</v>
      </c>
      <c r="S80" s="41"/>
      <c r="T80" s="56">
        <f>'Low SIPA income'!J75</f>
        <v>88243683.901818395</v>
      </c>
      <c r="U80" s="9"/>
      <c r="V80" s="56">
        <f>'Low SIPA income'!F75</f>
        <v>151825.72371741099</v>
      </c>
      <c r="W80" s="41"/>
      <c r="X80" s="56">
        <f>'Low SIPA income'!M75</f>
        <v>381342.44540738291</v>
      </c>
      <c r="Y80" s="9"/>
      <c r="Z80" s="9">
        <f t="shared" si="36"/>
        <v>-2424377.4782598205</v>
      </c>
      <c r="AA80" s="9"/>
      <c r="AB80" s="9">
        <f t="shared" si="37"/>
        <v>-52108024.010572076</v>
      </c>
      <c r="AC80" s="23"/>
      <c r="AD80" s="9"/>
      <c r="AE80" s="9"/>
      <c r="AF80" s="9"/>
      <c r="AG80" s="9">
        <f t="shared" si="33"/>
        <v>6237406817.0393286</v>
      </c>
      <c r="AH80" s="42">
        <f t="shared" si="32"/>
        <v>3.1597201385494861E-3</v>
      </c>
      <c r="AI80" s="42"/>
      <c r="AJ80" s="42">
        <f t="shared" si="38"/>
        <v>-8.3541166287604551E-3</v>
      </c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9"/>
      <c r="AV80" s="7"/>
      <c r="AW80" s="46">
        <f>workers_and_wage_low!C68</f>
        <v>12694972</v>
      </c>
      <c r="AX80" s="7"/>
      <c r="AY80" s="42">
        <f t="shared" si="39"/>
        <v>-6.7162571838447096E-4</v>
      </c>
      <c r="AZ80" s="47">
        <f>workers_and_wage_low!B68</f>
        <v>6995.3853012237896</v>
      </c>
      <c r="BA80" s="42">
        <f t="shared" si="40"/>
        <v>3.8339208167565255E-3</v>
      </c>
      <c r="BB80" s="42"/>
      <c r="BC80" s="42"/>
      <c r="BD80" s="42"/>
      <c r="BE80" s="42"/>
      <c r="BF80" s="7">
        <f t="shared" si="34"/>
        <v>118.7819587151982</v>
      </c>
      <c r="BG80" s="7"/>
      <c r="BH80" s="7"/>
      <c r="BI80" s="42">
        <f t="shared" si="35"/>
        <v>1.631853965047424E-2</v>
      </c>
      <c r="BJ80" s="7"/>
      <c r="BK80" s="7"/>
      <c r="BL80" s="7"/>
      <c r="BM80" s="7"/>
      <c r="BN80" s="7"/>
      <c r="BO80" s="7"/>
      <c r="BP80" s="7"/>
      <c r="BQ80" s="7"/>
      <c r="BR80" s="7"/>
    </row>
    <row r="81" spans="1:70" x14ac:dyDescent="0.2">
      <c r="A81" s="7">
        <f t="shared" si="30"/>
        <v>2031</v>
      </c>
      <c r="B81" s="7">
        <f t="shared" si="31"/>
        <v>4</v>
      </c>
      <c r="C81" s="9"/>
      <c r="D81" s="56">
        <f>'Low pensions'!Q81</f>
        <v>121966561.13048984</v>
      </c>
      <c r="E81" s="9"/>
      <c r="F81" s="41">
        <f>'Low pensions'!I81</f>
        <v>22168866.231094681</v>
      </c>
      <c r="G81" s="56">
        <f>'Low pensions'!K81</f>
        <v>2448635.1520918198</v>
      </c>
      <c r="H81" s="56">
        <f>'Low pensions'!V81</f>
        <v>13471668.142639428</v>
      </c>
      <c r="I81" s="56">
        <f>'Low pensions'!M81</f>
        <v>75730.984085320029</v>
      </c>
      <c r="J81" s="56">
        <f>'Low pensions'!W81</f>
        <v>416649.53018475766</v>
      </c>
      <c r="K81" s="9"/>
      <c r="L81" s="56">
        <f>'Low pensions'!N81</f>
        <v>2502076.5445017363</v>
      </c>
      <c r="M81" s="41"/>
      <c r="N81" s="56">
        <f>'Low pensions'!L81</f>
        <v>1014611.7188855782</v>
      </c>
      <c r="O81" s="9"/>
      <c r="P81" s="56">
        <f>'Low pensions'!X81</f>
        <v>18565381.402245387</v>
      </c>
      <c r="Q81" s="41"/>
      <c r="R81" s="56">
        <f>'Low SIPA income'!G76</f>
        <v>26477816.075639531</v>
      </c>
      <c r="S81" s="41"/>
      <c r="T81" s="56">
        <f>'Low SIPA income'!J76</f>
        <v>101240224.64253932</v>
      </c>
      <c r="U81" s="9"/>
      <c r="V81" s="56">
        <f>'Low SIPA income'!F76</f>
        <v>157085.95972081501</v>
      </c>
      <c r="W81" s="41"/>
      <c r="X81" s="56">
        <f>'Low SIPA income'!M76</f>
        <v>394554.64167981211</v>
      </c>
      <c r="Y81" s="9"/>
      <c r="Z81" s="9">
        <f t="shared" si="36"/>
        <v>949347.54087835178</v>
      </c>
      <c r="AA81" s="9"/>
      <c r="AB81" s="9">
        <f t="shared" si="37"/>
        <v>-39291717.890195906</v>
      </c>
      <c r="AC81" s="23"/>
      <c r="AD81" s="9"/>
      <c r="AE81" s="9"/>
      <c r="AF81" s="9"/>
      <c r="AG81" s="9">
        <f t="shared" si="33"/>
        <v>6264867126.417697</v>
      </c>
      <c r="AH81" s="42">
        <f t="shared" si="32"/>
        <v>4.4025201792758477E-3</v>
      </c>
      <c r="AI81" s="42">
        <f>(AG81-AG77)/AG77</f>
        <v>9.1176678115701734E-3</v>
      </c>
      <c r="AJ81" s="42">
        <f t="shared" si="38"/>
        <v>-6.2717559841789072E-3</v>
      </c>
      <c r="AK81" s="7"/>
      <c r="AL81" s="7"/>
      <c r="AM81" s="7"/>
      <c r="AN81" s="7"/>
      <c r="AO81" s="7"/>
      <c r="AP81" s="7"/>
      <c r="AQ81" s="7"/>
      <c r="AR81" s="7"/>
      <c r="AS81" s="7"/>
      <c r="AT81" s="7"/>
      <c r="AV81" s="7"/>
      <c r="AW81" s="46">
        <f>workers_and_wage_low!C69</f>
        <v>12721786</v>
      </c>
      <c r="AX81" s="7"/>
      <c r="AY81" s="42">
        <f t="shared" si="39"/>
        <v>2.1121748043241057E-3</v>
      </c>
      <c r="AZ81" s="47">
        <f>workers_and_wage_low!B69</f>
        <v>7011.3733799773399</v>
      </c>
      <c r="BA81" s="42">
        <f t="shared" si="40"/>
        <v>2.2855179614986085E-3</v>
      </c>
      <c r="BB81" s="42"/>
      <c r="BC81" s="42"/>
      <c r="BD81" s="42"/>
      <c r="BE81" s="42"/>
      <c r="BF81" s="7">
        <f t="shared" si="34"/>
        <v>119.30489868537576</v>
      </c>
      <c r="BG81" s="7"/>
      <c r="BH81" s="7"/>
      <c r="BI81" s="42">
        <f t="shared" si="35"/>
        <v>1.4327349671756419E-2</v>
      </c>
      <c r="BJ81" s="7"/>
      <c r="BK81" s="7"/>
      <c r="BL81" s="7"/>
      <c r="BM81" s="7"/>
      <c r="BN81" s="7"/>
      <c r="BO81" s="7"/>
      <c r="BP81" s="7"/>
      <c r="BQ81" s="7"/>
      <c r="BR81" s="7"/>
    </row>
    <row r="82" spans="1:70" x14ac:dyDescent="0.2">
      <c r="A82" s="5">
        <f t="shared" ref="A82:A113" si="41">A78+1</f>
        <v>2032</v>
      </c>
      <c r="B82" s="5">
        <f t="shared" ref="B82:B113" si="42">B78</f>
        <v>1</v>
      </c>
      <c r="C82" s="6"/>
      <c r="D82" s="55">
        <f>'Low pensions'!Q82</f>
        <v>122441867.23860218</v>
      </c>
      <c r="E82" s="6"/>
      <c r="F82" s="8">
        <f>'Low pensions'!I82</f>
        <v>22255258.742549449</v>
      </c>
      <c r="G82" s="55">
        <f>'Low pensions'!K82</f>
        <v>2509769.3455037498</v>
      </c>
      <c r="H82" s="55">
        <f>'Low pensions'!V82</f>
        <v>13808010.437288709</v>
      </c>
      <c r="I82" s="55">
        <f>'Low pensions'!M82</f>
        <v>77621.732335160021</v>
      </c>
      <c r="J82" s="55">
        <f>'Low pensions'!W82</f>
        <v>427051.86919445492</v>
      </c>
      <c r="K82" s="6"/>
      <c r="L82" s="55">
        <f>'Low pensions'!N82</f>
        <v>3076776.4379827734</v>
      </c>
      <c r="M82" s="8"/>
      <c r="N82" s="55">
        <f>'Low pensions'!L82</f>
        <v>1020218.9803131409</v>
      </c>
      <c r="O82" s="6"/>
      <c r="P82" s="55">
        <f>'Low pensions'!X82</f>
        <v>21578351.379491705</v>
      </c>
      <c r="Q82" s="8"/>
      <c r="R82" s="55">
        <f>'Low SIPA income'!G77</f>
        <v>23262774.615492545</v>
      </c>
      <c r="S82" s="8"/>
      <c r="T82" s="55">
        <f>'Low SIPA income'!J77</f>
        <v>88947234.966558397</v>
      </c>
      <c r="U82" s="6"/>
      <c r="V82" s="55">
        <f>'Low SIPA income'!F77</f>
        <v>156058.009924079</v>
      </c>
      <c r="W82" s="8"/>
      <c r="X82" s="55">
        <f>'Low SIPA income'!M77</f>
        <v>391972.72815656126</v>
      </c>
      <c r="Y82" s="6"/>
      <c r="Z82" s="6">
        <f t="shared" si="36"/>
        <v>-2933421.5354287401</v>
      </c>
      <c r="AA82" s="6"/>
      <c r="AB82" s="6">
        <f t="shared" si="37"/>
        <v>-55072983.651535481</v>
      </c>
      <c r="AC82" s="23"/>
      <c r="AD82" s="6"/>
      <c r="AE82" s="6"/>
      <c r="AF82" s="6"/>
      <c r="AG82" s="6">
        <f t="shared" si="33"/>
        <v>6263295147.9641237</v>
      </c>
      <c r="AH82" s="35">
        <f t="shared" si="32"/>
        <v>-2.5091967983558773E-4</v>
      </c>
      <c r="AI82" s="35"/>
      <c r="AJ82" s="35">
        <f t="shared" si="38"/>
        <v>-8.7929727644140941E-3</v>
      </c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35">
        <f>AVERAGE(AH82:AH85)</f>
        <v>2.3590087701708985E-3</v>
      </c>
      <c r="AV82" s="5"/>
      <c r="AW82" s="39">
        <f>workers_and_wage_low!C70</f>
        <v>12656220</v>
      </c>
      <c r="AX82" s="5"/>
      <c r="AY82" s="35">
        <f t="shared" si="39"/>
        <v>-5.1538361044589183E-3</v>
      </c>
      <c r="AZ82" s="40">
        <f>workers_and_wage_low!B70</f>
        <v>7045.9276446982803</v>
      </c>
      <c r="BA82" s="35">
        <f t="shared" si="40"/>
        <v>4.9283161583746782E-3</v>
      </c>
      <c r="BB82" s="35"/>
      <c r="BC82" s="35"/>
      <c r="BD82" s="35"/>
      <c r="BE82" s="35"/>
      <c r="BF82" s="5">
        <f t="shared" si="34"/>
        <v>119.27496273839482</v>
      </c>
      <c r="BG82" s="5"/>
      <c r="BH82" s="5"/>
      <c r="BI82" s="35">
        <f t="shared" si="35"/>
        <v>1.6486615376396011E-2</v>
      </c>
      <c r="BJ82" s="5"/>
      <c r="BK82" s="5"/>
      <c r="BL82" s="5"/>
      <c r="BM82" s="5"/>
      <c r="BN82" s="5"/>
      <c r="BO82" s="5"/>
      <c r="BP82" s="5"/>
      <c r="BQ82" s="5"/>
      <c r="BR82" s="5"/>
    </row>
    <row r="83" spans="1:70" x14ac:dyDescent="0.2">
      <c r="A83" s="7">
        <f t="shared" si="41"/>
        <v>2032</v>
      </c>
      <c r="B83" s="7">
        <f t="shared" si="42"/>
        <v>2</v>
      </c>
      <c r="C83" s="9"/>
      <c r="D83" s="56">
        <f>'Low pensions'!Q83</f>
        <v>122686931.12304574</v>
      </c>
      <c r="E83" s="9"/>
      <c r="F83" s="41">
        <f>'Low pensions'!I83</f>
        <v>22299802.00442341</v>
      </c>
      <c r="G83" s="56">
        <f>'Low pensions'!K83</f>
        <v>2580980.81106959</v>
      </c>
      <c r="H83" s="56">
        <f>'Low pensions'!V83</f>
        <v>14199794.910052834</v>
      </c>
      <c r="I83" s="56">
        <f>'Low pensions'!M83</f>
        <v>79824.148795960005</v>
      </c>
      <c r="J83" s="56">
        <f>'Low pensions'!W83</f>
        <v>439168.91474386526</v>
      </c>
      <c r="K83" s="9"/>
      <c r="L83" s="56">
        <f>'Low pensions'!N83</f>
        <v>2462093.5509211118</v>
      </c>
      <c r="M83" s="41"/>
      <c r="N83" s="56">
        <f>'Low pensions'!L83</f>
        <v>1024379.0468780398</v>
      </c>
      <c r="O83" s="9"/>
      <c r="P83" s="56">
        <f>'Low pensions'!X83</f>
        <v>18411646.415271237</v>
      </c>
      <c r="Q83" s="41"/>
      <c r="R83" s="56">
        <f>'Low SIPA income'!G78</f>
        <v>26844767.093251012</v>
      </c>
      <c r="S83" s="41"/>
      <c r="T83" s="56">
        <f>'Low SIPA income'!J78</f>
        <v>102643293.66264533</v>
      </c>
      <c r="U83" s="9"/>
      <c r="V83" s="56">
        <f>'Low SIPA income'!F78</f>
        <v>159561.39273341399</v>
      </c>
      <c r="W83" s="41"/>
      <c r="X83" s="56">
        <f>'Low SIPA income'!M78</f>
        <v>400772.21572031977</v>
      </c>
      <c r="Y83" s="9"/>
      <c r="Z83" s="9">
        <f t="shared" si="36"/>
        <v>1218053.8837618642</v>
      </c>
      <c r="AA83" s="9"/>
      <c r="AB83" s="9">
        <f t="shared" si="37"/>
        <v>-38455283.875671655</v>
      </c>
      <c r="AC83" s="23"/>
      <c r="AD83" s="9"/>
      <c r="AE83" s="9"/>
      <c r="AF83" s="9"/>
      <c r="AG83" s="9">
        <f t="shared" si="33"/>
        <v>6284499079.9876585</v>
      </c>
      <c r="AH83" s="42">
        <f t="shared" si="32"/>
        <v>3.3854275621079564E-3</v>
      </c>
      <c r="AI83" s="42"/>
      <c r="AJ83" s="42">
        <f t="shared" si="38"/>
        <v>-6.1190690596373155E-3</v>
      </c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46">
        <f>workers_and_wage_low!C71</f>
        <v>12684487</v>
      </c>
      <c r="AX83" s="7"/>
      <c r="AY83" s="42">
        <f t="shared" si="39"/>
        <v>2.233447269405873E-3</v>
      </c>
      <c r="AZ83" s="47">
        <f>workers_and_wage_low!B71</f>
        <v>7054.0263265100002</v>
      </c>
      <c r="BA83" s="42">
        <f t="shared" si="40"/>
        <v>1.1494131390653347E-3</v>
      </c>
      <c r="BB83" s="42"/>
      <c r="BC83" s="42"/>
      <c r="BD83" s="42"/>
      <c r="BE83" s="42"/>
      <c r="BF83" s="7">
        <f t="shared" si="34"/>
        <v>119.67875948471878</v>
      </c>
      <c r="BG83" s="7"/>
      <c r="BH83" s="7"/>
      <c r="BI83" s="42">
        <f t="shared" si="35"/>
        <v>1.4319053677149862E-2</v>
      </c>
      <c r="BJ83" s="7"/>
      <c r="BK83" s="7"/>
      <c r="BL83" s="7"/>
      <c r="BM83" s="7"/>
      <c r="BN83" s="7"/>
      <c r="BO83" s="7"/>
      <c r="BP83" s="7"/>
      <c r="BQ83" s="7"/>
      <c r="BR83" s="7"/>
    </row>
    <row r="84" spans="1:70" x14ac:dyDescent="0.2">
      <c r="A84" s="7">
        <f t="shared" si="41"/>
        <v>2032</v>
      </c>
      <c r="B84" s="7">
        <f t="shared" si="42"/>
        <v>3</v>
      </c>
      <c r="C84" s="9"/>
      <c r="D84" s="56">
        <f>'Low pensions'!Q84</f>
        <v>123037335.60835886</v>
      </c>
      <c r="E84" s="9"/>
      <c r="F84" s="41">
        <f>'Low pensions'!I84</f>
        <v>22363492.167445809</v>
      </c>
      <c r="G84" s="56">
        <f>'Low pensions'!K84</f>
        <v>2682001.4468932902</v>
      </c>
      <c r="H84" s="56">
        <f>'Low pensions'!V84</f>
        <v>14755580.64244858</v>
      </c>
      <c r="I84" s="56">
        <f>'Low pensions'!M84</f>
        <v>82948.498357519973</v>
      </c>
      <c r="J84" s="56">
        <f>'Low pensions'!W84</f>
        <v>456358.16419941606</v>
      </c>
      <c r="K84" s="9"/>
      <c r="L84" s="56">
        <f>'Low pensions'!N84</f>
        <v>2483121.0243971534</v>
      </c>
      <c r="M84" s="41"/>
      <c r="N84" s="56">
        <f>'Low pensions'!L84</f>
        <v>1030011.5858965814</v>
      </c>
      <c r="O84" s="9"/>
      <c r="P84" s="56">
        <f>'Low pensions'!X84</f>
        <v>18551746.642911155</v>
      </c>
      <c r="Q84" s="41"/>
      <c r="R84" s="56">
        <f>'Low SIPA income'!G79</f>
        <v>23341077.535607893</v>
      </c>
      <c r="S84" s="41"/>
      <c r="T84" s="56">
        <f>'Low SIPA income'!J79</f>
        <v>89246632.968266621</v>
      </c>
      <c r="U84" s="9"/>
      <c r="V84" s="56">
        <f>'Low SIPA income'!F79</f>
        <v>160205.497619581</v>
      </c>
      <c r="W84" s="41"/>
      <c r="X84" s="56">
        <f>'Low SIPA income'!M79</f>
        <v>402390.02149377979</v>
      </c>
      <c r="Y84" s="9"/>
      <c r="Z84" s="9">
        <f t="shared" si="36"/>
        <v>-2375341.74451207</v>
      </c>
      <c r="AA84" s="9"/>
      <c r="AB84" s="9">
        <f t="shared" si="37"/>
        <v>-52342449.28300339</v>
      </c>
      <c r="AC84" s="23"/>
      <c r="AD84" s="9"/>
      <c r="AE84" s="9"/>
      <c r="AF84" s="9"/>
      <c r="AG84" s="9">
        <f t="shared" si="33"/>
        <v>6264828539.2787752</v>
      </c>
      <c r="AH84" s="42">
        <f t="shared" si="32"/>
        <v>-3.1300093227035549E-3</v>
      </c>
      <c r="AI84" s="42"/>
      <c r="AJ84" s="42">
        <f t="shared" si="38"/>
        <v>-8.3549691671257129E-3</v>
      </c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9"/>
      <c r="AV84" s="7"/>
      <c r="AW84" s="46">
        <f>workers_and_wage_low!C72</f>
        <v>12694395</v>
      </c>
      <c r="AX84" s="7"/>
      <c r="AY84" s="42">
        <f t="shared" si="39"/>
        <v>7.8111160506530539E-4</v>
      </c>
      <c r="AZ84" s="47">
        <f>workers_and_wage_low!B72</f>
        <v>7026.4587099046103</v>
      </c>
      <c r="BA84" s="42">
        <f t="shared" si="40"/>
        <v>-3.9080682902737501E-3</v>
      </c>
      <c r="BB84" s="42"/>
      <c r="BC84" s="42"/>
      <c r="BD84" s="42"/>
      <c r="BE84" s="42"/>
      <c r="BF84" s="7">
        <f t="shared" si="34"/>
        <v>119.30416385180203</v>
      </c>
      <c r="BG84" s="7"/>
      <c r="BH84" s="7"/>
      <c r="BI84" s="42">
        <f t="shared" si="35"/>
        <v>1.6422681158923841E-2</v>
      </c>
      <c r="BJ84" s="7"/>
      <c r="BK84" s="7"/>
      <c r="BL84" s="7"/>
      <c r="BM84" s="7"/>
      <c r="BN84" s="7"/>
      <c r="BO84" s="7"/>
      <c r="BP84" s="7"/>
      <c r="BQ84" s="7"/>
      <c r="BR84" s="7"/>
    </row>
    <row r="85" spans="1:70" x14ac:dyDescent="0.2">
      <c r="A85" s="7">
        <f t="shared" si="41"/>
        <v>2032</v>
      </c>
      <c r="B85" s="7">
        <f t="shared" si="42"/>
        <v>4</v>
      </c>
      <c r="C85" s="9"/>
      <c r="D85" s="56">
        <f>'Low pensions'!Q85</f>
        <v>123192329.40640248</v>
      </c>
      <c r="E85" s="9"/>
      <c r="F85" s="41">
        <f>'Low pensions'!I85</f>
        <v>22391664.1249367</v>
      </c>
      <c r="G85" s="56">
        <f>'Low pensions'!K85</f>
        <v>2768221.1761444998</v>
      </c>
      <c r="H85" s="56">
        <f>'Low pensions'!V85</f>
        <v>15229936.153855925</v>
      </c>
      <c r="I85" s="56">
        <f>'Low pensions'!M85</f>
        <v>85615.087921990082</v>
      </c>
      <c r="J85" s="56">
        <f>'Low pensions'!W85</f>
        <v>471028.95321201271</v>
      </c>
      <c r="K85" s="9"/>
      <c r="L85" s="56">
        <f>'Low pensions'!N85</f>
        <v>2510449.1859525465</v>
      </c>
      <c r="M85" s="41"/>
      <c r="N85" s="56">
        <f>'Low pensions'!L85</f>
        <v>1032966.7280871086</v>
      </c>
      <c r="O85" s="9"/>
      <c r="P85" s="56">
        <f>'Low pensions'!X85</f>
        <v>18709810.923559077</v>
      </c>
      <c r="Q85" s="41"/>
      <c r="R85" s="56">
        <f>'Low SIPA income'!G80</f>
        <v>26864907.613359444</v>
      </c>
      <c r="S85" s="41"/>
      <c r="T85" s="56">
        <f>'Low SIPA income'!J80</f>
        <v>102720302.68689303</v>
      </c>
      <c r="U85" s="9"/>
      <c r="V85" s="56">
        <f>'Low SIPA income'!F80</f>
        <v>163156.87095022001</v>
      </c>
      <c r="W85" s="41"/>
      <c r="X85" s="56">
        <f>'Low SIPA income'!M80</f>
        <v>409803.02039580274</v>
      </c>
      <c r="Y85" s="9"/>
      <c r="Z85" s="9">
        <f t="shared" si="36"/>
        <v>1092984.4453333057</v>
      </c>
      <c r="AA85" s="9"/>
      <c r="AB85" s="9">
        <f t="shared" si="37"/>
        <v>-39181837.643068537</v>
      </c>
      <c r="AC85" s="23"/>
      <c r="AD85" s="9"/>
      <c r="AE85" s="9"/>
      <c r="AF85" s="9"/>
      <c r="AG85" s="9">
        <f t="shared" si="33"/>
        <v>6323915498.4455051</v>
      </c>
      <c r="AH85" s="42">
        <f t="shared" si="32"/>
        <v>9.4315365211147806E-3</v>
      </c>
      <c r="AI85" s="42">
        <f>(AG85-AG81)/AG81</f>
        <v>9.4253191386634468E-3</v>
      </c>
      <c r="AJ85" s="42">
        <f t="shared" si="38"/>
        <v>-6.1958192914974763E-3</v>
      </c>
      <c r="AK85" s="7"/>
      <c r="AL85" s="7"/>
      <c r="AM85" s="7"/>
      <c r="AN85" s="7"/>
      <c r="AO85" s="7"/>
      <c r="AP85" s="7"/>
      <c r="AQ85" s="7"/>
      <c r="AR85" s="7"/>
      <c r="AS85" s="7"/>
      <c r="AT85" s="7"/>
      <c r="AV85" s="7"/>
      <c r="AW85" s="46">
        <f>workers_and_wage_low!C73</f>
        <v>12734133</v>
      </c>
      <c r="AX85" s="7"/>
      <c r="AY85" s="42">
        <f t="shared" si="39"/>
        <v>3.130357925682949E-3</v>
      </c>
      <c r="AZ85" s="47">
        <f>workers_and_wage_low!B73</f>
        <v>7070.5955171248497</v>
      </c>
      <c r="BA85" s="42">
        <f t="shared" si="40"/>
        <v>6.2815152045259306E-3</v>
      </c>
      <c r="BB85" s="42"/>
      <c r="BC85" s="42"/>
      <c r="BD85" s="42"/>
      <c r="BE85" s="42"/>
      <c r="BF85" s="7">
        <f t="shared" si="34"/>
        <v>120.42938543029135</v>
      </c>
      <c r="BG85" s="7"/>
      <c r="BH85" s="7"/>
      <c r="BI85" s="42">
        <f t="shared" si="35"/>
        <v>1.4264988943773423E-2</v>
      </c>
      <c r="BJ85" s="7"/>
      <c r="BK85" s="7"/>
      <c r="BL85" s="7"/>
      <c r="BM85" s="7"/>
      <c r="BN85" s="7"/>
      <c r="BO85" s="7"/>
      <c r="BP85" s="7"/>
      <c r="BQ85" s="7"/>
      <c r="BR85" s="7"/>
    </row>
    <row r="86" spans="1:70" x14ac:dyDescent="0.2">
      <c r="A86" s="5">
        <f t="shared" si="41"/>
        <v>2033</v>
      </c>
      <c r="B86" s="5">
        <f t="shared" si="42"/>
        <v>1</v>
      </c>
      <c r="C86" s="6"/>
      <c r="D86" s="55">
        <f>'Low pensions'!Q86</f>
        <v>123040830.05886799</v>
      </c>
      <c r="E86" s="6"/>
      <c r="F86" s="8">
        <f>'Low pensions'!I86</f>
        <v>22364127.32519044</v>
      </c>
      <c r="G86" s="55">
        <f>'Low pensions'!K86</f>
        <v>2840377.6781278602</v>
      </c>
      <c r="H86" s="55">
        <f>'Low pensions'!V86</f>
        <v>15626919.938158423</v>
      </c>
      <c r="I86" s="55">
        <f>'Low pensions'!M86</f>
        <v>87846.732313239947</v>
      </c>
      <c r="J86" s="55">
        <f>'Low pensions'!W86</f>
        <v>483306.80221112462</v>
      </c>
      <c r="K86" s="6"/>
      <c r="L86" s="55">
        <f>'Low pensions'!N86</f>
        <v>3048597.3307829895</v>
      </c>
      <c r="M86" s="8"/>
      <c r="N86" s="55">
        <f>'Low pensions'!L86</f>
        <v>1032819.8480741605</v>
      </c>
      <c r="O86" s="6"/>
      <c r="P86" s="55">
        <f>'Low pensions'!X86</f>
        <v>21501456.114838265</v>
      </c>
      <c r="Q86" s="8"/>
      <c r="R86" s="55">
        <f>'Low SIPA income'!G81</f>
        <v>23446499.427967183</v>
      </c>
      <c r="S86" s="8"/>
      <c r="T86" s="55">
        <f>'Low SIPA income'!J81</f>
        <v>89649722.710796997</v>
      </c>
      <c r="U86" s="6"/>
      <c r="V86" s="55">
        <f>'Low SIPA income'!F81</f>
        <v>169387.01906959299</v>
      </c>
      <c r="W86" s="8"/>
      <c r="X86" s="55">
        <f>'Low SIPA income'!M81</f>
        <v>425451.35627012368</v>
      </c>
      <c r="Y86" s="6"/>
      <c r="Z86" s="6">
        <f t="shared" si="36"/>
        <v>-2829658.0570108145</v>
      </c>
      <c r="AA86" s="6"/>
      <c r="AB86" s="6">
        <f t="shared" si="37"/>
        <v>-54892563.462909251</v>
      </c>
      <c r="AC86" s="23"/>
      <c r="AD86" s="6"/>
      <c r="AE86" s="6"/>
      <c r="AF86" s="6"/>
      <c r="AG86" s="6">
        <f t="shared" si="33"/>
        <v>6315077571.2341928</v>
      </c>
      <c r="AH86" s="35">
        <f t="shared" si="32"/>
        <v>-1.3975403709117814E-3</v>
      </c>
      <c r="AI86" s="35"/>
      <c r="AJ86" s="35">
        <f t="shared" si="38"/>
        <v>-8.6923023262533376E-3</v>
      </c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35">
        <f>AVERAGE(AH86:AH89)</f>
        <v>7.1862085079971421E-4</v>
      </c>
      <c r="AV86" s="5"/>
      <c r="AW86" s="39">
        <f>workers_and_wage_low!C74</f>
        <v>12689129</v>
      </c>
      <c r="AX86" s="5"/>
      <c r="AY86" s="35">
        <f t="shared" si="39"/>
        <v>-3.5341236030752938E-3</v>
      </c>
      <c r="AZ86" s="40">
        <f>workers_and_wage_low!B74</f>
        <v>7085.7560120109601</v>
      </c>
      <c r="BA86" s="35">
        <f t="shared" si="40"/>
        <v>2.144160962028162E-3</v>
      </c>
      <c r="BB86" s="35"/>
      <c r="BC86" s="35"/>
      <c r="BD86" s="35"/>
      <c r="BE86" s="35"/>
      <c r="BF86" s="5">
        <f t="shared" si="34"/>
        <v>120.26108050230842</v>
      </c>
      <c r="BG86" s="5"/>
      <c r="BH86" s="5"/>
      <c r="BI86" s="35">
        <f t="shared" si="35"/>
        <v>1.6432161220953458E-2</v>
      </c>
      <c r="BJ86" s="5"/>
      <c r="BK86" s="5"/>
      <c r="BL86" s="5"/>
      <c r="BM86" s="5"/>
      <c r="BN86" s="5"/>
      <c r="BO86" s="5"/>
      <c r="BP86" s="5"/>
      <c r="BQ86" s="5"/>
      <c r="BR86" s="5"/>
    </row>
    <row r="87" spans="1:70" x14ac:dyDescent="0.2">
      <c r="A87" s="7">
        <f t="shared" si="41"/>
        <v>2033</v>
      </c>
      <c r="B87" s="7">
        <f t="shared" si="42"/>
        <v>2</v>
      </c>
      <c r="C87" s="9"/>
      <c r="D87" s="56">
        <f>'Low pensions'!Q87</f>
        <v>123064320.54522115</v>
      </c>
      <c r="E87" s="9"/>
      <c r="F87" s="41">
        <f>'Low pensions'!I87</f>
        <v>22368396.9991473</v>
      </c>
      <c r="G87" s="56">
        <f>'Low pensions'!K87</f>
        <v>2935460.5298215002</v>
      </c>
      <c r="H87" s="56">
        <f>'Low pensions'!V87</f>
        <v>16150037.734200129</v>
      </c>
      <c r="I87" s="56">
        <f>'Low pensions'!M87</f>
        <v>90787.43906664988</v>
      </c>
      <c r="J87" s="56">
        <f>'Low pensions'!W87</f>
        <v>499485.70311962214</v>
      </c>
      <c r="K87" s="9"/>
      <c r="L87" s="56">
        <f>'Low pensions'!N87</f>
        <v>2509375.453162095</v>
      </c>
      <c r="M87" s="41"/>
      <c r="N87" s="56">
        <f>'Low pensions'!L87</f>
        <v>1033919.9578287527</v>
      </c>
      <c r="O87" s="9"/>
      <c r="P87" s="56">
        <f>'Low pensions'!X87</f>
        <v>18709483.707795396</v>
      </c>
      <c r="Q87" s="41"/>
      <c r="R87" s="56">
        <f>'Low SIPA income'!G82</f>
        <v>27053024.611833576</v>
      </c>
      <c r="S87" s="41"/>
      <c r="T87" s="56">
        <f>'Low SIPA income'!J82</f>
        <v>103439584.33497894</v>
      </c>
      <c r="U87" s="9"/>
      <c r="V87" s="56">
        <f>'Low SIPA income'!F82</f>
        <v>170621.983951178</v>
      </c>
      <c r="W87" s="41"/>
      <c r="X87" s="56">
        <f>'Low SIPA income'!M82</f>
        <v>428553.23200241016</v>
      </c>
      <c r="Y87" s="9"/>
      <c r="Z87" s="9">
        <f t="shared" si="36"/>
        <v>1311954.1856466047</v>
      </c>
      <c r="AA87" s="9"/>
      <c r="AB87" s="9">
        <f t="shared" si="37"/>
        <v>-38334219.918037608</v>
      </c>
      <c r="AC87" s="23"/>
      <c r="AD87" s="9"/>
      <c r="AE87" s="9"/>
      <c r="AF87" s="9"/>
      <c r="AG87" s="9">
        <f t="shared" si="33"/>
        <v>6338777032.1698389</v>
      </c>
      <c r="AH87" s="42">
        <f t="shared" si="32"/>
        <v>3.7528376600787076E-3</v>
      </c>
      <c r="AI87" s="42"/>
      <c r="AJ87" s="42">
        <f t="shared" si="38"/>
        <v>-6.0475734867290873E-3</v>
      </c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46">
        <f>workers_and_wage_low!C75</f>
        <v>12717783</v>
      </c>
      <c r="AX87" s="7"/>
      <c r="AY87" s="42">
        <f t="shared" si="39"/>
        <v>2.2581534162037444E-3</v>
      </c>
      <c r="AZ87" s="47">
        <f>workers_and_wage_low!B75</f>
        <v>7096.3231177321704</v>
      </c>
      <c r="BA87" s="42">
        <f t="shared" si="40"/>
        <v>1.491316622149865E-3</v>
      </c>
      <c r="BB87" s="42"/>
      <c r="BC87" s="42"/>
      <c r="BD87" s="42"/>
      <c r="BE87" s="42"/>
      <c r="BF87" s="7">
        <f t="shared" si="34"/>
        <v>120.71240081425924</v>
      </c>
      <c r="BG87" s="7"/>
      <c r="BH87" s="7"/>
      <c r="BI87" s="42">
        <f t="shared" si="35"/>
        <v>1.4191511342895884E-2</v>
      </c>
      <c r="BJ87" s="7"/>
      <c r="BK87" s="7"/>
      <c r="BL87" s="7"/>
      <c r="BM87" s="7"/>
      <c r="BN87" s="7"/>
      <c r="BO87" s="7"/>
      <c r="BP87" s="7"/>
      <c r="BQ87" s="7"/>
      <c r="BR87" s="7"/>
    </row>
    <row r="88" spans="1:70" x14ac:dyDescent="0.2">
      <c r="A88" s="7">
        <f t="shared" si="41"/>
        <v>2033</v>
      </c>
      <c r="B88" s="7">
        <f t="shared" si="42"/>
        <v>3</v>
      </c>
      <c r="C88" s="9"/>
      <c r="D88" s="56">
        <f>'Low pensions'!Q88</f>
        <v>122978870.21775553</v>
      </c>
      <c r="E88" s="9"/>
      <c r="F88" s="41">
        <f>'Low pensions'!I88</f>
        <v>22352865.390635669</v>
      </c>
      <c r="G88" s="56">
        <f>'Low pensions'!K88</f>
        <v>2998862.6157751302</v>
      </c>
      <c r="H88" s="56">
        <f>'Low pensions'!V88</f>
        <v>16498857.304477366</v>
      </c>
      <c r="I88" s="56">
        <f>'Low pensions'!M88</f>
        <v>92748.328322939575</v>
      </c>
      <c r="J88" s="56">
        <f>'Low pensions'!W88</f>
        <v>510273.93725186301</v>
      </c>
      <c r="K88" s="9"/>
      <c r="L88" s="56">
        <f>'Low pensions'!N88</f>
        <v>2475098.0548413177</v>
      </c>
      <c r="M88" s="41"/>
      <c r="N88" s="56">
        <f>'Low pensions'!L88</f>
        <v>1034212.9969635606</v>
      </c>
      <c r="O88" s="9"/>
      <c r="P88" s="56">
        <f>'Low pensions'!X88</f>
        <v>18533230.339820176</v>
      </c>
      <c r="Q88" s="41"/>
      <c r="R88" s="56">
        <f>'Low SIPA income'!G83</f>
        <v>23799797.636450801</v>
      </c>
      <c r="S88" s="41"/>
      <c r="T88" s="56">
        <f>'Low SIPA income'!J83</f>
        <v>91000589.031890452</v>
      </c>
      <c r="U88" s="9"/>
      <c r="V88" s="56">
        <f>'Low SIPA income'!F83</f>
        <v>163370.56595056999</v>
      </c>
      <c r="W88" s="41"/>
      <c r="X88" s="56">
        <f>'Low SIPA income'!M83</f>
        <v>410339.76062670373</v>
      </c>
      <c r="Y88" s="9"/>
      <c r="Z88" s="9">
        <f t="shared" si="36"/>
        <v>-1899008.2400391772</v>
      </c>
      <c r="AA88" s="9"/>
      <c r="AB88" s="9">
        <f t="shared" si="37"/>
        <v>-50511511.525685251</v>
      </c>
      <c r="AC88" s="23"/>
      <c r="AD88" s="9"/>
      <c r="AE88" s="9"/>
      <c r="AF88" s="9"/>
      <c r="AG88" s="9">
        <f t="shared" si="33"/>
        <v>6351529844.440134</v>
      </c>
      <c r="AH88" s="42">
        <f t="shared" si="32"/>
        <v>2.0118726696922015E-3</v>
      </c>
      <c r="AI88" s="42"/>
      <c r="AJ88" s="42">
        <f t="shared" si="38"/>
        <v>-7.9526527880367168E-3</v>
      </c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9"/>
      <c r="AV88" s="7"/>
      <c r="AW88" s="46">
        <f>workers_and_wage_low!C76</f>
        <v>12735624</v>
      </c>
      <c r="AX88" s="7"/>
      <c r="AY88" s="42">
        <f t="shared" si="39"/>
        <v>1.4028388438456609E-3</v>
      </c>
      <c r="AZ88" s="47">
        <f>workers_and_wage_low!B76</f>
        <v>7100.63896411306</v>
      </c>
      <c r="BA88" s="42">
        <f t="shared" si="40"/>
        <v>6.0818064641182451E-4</v>
      </c>
      <c r="BB88" s="42"/>
      <c r="BC88" s="42"/>
      <c r="BD88" s="42"/>
      <c r="BE88" s="42"/>
      <c r="BF88" s="7">
        <f t="shared" si="34"/>
        <v>120.95525879435039</v>
      </c>
      <c r="BG88" s="7"/>
      <c r="BH88" s="7"/>
      <c r="BI88" s="42">
        <f t="shared" si="35"/>
        <v>1.618061093535076E-2</v>
      </c>
      <c r="BJ88" s="7"/>
      <c r="BK88" s="7"/>
      <c r="BL88" s="7"/>
      <c r="BM88" s="7"/>
      <c r="BN88" s="7"/>
      <c r="BO88" s="7"/>
      <c r="BP88" s="7"/>
      <c r="BQ88" s="7"/>
      <c r="BR88" s="7"/>
    </row>
    <row r="89" spans="1:70" x14ac:dyDescent="0.2">
      <c r="A89" s="7">
        <f t="shared" si="41"/>
        <v>2033</v>
      </c>
      <c r="B89" s="7">
        <f t="shared" si="42"/>
        <v>4</v>
      </c>
      <c r="C89" s="9"/>
      <c r="D89" s="56">
        <f>'Low pensions'!Q89</f>
        <v>123194550.54106908</v>
      </c>
      <c r="E89" s="9"/>
      <c r="F89" s="41">
        <f>'Low pensions'!I89</f>
        <v>22392067.842454422</v>
      </c>
      <c r="G89" s="56">
        <f>'Low pensions'!K89</f>
        <v>3055589.6080316799</v>
      </c>
      <c r="H89" s="56">
        <f>'Low pensions'!V89</f>
        <v>16810952.478704307</v>
      </c>
      <c r="I89" s="56">
        <f>'Low pensions'!M89</f>
        <v>94502.771382420324</v>
      </c>
      <c r="J89" s="56">
        <f>'Low pensions'!W89</f>
        <v>519926.3653207366</v>
      </c>
      <c r="K89" s="9"/>
      <c r="L89" s="56">
        <f>'Low pensions'!N89</f>
        <v>2506007.260110802</v>
      </c>
      <c r="M89" s="41"/>
      <c r="N89" s="56">
        <f>'Low pensions'!L89</f>
        <v>1038007.6041966788</v>
      </c>
      <c r="O89" s="9"/>
      <c r="P89" s="56">
        <f>'Low pensions'!X89</f>
        <v>18714495.16230619</v>
      </c>
      <c r="Q89" s="41"/>
      <c r="R89" s="56">
        <f>'Low SIPA income'!G84</f>
        <v>27345770.230730709</v>
      </c>
      <c r="S89" s="41"/>
      <c r="T89" s="56">
        <f>'Low SIPA income'!J84</f>
        <v>104558922.58159257</v>
      </c>
      <c r="U89" s="9"/>
      <c r="V89" s="56">
        <f>'Low SIPA income'!F84</f>
        <v>161178.03102099101</v>
      </c>
      <c r="W89" s="41"/>
      <c r="X89" s="56">
        <f>'Low SIPA income'!M84</f>
        <v>404832.74500896182</v>
      </c>
      <c r="Y89" s="9"/>
      <c r="Z89" s="9">
        <f t="shared" si="36"/>
        <v>1570865.5549897961</v>
      </c>
      <c r="AA89" s="9"/>
      <c r="AB89" s="9">
        <f t="shared" si="37"/>
        <v>-37350123.12178269</v>
      </c>
      <c r="AC89" s="23"/>
      <c r="AD89" s="9"/>
      <c r="AE89" s="9"/>
      <c r="AF89" s="9"/>
      <c r="AG89" s="9">
        <f t="shared" si="33"/>
        <v>6342049001.2334633</v>
      </c>
      <c r="AH89" s="42">
        <f t="shared" si="32"/>
        <v>-1.4926865556602711E-3</v>
      </c>
      <c r="AI89" s="42">
        <f>(AG89-AG85)/AG85</f>
        <v>2.8674486229956077E-3</v>
      </c>
      <c r="AJ89" s="42">
        <f t="shared" si="38"/>
        <v>-5.8892832765118147E-3</v>
      </c>
      <c r="AK89" s="7"/>
      <c r="AL89" s="7"/>
      <c r="AM89" s="7"/>
      <c r="AN89" s="7"/>
      <c r="AO89" s="7"/>
      <c r="AP89" s="7"/>
      <c r="AQ89" s="7"/>
      <c r="AR89" s="7"/>
      <c r="AS89" s="7"/>
      <c r="AT89" s="7"/>
      <c r="AV89" s="7"/>
      <c r="AW89" s="46">
        <f>workers_and_wage_low!C77</f>
        <v>12766195</v>
      </c>
      <c r="AX89" s="7"/>
      <c r="AY89" s="42">
        <f t="shared" si="39"/>
        <v>2.4004320479310633E-3</v>
      </c>
      <c r="AZ89" s="47">
        <f>workers_and_wage_low!B77</f>
        <v>7073.0615322158101</v>
      </c>
      <c r="BA89" s="42">
        <f t="shared" si="40"/>
        <v>-3.8837958156480606E-3</v>
      </c>
      <c r="BB89" s="42"/>
      <c r="BC89" s="42"/>
      <c r="BD89" s="42"/>
      <c r="BE89" s="42"/>
      <c r="BF89" s="7">
        <f t="shared" si="34"/>
        <v>120.77471050571164</v>
      </c>
      <c r="BG89" s="7"/>
      <c r="BH89" s="7"/>
      <c r="BI89" s="42">
        <f t="shared" si="35"/>
        <v>1.4297512274141251E-2</v>
      </c>
      <c r="BJ89" s="7"/>
      <c r="BK89" s="7"/>
      <c r="BL89" s="7"/>
      <c r="BM89" s="7"/>
      <c r="BN89" s="7"/>
      <c r="BO89" s="7"/>
      <c r="BP89" s="7"/>
      <c r="BQ89" s="7"/>
      <c r="BR89" s="7"/>
    </row>
    <row r="90" spans="1:70" x14ac:dyDescent="0.2">
      <c r="A90" s="5">
        <f t="shared" si="41"/>
        <v>2034</v>
      </c>
      <c r="B90" s="5">
        <f t="shared" si="42"/>
        <v>1</v>
      </c>
      <c r="C90" s="6"/>
      <c r="D90" s="55">
        <f>'Low pensions'!Q90</f>
        <v>123622604.9605727</v>
      </c>
      <c r="E90" s="6"/>
      <c r="F90" s="8">
        <f>'Low pensions'!I90</f>
        <v>22469871.800175689</v>
      </c>
      <c r="G90" s="55">
        <f>'Low pensions'!K90</f>
        <v>3118925.5823426102</v>
      </c>
      <c r="H90" s="55">
        <f>'Low pensions'!V90</f>
        <v>17159408.322229501</v>
      </c>
      <c r="I90" s="55">
        <f>'Low pensions'!M90</f>
        <v>96461.615948739927</v>
      </c>
      <c r="J90" s="55">
        <f>'Low pensions'!W90</f>
        <v>530703.35017204308</v>
      </c>
      <c r="K90" s="6"/>
      <c r="L90" s="55">
        <f>'Low pensions'!N90</f>
        <v>2959710.6552882846</v>
      </c>
      <c r="M90" s="8"/>
      <c r="N90" s="55">
        <f>'Low pensions'!L90</f>
        <v>1042539.2874039598</v>
      </c>
      <c r="O90" s="6"/>
      <c r="P90" s="55">
        <f>'Low pensions'!X90</f>
        <v>21093696.220641099</v>
      </c>
      <c r="Q90" s="8"/>
      <c r="R90" s="55">
        <f>'Low SIPA income'!G85</f>
        <v>23747349.95320411</v>
      </c>
      <c r="S90" s="8"/>
      <c r="T90" s="55">
        <f>'Low SIPA income'!J85</f>
        <v>90800050.769266859</v>
      </c>
      <c r="U90" s="6"/>
      <c r="V90" s="55">
        <f>'Low SIPA income'!F85</f>
        <v>163514.79815555501</v>
      </c>
      <c r="W90" s="8"/>
      <c r="X90" s="55">
        <f>'Low SIPA income'!M85</f>
        <v>410702.03034232755</v>
      </c>
      <c r="Y90" s="6"/>
      <c r="Z90" s="6">
        <f t="shared" si="36"/>
        <v>-2561256.9915082678</v>
      </c>
      <c r="AA90" s="6"/>
      <c r="AB90" s="6">
        <f t="shared" si="37"/>
        <v>-53916250.411946937</v>
      </c>
      <c r="AC90" s="23"/>
      <c r="AD90" s="6"/>
      <c r="AE90" s="6"/>
      <c r="AF90" s="6"/>
      <c r="AG90" s="6">
        <f t="shared" si="33"/>
        <v>6341204720.4044123</v>
      </c>
      <c r="AH90" s="35">
        <f t="shared" ref="AH90:AH117" si="43">(AG90-AG89)/AG89</f>
        <v>-1.3312429924253405E-4</v>
      </c>
      <c r="AI90" s="35"/>
      <c r="AJ90" s="35">
        <f t="shared" si="38"/>
        <v>-8.5025248023388855E-3</v>
      </c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35">
        <f>AVERAGE(AH90:AH93)</f>
        <v>2.267755807182666E-3</v>
      </c>
      <c r="AV90" s="5"/>
      <c r="AW90" s="39">
        <f>workers_and_wage_low!C78</f>
        <v>12779769</v>
      </c>
      <c r="AX90" s="5"/>
      <c r="AY90" s="35">
        <f t="shared" si="39"/>
        <v>1.0632768808560421E-3</v>
      </c>
      <c r="AZ90" s="40">
        <f>workers_and_wage_low!B78</f>
        <v>7064.6083011768897</v>
      </c>
      <c r="BA90" s="35">
        <f t="shared" si="40"/>
        <v>-1.1951304255474558E-3</v>
      </c>
      <c r="BB90" s="35"/>
      <c r="BC90" s="35"/>
      <c r="BD90" s="35"/>
      <c r="BE90" s="35"/>
      <c r="BF90" s="5">
        <f t="shared" si="34"/>
        <v>120.75863245700936</v>
      </c>
      <c r="BG90" s="5"/>
      <c r="BH90" s="5"/>
      <c r="BI90" s="35">
        <f t="shared" si="35"/>
        <v>1.6277592860142135E-2</v>
      </c>
      <c r="BJ90" s="5"/>
      <c r="BK90" s="5"/>
      <c r="BL90" s="5"/>
      <c r="BM90" s="5"/>
      <c r="BN90" s="5"/>
      <c r="BO90" s="5"/>
      <c r="BP90" s="5"/>
      <c r="BQ90" s="5"/>
      <c r="BR90" s="5"/>
    </row>
    <row r="91" spans="1:70" x14ac:dyDescent="0.2">
      <c r="A91" s="7">
        <f t="shared" si="41"/>
        <v>2034</v>
      </c>
      <c r="B91" s="7">
        <f t="shared" si="42"/>
        <v>2</v>
      </c>
      <c r="C91" s="9"/>
      <c r="D91" s="56">
        <f>'Low pensions'!Q91</f>
        <v>124490389.58009636</v>
      </c>
      <c r="E91" s="9"/>
      <c r="F91" s="41">
        <f>'Low pensions'!I91</f>
        <v>22627601.926935919</v>
      </c>
      <c r="G91" s="56">
        <f>'Low pensions'!K91</f>
        <v>3168129.9968833802</v>
      </c>
      <c r="H91" s="56">
        <f>'Low pensions'!V91</f>
        <v>17430116.493383475</v>
      </c>
      <c r="I91" s="56">
        <f>'Low pensions'!M91</f>
        <v>97983.401965469588</v>
      </c>
      <c r="J91" s="56">
        <f>'Low pensions'!W91</f>
        <v>539075.76783662557</v>
      </c>
      <c r="K91" s="9"/>
      <c r="L91" s="56">
        <f>'Low pensions'!N91</f>
        <v>2384503.7593790893</v>
      </c>
      <c r="M91" s="41"/>
      <c r="N91" s="56">
        <f>'Low pensions'!L91</f>
        <v>1051277.923135031</v>
      </c>
      <c r="O91" s="9"/>
      <c r="P91" s="56">
        <f>'Low pensions'!X91</f>
        <v>18157022.298827726</v>
      </c>
      <c r="Q91" s="41"/>
      <c r="R91" s="56">
        <f>'Low SIPA income'!G86</f>
        <v>27406751.846128114</v>
      </c>
      <c r="S91" s="41"/>
      <c r="T91" s="56">
        <f>'Low SIPA income'!J86</f>
        <v>104792091.07344483</v>
      </c>
      <c r="U91" s="9"/>
      <c r="V91" s="56">
        <f>'Low SIPA income'!F86</f>
        <v>162451.632015268</v>
      </c>
      <c r="W91" s="41"/>
      <c r="X91" s="56">
        <f>'Low SIPA income'!M86</f>
        <v>408031.66351723013</v>
      </c>
      <c r="Y91" s="9"/>
      <c r="Z91" s="9">
        <f t="shared" si="36"/>
        <v>1505819.8686933443</v>
      </c>
      <c r="AA91" s="9"/>
      <c r="AB91" s="9">
        <f t="shared" si="37"/>
        <v>-37855320.805479258</v>
      </c>
      <c r="AC91" s="23"/>
      <c r="AD91" s="9"/>
      <c r="AE91" s="9"/>
      <c r="AF91" s="9"/>
      <c r="AG91" s="9">
        <f t="shared" si="33"/>
        <v>6380936831.1642809</v>
      </c>
      <c r="AH91" s="42">
        <f t="shared" si="43"/>
        <v>6.2657038388968297E-3</v>
      </c>
      <c r="AI91" s="42"/>
      <c r="AJ91" s="42">
        <f t="shared" si="38"/>
        <v>-5.9325647325946156E-3</v>
      </c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46">
        <f>workers_and_wage_low!C79</f>
        <v>12797202</v>
      </c>
      <c r="AX91" s="7"/>
      <c r="AY91" s="42">
        <f t="shared" si="39"/>
        <v>1.3641091634754902E-3</v>
      </c>
      <c r="AZ91" s="47">
        <f>workers_and_wage_low!B79</f>
        <v>7099.1889757947501</v>
      </c>
      <c r="BA91" s="42">
        <f t="shared" si="40"/>
        <v>4.8949174736410677E-3</v>
      </c>
      <c r="BB91" s="42"/>
      <c r="BC91" s="42"/>
      <c r="BD91" s="42"/>
      <c r="BE91" s="42"/>
      <c r="BF91" s="7">
        <f t="shared" si="34"/>
        <v>121.51527028397517</v>
      </c>
      <c r="BG91" s="7"/>
      <c r="BH91" s="7"/>
      <c r="BI91" s="42">
        <f t="shared" si="35"/>
        <v>1.4318091370397265E-2</v>
      </c>
      <c r="BJ91" s="7"/>
      <c r="BK91" s="7"/>
      <c r="BL91" s="7"/>
      <c r="BM91" s="7"/>
      <c r="BN91" s="7"/>
      <c r="BO91" s="7"/>
      <c r="BP91" s="7"/>
      <c r="BQ91" s="7"/>
      <c r="BR91" s="7"/>
    </row>
    <row r="92" spans="1:70" x14ac:dyDescent="0.2">
      <c r="A92" s="7">
        <f t="shared" si="41"/>
        <v>2034</v>
      </c>
      <c r="B92" s="7">
        <f t="shared" si="42"/>
        <v>3</v>
      </c>
      <c r="C92" s="9"/>
      <c r="D92" s="56">
        <f>'Low pensions'!Q92</f>
        <v>124897167.50729287</v>
      </c>
      <c r="E92" s="9"/>
      <c r="F92" s="41">
        <f>'Low pensions'!I92</f>
        <v>22701538.630325738</v>
      </c>
      <c r="G92" s="56">
        <f>'Low pensions'!K92</f>
        <v>3174444.7250211602</v>
      </c>
      <c r="H92" s="56">
        <f>'Low pensions'!V92</f>
        <v>17464858.26445153</v>
      </c>
      <c r="I92" s="56">
        <f>'Low pensions'!M92</f>
        <v>98178.702835700009</v>
      </c>
      <c r="J92" s="56">
        <f>'Low pensions'!W92</f>
        <v>540150.25560156081</v>
      </c>
      <c r="K92" s="9"/>
      <c r="L92" s="56">
        <f>'Low pensions'!N92</f>
        <v>2439313.2811877802</v>
      </c>
      <c r="M92" s="41"/>
      <c r="N92" s="56">
        <f>'Low pensions'!L92</f>
        <v>1055366.717355404</v>
      </c>
      <c r="O92" s="9"/>
      <c r="P92" s="56">
        <f>'Low pensions'!X92</f>
        <v>18463924.507457688</v>
      </c>
      <c r="Q92" s="41"/>
      <c r="R92" s="56">
        <f>'Low SIPA income'!G87</f>
        <v>23881354.211026527</v>
      </c>
      <c r="S92" s="41"/>
      <c r="T92" s="56">
        <f>'Low SIPA income'!J87</f>
        <v>91312427.663427696</v>
      </c>
      <c r="U92" s="9"/>
      <c r="V92" s="56">
        <f>'Low SIPA income'!F87</f>
        <v>161698.14540396299</v>
      </c>
      <c r="W92" s="41"/>
      <c r="X92" s="56">
        <f>'Low SIPA income'!M87</f>
        <v>406139.12238584989</v>
      </c>
      <c r="Y92" s="9"/>
      <c r="Z92" s="9">
        <f t="shared" si="36"/>
        <v>-2153166.272438433</v>
      </c>
      <c r="AA92" s="9"/>
      <c r="AB92" s="9">
        <f t="shared" si="37"/>
        <v>-52048664.35132286</v>
      </c>
      <c r="AC92" s="23"/>
      <c r="AD92" s="9"/>
      <c r="AE92" s="9"/>
      <c r="AF92" s="9"/>
      <c r="AG92" s="9">
        <f t="shared" si="33"/>
        <v>6401156567.5474977</v>
      </c>
      <c r="AH92" s="42">
        <f t="shared" si="43"/>
        <v>3.1687723790751769E-3</v>
      </c>
      <c r="AI92" s="42"/>
      <c r="AJ92" s="42">
        <f t="shared" si="38"/>
        <v>-8.1311343976803382E-3</v>
      </c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9"/>
      <c r="AV92" s="7"/>
      <c r="AW92" s="46">
        <f>workers_and_wage_low!C80</f>
        <v>12832073</v>
      </c>
      <c r="AX92" s="7"/>
      <c r="AY92" s="42">
        <f t="shared" si="39"/>
        <v>2.724892519474179E-3</v>
      </c>
      <c r="AZ92" s="47">
        <f>workers_and_wage_low!B80</f>
        <v>7102.3315994888098</v>
      </c>
      <c r="BA92" s="42">
        <f t="shared" si="40"/>
        <v>4.4267362156081761E-4</v>
      </c>
      <c r="BB92" s="42"/>
      <c r="BC92" s="42"/>
      <c r="BD92" s="42"/>
      <c r="BE92" s="42"/>
      <c r="BF92" s="7">
        <f t="shared" si="34"/>
        <v>121.90032451608687</v>
      </c>
      <c r="BG92" s="7"/>
      <c r="BH92" s="7"/>
      <c r="BI92" s="42">
        <f t="shared" si="35"/>
        <v>1.6387990594686652E-2</v>
      </c>
      <c r="BJ92" s="7"/>
      <c r="BK92" s="7"/>
      <c r="BL92" s="7"/>
      <c r="BM92" s="7"/>
      <c r="BN92" s="7"/>
      <c r="BO92" s="7"/>
      <c r="BP92" s="7"/>
      <c r="BQ92" s="7"/>
      <c r="BR92" s="7"/>
    </row>
    <row r="93" spans="1:70" x14ac:dyDescent="0.2">
      <c r="A93" s="7">
        <f t="shared" si="41"/>
        <v>2034</v>
      </c>
      <c r="B93" s="7">
        <f t="shared" si="42"/>
        <v>4</v>
      </c>
      <c r="C93" s="9"/>
      <c r="D93" s="56">
        <f>'Low pensions'!Q93</f>
        <v>125135060.82976571</v>
      </c>
      <c r="E93" s="9"/>
      <c r="F93" s="41">
        <f>'Low pensions'!I93</f>
        <v>22744778.557681963</v>
      </c>
      <c r="G93" s="56">
        <f>'Low pensions'!K93</f>
        <v>3224354.5523887398</v>
      </c>
      <c r="H93" s="56">
        <f>'Low pensions'!V93</f>
        <v>17739447.408848178</v>
      </c>
      <c r="I93" s="56">
        <f>'Low pensions'!M93</f>
        <v>99722.305743980221</v>
      </c>
      <c r="J93" s="56">
        <f>'Low pensions'!W93</f>
        <v>548642.70336643071</v>
      </c>
      <c r="K93" s="9"/>
      <c r="L93" s="56">
        <f>'Low pensions'!N93</f>
        <v>2444565.9819413815</v>
      </c>
      <c r="M93" s="41"/>
      <c r="N93" s="56">
        <f>'Low pensions'!L93</f>
        <v>1058516.1218306161</v>
      </c>
      <c r="O93" s="9"/>
      <c r="P93" s="56">
        <f>'Low pensions'!X93</f>
        <v>18508507.890836485</v>
      </c>
      <c r="Q93" s="41"/>
      <c r="R93" s="56">
        <f>'Low SIPA income'!G88</f>
        <v>27503132.179844398</v>
      </c>
      <c r="S93" s="41"/>
      <c r="T93" s="56">
        <f>'Low SIPA income'!J88</f>
        <v>105160609.63285641</v>
      </c>
      <c r="U93" s="9"/>
      <c r="V93" s="56">
        <f>'Low SIPA income'!F88</f>
        <v>157438.098667293</v>
      </c>
      <c r="W93" s="41"/>
      <c r="X93" s="56">
        <f>'Low SIPA income'!M88</f>
        <v>395439.11318888946</v>
      </c>
      <c r="Y93" s="9"/>
      <c r="Z93" s="9">
        <f t="shared" si="36"/>
        <v>1412709.6170577332</v>
      </c>
      <c r="AA93" s="9"/>
      <c r="AB93" s="9">
        <f t="shared" si="37"/>
        <v>-38482959.087745786</v>
      </c>
      <c r="AC93" s="23"/>
      <c r="AD93" s="9"/>
      <c r="AE93" s="9"/>
      <c r="AF93" s="9"/>
      <c r="AG93" s="9">
        <f t="shared" si="33"/>
        <v>6399682197.5408173</v>
      </c>
      <c r="AH93" s="42">
        <f t="shared" si="43"/>
        <v>-2.3032868999880911E-4</v>
      </c>
      <c r="AI93" s="42">
        <f>(AG93-AG89)/AG89</f>
        <v>9.0874725654350678E-3</v>
      </c>
      <c r="AJ93" s="42">
        <f t="shared" si="38"/>
        <v>-6.0132609557601926E-3</v>
      </c>
      <c r="AK93" s="7"/>
      <c r="AL93" s="7"/>
      <c r="AM93" s="7"/>
      <c r="AN93" s="7"/>
      <c r="AO93" s="7"/>
      <c r="AP93" s="7"/>
      <c r="AQ93" s="7"/>
      <c r="AR93" s="7"/>
      <c r="AS93" s="7"/>
      <c r="AT93" s="7"/>
      <c r="AV93" s="7"/>
      <c r="AW93" s="46">
        <f>workers_and_wage_low!C81</f>
        <v>12798575</v>
      </c>
      <c r="AX93" s="7"/>
      <c r="AY93" s="42">
        <f t="shared" si="39"/>
        <v>-2.6104901367066725E-3</v>
      </c>
      <c r="AZ93" s="47">
        <f>workers_and_wage_low!B81</f>
        <v>7119.2805403866896</v>
      </c>
      <c r="BA93" s="42">
        <f t="shared" si="40"/>
        <v>2.3863910971292394E-3</v>
      </c>
      <c r="BB93" s="42"/>
      <c r="BC93" s="42"/>
      <c r="BD93" s="42"/>
      <c r="BE93" s="42"/>
      <c r="BF93" s="7">
        <f t="shared" si="34"/>
        <v>121.87224737403066</v>
      </c>
      <c r="BG93" s="7"/>
      <c r="BH93" s="7"/>
      <c r="BI93" s="42">
        <f t="shared" si="35"/>
        <v>1.4211631625176141E-2</v>
      </c>
      <c r="BJ93" s="7"/>
      <c r="BK93" s="7"/>
      <c r="BL93" s="7"/>
      <c r="BM93" s="7"/>
      <c r="BN93" s="7"/>
      <c r="BO93" s="7"/>
      <c r="BP93" s="7"/>
      <c r="BQ93" s="7"/>
      <c r="BR93" s="7"/>
    </row>
    <row r="94" spans="1:70" x14ac:dyDescent="0.2">
      <c r="A94" s="5">
        <f t="shared" si="41"/>
        <v>2035</v>
      </c>
      <c r="B94" s="5">
        <f t="shared" si="42"/>
        <v>1</v>
      </c>
      <c r="C94" s="6"/>
      <c r="D94" s="55">
        <f>'Low pensions'!Q94</f>
        <v>125672136.62738253</v>
      </c>
      <c r="E94" s="6"/>
      <c r="F94" s="8">
        <f>'Low pensions'!I94</f>
        <v>22842398.441385888</v>
      </c>
      <c r="G94" s="55">
        <f>'Low pensions'!K94</f>
        <v>3281609.1721715098</v>
      </c>
      <c r="H94" s="55">
        <f>'Low pensions'!V94</f>
        <v>18054445.4340491</v>
      </c>
      <c r="I94" s="55">
        <f>'Low pensions'!M94</f>
        <v>101493.06718055997</v>
      </c>
      <c r="J94" s="55">
        <f>'Low pensions'!W94</f>
        <v>558384.91033140337</v>
      </c>
      <c r="K94" s="6"/>
      <c r="L94" s="55">
        <f>'Low pensions'!N94</f>
        <v>2958326.8395168651</v>
      </c>
      <c r="M94" s="8"/>
      <c r="N94" s="55">
        <f>'Low pensions'!L94</f>
        <v>1063940.2172453441</v>
      </c>
      <c r="O94" s="6"/>
      <c r="P94" s="55">
        <f>'Low pensions'!X94</f>
        <v>21204257.195716992</v>
      </c>
      <c r="Q94" s="8"/>
      <c r="R94" s="55">
        <f>'Low SIPA income'!G89</f>
        <v>23918998.304922417</v>
      </c>
      <c r="S94" s="8"/>
      <c r="T94" s="55">
        <f>'Low SIPA income'!J89</f>
        <v>91456363.119116247</v>
      </c>
      <c r="U94" s="6"/>
      <c r="V94" s="55">
        <f>'Low SIPA income'!F89</f>
        <v>160718.024307691</v>
      </c>
      <c r="W94" s="8"/>
      <c r="X94" s="55">
        <f>'Low SIPA income'!M89</f>
        <v>403677.3407687677</v>
      </c>
      <c r="Y94" s="6"/>
      <c r="Z94" s="6">
        <f t="shared" si="36"/>
        <v>-2784949.1689179912</v>
      </c>
      <c r="AA94" s="6"/>
      <c r="AB94" s="6">
        <f t="shared" si="37"/>
        <v>-55420030.703983277</v>
      </c>
      <c r="AC94" s="23"/>
      <c r="AD94" s="6"/>
      <c r="AE94" s="6"/>
      <c r="AF94" s="6"/>
      <c r="AG94" s="6">
        <f t="shared" si="33"/>
        <v>6444441392.4171867</v>
      </c>
      <c r="AH94" s="35">
        <f t="shared" si="43"/>
        <v>6.993971496517269E-3</v>
      </c>
      <c r="AI94" s="35"/>
      <c r="AJ94" s="35">
        <f t="shared" si="38"/>
        <v>-8.5996640095436245E-3</v>
      </c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35">
        <f>AVERAGE(AH94:AH97)</f>
        <v>6.1141987706746937E-3</v>
      </c>
      <c r="AV94" s="5"/>
      <c r="AW94" s="39">
        <f>workers_and_wage_low!C82</f>
        <v>12861914</v>
      </c>
      <c r="AX94" s="5"/>
      <c r="AY94" s="35">
        <f t="shared" si="39"/>
        <v>4.9489103279075995E-3</v>
      </c>
      <c r="AZ94" s="40">
        <f>workers_and_wage_low!B82</f>
        <v>7133.7682064082701</v>
      </c>
      <c r="BA94" s="35">
        <f t="shared" si="40"/>
        <v>2.034990184667392E-3</v>
      </c>
      <c r="BB94" s="35"/>
      <c r="BC94" s="35"/>
      <c r="BD94" s="35"/>
      <c r="BE94" s="35"/>
      <c r="BF94" s="5">
        <f t="shared" si="34"/>
        <v>122.72461839838112</v>
      </c>
      <c r="BG94" s="5"/>
      <c r="BH94" s="5"/>
      <c r="BI94" s="35">
        <f t="shared" si="35"/>
        <v>1.6483000005397874E-2</v>
      </c>
      <c r="BJ94" s="5"/>
      <c r="BK94" s="5"/>
      <c r="BL94" s="5"/>
      <c r="BM94" s="5"/>
      <c r="BN94" s="5"/>
      <c r="BO94" s="5"/>
      <c r="BP94" s="5"/>
      <c r="BQ94" s="5"/>
      <c r="BR94" s="5"/>
    </row>
    <row r="95" spans="1:70" x14ac:dyDescent="0.2">
      <c r="A95" s="7">
        <f t="shared" si="41"/>
        <v>2035</v>
      </c>
      <c r="B95" s="7">
        <f t="shared" si="42"/>
        <v>2</v>
      </c>
      <c r="C95" s="9"/>
      <c r="D95" s="56">
        <f>'Low pensions'!Q95</f>
        <v>126039427.59409645</v>
      </c>
      <c r="E95" s="9"/>
      <c r="F95" s="41">
        <f>'Low pensions'!I95</f>
        <v>22909157.922291961</v>
      </c>
      <c r="G95" s="56">
        <f>'Low pensions'!K95</f>
        <v>3342405.9336966402</v>
      </c>
      <c r="H95" s="56">
        <f>'Low pensions'!V95</f>
        <v>18388931.27801571</v>
      </c>
      <c r="I95" s="56">
        <f>'Low pensions'!M95</f>
        <v>103373.37939267978</v>
      </c>
      <c r="J95" s="56">
        <f>'Low pensions'!W95</f>
        <v>568729.83334069315</v>
      </c>
      <c r="K95" s="9"/>
      <c r="L95" s="56">
        <f>'Low pensions'!N95</f>
        <v>2462128.376485832</v>
      </c>
      <c r="M95" s="41"/>
      <c r="N95" s="56">
        <f>'Low pensions'!L95</f>
        <v>1068013.4826257192</v>
      </c>
      <c r="O95" s="9"/>
      <c r="P95" s="56">
        <f>'Low pensions'!X95</f>
        <v>18651890.916535947</v>
      </c>
      <c r="Q95" s="41"/>
      <c r="R95" s="56">
        <f>'Low SIPA income'!G90</f>
        <v>27423776.803837743</v>
      </c>
      <c r="S95" s="41"/>
      <c r="T95" s="56">
        <f>'Low SIPA income'!J90</f>
        <v>104857187.47482963</v>
      </c>
      <c r="U95" s="9"/>
      <c r="V95" s="56">
        <f>'Low SIPA income'!F90</f>
        <v>166580.518347509</v>
      </c>
      <c r="W95" s="41"/>
      <c r="X95" s="56">
        <f>'Low SIPA income'!M90</f>
        <v>418402.23559285887</v>
      </c>
      <c r="Y95" s="9"/>
      <c r="Z95" s="9">
        <f t="shared" si="36"/>
        <v>1151057.5407817401</v>
      </c>
      <c r="AA95" s="9"/>
      <c r="AB95" s="9">
        <f t="shared" si="37"/>
        <v>-39834131.035802767</v>
      </c>
      <c r="AC95" s="23"/>
      <c r="AD95" s="9"/>
      <c r="AE95" s="9"/>
      <c r="AF95" s="9"/>
      <c r="AG95" s="9">
        <f t="shared" si="33"/>
        <v>6480422024.47015</v>
      </c>
      <c r="AH95" s="42">
        <f t="shared" si="43"/>
        <v>5.5832041696119161E-3</v>
      </c>
      <c r="AI95" s="42"/>
      <c r="AJ95" s="42">
        <f t="shared" si="38"/>
        <v>-6.1468421169776624E-3</v>
      </c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46">
        <f>workers_and_wage_low!C83</f>
        <v>12837796</v>
      </c>
      <c r="AX95" s="7"/>
      <c r="AY95" s="42">
        <f t="shared" si="39"/>
        <v>-1.8751485976348467E-3</v>
      </c>
      <c r="AZ95" s="47">
        <f>workers_and_wage_low!B83</f>
        <v>7187.0743231414699</v>
      </c>
      <c r="BA95" s="42">
        <f t="shared" si="40"/>
        <v>7.4723645611746801E-3</v>
      </c>
      <c r="BB95" s="42"/>
      <c r="BC95" s="42"/>
      <c r="BD95" s="42"/>
      <c r="BE95" s="42"/>
      <c r="BF95" s="7">
        <f t="shared" si="34"/>
        <v>123.40981499953701</v>
      </c>
      <c r="BG95" s="7"/>
      <c r="BH95" s="7"/>
      <c r="BI95" s="42">
        <f t="shared" si="35"/>
        <v>1.430968227671931E-2</v>
      </c>
      <c r="BJ95" s="7"/>
      <c r="BK95" s="7"/>
      <c r="BL95" s="7"/>
      <c r="BM95" s="7"/>
      <c r="BN95" s="7"/>
      <c r="BO95" s="7"/>
      <c r="BP95" s="7"/>
      <c r="BQ95" s="7"/>
      <c r="BR95" s="7"/>
    </row>
    <row r="96" spans="1:70" x14ac:dyDescent="0.2">
      <c r="A96" s="7">
        <f t="shared" si="41"/>
        <v>2035</v>
      </c>
      <c r="B96" s="7">
        <f t="shared" si="42"/>
        <v>3</v>
      </c>
      <c r="C96" s="9"/>
      <c r="D96" s="56">
        <f>'Low pensions'!Q96</f>
        <v>126494811.3059407</v>
      </c>
      <c r="E96" s="9"/>
      <c r="F96" s="41">
        <f>'Low pensions'!I96</f>
        <v>22991929.302399117</v>
      </c>
      <c r="G96" s="56">
        <f>'Low pensions'!K96</f>
        <v>3387830.5378640802</v>
      </c>
      <c r="H96" s="56">
        <f>'Low pensions'!V96</f>
        <v>18638844.047719982</v>
      </c>
      <c r="I96" s="56">
        <f>'Low pensions'!M96</f>
        <v>104778.26405764977</v>
      </c>
      <c r="J96" s="56">
        <f>'Low pensions'!W96</f>
        <v>576459.09425936884</v>
      </c>
      <c r="K96" s="9"/>
      <c r="L96" s="56">
        <f>'Low pensions'!N96</f>
        <v>2466815.7035412672</v>
      </c>
      <c r="M96" s="41"/>
      <c r="N96" s="56">
        <f>'Low pensions'!L96</f>
        <v>1073334.8637964539</v>
      </c>
      <c r="O96" s="9"/>
      <c r="P96" s="56">
        <f>'Low pensions'!X96</f>
        <v>18705490.148049325</v>
      </c>
      <c r="Q96" s="41"/>
      <c r="R96" s="56">
        <f>'Low SIPA income'!G91</f>
        <v>24230014.431188669</v>
      </c>
      <c r="S96" s="41"/>
      <c r="T96" s="56">
        <f>'Low SIPA income'!J91</f>
        <v>92645560.234191656</v>
      </c>
      <c r="U96" s="9"/>
      <c r="V96" s="56">
        <f>'Low SIPA income'!F91</f>
        <v>167437.45161747301</v>
      </c>
      <c r="W96" s="41"/>
      <c r="X96" s="56">
        <f>'Low SIPA income'!M91</f>
        <v>420554.60490629129</v>
      </c>
      <c r="Y96" s="9"/>
      <c r="Z96" s="9">
        <f t="shared" si="36"/>
        <v>-2134627.9869306982</v>
      </c>
      <c r="AA96" s="9"/>
      <c r="AB96" s="9">
        <f t="shared" si="37"/>
        <v>-52554741.219798371</v>
      </c>
      <c r="AC96" s="23"/>
      <c r="AD96" s="9"/>
      <c r="AE96" s="9"/>
      <c r="AF96" s="9"/>
      <c r="AG96" s="9">
        <f t="shared" si="33"/>
        <v>6479837782.8115005</v>
      </c>
      <c r="AH96" s="42">
        <f t="shared" si="43"/>
        <v>-9.0154878253814513E-5</v>
      </c>
      <c r="AI96" s="42"/>
      <c r="AJ96" s="42">
        <f t="shared" si="38"/>
        <v>-8.1105026053593099E-3</v>
      </c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9"/>
      <c r="AV96" s="7"/>
      <c r="AW96" s="46">
        <f>workers_and_wage_low!C84</f>
        <v>12850776</v>
      </c>
      <c r="AX96" s="7"/>
      <c r="AY96" s="42">
        <f t="shared" si="39"/>
        <v>1.0110769792571871E-3</v>
      </c>
      <c r="AZ96" s="47">
        <f>workers_and_wage_low!B84</f>
        <v>7179.16768215721</v>
      </c>
      <c r="BA96" s="42">
        <f t="shared" si="40"/>
        <v>-1.1001195519575306E-3</v>
      </c>
      <c r="BB96" s="42"/>
      <c r="BC96" s="42"/>
      <c r="BD96" s="42"/>
      <c r="BE96" s="42"/>
      <c r="BF96" s="7">
        <f t="shared" si="34"/>
        <v>123.3986890026904</v>
      </c>
      <c r="BG96" s="7"/>
      <c r="BH96" s="7"/>
      <c r="BI96" s="42">
        <f t="shared" si="35"/>
        <v>1.6354467228628398E-2</v>
      </c>
      <c r="BJ96" s="7"/>
      <c r="BK96" s="7"/>
      <c r="BL96" s="7"/>
      <c r="BM96" s="7"/>
      <c r="BN96" s="7"/>
      <c r="BO96" s="7"/>
      <c r="BP96" s="7"/>
      <c r="BQ96" s="7"/>
      <c r="BR96" s="7"/>
    </row>
    <row r="97" spans="1:70" x14ac:dyDescent="0.2">
      <c r="A97" s="7">
        <f t="shared" si="41"/>
        <v>2035</v>
      </c>
      <c r="B97" s="7">
        <f t="shared" si="42"/>
        <v>4</v>
      </c>
      <c r="C97" s="9"/>
      <c r="D97" s="56">
        <f>'Low pensions'!Q97</f>
        <v>126700548.28538388</v>
      </c>
      <c r="E97" s="9"/>
      <c r="F97" s="41">
        <f>'Low pensions'!I97</f>
        <v>23029324.433767833</v>
      </c>
      <c r="G97" s="56">
        <f>'Low pensions'!K97</f>
        <v>3419684.1864008699</v>
      </c>
      <c r="H97" s="56">
        <f>'Low pensions'!V97</f>
        <v>18814093.423623662</v>
      </c>
      <c r="I97" s="56">
        <f>'Low pensions'!M97</f>
        <v>105763.42844538996</v>
      </c>
      <c r="J97" s="56">
        <f>'Low pensions'!W97</f>
        <v>581879.17805022863</v>
      </c>
      <c r="K97" s="9"/>
      <c r="L97" s="56">
        <f>'Low pensions'!N97</f>
        <v>2447434.0028982442</v>
      </c>
      <c r="M97" s="41"/>
      <c r="N97" s="56">
        <f>'Low pensions'!L97</f>
        <v>1075539.2583171092</v>
      </c>
      <c r="O97" s="9"/>
      <c r="P97" s="56">
        <f>'Low pensions'!X97</f>
        <v>18617046.339527059</v>
      </c>
      <c r="Q97" s="41"/>
      <c r="R97" s="56">
        <f>'Low SIPA income'!G92</f>
        <v>27915853.944616552</v>
      </c>
      <c r="S97" s="41"/>
      <c r="T97" s="56">
        <f>'Low SIPA income'!J92</f>
        <v>106738687.07175973</v>
      </c>
      <c r="U97" s="9"/>
      <c r="V97" s="56">
        <f>'Low SIPA income'!F92</f>
        <v>166283.912781644</v>
      </c>
      <c r="W97" s="41"/>
      <c r="X97" s="56">
        <f>'Low SIPA income'!M92</f>
        <v>417657.24792516348</v>
      </c>
      <c r="Y97" s="9"/>
      <c r="Z97" s="9">
        <f t="shared" si="36"/>
        <v>1529840.1624150127</v>
      </c>
      <c r="AA97" s="9"/>
      <c r="AB97" s="9">
        <f t="shared" si="37"/>
        <v>-38578907.553151205</v>
      </c>
      <c r="AC97" s="23"/>
      <c r="AD97" s="9"/>
      <c r="AE97" s="9"/>
      <c r="AF97" s="9"/>
      <c r="AG97" s="9">
        <f t="shared" si="33"/>
        <v>6557399978.5388231</v>
      </c>
      <c r="AH97" s="42">
        <f t="shared" si="43"/>
        <v>1.1969774294823404E-2</v>
      </c>
      <c r="AI97" s="42">
        <f>(AG97-AG93)/AG93</f>
        <v>2.4644627050170009E-2</v>
      </c>
      <c r="AJ97" s="42">
        <f t="shared" si="38"/>
        <v>-5.8832628296905708E-3</v>
      </c>
      <c r="AK97" s="7"/>
      <c r="AL97" s="7"/>
      <c r="AM97" s="7"/>
      <c r="AN97" s="7"/>
      <c r="AO97" s="7"/>
      <c r="AP97" s="7"/>
      <c r="AQ97" s="7"/>
      <c r="AR97" s="7"/>
      <c r="AS97" s="7"/>
      <c r="AT97" s="7"/>
      <c r="AV97" s="7"/>
      <c r="AW97" s="46">
        <f>workers_and_wage_low!C85</f>
        <v>12888200</v>
      </c>
      <c r="AX97" s="7"/>
      <c r="AY97" s="42">
        <f t="shared" si="39"/>
        <v>2.9121976758446338E-3</v>
      </c>
      <c r="AZ97" s="47">
        <f>workers_and_wage_low!B85</f>
        <v>7244.0047252127497</v>
      </c>
      <c r="BA97" s="42">
        <f t="shared" si="40"/>
        <v>9.031275758704287E-3</v>
      </c>
      <c r="BB97" s="42"/>
      <c r="BC97" s="42"/>
      <c r="BD97" s="42"/>
      <c r="BE97" s="42"/>
      <c r="BF97" s="7">
        <f t="shared" si="34"/>
        <v>124.87574345832971</v>
      </c>
      <c r="BG97" s="7"/>
      <c r="BH97" s="7"/>
      <c r="BI97" s="42">
        <f t="shared" si="35"/>
        <v>1.4304453741549194E-2</v>
      </c>
      <c r="BJ97" s="7"/>
      <c r="BK97" s="7"/>
      <c r="BL97" s="7"/>
      <c r="BM97" s="7"/>
      <c r="BN97" s="7"/>
      <c r="BO97" s="7"/>
      <c r="BP97" s="7"/>
      <c r="BQ97" s="7"/>
      <c r="BR97" s="7"/>
    </row>
    <row r="98" spans="1:70" x14ac:dyDescent="0.2">
      <c r="A98" s="5">
        <f t="shared" si="41"/>
        <v>2036</v>
      </c>
      <c r="B98" s="5">
        <f t="shared" si="42"/>
        <v>1</v>
      </c>
      <c r="C98" s="6"/>
      <c r="D98" s="55">
        <f>'Low pensions'!Q98</f>
        <v>127271426.91308816</v>
      </c>
      <c r="E98" s="6"/>
      <c r="F98" s="8">
        <f>'Low pensions'!I98</f>
        <v>23133088.381971858</v>
      </c>
      <c r="G98" s="55">
        <f>'Low pensions'!K98</f>
        <v>3489436.69899284</v>
      </c>
      <c r="H98" s="55">
        <f>'Low pensions'!V98</f>
        <v>19197851.167586271</v>
      </c>
      <c r="I98" s="55">
        <f>'Low pensions'!M98</f>
        <v>107920.72264925996</v>
      </c>
      <c r="J98" s="55">
        <f>'Low pensions'!W98</f>
        <v>593747.9742552283</v>
      </c>
      <c r="K98" s="6"/>
      <c r="L98" s="55">
        <f>'Low pensions'!N98</f>
        <v>2918317.1808319706</v>
      </c>
      <c r="M98" s="8"/>
      <c r="N98" s="55">
        <f>'Low pensions'!L98</f>
        <v>1081356.8607752435</v>
      </c>
      <c r="O98" s="6"/>
      <c r="P98" s="55">
        <f>'Low pensions'!X98</f>
        <v>21092468.120564051</v>
      </c>
      <c r="Q98" s="8"/>
      <c r="R98" s="55">
        <f>'Low SIPA income'!G93</f>
        <v>24530847.105482113</v>
      </c>
      <c r="S98" s="8"/>
      <c r="T98" s="55">
        <f>'Low SIPA income'!J93</f>
        <v>93795820.038031936</v>
      </c>
      <c r="U98" s="6"/>
      <c r="V98" s="55">
        <f>'Low SIPA income'!F93</f>
        <v>160960.75086726699</v>
      </c>
      <c r="W98" s="8"/>
      <c r="X98" s="55">
        <f>'Low SIPA income'!M93</f>
        <v>404286.99990641366</v>
      </c>
      <c r="Y98" s="6"/>
      <c r="Z98" s="6">
        <f t="shared" si="36"/>
        <v>-2440954.5672296956</v>
      </c>
      <c r="AA98" s="6"/>
      <c r="AB98" s="6">
        <f t="shared" si="37"/>
        <v>-54568074.995620266</v>
      </c>
      <c r="AC98" s="23"/>
      <c r="AD98" s="6"/>
      <c r="AE98" s="6"/>
      <c r="AF98" s="6"/>
      <c r="AG98" s="6">
        <f t="shared" si="33"/>
        <v>6550860558.9677496</v>
      </c>
      <c r="AH98" s="35">
        <f t="shared" si="43"/>
        <v>-9.9725799744957789E-4</v>
      </c>
      <c r="AI98" s="35"/>
      <c r="AJ98" s="35">
        <f t="shared" si="38"/>
        <v>-8.3299094072334847E-3</v>
      </c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35">
        <f>AVERAGE(AH98:AH101)</f>
        <v>1.402078924554485E-3</v>
      </c>
      <c r="AV98" s="5"/>
      <c r="AW98" s="39">
        <f>workers_and_wage_low!C86</f>
        <v>12864602</v>
      </c>
      <c r="AX98" s="5"/>
      <c r="AY98" s="35">
        <f t="shared" si="39"/>
        <v>-1.8309771729178629E-3</v>
      </c>
      <c r="AZ98" s="40">
        <f>workers_and_wage_low!B86</f>
        <v>7250.05526926739</v>
      </c>
      <c r="BA98" s="35">
        <f t="shared" si="40"/>
        <v>8.3524849639888133E-4</v>
      </c>
      <c r="BB98" s="35"/>
      <c r="BC98" s="35"/>
      <c r="BD98" s="35"/>
      <c r="BE98" s="35"/>
      <c r="BF98" s="5">
        <f t="shared" si="34"/>
        <v>124.75121012447842</v>
      </c>
      <c r="BG98" s="5"/>
      <c r="BH98" s="5"/>
      <c r="BI98" s="35">
        <f t="shared" si="35"/>
        <v>1.6340310497689733E-2</v>
      </c>
      <c r="BJ98" s="5"/>
      <c r="BK98" s="5"/>
      <c r="BL98" s="5"/>
      <c r="BM98" s="5"/>
      <c r="BN98" s="5"/>
      <c r="BO98" s="5"/>
      <c r="BP98" s="5"/>
      <c r="BQ98" s="5"/>
      <c r="BR98" s="5"/>
    </row>
    <row r="99" spans="1:70" x14ac:dyDescent="0.2">
      <c r="A99" s="7">
        <f t="shared" si="41"/>
        <v>2036</v>
      </c>
      <c r="B99" s="7">
        <f t="shared" si="42"/>
        <v>2</v>
      </c>
      <c r="C99" s="9"/>
      <c r="D99" s="56">
        <f>'Low pensions'!Q99</f>
        <v>127456770.28888039</v>
      </c>
      <c r="E99" s="9"/>
      <c r="F99" s="41">
        <f>'Low pensions'!I99</f>
        <v>23166776.73447334</v>
      </c>
      <c r="G99" s="56">
        <f>'Low pensions'!K99</f>
        <v>3550698.9599605598</v>
      </c>
      <c r="H99" s="56">
        <f>'Low pensions'!V99</f>
        <v>19534898.052141473</v>
      </c>
      <c r="I99" s="56">
        <f>'Low pensions'!M99</f>
        <v>109815.43175134994</v>
      </c>
      <c r="J99" s="56">
        <f>'Low pensions'!W99</f>
        <v>604172.10470536468</v>
      </c>
      <c r="K99" s="9"/>
      <c r="L99" s="56">
        <f>'Low pensions'!N99</f>
        <v>2384555.8909282507</v>
      </c>
      <c r="M99" s="41"/>
      <c r="N99" s="56">
        <f>'Low pensions'!L99</f>
        <v>1084146.3473631516</v>
      </c>
      <c r="O99" s="9"/>
      <c r="P99" s="56">
        <f>'Low pensions'!X99</f>
        <v>18338125.182034295</v>
      </c>
      <c r="Q99" s="41"/>
      <c r="R99" s="56">
        <f>'Low SIPA income'!G94</f>
        <v>28273632.547712661</v>
      </c>
      <c r="S99" s="41"/>
      <c r="T99" s="56">
        <f>'Low SIPA income'!J94</f>
        <v>108106684.56997745</v>
      </c>
      <c r="U99" s="9"/>
      <c r="V99" s="56">
        <f>'Low SIPA income'!F94</f>
        <v>160619.84167290901</v>
      </c>
      <c r="W99" s="41"/>
      <c r="X99" s="56">
        <f>'Low SIPA income'!M94</f>
        <v>403430.73429703439</v>
      </c>
      <c r="Y99" s="9"/>
      <c r="Z99" s="9">
        <f t="shared" si="36"/>
        <v>1798773.4166208282</v>
      </c>
      <c r="AA99" s="9"/>
      <c r="AB99" s="9">
        <f t="shared" si="37"/>
        <v>-37688210.900937244</v>
      </c>
      <c r="AC99" s="23"/>
      <c r="AD99" s="9"/>
      <c r="AE99" s="9"/>
      <c r="AF99" s="9"/>
      <c r="AG99" s="9">
        <f t="shared" si="33"/>
        <v>6596701648.4027033</v>
      </c>
      <c r="AH99" s="42">
        <f t="shared" si="43"/>
        <v>6.9977202265738793E-3</v>
      </c>
      <c r="AI99" s="42"/>
      <c r="AJ99" s="42">
        <f t="shared" si="38"/>
        <v>-5.7131901531522053E-3</v>
      </c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46">
        <f>workers_and_wage_low!C87</f>
        <v>12920958</v>
      </c>
      <c r="AX99" s="7"/>
      <c r="AY99" s="42">
        <f t="shared" si="39"/>
        <v>4.3807029552876955E-3</v>
      </c>
      <c r="AZ99" s="47">
        <f>workers_and_wage_low!B87</f>
        <v>7268.9460342946604</v>
      </c>
      <c r="BA99" s="42">
        <f t="shared" si="40"/>
        <v>2.6056028989664905E-3</v>
      </c>
      <c r="BB99" s="42"/>
      <c r="BC99" s="42"/>
      <c r="BD99" s="42"/>
      <c r="BE99" s="42"/>
      <c r="BF99" s="7">
        <f t="shared" si="34"/>
        <v>125.62418419085606</v>
      </c>
      <c r="BG99" s="7"/>
      <c r="BH99" s="7"/>
      <c r="BI99" s="42">
        <f t="shared" si="35"/>
        <v>1.4291075585545951E-2</v>
      </c>
      <c r="BJ99" s="7"/>
      <c r="BK99" s="7"/>
      <c r="BL99" s="7"/>
      <c r="BM99" s="7"/>
      <c r="BN99" s="7"/>
      <c r="BO99" s="7"/>
      <c r="BP99" s="7"/>
      <c r="BQ99" s="7"/>
      <c r="BR99" s="7"/>
    </row>
    <row r="100" spans="1:70" x14ac:dyDescent="0.2">
      <c r="A100" s="7">
        <f t="shared" si="41"/>
        <v>2036</v>
      </c>
      <c r="B100" s="7">
        <f t="shared" si="42"/>
        <v>3</v>
      </c>
      <c r="C100" s="9"/>
      <c r="D100" s="56">
        <f>'Low pensions'!Q100</f>
        <v>127834987.6925122</v>
      </c>
      <c r="E100" s="9"/>
      <c r="F100" s="41">
        <f>'Low pensions'!I100</f>
        <v>23235522.224627931</v>
      </c>
      <c r="G100" s="56">
        <f>'Low pensions'!K100</f>
        <v>3599047.5873808698</v>
      </c>
      <c r="H100" s="56">
        <f>'Low pensions'!V100</f>
        <v>19800897.935056698</v>
      </c>
      <c r="I100" s="56">
        <f>'Low pensions'!M100</f>
        <v>111310.75012518</v>
      </c>
      <c r="J100" s="56">
        <f>'Low pensions'!W100</f>
        <v>612398.9052079306</v>
      </c>
      <c r="K100" s="9"/>
      <c r="L100" s="56">
        <f>'Low pensions'!N100</f>
        <v>2397948.3481325409</v>
      </c>
      <c r="M100" s="41"/>
      <c r="N100" s="56">
        <f>'Low pensions'!L100</f>
        <v>1087428.8982382193</v>
      </c>
      <c r="O100" s="9"/>
      <c r="P100" s="56">
        <f>'Low pensions'!X100</f>
        <v>18425678.332537957</v>
      </c>
      <c r="Q100" s="41"/>
      <c r="R100" s="56">
        <f>'Low SIPA income'!G95</f>
        <v>24612814.074450821</v>
      </c>
      <c r="S100" s="41"/>
      <c r="T100" s="56">
        <f>'Low SIPA income'!J95</f>
        <v>94109227.848100334</v>
      </c>
      <c r="U100" s="9"/>
      <c r="V100" s="56">
        <f>'Low SIPA income'!F95</f>
        <v>167136.79739968799</v>
      </c>
      <c r="W100" s="41"/>
      <c r="X100" s="56">
        <f>'Low SIPA income'!M95</f>
        <v>419799.44819223153</v>
      </c>
      <c r="Y100" s="9"/>
      <c r="Z100" s="9">
        <f t="shared" si="36"/>
        <v>-1940948.5991481803</v>
      </c>
      <c r="AA100" s="9"/>
      <c r="AB100" s="9">
        <f t="shared" si="37"/>
        <v>-52151438.176949814</v>
      </c>
      <c r="AC100" s="23"/>
      <c r="AD100" s="9"/>
      <c r="AE100" s="9"/>
      <c r="AF100" s="9"/>
      <c r="AG100" s="9">
        <f t="shared" si="33"/>
        <v>6621986154.0306377</v>
      </c>
      <c r="AH100" s="42">
        <f t="shared" si="43"/>
        <v>3.8329011945017607E-3</v>
      </c>
      <c r="AI100" s="42"/>
      <c r="AJ100" s="42">
        <f t="shared" si="38"/>
        <v>-7.8754979191864565E-3</v>
      </c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9"/>
      <c r="AV100" s="7"/>
      <c r="AW100" s="46">
        <f>workers_and_wage_low!C88</f>
        <v>12925504</v>
      </c>
      <c r="AX100" s="7"/>
      <c r="AY100" s="42">
        <f t="shared" si="39"/>
        <v>3.5183149732396005E-4</v>
      </c>
      <c r="AZ100" s="47">
        <f>workers_and_wage_low!B88</f>
        <v>7294.2408425548001</v>
      </c>
      <c r="BA100" s="42">
        <f t="shared" si="40"/>
        <v>3.4798453779680814E-3</v>
      </c>
      <c r="BB100" s="42"/>
      <c r="BC100" s="42"/>
      <c r="BD100" s="42"/>
      <c r="BE100" s="42"/>
      <c r="BF100" s="7">
        <f t="shared" si="34"/>
        <v>126.10568927649949</v>
      </c>
      <c r="BG100" s="7"/>
      <c r="BH100" s="7"/>
      <c r="BI100" s="42">
        <f t="shared" si="35"/>
        <v>1.6320111216682344E-2</v>
      </c>
      <c r="BJ100" s="7"/>
      <c r="BK100" s="7"/>
      <c r="BL100" s="7"/>
      <c r="BM100" s="7"/>
      <c r="BN100" s="7"/>
      <c r="BO100" s="7"/>
      <c r="BP100" s="7"/>
      <c r="BQ100" s="7"/>
      <c r="BR100" s="7"/>
    </row>
    <row r="101" spans="1:70" x14ac:dyDescent="0.2">
      <c r="A101" s="7">
        <f t="shared" si="41"/>
        <v>2036</v>
      </c>
      <c r="B101" s="7">
        <f t="shared" si="42"/>
        <v>4</v>
      </c>
      <c r="C101" s="9"/>
      <c r="D101" s="56">
        <f>'Low pensions'!Q101</f>
        <v>128096571.84674321</v>
      </c>
      <c r="E101" s="9"/>
      <c r="F101" s="41">
        <f>'Low pensions'!I101</f>
        <v>23283068.24108991</v>
      </c>
      <c r="G101" s="56">
        <f>'Low pensions'!K101</f>
        <v>3661414.3939404902</v>
      </c>
      <c r="H101" s="56">
        <f>'Low pensions'!V101</f>
        <v>20144021.703564897</v>
      </c>
      <c r="I101" s="56">
        <f>'Low pensions'!M101</f>
        <v>113239.6204311396</v>
      </c>
      <c r="J101" s="56">
        <f>'Low pensions'!W101</f>
        <v>623010.98052257299</v>
      </c>
      <c r="K101" s="9"/>
      <c r="L101" s="56">
        <f>'Low pensions'!N101</f>
        <v>2411105.9594171676</v>
      </c>
      <c r="M101" s="41"/>
      <c r="N101" s="56">
        <f>'Low pensions'!L101</f>
        <v>1090597.4881849587</v>
      </c>
      <c r="O101" s="9"/>
      <c r="P101" s="56">
        <f>'Low pensions'!X101</f>
        <v>18511385.887044318</v>
      </c>
      <c r="Q101" s="41"/>
      <c r="R101" s="56">
        <f>'Low SIPA income'!G96</f>
        <v>28425936.783933666</v>
      </c>
      <c r="S101" s="41"/>
      <c r="T101" s="56">
        <f>'Low SIPA income'!J96</f>
        <v>108689033.01763554</v>
      </c>
      <c r="U101" s="9"/>
      <c r="V101" s="56">
        <f>'Low SIPA income'!F96</f>
        <v>169546.043839908</v>
      </c>
      <c r="W101" s="41"/>
      <c r="X101" s="56">
        <f>'Low SIPA income'!M96</f>
        <v>425850.78064504149</v>
      </c>
      <c r="Y101" s="9"/>
      <c r="Z101" s="9">
        <f t="shared" si="36"/>
        <v>1810711.1390815377</v>
      </c>
      <c r="AA101" s="9"/>
      <c r="AB101" s="9">
        <f t="shared" si="37"/>
        <v>-37918924.716151997</v>
      </c>
      <c r="AC101" s="23"/>
      <c r="AD101" s="9"/>
      <c r="AE101" s="9"/>
      <c r="AF101" s="9"/>
      <c r="AG101" s="9">
        <f t="shared" si="33"/>
        <v>6594007946.4928665</v>
      </c>
      <c r="AH101" s="42">
        <f t="shared" si="43"/>
        <v>-4.2250477254081225E-3</v>
      </c>
      <c r="AI101" s="42">
        <f>(AG101-AG97)/AG97</f>
        <v>5.582695591828256E-3</v>
      </c>
      <c r="AJ101" s="42">
        <f t="shared" si="38"/>
        <v>-5.7505124385419963E-3</v>
      </c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V101" s="7"/>
      <c r="AW101" s="46">
        <f>workers_and_wage_low!C89</f>
        <v>12858119</v>
      </c>
      <c r="AX101" s="7"/>
      <c r="AY101" s="42">
        <f t="shared" si="39"/>
        <v>-5.2133363619708759E-3</v>
      </c>
      <c r="AZ101" s="47">
        <f>workers_and_wage_low!B89</f>
        <v>7301.4874368252604</v>
      </c>
      <c r="BA101" s="42">
        <f t="shared" si="40"/>
        <v>9.9346791898938074E-4</v>
      </c>
      <c r="BB101" s="42"/>
      <c r="BC101" s="42"/>
      <c r="BD101" s="42"/>
      <c r="BE101" s="42"/>
      <c r="BF101" s="7">
        <f t="shared" si="34"/>
        <v>125.57288672086081</v>
      </c>
      <c r="BG101" s="7"/>
      <c r="BH101" s="7"/>
      <c r="BI101" s="42">
        <f t="shared" si="35"/>
        <v>1.4229642503323467E-2</v>
      </c>
      <c r="BJ101" s="7"/>
      <c r="BK101" s="7"/>
      <c r="BL101" s="7"/>
      <c r="BM101" s="7"/>
      <c r="BN101" s="7"/>
      <c r="BO101" s="7"/>
      <c r="BP101" s="7"/>
      <c r="BQ101" s="7"/>
      <c r="BR101" s="7"/>
    </row>
    <row r="102" spans="1:70" x14ac:dyDescent="0.2">
      <c r="A102" s="5">
        <f t="shared" si="41"/>
        <v>2037</v>
      </c>
      <c r="B102" s="5">
        <f t="shared" si="42"/>
        <v>1</v>
      </c>
      <c r="C102" s="6"/>
      <c r="D102" s="55">
        <f>'Low pensions'!Q102</f>
        <v>128437216.57843468</v>
      </c>
      <c r="E102" s="6"/>
      <c r="F102" s="8">
        <f>'Low pensions'!I102</f>
        <v>23344984.453363173</v>
      </c>
      <c r="G102" s="55">
        <f>'Low pensions'!K102</f>
        <v>3739457.2326605301</v>
      </c>
      <c r="H102" s="55">
        <f>'Low pensions'!V102</f>
        <v>20573390.375842493</v>
      </c>
      <c r="I102" s="55">
        <f>'Low pensions'!M102</f>
        <v>115653.31647404004</v>
      </c>
      <c r="J102" s="55">
        <f>'Low pensions'!W102</f>
        <v>636290.42399514525</v>
      </c>
      <c r="K102" s="6"/>
      <c r="L102" s="55">
        <f>'Low pensions'!N102</f>
        <v>2866959.0347199757</v>
      </c>
      <c r="M102" s="8"/>
      <c r="N102" s="55">
        <f>'Low pensions'!L102</f>
        <v>1094167.5416755565</v>
      </c>
      <c r="O102" s="6"/>
      <c r="P102" s="55">
        <f>'Low pensions'!X102</f>
        <v>20896451.042794138</v>
      </c>
      <c r="Q102" s="8"/>
      <c r="R102" s="55">
        <f>'Low SIPA income'!G97</f>
        <v>24879340.00721854</v>
      </c>
      <c r="S102" s="8"/>
      <c r="T102" s="55">
        <f>'Low SIPA income'!J97</f>
        <v>95128312.852293402</v>
      </c>
      <c r="U102" s="6"/>
      <c r="V102" s="55">
        <f>'Low SIPA income'!F97</f>
        <v>162468.831116371</v>
      </c>
      <c r="W102" s="8"/>
      <c r="X102" s="55">
        <f>'Low SIPA income'!M97</f>
        <v>408074.86270056246</v>
      </c>
      <c r="Y102" s="6"/>
      <c r="Z102" s="6">
        <f t="shared" si="36"/>
        <v>-2264302.1914237961</v>
      </c>
      <c r="AA102" s="6"/>
      <c r="AB102" s="6">
        <f t="shared" si="37"/>
        <v>-54205354.768935412</v>
      </c>
      <c r="AC102" s="23"/>
      <c r="AD102" s="6"/>
      <c r="AE102" s="6"/>
      <c r="AF102" s="6"/>
      <c r="AG102" s="6">
        <f t="shared" ref="AG102:AG117" si="44">BF102/100*$AG$37</f>
        <v>6647828443.1974735</v>
      </c>
      <c r="AH102" s="35">
        <f t="shared" si="43"/>
        <v>8.1620309137225618E-3</v>
      </c>
      <c r="AI102" s="35"/>
      <c r="AJ102" s="35">
        <f t="shared" si="38"/>
        <v>-8.1538438051003189E-3</v>
      </c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35">
        <f>AVERAGE(AH102:AH105)</f>
        <v>4.2322069528538397E-3</v>
      </c>
      <c r="AV102" s="5"/>
      <c r="AW102" s="39">
        <f>workers_and_wage_low!C90</f>
        <v>12901093</v>
      </c>
      <c r="AX102" s="5"/>
      <c r="AY102" s="35">
        <f t="shared" si="39"/>
        <v>3.3421684773643798E-3</v>
      </c>
      <c r="AZ102" s="40">
        <f>workers_and_wage_low!B90</f>
        <v>7336.5623754971803</v>
      </c>
      <c r="BA102" s="35">
        <f t="shared" si="40"/>
        <v>4.8038073030186191E-3</v>
      </c>
      <c r="BB102" s="35"/>
      <c r="BC102" s="35"/>
      <c r="BD102" s="35"/>
      <c r="BE102" s="35"/>
      <c r="BF102" s="5">
        <f t="shared" ref="BF102:BF117" si="45">BF101*(1+AY102)*(1+BA102)*(1-BE102)</f>
        <v>126.59781650420184</v>
      </c>
      <c r="BG102" s="5"/>
      <c r="BH102" s="5"/>
      <c r="BI102" s="35">
        <f t="shared" si="35"/>
        <v>1.6314894911093284E-2</v>
      </c>
      <c r="BJ102" s="5"/>
      <c r="BK102" s="5"/>
      <c r="BL102" s="5"/>
      <c r="BM102" s="5"/>
      <c r="BN102" s="5"/>
      <c r="BO102" s="5"/>
      <c r="BP102" s="5"/>
      <c r="BQ102" s="5"/>
      <c r="BR102" s="5"/>
    </row>
    <row r="103" spans="1:70" x14ac:dyDescent="0.2">
      <c r="A103" s="7">
        <f t="shared" si="41"/>
        <v>2037</v>
      </c>
      <c r="B103" s="7">
        <f t="shared" si="42"/>
        <v>2</v>
      </c>
      <c r="C103" s="9"/>
      <c r="D103" s="56">
        <f>'Low pensions'!Q103</f>
        <v>128630307.6680529</v>
      </c>
      <c r="E103" s="9"/>
      <c r="F103" s="41">
        <f>'Low pensions'!I103</f>
        <v>23380081.04456396</v>
      </c>
      <c r="G103" s="56">
        <f>'Low pensions'!K103</f>
        <v>3809963.4942084402</v>
      </c>
      <c r="H103" s="56">
        <f>'Low pensions'!V103</f>
        <v>20961295.024168786</v>
      </c>
      <c r="I103" s="56">
        <f>'Low pensions'!M103</f>
        <v>117833.92250128975</v>
      </c>
      <c r="J103" s="56">
        <f>'Low pensions'!W103</f>
        <v>648287.47497428022</v>
      </c>
      <c r="K103" s="9"/>
      <c r="L103" s="56">
        <f>'Low pensions'!N103</f>
        <v>2379308.6127985949</v>
      </c>
      <c r="M103" s="41"/>
      <c r="N103" s="56">
        <f>'Low pensions'!L103</f>
        <v>1096411.6023199111</v>
      </c>
      <c r="O103" s="9"/>
      <c r="P103" s="56">
        <f>'Low pensions'!X103</f>
        <v>18378376.844811827</v>
      </c>
      <c r="Q103" s="41"/>
      <c r="R103" s="56">
        <f>'Low SIPA income'!G98</f>
        <v>28470862.68985796</v>
      </c>
      <c r="S103" s="41"/>
      <c r="T103" s="56">
        <f>'Low SIPA income'!J98</f>
        <v>108860811.11274171</v>
      </c>
      <c r="U103" s="9"/>
      <c r="V103" s="56">
        <f>'Low SIPA income'!F98</f>
        <v>166659.49235706101</v>
      </c>
      <c r="W103" s="41"/>
      <c r="X103" s="56">
        <f>'Low SIPA income'!M98</f>
        <v>418600.59553601476</v>
      </c>
      <c r="Y103" s="9"/>
      <c r="Z103" s="9">
        <f t="shared" si="36"/>
        <v>1781720.9225325547</v>
      </c>
      <c r="AA103" s="9"/>
      <c r="AB103" s="9">
        <f t="shared" si="37"/>
        <v>-38147873.400123015</v>
      </c>
      <c r="AC103" s="23"/>
      <c r="AD103" s="9"/>
      <c r="AE103" s="9"/>
      <c r="AF103" s="9"/>
      <c r="AG103" s="9">
        <f t="shared" si="44"/>
        <v>6656334907.8214855</v>
      </c>
      <c r="AH103" s="42">
        <f t="shared" si="43"/>
        <v>1.2795854611315079E-3</v>
      </c>
      <c r="AI103" s="42"/>
      <c r="AJ103" s="42">
        <f t="shared" si="38"/>
        <v>-5.7310628038408327E-3</v>
      </c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46">
        <f>workers_and_wage_low!C91</f>
        <v>12945116</v>
      </c>
      <c r="AX103" s="7"/>
      <c r="AY103" s="42">
        <f t="shared" si="39"/>
        <v>3.4123465352896842E-3</v>
      </c>
      <c r="AZ103" s="47">
        <f>workers_and_wage_low!B91</f>
        <v>7320.9684527129702</v>
      </c>
      <c r="BA103" s="42">
        <f t="shared" si="40"/>
        <v>-2.1255081039440148E-3</v>
      </c>
      <c r="BB103" s="42"/>
      <c r="BC103" s="42"/>
      <c r="BD103" s="42"/>
      <c r="BE103" s="42"/>
      <c r="BF103" s="7">
        <f t="shared" si="45"/>
        <v>126.75980922961163</v>
      </c>
      <c r="BG103" s="7"/>
      <c r="BH103" s="7"/>
      <c r="BI103" s="42">
        <f t="shared" ref="BI103:BI117" si="46">T110/AG110</f>
        <v>1.4172455454928505E-2</v>
      </c>
      <c r="BJ103" s="7"/>
      <c r="BK103" s="7"/>
      <c r="BL103" s="7"/>
      <c r="BM103" s="7"/>
      <c r="BN103" s="7"/>
      <c r="BO103" s="7"/>
      <c r="BP103" s="7"/>
      <c r="BQ103" s="7"/>
      <c r="BR103" s="7"/>
    </row>
    <row r="104" spans="1:70" x14ac:dyDescent="0.2">
      <c r="A104" s="7">
        <f t="shared" si="41"/>
        <v>2037</v>
      </c>
      <c r="B104" s="7">
        <f t="shared" si="42"/>
        <v>3</v>
      </c>
      <c r="C104" s="9"/>
      <c r="D104" s="56">
        <f>'Low pensions'!Q104</f>
        <v>128858240.6387458</v>
      </c>
      <c r="E104" s="9"/>
      <c r="F104" s="41">
        <f>'Low pensions'!I104</f>
        <v>23421510.560081258</v>
      </c>
      <c r="G104" s="56">
        <f>'Low pensions'!K104</f>
        <v>3872795.7924775402</v>
      </c>
      <c r="H104" s="56">
        <f>'Low pensions'!V104</f>
        <v>21306979.790720284</v>
      </c>
      <c r="I104" s="56">
        <f>'Low pensions'!M104</f>
        <v>119777.18945806986</v>
      </c>
      <c r="J104" s="56">
        <f>'Low pensions'!W104</f>
        <v>658978.75641403825</v>
      </c>
      <c r="K104" s="9"/>
      <c r="L104" s="56">
        <f>'Low pensions'!N104</f>
        <v>2389155.9991336423</v>
      </c>
      <c r="M104" s="41"/>
      <c r="N104" s="56">
        <f>'Low pensions'!L104</f>
        <v>1098969.6595650315</v>
      </c>
      <c r="O104" s="9"/>
      <c r="P104" s="56">
        <f>'Low pensions'!X104</f>
        <v>18443548.655530639</v>
      </c>
      <c r="Q104" s="41"/>
      <c r="R104" s="56">
        <f>'Low SIPA income'!G99</f>
        <v>25005892.964911874</v>
      </c>
      <c r="S104" s="41"/>
      <c r="T104" s="56">
        <f>'Low SIPA income'!J99</f>
        <v>95612199.054593846</v>
      </c>
      <c r="U104" s="9"/>
      <c r="V104" s="56">
        <f>'Low SIPA income'!F99</f>
        <v>169064.50749546499</v>
      </c>
      <c r="W104" s="41"/>
      <c r="X104" s="56">
        <f>'Low SIPA income'!M99</f>
        <v>424641.30017858103</v>
      </c>
      <c r="Y104" s="9"/>
      <c r="Z104" s="9">
        <f t="shared" si="36"/>
        <v>-1734678.7463725917</v>
      </c>
      <c r="AA104" s="9"/>
      <c r="AB104" s="9">
        <f t="shared" si="37"/>
        <v>-51689590.2396826</v>
      </c>
      <c r="AC104" s="23"/>
      <c r="AD104" s="9"/>
      <c r="AE104" s="9"/>
      <c r="AF104" s="9"/>
      <c r="AG104" s="9">
        <f t="shared" si="44"/>
        <v>6684086004.408226</v>
      </c>
      <c r="AH104" s="42">
        <f t="shared" si="43"/>
        <v>4.1691256481298346E-3</v>
      </c>
      <c r="AI104" s="42"/>
      <c r="AJ104" s="42">
        <f t="shared" si="38"/>
        <v>-7.7332323679846077E-3</v>
      </c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9"/>
      <c r="AV104" s="7"/>
      <c r="AW104" s="46">
        <f>workers_and_wage_low!C92</f>
        <v>12964801</v>
      </c>
      <c r="AX104" s="7"/>
      <c r="AY104" s="42">
        <f t="shared" si="39"/>
        <v>1.5206507226354711E-3</v>
      </c>
      <c r="AZ104" s="47">
        <f>workers_and_wage_low!B92</f>
        <v>7340.3284143506598</v>
      </c>
      <c r="BA104" s="42">
        <f t="shared" si="40"/>
        <v>2.6444536351628821E-3</v>
      </c>
      <c r="BB104" s="42"/>
      <c r="BC104" s="42"/>
      <c r="BD104" s="42"/>
      <c r="BE104" s="42"/>
      <c r="BF104" s="7">
        <f t="shared" si="45"/>
        <v>127.28828680142283</v>
      </c>
      <c r="BG104" s="7"/>
      <c r="BH104" s="7"/>
      <c r="BI104" s="42">
        <f t="shared" si="46"/>
        <v>1.6320024335024344E-2</v>
      </c>
      <c r="BJ104" s="7"/>
      <c r="BK104" s="7"/>
      <c r="BL104" s="7"/>
      <c r="BM104" s="7"/>
      <c r="BN104" s="7"/>
      <c r="BO104" s="7"/>
      <c r="BP104" s="7"/>
      <c r="BQ104" s="7"/>
      <c r="BR104" s="7"/>
    </row>
    <row r="105" spans="1:70" x14ac:dyDescent="0.2">
      <c r="A105" s="7">
        <f t="shared" si="41"/>
        <v>2037</v>
      </c>
      <c r="B105" s="7">
        <f t="shared" si="42"/>
        <v>4</v>
      </c>
      <c r="C105" s="9"/>
      <c r="D105" s="56">
        <f>'Low pensions'!Q105</f>
        <v>129069664.7701063</v>
      </c>
      <c r="E105" s="9"/>
      <c r="F105" s="41">
        <f>'Low pensions'!I105</f>
        <v>23459939.398631044</v>
      </c>
      <c r="G105" s="56">
        <f>'Low pensions'!K105</f>
        <v>3997067.05691926</v>
      </c>
      <c r="H105" s="56">
        <f>'Low pensions'!V105</f>
        <v>21990683.621727876</v>
      </c>
      <c r="I105" s="56">
        <f>'Low pensions'!M105</f>
        <v>123620.6306263702</v>
      </c>
      <c r="J105" s="56">
        <f>'Low pensions'!W105</f>
        <v>680124.23572354997</v>
      </c>
      <c r="K105" s="9"/>
      <c r="L105" s="56">
        <f>'Low pensions'!N105</f>
        <v>2320629.2677208274</v>
      </c>
      <c r="M105" s="41"/>
      <c r="N105" s="56">
        <f>'Low pensions'!L105</f>
        <v>1102207.6323024258</v>
      </c>
      <c r="O105" s="9"/>
      <c r="P105" s="56">
        <f>'Low pensions'!X105</f>
        <v>18105777.491111897</v>
      </c>
      <c r="Q105" s="41"/>
      <c r="R105" s="56">
        <f>'Low SIPA income'!G100</f>
        <v>28659594.140034907</v>
      </c>
      <c r="S105" s="41"/>
      <c r="T105" s="56">
        <f>'Low SIPA income'!J100</f>
        <v>109582442.17016889</v>
      </c>
      <c r="U105" s="9"/>
      <c r="V105" s="56">
        <f>'Low SIPA income'!F100</f>
        <v>168135.11624899501</v>
      </c>
      <c r="W105" s="41"/>
      <c r="X105" s="56">
        <f>'Low SIPA income'!M100</f>
        <v>422306.93731837993</v>
      </c>
      <c r="Y105" s="9"/>
      <c r="Z105" s="9">
        <f t="shared" si="36"/>
        <v>1944952.9576296061</v>
      </c>
      <c r="AA105" s="9"/>
      <c r="AB105" s="9">
        <f t="shared" si="37"/>
        <v>-37593000.091049299</v>
      </c>
      <c r="AC105" s="23"/>
      <c r="AD105" s="9"/>
      <c r="AE105" s="9"/>
      <c r="AF105" s="9"/>
      <c r="AG105" s="9">
        <f t="shared" si="44"/>
        <v>6706264375.1881065</v>
      </c>
      <c r="AH105" s="42">
        <f t="shared" si="43"/>
        <v>3.3180857884314552E-3</v>
      </c>
      <c r="AI105" s="42">
        <f>(AG105-AG101)/AG101</f>
        <v>1.7024005673961232E-2</v>
      </c>
      <c r="AJ105" s="42">
        <f t="shared" si="38"/>
        <v>-5.6056543535826292E-3</v>
      </c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V105" s="7"/>
      <c r="AW105" s="46">
        <f>workers_and_wage_low!C93</f>
        <v>12993930</v>
      </c>
      <c r="AX105" s="7"/>
      <c r="AY105" s="42">
        <f t="shared" si="39"/>
        <v>2.2467757121763768E-3</v>
      </c>
      <c r="AZ105" s="47">
        <f>workers_and_wage_low!B93</f>
        <v>7348.1745536288099</v>
      </c>
      <c r="BA105" s="42">
        <f t="shared" si="40"/>
        <v>1.068908478646614E-3</v>
      </c>
      <c r="BB105" s="42"/>
      <c r="BC105" s="42"/>
      <c r="BD105" s="42"/>
      <c r="BE105" s="42"/>
      <c r="BF105" s="7">
        <f t="shared" si="45"/>
        <v>127.71064025689242</v>
      </c>
      <c r="BG105" s="7"/>
      <c r="BH105" s="7"/>
      <c r="BI105" s="42">
        <f t="shared" si="46"/>
        <v>1.4219270449240774E-2</v>
      </c>
      <c r="BJ105" s="7"/>
      <c r="BK105" s="7"/>
      <c r="BL105" s="7"/>
      <c r="BM105" s="7"/>
      <c r="BN105" s="7"/>
      <c r="BO105" s="7"/>
      <c r="BP105" s="7"/>
      <c r="BQ105" s="7"/>
      <c r="BR105" s="7"/>
    </row>
    <row r="106" spans="1:70" x14ac:dyDescent="0.2">
      <c r="A106" s="5">
        <f t="shared" si="41"/>
        <v>2038</v>
      </c>
      <c r="B106" s="5">
        <f t="shared" si="42"/>
        <v>1</v>
      </c>
      <c r="C106" s="6"/>
      <c r="D106" s="55">
        <f>'Low pensions'!Q106</f>
        <v>128615206.1503077</v>
      </c>
      <c r="E106" s="6"/>
      <c r="F106" s="8">
        <f>'Low pensions'!I106</f>
        <v>23377336.164953709</v>
      </c>
      <c r="G106" s="55">
        <f>'Low pensions'!K106</f>
        <v>4058790.5568923899</v>
      </c>
      <c r="H106" s="55">
        <f>'Low pensions'!V106</f>
        <v>22330268.107203335</v>
      </c>
      <c r="I106" s="55">
        <f>'Low pensions'!M106</f>
        <v>125529.60485234018</v>
      </c>
      <c r="J106" s="55">
        <f>'Low pensions'!W106</f>
        <v>690626.8486763821</v>
      </c>
      <c r="K106" s="6"/>
      <c r="L106" s="55">
        <f>'Low pensions'!N106</f>
        <v>2829977.8766247858</v>
      </c>
      <c r="M106" s="8"/>
      <c r="N106" s="55">
        <f>'Low pensions'!L106</f>
        <v>1098381.5867322609</v>
      </c>
      <c r="O106" s="6"/>
      <c r="P106" s="55">
        <f>'Low pensions'!X106</f>
        <v>20727740.070194855</v>
      </c>
      <c r="Q106" s="8"/>
      <c r="R106" s="55">
        <f>'Low SIPA income'!G101</f>
        <v>25203728.882892251</v>
      </c>
      <c r="S106" s="8"/>
      <c r="T106" s="55">
        <f>'Low SIPA income'!J101</f>
        <v>96368641.833767146</v>
      </c>
      <c r="U106" s="6"/>
      <c r="V106" s="55">
        <f>'Low SIPA income'!F101</f>
        <v>165434.457486214</v>
      </c>
      <c r="W106" s="8"/>
      <c r="X106" s="55">
        <f>'Low SIPA income'!M101</f>
        <v>415523.66112780065</v>
      </c>
      <c r="Y106" s="6"/>
      <c r="Z106" s="6">
        <f t="shared" si="36"/>
        <v>-1936532.2879322916</v>
      </c>
      <c r="AA106" s="6"/>
      <c r="AB106" s="6">
        <f t="shared" si="37"/>
        <v>-52974304.386735409</v>
      </c>
      <c r="AC106" s="23"/>
      <c r="AD106" s="6"/>
      <c r="AE106" s="6"/>
      <c r="AF106" s="6"/>
      <c r="AG106" s="6">
        <f t="shared" si="44"/>
        <v>6743274238.3109894</v>
      </c>
      <c r="AH106" s="35">
        <f t="shared" si="43"/>
        <v>5.5187002856332728E-3</v>
      </c>
      <c r="AI106" s="35"/>
      <c r="AJ106" s="35">
        <f t="shared" si="38"/>
        <v>-7.8558727577426931E-3</v>
      </c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35">
        <f>AVERAGE(AH106:AH109)</f>
        <v>2.9232727635753997E-3</v>
      </c>
      <c r="AV106" s="5"/>
      <c r="AW106" s="39">
        <f>workers_and_wage_low!C94</f>
        <v>13016088</v>
      </c>
      <c r="AX106" s="5"/>
      <c r="AY106" s="35">
        <f t="shared" si="39"/>
        <v>1.705257762663028E-3</v>
      </c>
      <c r="AZ106" s="40">
        <f>workers_and_wage_low!B94</f>
        <v>7376.1486918215196</v>
      </c>
      <c r="BA106" s="35">
        <f t="shared" si="40"/>
        <v>3.8069506907528468E-3</v>
      </c>
      <c r="BB106" s="35"/>
      <c r="BC106" s="35"/>
      <c r="BD106" s="35"/>
      <c r="BE106" s="35"/>
      <c r="BF106" s="5">
        <f t="shared" si="45"/>
        <v>128.41543700375655</v>
      </c>
      <c r="BG106" s="5"/>
      <c r="BH106" s="5"/>
      <c r="BI106" s="35">
        <f t="shared" si="46"/>
        <v>1.6426355511286964E-2</v>
      </c>
      <c r="BJ106" s="5"/>
      <c r="BK106" s="5"/>
      <c r="BL106" s="5"/>
      <c r="BM106" s="5"/>
      <c r="BN106" s="5"/>
      <c r="BO106" s="5"/>
      <c r="BP106" s="5"/>
      <c r="BQ106" s="5"/>
      <c r="BR106" s="5"/>
    </row>
    <row r="107" spans="1:70" x14ac:dyDescent="0.2">
      <c r="A107" s="7">
        <f t="shared" si="41"/>
        <v>2038</v>
      </c>
      <c r="B107" s="7">
        <f t="shared" si="42"/>
        <v>2</v>
      </c>
      <c r="C107" s="9"/>
      <c r="D107" s="56">
        <f>'Low pensions'!Q107</f>
        <v>128840766.72109737</v>
      </c>
      <c r="E107" s="9"/>
      <c r="F107" s="41">
        <f>'Low pensions'!I107</f>
        <v>23418334.46870596</v>
      </c>
      <c r="G107" s="56">
        <f>'Low pensions'!K107</f>
        <v>4143484.2503329399</v>
      </c>
      <c r="H107" s="56">
        <f>'Low pensions'!V107</f>
        <v>22796227.819833789</v>
      </c>
      <c r="I107" s="56">
        <f>'Low pensions'!M107</f>
        <v>128148.99743296998</v>
      </c>
      <c r="J107" s="56">
        <f>'Low pensions'!W107</f>
        <v>705037.97380925086</v>
      </c>
      <c r="K107" s="9"/>
      <c r="L107" s="56">
        <f>'Low pensions'!N107</f>
        <v>2323599.6054223799</v>
      </c>
      <c r="M107" s="41"/>
      <c r="N107" s="56">
        <f>'Low pensions'!L107</f>
        <v>1101450.6610039324</v>
      </c>
      <c r="O107" s="9"/>
      <c r="P107" s="56">
        <f>'Low pensions'!X107</f>
        <v>18117025.954823975</v>
      </c>
      <c r="Q107" s="41"/>
      <c r="R107" s="56">
        <f>'Low SIPA income'!G102</f>
        <v>28911239.761953317</v>
      </c>
      <c r="S107" s="41"/>
      <c r="T107" s="56">
        <f>'Low SIPA income'!J102</f>
        <v>110544631.01612779</v>
      </c>
      <c r="U107" s="9"/>
      <c r="V107" s="56">
        <f>'Low SIPA income'!F102</f>
        <v>167226.40882354899</v>
      </c>
      <c r="W107" s="41"/>
      <c r="X107" s="56">
        <f>'Low SIPA income'!M102</f>
        <v>420024.52625327994</v>
      </c>
      <c r="Y107" s="9"/>
      <c r="Z107" s="9">
        <f t="shared" si="36"/>
        <v>2235081.4356445931</v>
      </c>
      <c r="AA107" s="9"/>
      <c r="AB107" s="9">
        <f t="shared" si="37"/>
        <v>-36413161.659793541</v>
      </c>
      <c r="AC107" s="23"/>
      <c r="AD107" s="9"/>
      <c r="AE107" s="9"/>
      <c r="AF107" s="9"/>
      <c r="AG107" s="9">
        <f t="shared" si="44"/>
        <v>6773521917.1257591</v>
      </c>
      <c r="AH107" s="42">
        <f t="shared" si="43"/>
        <v>4.4856071020991104E-3</v>
      </c>
      <c r="AI107" s="42"/>
      <c r="AJ107" s="42">
        <f t="shared" si="38"/>
        <v>-5.3758092326724044E-3</v>
      </c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46">
        <f>workers_and_wage_low!C95</f>
        <v>13037286</v>
      </c>
      <c r="AX107" s="7"/>
      <c r="AY107" s="42">
        <f t="shared" si="39"/>
        <v>1.6285999295640903E-3</v>
      </c>
      <c r="AZ107" s="47">
        <f>workers_and_wage_low!B95</f>
        <v>7397.1881367012902</v>
      </c>
      <c r="BA107" s="42">
        <f t="shared" si="40"/>
        <v>2.8523618162820639E-3</v>
      </c>
      <c r="BB107" s="42"/>
      <c r="BC107" s="42"/>
      <c r="BD107" s="42"/>
      <c r="BE107" s="42"/>
      <c r="BF107" s="7">
        <f t="shared" si="45"/>
        <v>128.99145819999976</v>
      </c>
      <c r="BG107" s="7"/>
      <c r="BH107" s="7"/>
      <c r="BI107" s="42">
        <f t="shared" si="46"/>
        <v>1.4288147926943398E-2</v>
      </c>
      <c r="BJ107" s="7"/>
      <c r="BK107" s="7"/>
      <c r="BL107" s="7"/>
      <c r="BM107" s="7"/>
      <c r="BN107" s="7"/>
      <c r="BO107" s="7"/>
      <c r="BP107" s="7"/>
      <c r="BQ107" s="7"/>
      <c r="BR107" s="7"/>
    </row>
    <row r="108" spans="1:70" x14ac:dyDescent="0.2">
      <c r="A108" s="7">
        <f t="shared" si="41"/>
        <v>2038</v>
      </c>
      <c r="B108" s="7">
        <f t="shared" si="42"/>
        <v>3</v>
      </c>
      <c r="C108" s="9"/>
      <c r="D108" s="56">
        <f>'Low pensions'!Q108</f>
        <v>129063190.61176625</v>
      </c>
      <c r="E108" s="9"/>
      <c r="F108" s="41">
        <f>'Low pensions'!I108</f>
        <v>23458762.643716671</v>
      </c>
      <c r="G108" s="56">
        <f>'Low pensions'!K108</f>
        <v>4204600.4873853298</v>
      </c>
      <c r="H108" s="56">
        <f>'Low pensions'!V108</f>
        <v>23132471.323890861</v>
      </c>
      <c r="I108" s="56">
        <f>'Low pensions'!M108</f>
        <v>130039.19033151027</v>
      </c>
      <c r="J108" s="56">
        <f>'Low pensions'!W108</f>
        <v>715437.25743995234</v>
      </c>
      <c r="K108" s="9"/>
      <c r="L108" s="56">
        <f>'Low pensions'!N108</f>
        <v>2311373.7449880135</v>
      </c>
      <c r="M108" s="41"/>
      <c r="N108" s="56">
        <f>'Low pensions'!L108</f>
        <v>1104324.5253968909</v>
      </c>
      <c r="O108" s="9"/>
      <c r="P108" s="56">
        <f>'Low pensions'!X108</f>
        <v>18069397.060873732</v>
      </c>
      <c r="Q108" s="41"/>
      <c r="R108" s="56">
        <f>'Low SIPA income'!G103</f>
        <v>25174759.835940327</v>
      </c>
      <c r="S108" s="41"/>
      <c r="T108" s="56">
        <f>'Low SIPA income'!J103</f>
        <v>96257876.171949923</v>
      </c>
      <c r="U108" s="9"/>
      <c r="V108" s="56">
        <f>'Low SIPA income'!F103</f>
        <v>171050.36854424499</v>
      </c>
      <c r="W108" s="41"/>
      <c r="X108" s="56">
        <f>'Low SIPA income'!M103</f>
        <v>429629.21059348917</v>
      </c>
      <c r="Y108" s="9"/>
      <c r="Z108" s="9">
        <f t="shared" si="36"/>
        <v>-1528650.7096170038</v>
      </c>
      <c r="AA108" s="9"/>
      <c r="AB108" s="9">
        <f t="shared" si="37"/>
        <v>-50874711.500690058</v>
      </c>
      <c r="AC108" s="23"/>
      <c r="AD108" s="9"/>
      <c r="AE108" s="9"/>
      <c r="AF108" s="9"/>
      <c r="AG108" s="9">
        <f t="shared" si="44"/>
        <v>6764602564.6440516</v>
      </c>
      <c r="AH108" s="42">
        <f t="shared" si="43"/>
        <v>-1.3167968733010854E-3</v>
      </c>
      <c r="AI108" s="42"/>
      <c r="AJ108" s="42">
        <f t="shared" si="38"/>
        <v>-7.5207243906083117E-3</v>
      </c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9"/>
      <c r="AV108" s="7"/>
      <c r="AW108" s="46">
        <f>workers_and_wage_low!C96</f>
        <v>13065748</v>
      </c>
      <c r="AX108" s="7"/>
      <c r="AY108" s="42">
        <f t="shared" si="39"/>
        <v>2.1831230825188615E-3</v>
      </c>
      <c r="AZ108" s="47">
        <f>workers_and_wage_low!B96</f>
        <v>7371.3549673130801</v>
      </c>
      <c r="BA108" s="42">
        <f t="shared" si="40"/>
        <v>-3.4922958441516876E-3</v>
      </c>
      <c r="BB108" s="42"/>
      <c r="BC108" s="42"/>
      <c r="BD108" s="42"/>
      <c r="BE108" s="42"/>
      <c r="BF108" s="7">
        <f t="shared" si="45"/>
        <v>128.82160265115945</v>
      </c>
      <c r="BG108" s="7"/>
      <c r="BH108" s="7"/>
      <c r="BI108" s="42">
        <f t="shared" si="46"/>
        <v>1.624030433424882E-2</v>
      </c>
      <c r="BJ108" s="7"/>
      <c r="BK108" s="7"/>
      <c r="BL108" s="7"/>
      <c r="BM108" s="7"/>
      <c r="BN108" s="7"/>
      <c r="BO108" s="7"/>
      <c r="BP108" s="7"/>
      <c r="BQ108" s="7"/>
      <c r="BR108" s="7"/>
    </row>
    <row r="109" spans="1:70" x14ac:dyDescent="0.2">
      <c r="A109" s="7">
        <f t="shared" si="41"/>
        <v>2038</v>
      </c>
      <c r="B109" s="7">
        <f t="shared" si="42"/>
        <v>4</v>
      </c>
      <c r="C109" s="9"/>
      <c r="D109" s="56">
        <f>'Low pensions'!Q109</f>
        <v>129659190.66050228</v>
      </c>
      <c r="E109" s="9"/>
      <c r="F109" s="41">
        <f>'Low pensions'!I109</f>
        <v>23567092.707561132</v>
      </c>
      <c r="G109" s="56">
        <f>'Low pensions'!K109</f>
        <v>4213458.1986712702</v>
      </c>
      <c r="H109" s="56">
        <f>'Low pensions'!V109</f>
        <v>23181203.837938763</v>
      </c>
      <c r="I109" s="56">
        <f>'Low pensions'!M109</f>
        <v>130313.14016509987</v>
      </c>
      <c r="J109" s="56">
        <f>'Low pensions'!W109</f>
        <v>716944.44859609404</v>
      </c>
      <c r="K109" s="9"/>
      <c r="L109" s="56">
        <f>'Low pensions'!N109</f>
        <v>2256741.8350803889</v>
      </c>
      <c r="M109" s="41"/>
      <c r="N109" s="56">
        <f>'Low pensions'!L109</f>
        <v>1110119.1471162997</v>
      </c>
      <c r="O109" s="9"/>
      <c r="P109" s="56">
        <f>'Low pensions'!X109</f>
        <v>17817792.119664274</v>
      </c>
      <c r="Q109" s="41"/>
      <c r="R109" s="56">
        <f>'Low SIPA income'!G104</f>
        <v>28950693.861899659</v>
      </c>
      <c r="S109" s="41"/>
      <c r="T109" s="56">
        <f>'Low SIPA income'!J104</f>
        <v>110695487.18682654</v>
      </c>
      <c r="U109" s="9"/>
      <c r="V109" s="56">
        <f>'Low SIPA income'!F104</f>
        <v>171286.52076519901</v>
      </c>
      <c r="W109" s="41"/>
      <c r="X109" s="56">
        <f>'Low SIPA income'!M104</f>
        <v>430222.35688795114</v>
      </c>
      <c r="Y109" s="9"/>
      <c r="Z109" s="9">
        <f t="shared" si="36"/>
        <v>2188026.6929070391</v>
      </c>
      <c r="AA109" s="9"/>
      <c r="AB109" s="9">
        <f t="shared" si="37"/>
        <v>-36781495.593340009</v>
      </c>
      <c r="AC109" s="23"/>
      <c r="AD109" s="9"/>
      <c r="AE109" s="9"/>
      <c r="AF109" s="9"/>
      <c r="AG109" s="9">
        <f t="shared" si="44"/>
        <v>6784934122.4723024</v>
      </c>
      <c r="AH109" s="42">
        <f t="shared" si="43"/>
        <v>3.0055805398703003E-3</v>
      </c>
      <c r="AI109" s="42">
        <f>(AG109-AG105)/AG105</f>
        <v>1.1730785260309583E-2</v>
      </c>
      <c r="AJ109" s="42">
        <f t="shared" si="38"/>
        <v>-5.4210541958714734E-3</v>
      </c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V109" s="7"/>
      <c r="AW109" s="46">
        <f>workers_and_wage_low!C97</f>
        <v>13019605</v>
      </c>
      <c r="AX109" s="7"/>
      <c r="AY109" s="42">
        <f t="shared" si="39"/>
        <v>-3.5316003339418453E-3</v>
      </c>
      <c r="AZ109" s="47">
        <f>workers_and_wage_low!B97</f>
        <v>7419.7136314940499</v>
      </c>
      <c r="BA109" s="42">
        <f t="shared" si="40"/>
        <v>6.5603494059650325E-3</v>
      </c>
      <c r="BB109" s="42"/>
      <c r="BC109" s="42"/>
      <c r="BD109" s="42"/>
      <c r="BE109" s="42"/>
      <c r="BF109" s="7">
        <f t="shared" si="45"/>
        <v>129.20878635320267</v>
      </c>
      <c r="BG109" s="7"/>
      <c r="BH109" s="7"/>
      <c r="BI109" s="42">
        <f t="shared" si="46"/>
        <v>1.4219558518380446E-2</v>
      </c>
      <c r="BJ109" s="7"/>
      <c r="BK109" s="7"/>
      <c r="BL109" s="7"/>
      <c r="BM109" s="7"/>
      <c r="BN109" s="7"/>
      <c r="BO109" s="7"/>
      <c r="BP109" s="7"/>
      <c r="BQ109" s="7"/>
      <c r="BR109" s="7"/>
    </row>
    <row r="110" spans="1:70" x14ac:dyDescent="0.2">
      <c r="A110" s="5">
        <f t="shared" si="41"/>
        <v>2039</v>
      </c>
      <c r="B110" s="5">
        <f t="shared" si="42"/>
        <v>1</v>
      </c>
      <c r="C110" s="6"/>
      <c r="D110" s="55">
        <f>'Low pensions'!Q110</f>
        <v>130213879.76169813</v>
      </c>
      <c r="E110" s="6"/>
      <c r="F110" s="8">
        <f>'Low pensions'!I110</f>
        <v>23667914.017683178</v>
      </c>
      <c r="G110" s="55">
        <f>'Low pensions'!K110</f>
        <v>4322361.2983015198</v>
      </c>
      <c r="H110" s="55">
        <f>'Low pensions'!V110</f>
        <v>23780356.560495328</v>
      </c>
      <c r="I110" s="55">
        <f>'Low pensions'!M110</f>
        <v>133681.27726706024</v>
      </c>
      <c r="J110" s="55">
        <f>'Low pensions'!W110</f>
        <v>735474.9451699747</v>
      </c>
      <c r="K110" s="6"/>
      <c r="L110" s="55">
        <f>'Low pensions'!N110</f>
        <v>2810166.2881128532</v>
      </c>
      <c r="M110" s="8"/>
      <c r="N110" s="55">
        <f>'Low pensions'!L110</f>
        <v>1115269.3907073438</v>
      </c>
      <c r="O110" s="6"/>
      <c r="P110" s="55">
        <f>'Low pensions'!X110</f>
        <v>20717849.357989293</v>
      </c>
      <c r="Q110" s="8"/>
      <c r="R110" s="55">
        <f>'Low SIPA income'!G105</f>
        <v>25333517.530077618</v>
      </c>
      <c r="S110" s="8"/>
      <c r="T110" s="55">
        <f>'Low SIPA income'!J105</f>
        <v>96864899.975283086</v>
      </c>
      <c r="U110" s="6"/>
      <c r="V110" s="55">
        <f>'Low SIPA income'!F105</f>
        <v>172698.71703825699</v>
      </c>
      <c r="W110" s="8"/>
      <c r="X110" s="55">
        <f>'Low SIPA income'!M105</f>
        <v>433769.38677838969</v>
      </c>
      <c r="Y110" s="6"/>
      <c r="Z110" s="6">
        <f t="shared" ref="Z110:Z117" si="47">R110+V110-N110-L110-F110</f>
        <v>-2087133.4493875019</v>
      </c>
      <c r="AA110" s="6"/>
      <c r="AB110" s="6">
        <f t="shared" ref="AB110:AB117" si="48">T110-P110-D110</f>
        <v>-54066829.144404337</v>
      </c>
      <c r="AC110" s="23"/>
      <c r="AD110" s="6"/>
      <c r="AE110" s="6"/>
      <c r="AF110" s="6"/>
      <c r="AG110" s="6">
        <f t="shared" si="44"/>
        <v>6834729541.6333866</v>
      </c>
      <c r="AH110" s="35">
        <f t="shared" si="43"/>
        <v>7.3391160860585723E-3</v>
      </c>
      <c r="AI110" s="35"/>
      <c r="AJ110" s="35">
        <f t="shared" ref="AJ110:AJ117" si="49">AB110/AG110</f>
        <v>-7.9106025798181424E-3</v>
      </c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35">
        <f>AVERAGE(AH110:AH113)</f>
        <v>5.3509683952858563E-4</v>
      </c>
      <c r="AV110" s="5"/>
      <c r="AW110" s="39">
        <f>workers_and_wage_low!C98</f>
        <v>13047498</v>
      </c>
      <c r="AX110" s="5"/>
      <c r="AY110" s="35">
        <f t="shared" si="39"/>
        <v>2.1423845039845678E-3</v>
      </c>
      <c r="AZ110" s="40">
        <f>workers_and_wage_low!B98</f>
        <v>7458.1894616305199</v>
      </c>
      <c r="BA110" s="35">
        <f t="shared" si="40"/>
        <v>5.1856219858882092E-3</v>
      </c>
      <c r="BB110" s="35"/>
      <c r="BC110" s="35"/>
      <c r="BD110" s="35"/>
      <c r="BE110" s="35"/>
      <c r="BF110" s="5">
        <f t="shared" si="45"/>
        <v>130.15706463558757</v>
      </c>
      <c r="BG110" s="5"/>
      <c r="BH110" s="5"/>
      <c r="BI110" s="35">
        <f t="shared" si="46"/>
        <v>1.633627662101771E-2</v>
      </c>
      <c r="BJ110" s="5"/>
      <c r="BK110" s="5"/>
      <c r="BL110" s="5"/>
      <c r="BM110" s="5"/>
      <c r="BN110" s="5"/>
      <c r="BO110" s="5"/>
      <c r="BP110" s="5"/>
      <c r="BQ110" s="5"/>
      <c r="BR110" s="5"/>
    </row>
    <row r="111" spans="1:70" x14ac:dyDescent="0.2">
      <c r="A111" s="7">
        <f t="shared" si="41"/>
        <v>2039</v>
      </c>
      <c r="B111" s="7">
        <f t="shared" si="42"/>
        <v>2</v>
      </c>
      <c r="C111" s="9"/>
      <c r="D111" s="56">
        <f>'Low pensions'!Q111</f>
        <v>130288035.95310758</v>
      </c>
      <c r="E111" s="9"/>
      <c r="F111" s="41">
        <f>'Low pensions'!I111</f>
        <v>23681392.78327537</v>
      </c>
      <c r="G111" s="56">
        <f>'Low pensions'!K111</f>
        <v>4386151.3142803302</v>
      </c>
      <c r="H111" s="56">
        <f>'Low pensions'!V111</f>
        <v>24131310.407313246</v>
      </c>
      <c r="I111" s="56">
        <f>'Low pensions'!M111</f>
        <v>135654.16435918957</v>
      </c>
      <c r="J111" s="56">
        <f>'Low pensions'!W111</f>
        <v>746329.18785507139</v>
      </c>
      <c r="K111" s="9"/>
      <c r="L111" s="56">
        <f>'Low pensions'!N111</f>
        <v>2301772.1659363084</v>
      </c>
      <c r="M111" s="41"/>
      <c r="N111" s="56">
        <f>'Low pensions'!L111</f>
        <v>1116057.8726609088</v>
      </c>
      <c r="O111" s="9"/>
      <c r="P111" s="56">
        <f>'Low pensions'!X111</f>
        <v>18084127.836279951</v>
      </c>
      <c r="Q111" s="41"/>
      <c r="R111" s="56">
        <f>'Low SIPA income'!G106</f>
        <v>29160133.575570725</v>
      </c>
      <c r="S111" s="41"/>
      <c r="T111" s="56">
        <f>'Low SIPA income'!J106</f>
        <v>111496298.0845439</v>
      </c>
      <c r="U111" s="9"/>
      <c r="V111" s="56">
        <f>'Low SIPA income'!F106</f>
        <v>168529.74032339401</v>
      </c>
      <c r="W111" s="41"/>
      <c r="X111" s="56">
        <f>'Low SIPA income'!M106</f>
        <v>423298.1192199926</v>
      </c>
      <c r="Y111" s="9"/>
      <c r="Z111" s="9">
        <f t="shared" si="47"/>
        <v>2229440.4940215312</v>
      </c>
      <c r="AA111" s="9"/>
      <c r="AB111" s="9">
        <f t="shared" si="48"/>
        <v>-36875865.704843625</v>
      </c>
      <c r="AC111" s="23"/>
      <c r="AD111" s="9"/>
      <c r="AE111" s="9"/>
      <c r="AF111" s="9"/>
      <c r="AG111" s="9">
        <f t="shared" si="44"/>
        <v>6831870822.9657536</v>
      </c>
      <c r="AH111" s="42">
        <f t="shared" si="43"/>
        <v>-4.182636123667112E-4</v>
      </c>
      <c r="AI111" s="42"/>
      <c r="AJ111" s="42">
        <f t="shared" si="49"/>
        <v>-5.3976233831709956E-3</v>
      </c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46">
        <f>workers_and_wage_low!C99</f>
        <v>13070513</v>
      </c>
      <c r="AX111" s="7"/>
      <c r="AY111" s="42">
        <f t="shared" ref="AY111:AY117" si="50">(AW111-AW110)/AW110</f>
        <v>1.7639397223896873E-3</v>
      </c>
      <c r="AZ111" s="47">
        <f>workers_and_wage_low!B99</f>
        <v>7441.9428337883101</v>
      </c>
      <c r="BA111" s="42">
        <f t="shared" ref="BA111:BA117" si="51">(AZ111-AZ110)/AZ110</f>
        <v>-2.1783608375454113E-3</v>
      </c>
      <c r="BB111" s="42"/>
      <c r="BC111" s="42"/>
      <c r="BD111" s="42"/>
      <c r="BE111" s="42"/>
      <c r="BF111" s="7">
        <f t="shared" si="45"/>
        <v>130.10262467155803</v>
      </c>
      <c r="BG111" s="7"/>
      <c r="BH111" s="7"/>
      <c r="BI111" s="42" t="e">
        <f t="shared" si="46"/>
        <v>#DIV/0!</v>
      </c>
      <c r="BJ111" s="7"/>
      <c r="BK111" s="7"/>
      <c r="BL111" s="7"/>
      <c r="BM111" s="7"/>
      <c r="BN111" s="7"/>
      <c r="BO111" s="7"/>
      <c r="BP111" s="7"/>
      <c r="BQ111" s="7"/>
      <c r="BR111" s="7"/>
    </row>
    <row r="112" spans="1:70" x14ac:dyDescent="0.2">
      <c r="A112" s="7">
        <f t="shared" si="41"/>
        <v>2039</v>
      </c>
      <c r="B112" s="7">
        <f t="shared" si="42"/>
        <v>3</v>
      </c>
      <c r="C112" s="9"/>
      <c r="D112" s="56">
        <f>'Low pensions'!Q112</f>
        <v>130249912.11496338</v>
      </c>
      <c r="E112" s="9"/>
      <c r="F112" s="41">
        <f>'Low pensions'!I112</f>
        <v>23674463.324412212</v>
      </c>
      <c r="G112" s="56">
        <f>'Low pensions'!K112</f>
        <v>4428306.8224952901</v>
      </c>
      <c r="H112" s="56">
        <f>'Low pensions'!V112</f>
        <v>24363237.575626213</v>
      </c>
      <c r="I112" s="56">
        <f>'Low pensions'!M112</f>
        <v>136957.94296376966</v>
      </c>
      <c r="J112" s="56">
        <f>'Low pensions'!W112</f>
        <v>753502.19306059252</v>
      </c>
      <c r="K112" s="9"/>
      <c r="L112" s="56">
        <f>'Low pensions'!N112</f>
        <v>2307456.3439644538</v>
      </c>
      <c r="M112" s="41"/>
      <c r="N112" s="56">
        <f>'Low pensions'!L112</f>
        <v>1116975.9831260294</v>
      </c>
      <c r="O112" s="9"/>
      <c r="P112" s="56">
        <f>'Low pensions'!X112</f>
        <v>18118674.235982157</v>
      </c>
      <c r="Q112" s="41"/>
      <c r="R112" s="56">
        <f>'Low SIPA income'!G107</f>
        <v>25400409.654207841</v>
      </c>
      <c r="S112" s="41"/>
      <c r="T112" s="56">
        <f>'Low SIPA income'!J107</f>
        <v>97120667.809549108</v>
      </c>
      <c r="U112" s="9"/>
      <c r="V112" s="56">
        <f>'Low SIPA income'!F107</f>
        <v>179229.63680708301</v>
      </c>
      <c r="W112" s="41"/>
      <c r="X112" s="56">
        <f>'Low SIPA income'!M107</f>
        <v>450173.17432126391</v>
      </c>
      <c r="Y112" s="9"/>
      <c r="Z112" s="9">
        <f t="shared" si="47"/>
        <v>-1519256.3604877703</v>
      </c>
      <c r="AA112" s="9"/>
      <c r="AB112" s="9">
        <f t="shared" si="48"/>
        <v>-51247918.541396439</v>
      </c>
      <c r="AC112" s="23"/>
      <c r="AD112" s="9"/>
      <c r="AE112" s="9"/>
      <c r="AF112" s="9"/>
      <c r="AG112" s="9">
        <f t="shared" si="44"/>
        <v>6830214542.7394123</v>
      </c>
      <c r="AH112" s="42">
        <f t="shared" si="43"/>
        <v>-2.4243435938126344E-4</v>
      </c>
      <c r="AI112" s="42"/>
      <c r="AJ112" s="42">
        <f t="shared" si="49"/>
        <v>-7.5031198830896898E-3</v>
      </c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9"/>
      <c r="AV112" s="7"/>
      <c r="AW112" s="46">
        <f>workers_and_wage_low!C100</f>
        <v>13064594</v>
      </c>
      <c r="AX112" s="7"/>
      <c r="AY112" s="42">
        <f t="shared" si="50"/>
        <v>-4.5285139152533645E-4</v>
      </c>
      <c r="AZ112" s="47">
        <f>workers_and_wage_low!B100</f>
        <v>7443.5094547592698</v>
      </c>
      <c r="BA112" s="42">
        <f t="shared" si="51"/>
        <v>2.1051236296077392E-4</v>
      </c>
      <c r="BB112" s="42"/>
      <c r="BC112" s="42"/>
      <c r="BD112" s="42"/>
      <c r="BE112" s="42"/>
      <c r="BF112" s="7">
        <f t="shared" si="45"/>
        <v>130.07108332509199</v>
      </c>
      <c r="BG112" s="7"/>
      <c r="BH112" s="7"/>
      <c r="BI112" s="42" t="e">
        <f t="shared" si="46"/>
        <v>#DIV/0!</v>
      </c>
      <c r="BJ112" s="7"/>
      <c r="BK112" s="7"/>
      <c r="BL112" s="7"/>
      <c r="BM112" s="7"/>
      <c r="BN112" s="7"/>
      <c r="BO112" s="7"/>
      <c r="BP112" s="7"/>
      <c r="BQ112" s="7"/>
      <c r="BR112" s="7"/>
    </row>
    <row r="113" spans="1:70" x14ac:dyDescent="0.2">
      <c r="A113" s="7">
        <f t="shared" si="41"/>
        <v>2039</v>
      </c>
      <c r="B113" s="7">
        <f t="shared" si="42"/>
        <v>4</v>
      </c>
      <c r="C113" s="9"/>
      <c r="D113" s="56">
        <f>'Low pensions'!Q113</f>
        <v>130522861.42919748</v>
      </c>
      <c r="E113" s="9"/>
      <c r="F113" s="41">
        <f>'Low pensions'!I113</f>
        <v>23724075.093236707</v>
      </c>
      <c r="G113" s="56">
        <f>'Low pensions'!K113</f>
        <v>4508331.0495567899</v>
      </c>
      <c r="H113" s="56">
        <f>'Low pensions'!V113</f>
        <v>24803507.261954449</v>
      </c>
      <c r="I113" s="56">
        <f>'Low pensions'!M113</f>
        <v>139432.9190584505</v>
      </c>
      <c r="J113" s="56">
        <f>'Low pensions'!W113</f>
        <v>767118.78129752213</v>
      </c>
      <c r="K113" s="9"/>
      <c r="L113" s="56">
        <f>'Low pensions'!N113</f>
        <v>2321226.7354101068</v>
      </c>
      <c r="M113" s="41"/>
      <c r="N113" s="56">
        <f>'Low pensions'!L113</f>
        <v>1120896.3480714522</v>
      </c>
      <c r="O113" s="9"/>
      <c r="P113" s="56">
        <f>'Low pensions'!X113</f>
        <v>18211697.553890392</v>
      </c>
      <c r="Q113" s="41"/>
      <c r="R113" s="56">
        <f>'Low SIPA income'!G108</f>
        <v>29209848.006785147</v>
      </c>
      <c r="S113" s="41"/>
      <c r="T113" s="56">
        <f>'Low SIPA income'!J108</f>
        <v>111686385.52112651</v>
      </c>
      <c r="U113" s="9"/>
      <c r="V113" s="56">
        <f>'Low SIPA income'!F108</f>
        <v>179171.56492193101</v>
      </c>
      <c r="W113" s="41"/>
      <c r="X113" s="56">
        <f>'Low SIPA income'!M108</f>
        <v>450027.31448835117</v>
      </c>
      <c r="Y113" s="9"/>
      <c r="Z113" s="9">
        <f t="shared" si="47"/>
        <v>2222821.3949888125</v>
      </c>
      <c r="AA113" s="9"/>
      <c r="AB113" s="9">
        <f t="shared" si="48"/>
        <v>-37048173.461961359</v>
      </c>
      <c r="AC113" s="23"/>
      <c r="AD113" s="9"/>
      <c r="AE113" s="9"/>
      <c r="AF113" s="9"/>
      <c r="AG113" s="9">
        <f t="shared" si="44"/>
        <v>6799218819.0730419</v>
      </c>
      <c r="AH113" s="42">
        <f t="shared" si="43"/>
        <v>-4.5380307561962551E-3</v>
      </c>
      <c r="AI113" s="42">
        <f>(AG113-AG109)/AG109</f>
        <v>2.1053552389591079E-3</v>
      </c>
      <c r="AJ113" s="42">
        <f t="shared" si="49"/>
        <v>-5.4488867688791704E-3</v>
      </c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V113" s="7"/>
      <c r="AW113" s="46">
        <f>workers_and_wage_low!C101</f>
        <v>13041683</v>
      </c>
      <c r="AX113" s="7"/>
      <c r="AY113" s="42">
        <f t="shared" si="50"/>
        <v>-1.7536710287361398E-3</v>
      </c>
      <c r="AZ113" s="47">
        <f>workers_and_wage_low!B101</f>
        <v>7422.7476374048701</v>
      </c>
      <c r="BA113" s="42">
        <f t="shared" si="51"/>
        <v>-2.7892511564051124E-3</v>
      </c>
      <c r="BB113" s="42"/>
      <c r="BC113" s="42"/>
      <c r="BD113" s="42"/>
      <c r="BE113" s="42"/>
      <c r="BF113" s="7">
        <f t="shared" si="45"/>
        <v>129.48081674847094</v>
      </c>
      <c r="BG113" s="7"/>
      <c r="BH113" s="7"/>
      <c r="BI113" s="42" t="e">
        <f t="shared" si="46"/>
        <v>#DIV/0!</v>
      </c>
      <c r="BJ113" s="7"/>
      <c r="BK113" s="7"/>
      <c r="BL113" s="7"/>
      <c r="BM113" s="7"/>
      <c r="BN113" s="7"/>
      <c r="BO113" s="7"/>
      <c r="BP113" s="7"/>
      <c r="BQ113" s="7"/>
      <c r="BR113" s="7"/>
    </row>
    <row r="114" spans="1:70" x14ac:dyDescent="0.2">
      <c r="A114" s="5">
        <f t="shared" ref="A114:A117" si="52">A110+1</f>
        <v>2040</v>
      </c>
      <c r="B114" s="5">
        <f t="shared" ref="B114:B117" si="53">B110</f>
        <v>1</v>
      </c>
      <c r="C114" s="6"/>
      <c r="D114" s="55">
        <f>'Low pensions'!Q114</f>
        <v>131149989.1793803</v>
      </c>
      <c r="E114" s="6"/>
      <c r="F114" s="8">
        <f>'Low pensions'!I114</f>
        <v>23838062.985284727</v>
      </c>
      <c r="G114" s="55">
        <f>'Low pensions'!K114</f>
        <v>4531717.7845833702</v>
      </c>
      <c r="H114" s="55">
        <f>'Low pensions'!V114</f>
        <v>24932174.17786831</v>
      </c>
      <c r="I114" s="55">
        <f>'Low pensions'!M114</f>
        <v>140156.22014176007</v>
      </c>
      <c r="J114" s="55">
        <f>'Low pensions'!W114</f>
        <v>771098.1704495704</v>
      </c>
      <c r="K114" s="6"/>
      <c r="L114" s="55">
        <f>'Low pensions'!N114</f>
        <v>2808970.1601308677</v>
      </c>
      <c r="M114" s="8"/>
      <c r="N114" s="55">
        <f>'Low pensions'!L114</f>
        <v>1126199.3606240414</v>
      </c>
      <c r="O114" s="6"/>
      <c r="P114" s="55">
        <f>'Low pensions'!X114</f>
        <v>20771776.113823801</v>
      </c>
      <c r="Q114" s="8"/>
      <c r="R114" s="55">
        <f>'Low SIPA income'!G109</f>
        <v>25533877.096462362</v>
      </c>
      <c r="S114" s="8"/>
      <c r="T114" s="55">
        <f>'Low SIPA income'!J109</f>
        <v>97630992.142859384</v>
      </c>
      <c r="U114" s="6"/>
      <c r="V114" s="55">
        <f>'Low SIPA income'!F109</f>
        <v>176011.03382305399</v>
      </c>
      <c r="W114" s="8"/>
      <c r="X114" s="55">
        <f>'Low SIPA income'!M109</f>
        <v>442088.97157437215</v>
      </c>
      <c r="Y114" s="6"/>
      <c r="Z114" s="6">
        <f t="shared" si="47"/>
        <v>-2063344.3757542185</v>
      </c>
      <c r="AA114" s="6"/>
      <c r="AB114" s="6">
        <f t="shared" si="48"/>
        <v>-54290773.150344715</v>
      </c>
      <c r="AC114" s="23"/>
      <c r="AD114" s="6"/>
      <c r="AE114" s="6"/>
      <c r="AF114" s="6"/>
      <c r="AG114" s="6">
        <f t="shared" si="44"/>
        <v>6833005414.1415348</v>
      </c>
      <c r="AH114" s="35">
        <f t="shared" si="43"/>
        <v>4.9691877798836775E-3</v>
      </c>
      <c r="AI114" s="35"/>
      <c r="AJ114" s="35">
        <f t="shared" si="49"/>
        <v>-7.9453724766535318E-3</v>
      </c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35">
        <f>AVERAGE(AH114:AH117)</f>
        <v>2.7741094474099783E-3</v>
      </c>
      <c r="AV114" s="5"/>
      <c r="AW114" s="39">
        <f>workers_and_wage_low!C102</f>
        <v>13149796</v>
      </c>
      <c r="AX114" s="5"/>
      <c r="AY114" s="35">
        <f t="shared" si="50"/>
        <v>8.2898043143664821E-3</v>
      </c>
      <c r="AZ114" s="40">
        <f>workers_and_wage_low!B102</f>
        <v>7398.3021868701198</v>
      </c>
      <c r="BA114" s="35">
        <f t="shared" si="51"/>
        <v>-3.2933155926741014E-3</v>
      </c>
      <c r="BB114" s="35"/>
      <c r="BC114" s="35"/>
      <c r="BD114" s="35"/>
      <c r="BE114" s="35"/>
      <c r="BF114" s="5">
        <f t="shared" si="45"/>
        <v>130.1242312407868</v>
      </c>
      <c r="BG114" s="5"/>
      <c r="BH114" s="5"/>
      <c r="BI114" s="35" t="e">
        <f t="shared" si="46"/>
        <v>#DIV/0!</v>
      </c>
      <c r="BJ114" s="5"/>
      <c r="BK114" s="5"/>
      <c r="BL114" s="5"/>
      <c r="BM114" s="5"/>
      <c r="BN114" s="5"/>
      <c r="BO114" s="5"/>
      <c r="BP114" s="5"/>
      <c r="BQ114" s="5"/>
      <c r="BR114" s="5"/>
    </row>
    <row r="115" spans="1:70" x14ac:dyDescent="0.2">
      <c r="A115" s="7">
        <f t="shared" si="52"/>
        <v>2040</v>
      </c>
      <c r="B115" s="7">
        <f t="shared" si="53"/>
        <v>2</v>
      </c>
      <c r="C115" s="9"/>
      <c r="D115" s="56">
        <f>'Low pensions'!Q115</f>
        <v>131339058.47083168</v>
      </c>
      <c r="E115" s="9"/>
      <c r="F115" s="41">
        <f>'Low pensions'!I115</f>
        <v>23872428.56706176</v>
      </c>
      <c r="G115" s="56">
        <f>'Low pensions'!K115</f>
        <v>4570168.0933513399</v>
      </c>
      <c r="H115" s="56">
        <f>'Low pensions'!V115</f>
        <v>25143716.432034515</v>
      </c>
      <c r="I115" s="56">
        <f>'Low pensions'!M115</f>
        <v>141345.40494901035</v>
      </c>
      <c r="J115" s="56">
        <f>'Low pensions'!W115</f>
        <v>777640.71439281921</v>
      </c>
      <c r="K115" s="9"/>
      <c r="L115" s="56">
        <f>'Low pensions'!N115</f>
        <v>2311122.8152182368</v>
      </c>
      <c r="M115" s="41"/>
      <c r="N115" s="56">
        <f>'Low pensions'!L115</f>
        <v>1128436.4195641875</v>
      </c>
      <c r="O115" s="9"/>
      <c r="P115" s="56">
        <f>'Low pensions'!X115</f>
        <v>18200751.512655042</v>
      </c>
      <c r="Q115" s="41"/>
      <c r="R115" s="56">
        <f>'Low SIPA income'!G110</f>
        <v>29147670.041961115</v>
      </c>
      <c r="S115" s="41"/>
      <c r="T115" s="56">
        <f>'Low SIPA income'!J110</f>
        <v>111448642.68355191</v>
      </c>
      <c r="U115" s="9"/>
      <c r="V115" s="56">
        <f>'Low SIPA income'!F110</f>
        <v>177108.194564265</v>
      </c>
      <c r="W115" s="41"/>
      <c r="X115" s="56">
        <f>'Low SIPA income'!M110</f>
        <v>444844.72303607524</v>
      </c>
      <c r="Y115" s="9"/>
      <c r="Z115" s="9">
        <f t="shared" si="47"/>
        <v>2012790.4346811958</v>
      </c>
      <c r="AA115" s="9"/>
      <c r="AB115" s="9">
        <f t="shared" si="48"/>
        <v>-38091167.299934819</v>
      </c>
      <c r="AC115" s="23"/>
      <c r="AD115" s="9"/>
      <c r="AE115" s="9"/>
      <c r="AF115" s="9"/>
      <c r="AG115" s="9">
        <f t="shared" si="44"/>
        <v>6862472549.1455431</v>
      </c>
      <c r="AH115" s="42">
        <f t="shared" si="43"/>
        <v>4.3124706067147762E-3</v>
      </c>
      <c r="AI115" s="42"/>
      <c r="AJ115" s="42">
        <f t="shared" si="49"/>
        <v>-5.5506476750391675E-3</v>
      </c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46">
        <f>workers_and_wage_low!C103</f>
        <v>13138158</v>
      </c>
      <c r="AX115" s="7"/>
      <c r="AY115" s="42">
        <f t="shared" si="50"/>
        <v>-8.8503274119233484E-4</v>
      </c>
      <c r="AZ115" s="47">
        <f>workers_and_wage_low!B103</f>
        <v>7436.7889493000603</v>
      </c>
      <c r="BA115" s="42">
        <f t="shared" si="51"/>
        <v>5.2021073832647004E-3</v>
      </c>
      <c r="BB115" s="42"/>
      <c r="BC115" s="42"/>
      <c r="BD115" s="42"/>
      <c r="BE115" s="42"/>
      <c r="BF115" s="7">
        <f t="shared" si="45"/>
        <v>130.68538816323405</v>
      </c>
      <c r="BG115" s="7"/>
      <c r="BH115" s="7"/>
      <c r="BI115" s="42" t="e">
        <f t="shared" si="46"/>
        <v>#DIV/0!</v>
      </c>
      <c r="BJ115" s="7"/>
      <c r="BK115" s="7"/>
      <c r="BL115" s="7"/>
      <c r="BM115" s="7"/>
      <c r="BN115" s="7"/>
      <c r="BO115" s="7"/>
      <c r="BP115" s="7"/>
      <c r="BQ115" s="7"/>
      <c r="BR115" s="7"/>
    </row>
    <row r="116" spans="1:70" x14ac:dyDescent="0.2">
      <c r="A116" s="7">
        <f t="shared" si="52"/>
        <v>2040</v>
      </c>
      <c r="B116" s="7">
        <f t="shared" si="53"/>
        <v>3</v>
      </c>
      <c r="C116" s="9"/>
      <c r="D116" s="56">
        <f>'Low pensions'!Q116</f>
        <v>131373490.99316269</v>
      </c>
      <c r="E116" s="9"/>
      <c r="F116" s="41">
        <f>'Low pensions'!I116</f>
        <v>23878687.085580938</v>
      </c>
      <c r="G116" s="56">
        <f>'Low pensions'!K116</f>
        <v>4678820.6036172602</v>
      </c>
      <c r="H116" s="56">
        <f>'Low pensions'!V116</f>
        <v>25741490.485844355</v>
      </c>
      <c r="I116" s="56">
        <f>'Low pensions'!M116</f>
        <v>144705.79186445009</v>
      </c>
      <c r="J116" s="56">
        <f>'Low pensions'!W116</f>
        <v>796128.57172713813</v>
      </c>
      <c r="K116" s="9"/>
      <c r="L116" s="56">
        <f>'Low pensions'!N116</f>
        <v>2316091.7911085682</v>
      </c>
      <c r="M116" s="41"/>
      <c r="N116" s="56">
        <f>'Low pensions'!L116</f>
        <v>1129838.2394249514</v>
      </c>
      <c r="O116" s="9"/>
      <c r="P116" s="56">
        <f>'Low pensions'!X116</f>
        <v>18234247.951441683</v>
      </c>
      <c r="Q116" s="41"/>
      <c r="R116" s="56">
        <f>'Low SIPA income'!G111</f>
        <v>25619960.789566763</v>
      </c>
      <c r="S116" s="41"/>
      <c r="T116" s="56">
        <f>'Low SIPA income'!J111</f>
        <v>97960140.604464084</v>
      </c>
      <c r="U116" s="9"/>
      <c r="V116" s="56">
        <f>'Low SIPA income'!F111</f>
        <v>175327.528259485</v>
      </c>
      <c r="W116" s="41"/>
      <c r="X116" s="56">
        <f>'Low SIPA income'!M111</f>
        <v>440372.20265880891</v>
      </c>
      <c r="Y116" s="9"/>
      <c r="Z116" s="9">
        <f t="shared" si="47"/>
        <v>-1529328.7982882075</v>
      </c>
      <c r="AA116" s="9"/>
      <c r="AB116" s="9">
        <f t="shared" si="48"/>
        <v>-51647598.340140283</v>
      </c>
      <c r="AC116" s="23"/>
      <c r="AD116" s="9"/>
      <c r="AE116" s="9"/>
      <c r="AF116" s="9"/>
      <c r="AG116" s="9">
        <f t="shared" si="44"/>
        <v>6889112659.7101536</v>
      </c>
      <c r="AH116" s="42">
        <f t="shared" si="43"/>
        <v>3.8819988530121672E-3</v>
      </c>
      <c r="AI116" s="42"/>
      <c r="AJ116" s="42">
        <f t="shared" si="49"/>
        <v>-7.4969884934808512E-3</v>
      </c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9"/>
      <c r="AV116" s="7"/>
      <c r="AW116" s="46">
        <f>workers_and_wage_low!C104</f>
        <v>13138872</v>
      </c>
      <c r="AX116" s="7"/>
      <c r="AY116" s="42">
        <f t="shared" si="50"/>
        <v>5.4345517841998857E-5</v>
      </c>
      <c r="AZ116" s="47">
        <f>workers_and_wage_low!B104</f>
        <v>7465.2528524392501</v>
      </c>
      <c r="BA116" s="42">
        <f t="shared" si="51"/>
        <v>3.8274453306717552E-3</v>
      </c>
      <c r="BB116" s="42"/>
      <c r="BC116" s="42"/>
      <c r="BD116" s="42"/>
      <c r="BE116" s="42"/>
      <c r="BF116" s="7">
        <f t="shared" si="45"/>
        <v>131.19270869018916</v>
      </c>
      <c r="BG116" s="7"/>
      <c r="BH116" s="7"/>
      <c r="BI116" s="42" t="e">
        <f t="shared" si="46"/>
        <v>#DIV/0!</v>
      </c>
      <c r="BJ116" s="7"/>
      <c r="BK116" s="7"/>
      <c r="BL116" s="7"/>
      <c r="BM116" s="7"/>
      <c r="BN116" s="7"/>
      <c r="BO116" s="7"/>
      <c r="BP116" s="7"/>
      <c r="BQ116" s="7"/>
      <c r="BR116" s="7"/>
    </row>
    <row r="117" spans="1:70" x14ac:dyDescent="0.2">
      <c r="A117" s="7">
        <f t="shared" si="52"/>
        <v>2040</v>
      </c>
      <c r="B117" s="7">
        <f t="shared" si="53"/>
        <v>4</v>
      </c>
      <c r="C117" s="9"/>
      <c r="D117" s="56">
        <f>'Low pensions'!Q117</f>
        <v>132694453.91158044</v>
      </c>
      <c r="E117" s="9"/>
      <c r="F117" s="41">
        <f>'Low pensions'!I117</f>
        <v>24118787.732538663</v>
      </c>
      <c r="G117" s="56">
        <f>'Low pensions'!K117</f>
        <v>4760742.8842508402</v>
      </c>
      <c r="H117" s="56">
        <f>'Low pensions'!V117</f>
        <v>26192202.702909831</v>
      </c>
      <c r="I117" s="56">
        <f>'Low pensions'!M117</f>
        <v>147239.47064692993</v>
      </c>
      <c r="J117" s="56">
        <f>'Low pensions'!W117</f>
        <v>810068.12483224482</v>
      </c>
      <c r="K117" s="9"/>
      <c r="L117" s="56">
        <f>'Low pensions'!N117</f>
        <v>2253300.7661612076</v>
      </c>
      <c r="M117" s="41"/>
      <c r="N117" s="56">
        <f>'Low pensions'!L117</f>
        <v>1142037.9656320661</v>
      </c>
      <c r="O117" s="9"/>
      <c r="P117" s="56">
        <f>'Low pensions'!X117</f>
        <v>17975544.318584245</v>
      </c>
      <c r="Q117" s="41"/>
      <c r="R117" s="56">
        <f>'Low SIPA income'!G112</f>
        <v>29372892.46556782</v>
      </c>
      <c r="S117" s="41"/>
      <c r="T117" s="56">
        <f>'Low SIPA income'!J112</f>
        <v>112309800.14062247</v>
      </c>
      <c r="U117" s="9"/>
      <c r="V117" s="56">
        <f>'Low SIPA income'!F112</f>
        <v>178390.15355254299</v>
      </c>
      <c r="W117" s="41"/>
      <c r="X117" s="56">
        <f>'Low SIPA income'!M112</f>
        <v>448064.6344155976</v>
      </c>
      <c r="Y117" s="9"/>
      <c r="Z117" s="9">
        <f t="shared" si="47"/>
        <v>2037156.1547884271</v>
      </c>
      <c r="AA117" s="9"/>
      <c r="AB117" s="9">
        <f t="shared" si="48"/>
        <v>-38360198.089542225</v>
      </c>
      <c r="AC117" s="23"/>
      <c r="AD117" s="9"/>
      <c r="AE117" s="9"/>
      <c r="AF117" s="9"/>
      <c r="AG117" s="9">
        <f t="shared" si="44"/>
        <v>6874871352.0269613</v>
      </c>
      <c r="AH117" s="42">
        <f t="shared" si="43"/>
        <v>-2.0672194499707064E-3</v>
      </c>
      <c r="AI117" s="42">
        <f>(AG117-AG113)/AG113</f>
        <v>1.1126650717829574E-2</v>
      </c>
      <c r="AJ117" s="42">
        <f t="shared" si="49"/>
        <v>-5.5797695877221392E-3</v>
      </c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V117" s="7"/>
      <c r="AW117" s="46">
        <f>workers_and_wage_low!C105</f>
        <v>13138679</v>
      </c>
      <c r="AX117" s="7"/>
      <c r="AY117" s="42">
        <f t="shared" si="50"/>
        <v>-1.4689236640710101E-5</v>
      </c>
      <c r="AZ117" s="47">
        <f>workers_and_wage_low!B105</f>
        <v>7449.9299703280303</v>
      </c>
      <c r="BA117" s="42">
        <f t="shared" si="51"/>
        <v>-2.0525603638747564E-3</v>
      </c>
      <c r="BB117" s="42"/>
      <c r="BC117" s="42"/>
      <c r="BD117" s="42"/>
      <c r="BE117" s="42"/>
      <c r="BF117" s="7">
        <f t="shared" si="45"/>
        <v>130.92150457109048</v>
      </c>
      <c r="BG117" s="7"/>
      <c r="BH117" s="7"/>
      <c r="BI117" s="42" t="e">
        <f t="shared" si="46"/>
        <v>#DIV/0!</v>
      </c>
      <c r="BJ117" s="7"/>
      <c r="BK117" s="7"/>
      <c r="BL117" s="7"/>
      <c r="BM117" s="7"/>
      <c r="BN117" s="7"/>
      <c r="BO117" s="7"/>
      <c r="BP117" s="7"/>
      <c r="BQ117" s="7"/>
      <c r="BR117" s="7"/>
    </row>
    <row r="118" spans="1:70" x14ac:dyDescent="0.2">
      <c r="X118">
        <v>302885.08746728097</v>
      </c>
    </row>
    <row r="119" spans="1:70" x14ac:dyDescent="0.2">
      <c r="X119">
        <v>298544.55877230002</v>
      </c>
      <c r="AI119" s="26">
        <f>AVERAGE(AI33:AI117)</f>
        <v>1.5539054578492972E-2</v>
      </c>
    </row>
    <row r="120" spans="1:70" x14ac:dyDescent="0.2">
      <c r="X120">
        <v>302784.693481786</v>
      </c>
    </row>
    <row r="121" spans="1:70" x14ac:dyDescent="0.2">
      <c r="X121">
        <v>301474.32031700399</v>
      </c>
    </row>
    <row r="122" spans="1:70" x14ac:dyDescent="0.2">
      <c r="X122">
        <v>307602.17491931998</v>
      </c>
    </row>
    <row r="123" spans="1:70" x14ac:dyDescent="0.2">
      <c r="X123">
        <v>304496.99519156298</v>
      </c>
    </row>
  </sheetData>
  <mergeCells count="3">
    <mergeCell ref="AM1:AN1"/>
    <mergeCell ref="AQ1:AR1"/>
    <mergeCell ref="AS1:AT1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121"/>
  <sheetViews>
    <sheetView zoomScale="75" zoomScaleNormal="75" workbookViewId="0">
      <pane xSplit="2" topLeftCell="U1" activePane="topRight" state="frozen"/>
      <selection pane="topRight" activeCell="AB29" sqref="AB29"/>
    </sheetView>
  </sheetViews>
  <sheetFormatPr baseColWidth="10" defaultColWidth="9" defaultRowHeight="12.75" x14ac:dyDescent="0.2"/>
  <cols>
    <col min="3" max="6" width="15" customWidth="1"/>
    <col min="15" max="20" width="14" customWidth="1"/>
    <col min="27" max="28" width="11.140625" customWidth="1"/>
    <col min="30" max="30" width="13.7109375" customWidth="1"/>
    <col min="33" max="33" width="13.140625" customWidth="1"/>
    <col min="39" max="39" width="11.42578125" customWidth="1"/>
    <col min="41" max="41" width="19.28515625" customWidth="1"/>
    <col min="42" max="42" width="14.28515625" customWidth="1"/>
    <col min="43" max="43" width="14" customWidth="1"/>
    <col min="44" max="44" width="15.42578125" customWidth="1"/>
  </cols>
  <sheetData>
    <row r="1" spans="1:68" ht="50.25" customHeight="1" x14ac:dyDescent="0.2">
      <c r="A1" s="14" t="s">
        <v>9</v>
      </c>
      <c r="B1" s="14" t="s">
        <v>10</v>
      </c>
      <c r="C1" s="14" t="s">
        <v>60</v>
      </c>
      <c r="D1" s="14"/>
      <c r="E1" s="14" t="s">
        <v>61</v>
      </c>
      <c r="F1" s="14"/>
      <c r="G1" s="14" t="s">
        <v>13</v>
      </c>
      <c r="H1" s="14"/>
      <c r="I1" s="14" t="s">
        <v>14</v>
      </c>
      <c r="J1" s="14"/>
      <c r="K1" s="14" t="s">
        <v>15</v>
      </c>
      <c r="L1" s="14"/>
      <c r="M1" s="15" t="s">
        <v>16</v>
      </c>
      <c r="N1" s="14"/>
      <c r="O1" s="14" t="s">
        <v>17</v>
      </c>
      <c r="P1" s="16"/>
      <c r="Q1" s="14" t="s">
        <v>18</v>
      </c>
      <c r="R1" s="14"/>
      <c r="S1" s="14" t="s">
        <v>19</v>
      </c>
      <c r="T1" s="14"/>
      <c r="U1" s="16" t="s">
        <v>20</v>
      </c>
      <c r="V1" s="14"/>
      <c r="W1" s="14" t="s">
        <v>21</v>
      </c>
      <c r="X1" s="14"/>
      <c r="Y1" s="1" t="s">
        <v>22</v>
      </c>
      <c r="Z1" s="1"/>
      <c r="AA1" s="1" t="s">
        <v>23</v>
      </c>
      <c r="AB1" s="1"/>
      <c r="AC1" s="1"/>
      <c r="AD1" s="1" t="s">
        <v>24</v>
      </c>
      <c r="AE1" s="1" t="str">
        <f>'Central scenario'!AE1</f>
        <v>PIB en millones de pesos constantes de 2004</v>
      </c>
      <c r="AF1" s="1" t="s">
        <v>26</v>
      </c>
      <c r="AG1" s="1" t="str">
        <f>'Central scenario'!AG1</f>
        <v>PIB en pesos constantes noviembre 2014</v>
      </c>
      <c r="AH1" s="1" t="s">
        <v>27</v>
      </c>
      <c r="AI1" s="1"/>
      <c r="AJ1" s="1" t="s">
        <v>28</v>
      </c>
      <c r="AK1" s="17" t="s">
        <v>29</v>
      </c>
      <c r="AL1" s="17"/>
      <c r="AM1" s="136" t="s">
        <v>30</v>
      </c>
      <c r="AN1" s="136"/>
      <c r="AO1" s="18" t="s">
        <v>31</v>
      </c>
      <c r="AP1" s="19" t="s">
        <v>32</v>
      </c>
      <c r="AQ1" s="136" t="s">
        <v>33</v>
      </c>
      <c r="AR1" s="136"/>
      <c r="AS1" s="136" t="s">
        <v>34</v>
      </c>
      <c r="AT1" s="136"/>
      <c r="AU1" s="1"/>
      <c r="AV1" s="1" t="s">
        <v>36</v>
      </c>
      <c r="AW1" s="1"/>
      <c r="AX1" s="1" t="s">
        <v>37</v>
      </c>
      <c r="AY1" s="1"/>
      <c r="AZ1" s="1" t="s">
        <v>38</v>
      </c>
      <c r="BA1" s="1"/>
      <c r="BB1" s="1" t="str">
        <f>'Central scenario'!BB1</f>
        <v>Remuneración del Trabajo Asalariado en porcentjae del Valor Agregado Bruto (VAB)</v>
      </c>
      <c r="BC1" s="1" t="str">
        <f>'Central scenario'!BC1</f>
        <v>Ingresos Brutos Mixtos en porcentaje VAB</v>
      </c>
      <c r="BD1" s="1" t="str">
        <f>'Central scenario'!BD1</f>
        <v>Remuneración del trabajo en % VAB</v>
      </c>
      <c r="BE1" s="1"/>
      <c r="BF1" s="1"/>
      <c r="BG1" s="1"/>
      <c r="BH1" s="1"/>
      <c r="BI1" s="1" t="s">
        <v>43</v>
      </c>
      <c r="BJ1" s="1"/>
      <c r="BK1" s="1" t="s">
        <v>44</v>
      </c>
      <c r="BL1" s="1" t="s">
        <v>45</v>
      </c>
      <c r="BM1" s="1" t="s">
        <v>46</v>
      </c>
      <c r="BN1" s="1" t="s">
        <v>47</v>
      </c>
      <c r="BO1" s="17" t="s">
        <v>62</v>
      </c>
      <c r="BP1" s="1"/>
    </row>
    <row r="2" spans="1:68" x14ac:dyDescent="0.2">
      <c r="A2" s="2"/>
      <c r="B2" s="2"/>
      <c r="C2" s="2" t="s">
        <v>49</v>
      </c>
      <c r="D2" s="2" t="s">
        <v>50</v>
      </c>
      <c r="E2" s="2" t="s">
        <v>49</v>
      </c>
      <c r="F2" s="4" t="s">
        <v>50</v>
      </c>
      <c r="G2" s="4" t="s">
        <v>51</v>
      </c>
      <c r="H2" s="4" t="s">
        <v>52</v>
      </c>
      <c r="I2" s="4" t="s">
        <v>51</v>
      </c>
      <c r="J2" s="2" t="s">
        <v>52</v>
      </c>
      <c r="K2" s="2" t="s">
        <v>49</v>
      </c>
      <c r="L2" s="4" t="s">
        <v>50</v>
      </c>
      <c r="M2" s="4" t="s">
        <v>49</v>
      </c>
      <c r="N2" s="4" t="s">
        <v>50</v>
      </c>
      <c r="O2" s="2" t="s">
        <v>49</v>
      </c>
      <c r="P2" s="2" t="s">
        <v>50</v>
      </c>
      <c r="Q2" s="4" t="s">
        <v>49</v>
      </c>
      <c r="R2" s="4" t="s">
        <v>50</v>
      </c>
      <c r="S2" s="4" t="s">
        <v>49</v>
      </c>
      <c r="T2" s="2" t="s">
        <v>50</v>
      </c>
      <c r="U2" s="2" t="s">
        <v>49</v>
      </c>
      <c r="V2" s="2" t="s">
        <v>50</v>
      </c>
      <c r="W2" s="2" t="s">
        <v>49</v>
      </c>
      <c r="X2" s="4" t="s">
        <v>50</v>
      </c>
      <c r="Y2" s="2"/>
      <c r="Z2" s="2"/>
      <c r="AA2" s="2"/>
      <c r="AB2" s="2"/>
      <c r="AC2" s="1"/>
      <c r="AD2" s="2"/>
      <c r="AE2" s="2"/>
      <c r="AF2" s="2"/>
      <c r="AG2" s="2"/>
      <c r="AH2" s="2"/>
      <c r="AI2" s="2"/>
      <c r="AJ2" s="2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"/>
      <c r="AV2" s="2" t="s">
        <v>53</v>
      </c>
      <c r="AW2" s="2" t="s">
        <v>51</v>
      </c>
      <c r="AX2" s="2" t="s">
        <v>53</v>
      </c>
      <c r="AY2" s="2" t="s">
        <v>51</v>
      </c>
      <c r="AZ2" s="2" t="s">
        <v>54</v>
      </c>
      <c r="BA2" s="2" t="s">
        <v>55</v>
      </c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0"/>
      <c r="BP2" s="2"/>
    </row>
    <row r="3" spans="1:68" x14ac:dyDescent="0.2">
      <c r="A3" s="2">
        <v>2014</v>
      </c>
      <c r="B3" s="2">
        <v>1</v>
      </c>
      <c r="C3" s="4">
        <v>73541829.264479399</v>
      </c>
      <c r="D3" s="4"/>
      <c r="E3" s="4">
        <v>13367097.642000001</v>
      </c>
      <c r="F3" s="4"/>
      <c r="G3" s="4"/>
      <c r="H3" s="4"/>
      <c r="I3" s="4"/>
      <c r="J3" s="22"/>
      <c r="K3" s="22">
        <v>2431521.2590999999</v>
      </c>
      <c r="L3" s="4"/>
      <c r="M3" s="4">
        <v>552644.92299999902</v>
      </c>
      <c r="N3" s="4"/>
      <c r="O3" s="4">
        <v>15657663.7612308</v>
      </c>
      <c r="P3" s="4"/>
      <c r="Q3" s="4">
        <v>16188956.83674</v>
      </c>
      <c r="R3" s="4"/>
      <c r="S3" s="4">
        <v>61899879.651203699</v>
      </c>
      <c r="T3" s="4"/>
      <c r="U3" s="4">
        <v>147745.90426000001</v>
      </c>
      <c r="V3" s="22"/>
      <c r="W3" s="22">
        <v>371095.07358448301</v>
      </c>
      <c r="X3" s="4"/>
      <c r="Y3" s="4">
        <f t="shared" ref="Y3:Y8" si="0">Q3+U3-M3-K3-E3</f>
        <v>-14561.083099998534</v>
      </c>
      <c r="Z3" s="4"/>
      <c r="AA3" s="4">
        <f t="shared" ref="AA3:AA8" si="1">S3-O3-C3</f>
        <v>-27299613.374506503</v>
      </c>
      <c r="AB3" s="4"/>
      <c r="AC3" s="23"/>
      <c r="AD3" s="4">
        <f>'Central scenario'!AD3</f>
        <v>3917648861.1710801</v>
      </c>
      <c r="AE3" s="4">
        <f>'Central scenario'!AE3</f>
        <v>671066.04663506302</v>
      </c>
      <c r="AF3" s="4">
        <f>'Central scenario'!AF3</f>
        <v>87.364011981999994</v>
      </c>
      <c r="AG3" s="4">
        <f>'Central scenario'!AG3</f>
        <v>4896479257.5378141</v>
      </c>
      <c r="AH3" s="4"/>
      <c r="AI3" s="4"/>
      <c r="AJ3" s="24">
        <f>AA3/AG3</f>
        <v>-5.5753556665190628E-3</v>
      </c>
      <c r="AK3" s="20">
        <v>2014</v>
      </c>
      <c r="AL3" s="25">
        <f>(SUM(AA3:AA6)/AVERAGE(AG3:AG6))</f>
        <v>-1.9692504721512523E-2</v>
      </c>
      <c r="AM3" s="25"/>
      <c r="AN3" s="25"/>
      <c r="AO3" s="25"/>
      <c r="AP3" s="25"/>
      <c r="AQ3" s="22" t="s">
        <v>56</v>
      </c>
      <c r="AR3" s="25" t="s">
        <v>57</v>
      </c>
      <c r="AS3" s="25" t="s">
        <v>56</v>
      </c>
      <c r="AT3" s="25" t="s">
        <v>57</v>
      </c>
      <c r="AV3" s="2">
        <v>10923418</v>
      </c>
      <c r="BI3" s="24">
        <f>S3/AG3</f>
        <v>1.2641711808727224E-2</v>
      </c>
      <c r="BJ3" s="2">
        <v>2014</v>
      </c>
      <c r="BK3" s="24">
        <f>(SUM(S3:S6)/AVERAGE(AG3:AG6))</f>
        <v>5.3979759810055671E-2</v>
      </c>
      <c r="BL3" s="24">
        <f>(SUM(O3:O6)/AVERAGE(AG3:AG6))</f>
        <v>1.2520230238480812E-2</v>
      </c>
      <c r="BM3" s="24">
        <f>(SUM(C3:C6)/AVERAGE(AG3:AG6))</f>
        <v>6.1152034293087382E-2</v>
      </c>
      <c r="BN3" s="24">
        <f>(SUM(H3:H6)+SUM(J3:J6))/AVERAGE(AG3:AG6)</f>
        <v>0</v>
      </c>
      <c r="BO3" s="25">
        <f t="shared" ref="BO3:BO29" si="2">AL3-BN3</f>
        <v>-1.9692504721512523E-2</v>
      </c>
      <c r="BP3" s="26">
        <f t="shared" ref="BP3:BP29" si="3">BN3+BM3</f>
        <v>6.1152034293087382E-2</v>
      </c>
    </row>
    <row r="4" spans="1:68" x14ac:dyDescent="0.2">
      <c r="A4" s="2">
        <v>2014</v>
      </c>
      <c r="B4" s="2">
        <v>2</v>
      </c>
      <c r="C4" s="4">
        <v>76536005.645554796</v>
      </c>
      <c r="D4" s="4"/>
      <c r="E4" s="4">
        <v>13911324.754000001</v>
      </c>
      <c r="F4" s="4"/>
      <c r="G4" s="4"/>
      <c r="H4" s="4"/>
      <c r="I4" s="4"/>
      <c r="J4" s="22"/>
      <c r="K4" s="22">
        <v>2156056.4542999999</v>
      </c>
      <c r="L4" s="4"/>
      <c r="M4" s="4">
        <v>571465.44299999997</v>
      </c>
      <c r="N4" s="4"/>
      <c r="O4" s="4">
        <v>14331816.6540251</v>
      </c>
      <c r="P4" s="4"/>
      <c r="Q4" s="4">
        <v>18889074.98367</v>
      </c>
      <c r="R4" s="4"/>
      <c r="S4" s="4">
        <v>72224015.420081005</v>
      </c>
      <c r="T4" s="4"/>
      <c r="U4" s="4">
        <v>150093.53833000001</v>
      </c>
      <c r="V4" s="22"/>
      <c r="W4" s="22">
        <v>376991.65286577999</v>
      </c>
      <c r="X4" s="4"/>
      <c r="Y4" s="4">
        <f t="shared" si="0"/>
        <v>2400321.8706999999</v>
      </c>
      <c r="Z4" s="4"/>
      <c r="AA4" s="4">
        <f t="shared" si="1"/>
        <v>-18643806.879498892</v>
      </c>
      <c r="AB4" s="4"/>
      <c r="AC4" s="23"/>
      <c r="AD4" s="4">
        <f>'Central scenario'!AD4</f>
        <v>4702629524.92031</v>
      </c>
      <c r="AE4" s="4">
        <f>'Central scenario'!AE4</f>
        <v>760576.86834800395</v>
      </c>
      <c r="AF4" s="4">
        <f>'Central scenario'!AF4</f>
        <v>92.542254682000006</v>
      </c>
      <c r="AG4" s="4">
        <f>'Central scenario'!AG4</f>
        <v>5549601083.6833839</v>
      </c>
      <c r="AH4" s="4"/>
      <c r="AI4" s="4"/>
      <c r="AJ4" s="24">
        <f>AA4/AG4</f>
        <v>-3.35948595193884E-3</v>
      </c>
      <c r="AK4" s="20">
        <v>2015</v>
      </c>
      <c r="AL4" s="25">
        <f>SUM(AB14:AB17)/AVERAGE(AG14:AG17)</f>
        <v>-3.2867428942015789E-2</v>
      </c>
      <c r="AM4" s="25"/>
      <c r="AN4" s="25"/>
      <c r="AO4" s="25"/>
      <c r="AP4" s="25"/>
      <c r="AQ4" s="4">
        <f>'Central scenario'!AQ4</f>
        <v>545118865</v>
      </c>
      <c r="AR4" s="4">
        <f>'Central scenario'!AR4</f>
        <v>545118865</v>
      </c>
      <c r="AS4" s="27">
        <f>AQ4/AG17</f>
        <v>0.10616867514333773</v>
      </c>
      <c r="AT4" s="27">
        <f>AR4/AG17</f>
        <v>0.10616867514333773</v>
      </c>
      <c r="AV4" s="2">
        <v>10933469</v>
      </c>
      <c r="AX4" s="2">
        <f t="shared" ref="AX4:AX12" si="4">(AV4-AV3)/AV3</f>
        <v>9.2013324034656552E-4</v>
      </c>
      <c r="BI4" s="24">
        <f>S4/AG4</f>
        <v>1.3014271536098311E-2</v>
      </c>
      <c r="BJ4" s="2">
        <v>2015</v>
      </c>
      <c r="BK4" s="24">
        <f>SUM(T14:T17)/AVERAGE(AG14:AG17)</f>
        <v>6.0807737708417298E-2</v>
      </c>
      <c r="BL4" s="24">
        <f>SUM(P14:P17)/AVERAGE(AG14:AG17)</f>
        <v>1.3985809681386373E-2</v>
      </c>
      <c r="BM4" s="24">
        <f>SUM(D14:D17)/AVERAGE(AG14:AG17)</f>
        <v>7.9689356969046707E-2</v>
      </c>
      <c r="BN4" s="24">
        <f>(SUM(H14:H17)+SUM(J14:J17))/AVERAGE(AG14:AG17)</f>
        <v>0</v>
      </c>
      <c r="BO4" s="25">
        <f t="shared" si="2"/>
        <v>-3.2867428942015789E-2</v>
      </c>
      <c r="BP4" s="26">
        <f t="shared" si="3"/>
        <v>7.9689356969046707E-2</v>
      </c>
    </row>
    <row r="5" spans="1:68" x14ac:dyDescent="0.2">
      <c r="A5" s="2">
        <v>2014</v>
      </c>
      <c r="B5" s="2">
        <v>3</v>
      </c>
      <c r="C5" s="4">
        <v>79948619.698482305</v>
      </c>
      <c r="D5" s="4"/>
      <c r="E5" s="4">
        <v>14531608.437999999</v>
      </c>
      <c r="F5" s="4"/>
      <c r="G5" s="4"/>
      <c r="H5" s="4"/>
      <c r="I5" s="4"/>
      <c r="J5" s="22"/>
      <c r="K5" s="22">
        <v>2697105.9034000002</v>
      </c>
      <c r="L5" s="4"/>
      <c r="M5" s="4">
        <v>618357.67000000004</v>
      </c>
      <c r="N5" s="4"/>
      <c r="O5" s="4">
        <v>17397319.126396801</v>
      </c>
      <c r="P5" s="4"/>
      <c r="Q5" s="4">
        <v>16666086.76898</v>
      </c>
      <c r="R5" s="4"/>
      <c r="S5" s="4">
        <v>63724227.302598797</v>
      </c>
      <c r="T5" s="4"/>
      <c r="U5" s="4">
        <v>145660.84302</v>
      </c>
      <c r="V5" s="22"/>
      <c r="W5" s="22">
        <v>365858.00147638301</v>
      </c>
      <c r="X5" s="4"/>
      <c r="Y5" s="4">
        <f t="shared" si="0"/>
        <v>-1035324.3993999995</v>
      </c>
      <c r="Z5" s="4"/>
      <c r="AA5" s="4">
        <f t="shared" si="1"/>
        <v>-33621711.522280306</v>
      </c>
      <c r="AB5" s="4"/>
      <c r="AC5" s="23"/>
      <c r="AD5" s="4">
        <f>'Central scenario'!AD5</f>
        <v>4685503118.6782703</v>
      </c>
      <c r="AE5" s="4">
        <f>'Central scenario'!AE5</f>
        <v>690879.79825168301</v>
      </c>
      <c r="AF5" s="4">
        <f>'Central scenario'!AF5</f>
        <v>96.348619912999993</v>
      </c>
      <c r="AG5" s="4">
        <f>'Central scenario'!AG5</f>
        <v>5041051649.914485</v>
      </c>
      <c r="AH5" s="4"/>
      <c r="AI5" s="4"/>
      <c r="AJ5" s="24">
        <f>AA5/AG5</f>
        <v>-6.669582828585114E-3</v>
      </c>
      <c r="AK5" s="20">
        <v>2016</v>
      </c>
      <c r="AL5" s="25">
        <f>SUM(AB18:AB21)/AVERAGE(AG18:AG21)</f>
        <v>-3.2768031474307693E-2</v>
      </c>
      <c r="AM5" s="25"/>
      <c r="AN5" s="25"/>
      <c r="AO5" s="25"/>
      <c r="AP5" s="25"/>
      <c r="AQ5" s="4">
        <f>'Central scenario'!AQ5</f>
        <v>527406836</v>
      </c>
      <c r="AR5" s="4">
        <f>'Central scenario'!AR5</f>
        <v>527406836</v>
      </c>
      <c r="AS5" s="27">
        <f>AQ5/AG21</f>
        <v>0.10427618143741313</v>
      </c>
      <c r="AT5" s="27">
        <f>AR5/AG21</f>
        <v>0.10427618143741313</v>
      </c>
      <c r="AV5" s="2">
        <v>10927942</v>
      </c>
      <c r="AX5" s="2">
        <f t="shared" si="4"/>
        <v>-5.0551202001853203E-4</v>
      </c>
      <c r="BI5" s="24">
        <f>S5/AG5</f>
        <v>1.2641058201353639E-2</v>
      </c>
      <c r="BJ5" s="2">
        <v>2016</v>
      </c>
      <c r="BK5" s="24">
        <f>SUM(T18:T21)/AVERAGE(AG18:AG21)</f>
        <v>6.1399295349079737E-2</v>
      </c>
      <c r="BL5" s="24">
        <f>SUM(P18:P21)/AVERAGE(AG18:AG21)</f>
        <v>1.5326072978829668E-2</v>
      </c>
      <c r="BM5" s="24">
        <f>SUM(D18:D21)/AVERAGE(AG18:AG21)</f>
        <v>7.8841253844557757E-2</v>
      </c>
      <c r="BN5" s="24">
        <f>(SUM(H18:H21)+SUM(J18:J21))/AVERAGE(AG18:AG21)</f>
        <v>3.9967972449279541E-5</v>
      </c>
      <c r="BO5" s="25">
        <f t="shared" si="2"/>
        <v>-3.2807999446756976E-2</v>
      </c>
      <c r="BP5" s="26">
        <f t="shared" si="3"/>
        <v>7.8881221817007033E-2</v>
      </c>
    </row>
    <row r="6" spans="1:68" x14ac:dyDescent="0.2">
      <c r="A6" s="2">
        <v>2014</v>
      </c>
      <c r="B6" s="2">
        <v>4</v>
      </c>
      <c r="C6" s="4">
        <v>83342500.446047202</v>
      </c>
      <c r="D6" s="4"/>
      <c r="E6" s="4">
        <v>15148485.804</v>
      </c>
      <c r="F6" s="4"/>
      <c r="G6" s="4"/>
      <c r="H6" s="4"/>
      <c r="I6" s="4"/>
      <c r="J6" s="22"/>
      <c r="K6" s="22">
        <v>2598760.7445</v>
      </c>
      <c r="L6" s="4"/>
      <c r="M6" s="4">
        <v>597485.603</v>
      </c>
      <c r="N6" s="4"/>
      <c r="O6" s="4">
        <v>16772169.366415</v>
      </c>
      <c r="P6" s="4"/>
      <c r="Q6" s="4">
        <v>20600306.344000001</v>
      </c>
      <c r="R6" s="4"/>
      <c r="S6" s="4">
        <v>78767056.8481365</v>
      </c>
      <c r="T6" s="4"/>
      <c r="U6" s="4">
        <v>143630.44399999999</v>
      </c>
      <c r="V6" s="22"/>
      <c r="W6" s="22">
        <v>360758.22508998099</v>
      </c>
      <c r="X6" s="4"/>
      <c r="Y6" s="4">
        <f t="shared" si="0"/>
        <v>2399204.6364999991</v>
      </c>
      <c r="Z6" s="4"/>
      <c r="AA6" s="4">
        <f t="shared" si="1"/>
        <v>-21347612.964325704</v>
      </c>
      <c r="AB6" s="4"/>
      <c r="AC6" s="23"/>
      <c r="AD6" s="4">
        <f>'Central scenario'!AD6</f>
        <v>5010564196.8707304</v>
      </c>
      <c r="AE6" s="4">
        <f>'Central scenario'!AE6</f>
        <v>686701.47061871097</v>
      </c>
      <c r="AF6" s="4">
        <f>'Central scenario'!AF6</f>
        <v>100</v>
      </c>
      <c r="AG6" s="4">
        <f>'Central scenario'!AG6</f>
        <v>5010564196.8707304</v>
      </c>
      <c r="AH6" s="4"/>
      <c r="AI6" s="4"/>
      <c r="AJ6" s="24">
        <f>AA6/AG6</f>
        <v>-4.260520796771354E-3</v>
      </c>
      <c r="AK6" s="20">
        <v>2017</v>
      </c>
      <c r="AL6" s="25">
        <f>SUM(AB22:AB25)/AVERAGE(AG22:AG25)</f>
        <v>-3.6559160254587511E-2</v>
      </c>
      <c r="AM6" s="4">
        <f>'Central scenario'!AM6</f>
        <v>22247411.66092024</v>
      </c>
      <c r="AN6" s="25"/>
      <c r="AO6" s="25"/>
      <c r="AP6" s="4">
        <v>46349018</v>
      </c>
      <c r="AQ6" s="4">
        <f>'Central scenario'!AQ6</f>
        <v>580675520</v>
      </c>
      <c r="AR6" s="4">
        <f>'Central scenario'!AR6</f>
        <v>580675520</v>
      </c>
      <c r="AS6" s="27">
        <f>AQ6/AG25</f>
        <v>0.10987837338707314</v>
      </c>
      <c r="AT6" s="27">
        <f>AR6/AG25</f>
        <v>0.10987837338707314</v>
      </c>
      <c r="AV6" s="2">
        <v>11163575</v>
      </c>
      <c r="AX6" s="2">
        <f t="shared" si="4"/>
        <v>2.1562431425789046E-2</v>
      </c>
      <c r="BI6" s="24">
        <f>S6/AG6</f>
        <v>1.5720197118186657E-2</v>
      </c>
      <c r="BJ6" s="2">
        <v>2017</v>
      </c>
      <c r="BK6" s="24">
        <f>SUM(T22:T25)/AVERAGE(AG22:AG25)</f>
        <v>6.3303796819399405E-2</v>
      </c>
      <c r="BL6" s="24">
        <f>SUM(P22:P25)/AVERAGE(AG22:AG25)</f>
        <v>1.889407008760317E-2</v>
      </c>
      <c r="BM6" s="24">
        <f>SUM(D22:D25)/AVERAGE(AG22:AG25)</f>
        <v>8.0968886986383756E-2</v>
      </c>
      <c r="BN6" s="24">
        <f>(SUM(H22:H25)+SUM(J22:J25))/AVERAGE(AG22:AG25)</f>
        <v>5.4361465911284459E-4</v>
      </c>
      <c r="BO6" s="25">
        <f t="shared" si="2"/>
        <v>-3.7102774913700357E-2</v>
      </c>
      <c r="BP6" s="26">
        <f t="shared" si="3"/>
        <v>8.1512501645496602E-2</v>
      </c>
    </row>
    <row r="7" spans="1:68" x14ac:dyDescent="0.2">
      <c r="A7" s="2">
        <v>2015</v>
      </c>
      <c r="B7" s="2">
        <v>1</v>
      </c>
      <c r="C7" s="4">
        <v>87220448.7038403</v>
      </c>
      <c r="D7" s="4"/>
      <c r="E7" s="4">
        <v>15853348.733999999</v>
      </c>
      <c r="F7" s="4"/>
      <c r="G7" s="4"/>
      <c r="H7" s="4"/>
      <c r="I7" s="4"/>
      <c r="J7" s="22"/>
      <c r="K7" s="22">
        <v>3002195.4358999999</v>
      </c>
      <c r="L7" s="4"/>
      <c r="M7" s="4">
        <v>654530.51300000004</v>
      </c>
      <c r="N7" s="4"/>
      <c r="O7" s="4">
        <v>19179435.069263499</v>
      </c>
      <c r="P7" s="4"/>
      <c r="Q7" s="4">
        <v>18139908.10636</v>
      </c>
      <c r="R7" s="4"/>
      <c r="S7" s="4">
        <v>69359510.930272505</v>
      </c>
      <c r="T7" s="4"/>
      <c r="U7" s="4">
        <v>167252.22263999999</v>
      </c>
      <c r="V7" s="22"/>
      <c r="W7" s="22">
        <v>420089.31603637501</v>
      </c>
      <c r="X7" s="4"/>
      <c r="Y7" s="4">
        <f t="shared" si="0"/>
        <v>-1202914.3538999986</v>
      </c>
      <c r="Z7" s="4"/>
      <c r="AA7" s="4">
        <f t="shared" si="1"/>
        <v>-37040372.842831299</v>
      </c>
      <c r="AB7" s="4"/>
      <c r="AC7" s="23"/>
      <c r="AD7" s="4"/>
      <c r="AE7" s="4"/>
      <c r="AF7" s="4"/>
      <c r="AG7" s="4"/>
      <c r="AH7" s="4"/>
      <c r="AI7" s="4"/>
      <c r="AJ7" s="24"/>
      <c r="AK7" s="20">
        <f t="shared" ref="AK7:AK29" si="5">AK6+1</f>
        <v>2018</v>
      </c>
      <c r="AL7" s="25">
        <f>SUM(AB26:AB29)/AVERAGE(AG26:AG29)</f>
        <v>-3.6935377871097748E-2</v>
      </c>
      <c r="AM7" s="4">
        <f>'Central scenario'!AM7</f>
        <v>20644316.2443057</v>
      </c>
      <c r="AN7" s="25">
        <f>AM6/AVERAGE(AG26:AG29)</f>
        <v>4.3106124509319508E-3</v>
      </c>
      <c r="AO7" s="25">
        <f>AVERAGE(AG26:AG29)/AVERAGE(AG22:AG25)-1</f>
        <v>-2.4817924445603157E-2</v>
      </c>
      <c r="AP7" s="4">
        <f>+ (((((((((((AP6*((1+AO7)^(1/12))-AM6/12)*((1+AO7)^(1/12))-AM6/12)*((1+AO7)^(1/12))-AM6/12)*((1+AO7)^(1/12))-AM6/12)*((1+AO7)^(1/12))-AM6/12)*((1+AO7)^(1/12))-AM6/12)*((1+AO7)^(1/12))-AM6/12)*((1+AO7)^(1/12))-AM6/12)*((1+AO7)^(1/12))-AM6/12)*((1+AO7)^(1/12))-AM6/12)*((1+AO7)^(1/12))-AM6/12)*((1+AO7)^(1/12))-AM6/12</f>
        <v>23205529.864986319</v>
      </c>
      <c r="AQ7" s="4">
        <f>'Central scenario'!AQ7</f>
        <v>552887150.95277083</v>
      </c>
      <c r="AR7" s="4">
        <f>'Central scenario'!AR7</f>
        <v>552887150.95277083</v>
      </c>
      <c r="AS7" s="27">
        <f>AQ7/AG29</f>
        <v>0.11139659179584536</v>
      </c>
      <c r="AT7" s="27">
        <f>AR7/AG29</f>
        <v>0.11139659179584536</v>
      </c>
      <c r="AV7" s="2">
        <v>11012334</v>
      </c>
      <c r="AX7" s="2">
        <f t="shared" si="4"/>
        <v>-1.3547721048140941E-2</v>
      </c>
      <c r="BI7" s="24">
        <f t="shared" ref="BI7:BI38" si="6">T14/AG14</f>
        <v>1.3950062446481393E-2</v>
      </c>
      <c r="BJ7" s="2">
        <f t="shared" ref="BJ7:BJ29" si="7">BJ6+1</f>
        <v>2018</v>
      </c>
      <c r="BK7" s="24">
        <f>SUM(T26:T29)/AVERAGE(AG26:AG29)</f>
        <v>5.9079514306964412E-2</v>
      </c>
      <c r="BL7" s="24">
        <f>SUM(P26:P29)/AVERAGE(AG26:AG29)</f>
        <v>1.7286901523416564E-2</v>
      </c>
      <c r="BM7" s="24">
        <f>SUM(D26:D29)/AVERAGE(AG26:AG29)</f>
        <v>7.8727990654645585E-2</v>
      </c>
      <c r="BN7" s="24">
        <f>(SUM(H26:H29)+SUM(J26:J29))/AVERAGE(AG26:AG29)</f>
        <v>9.5174673878325685E-4</v>
      </c>
      <c r="BO7" s="25">
        <f t="shared" si="2"/>
        <v>-3.7887124609881008E-2</v>
      </c>
      <c r="BP7" s="26">
        <f t="shared" si="3"/>
        <v>7.9679737393428846E-2</v>
      </c>
    </row>
    <row r="8" spans="1:68" x14ac:dyDescent="0.2">
      <c r="A8" s="2">
        <v>2015</v>
      </c>
      <c r="B8" s="2">
        <v>2</v>
      </c>
      <c r="C8" s="4">
        <v>94524704.7581871</v>
      </c>
      <c r="D8" s="4"/>
      <c r="E8" s="4">
        <v>17180984.028999999</v>
      </c>
      <c r="F8" s="4"/>
      <c r="G8" s="4"/>
      <c r="H8" s="4"/>
      <c r="I8" s="4"/>
      <c r="J8" s="22"/>
      <c r="K8" s="22">
        <v>2371185.1833000001</v>
      </c>
      <c r="L8" s="4"/>
      <c r="M8" s="4">
        <v>696491.069000002</v>
      </c>
      <c r="N8" s="22"/>
      <c r="O8" s="22">
        <v>16135978.221071601</v>
      </c>
      <c r="P8" s="22"/>
      <c r="Q8" s="4">
        <v>21552530.200959999</v>
      </c>
      <c r="R8" s="4"/>
      <c r="S8" s="4">
        <v>82407967.299702004</v>
      </c>
      <c r="T8" s="22"/>
      <c r="U8" s="22">
        <v>188439.08603999999</v>
      </c>
      <c r="V8" s="22"/>
      <c r="W8" s="22">
        <v>473304.60259085899</v>
      </c>
      <c r="X8" s="4"/>
      <c r="Y8" s="4">
        <f t="shared" si="0"/>
        <v>1492309.0056999996</v>
      </c>
      <c r="Z8" s="4"/>
      <c r="AA8" s="4">
        <f t="shared" si="1"/>
        <v>-28252715.679556698</v>
      </c>
      <c r="AB8" s="4"/>
      <c r="AC8" s="23"/>
      <c r="AD8" s="4"/>
      <c r="AE8" s="4"/>
      <c r="AF8" s="4"/>
      <c r="AG8" s="4"/>
      <c r="AH8" s="4"/>
      <c r="AI8" s="4"/>
      <c r="AJ8" s="24"/>
      <c r="AK8" s="20">
        <f t="shared" si="5"/>
        <v>2019</v>
      </c>
      <c r="AL8" s="25">
        <f>SUM(AB30:AB33)/AVERAGE(AG30:AG33)</f>
        <v>-3.7570961536689318E-2</v>
      </c>
      <c r="AM8" s="4">
        <f>'Central scenario'!AM8</f>
        <v>19740259.6575456</v>
      </c>
      <c r="AN8" s="25">
        <f>AM8/AVERAGE(AG30:AG33)</f>
        <v>3.9471949085116793E-3</v>
      </c>
      <c r="AO8" s="25">
        <f>AVERAGE(AG30:AG33)/AVERAGE(AG26:AG29)-1</f>
        <v>-3.1000000000000028E-2</v>
      </c>
      <c r="AP8" s="4">
        <f>((((AP7*((1+AO8)^(1/12))-AM8/12)*((1+AO8)^(1/12))-AM8/12)*((1+AO8)^(1/12))-AM8/12)*((1+AO8)^(1/12))-AM8/12)*((1+AO8)^(1/12))-AM8/12</f>
        <v>14720927.79023556</v>
      </c>
      <c r="AQ8" s="4">
        <f>'Central scenario'!AQ8</f>
        <v>417239344.62046146</v>
      </c>
      <c r="AR8" s="4">
        <f>'Central scenario'!AR8</f>
        <v>417239344.62046146</v>
      </c>
      <c r="AS8" s="27">
        <f>AQ8/AG33</f>
        <v>9.0958615995917563E-2</v>
      </c>
      <c r="AT8" s="27">
        <f>AR8/AG33</f>
        <v>9.0958615995917563E-2</v>
      </c>
      <c r="AV8" s="2">
        <v>11082939</v>
      </c>
      <c r="AX8" s="2">
        <f t="shared" si="4"/>
        <v>6.4114473825439729E-3</v>
      </c>
      <c r="BI8" s="24">
        <f t="shared" si="6"/>
        <v>1.4606680201068856E-2</v>
      </c>
      <c r="BJ8" s="2">
        <f t="shared" si="7"/>
        <v>2019</v>
      </c>
      <c r="BK8" s="24">
        <f>SUM(T30:T33)/AVERAGE(AG30:AG33)</f>
        <v>5.2390629704215423E-2</v>
      </c>
      <c r="BL8" s="24">
        <f>SUM(P30:P33)/AVERAGE(AG30:AG33)</f>
        <v>1.5791694643583473E-2</v>
      </c>
      <c r="BM8" s="24">
        <f>SUM(D30:D33)/AVERAGE(AG30:AG33)</f>
        <v>7.4169896597321261E-2</v>
      </c>
      <c r="BN8" s="24">
        <f>(SUM(H30:H33)+SUM(J30:J33))/AVERAGE(AG30:AG33)</f>
        <v>8.514694052801445E-4</v>
      </c>
      <c r="BO8" s="25">
        <f t="shared" si="2"/>
        <v>-3.8422430941969461E-2</v>
      </c>
      <c r="BP8" s="26">
        <f t="shared" si="3"/>
        <v>7.5021366002601411E-2</v>
      </c>
    </row>
    <row r="9" spans="1:68" x14ac:dyDescent="0.2">
      <c r="A9" s="2">
        <v>2016</v>
      </c>
      <c r="B9" s="2">
        <v>2</v>
      </c>
      <c r="C9" s="4">
        <v>97915025.902647793</v>
      </c>
      <c r="D9" s="4"/>
      <c r="E9" s="4">
        <v>17797214.875</v>
      </c>
      <c r="F9" s="4"/>
      <c r="G9" s="4"/>
      <c r="H9" s="4"/>
      <c r="I9" s="4"/>
      <c r="J9" s="22"/>
      <c r="K9" s="22"/>
      <c r="L9" s="4"/>
      <c r="M9" s="4">
        <v>732730.52299999795</v>
      </c>
      <c r="N9" s="22"/>
      <c r="O9" s="22"/>
      <c r="P9" s="22"/>
      <c r="Q9" s="4"/>
      <c r="R9" s="4"/>
      <c r="S9" s="4"/>
      <c r="T9" s="22"/>
      <c r="U9" s="22"/>
      <c r="V9" s="22"/>
      <c r="W9" s="22"/>
      <c r="X9" s="4"/>
      <c r="Y9" s="4"/>
      <c r="Z9" s="4"/>
      <c r="AA9" s="4"/>
      <c r="AB9" s="4"/>
      <c r="AC9" s="23"/>
      <c r="AD9" s="4"/>
      <c r="AE9" s="4"/>
      <c r="AF9" s="4"/>
      <c r="AG9" s="4"/>
      <c r="AH9" s="4"/>
      <c r="AI9" s="4"/>
      <c r="AJ9" s="24"/>
      <c r="AK9" s="20">
        <f t="shared" si="5"/>
        <v>2020</v>
      </c>
      <c r="AL9" s="25">
        <f>SUM(AB34:AB37)/AVERAGE(AG34:AG37)</f>
        <v>-3.2800543627865109E-2</v>
      </c>
      <c r="AM9" s="4">
        <f>'Central scenario'!AM9</f>
        <v>18862810.403066002</v>
      </c>
      <c r="AN9" s="25">
        <f>AM9/AVERAGE(AG34:AG37)</f>
        <v>3.7717431520584484E-3</v>
      </c>
      <c r="AO9" s="25">
        <f>AVERAGE(AG34:AG37)/AVERAGE(AG30:AG33)-1</f>
        <v>0</v>
      </c>
      <c r="AP9" s="25"/>
      <c r="AQ9" s="4">
        <f t="shared" ref="AQ9:AQ29" si="8">AQ8*(1+AO9)</f>
        <v>417239344.62046146</v>
      </c>
      <c r="AR9" s="4">
        <f t="shared" ref="AR9:AR29" si="9">(((((((((((AR8*((1+AO9)^(1/12))-AM9/12)*((1+AO9)^(1/12))-AM9/12)*((1+AO9)^(1/12))-AM9/12)*((1+AO9)^(1/12))-AM9/12)*((1+AO9)^(1/12))-AM9/12)*((1+AO9)^(1/12))-AM9/12)*((1+AO9)^(1/12))-AM9/12)*((1+AO9)^(1/12))-AM9/12)*((1+AO9)^(1/12))-AM9/12)*((1+AO9)^(1/12))-AM9/12)*((1+AO9)^(1/12))-AM9/12)*((1+AO9)^(1/12))-AM9/12</f>
        <v>398376534.21739578</v>
      </c>
      <c r="AS9" s="27">
        <f>AQ9/AG37</f>
        <v>7.9456909034175502E-2</v>
      </c>
      <c r="AT9" s="27">
        <f>AR9/AG37</f>
        <v>7.5864772698881797E-2</v>
      </c>
      <c r="AV9" s="2">
        <v>11339977</v>
      </c>
      <c r="AX9" s="2">
        <f t="shared" si="4"/>
        <v>2.3192223651145243E-2</v>
      </c>
      <c r="BI9" s="24">
        <f t="shared" si="6"/>
        <v>1.4690991414399638E-2</v>
      </c>
      <c r="BJ9" s="2">
        <f t="shared" si="7"/>
        <v>2020</v>
      </c>
      <c r="BK9" s="24">
        <f>SUM(T34:T37)/AVERAGE(AG34:AG37)</f>
        <v>5.7412816909800504E-2</v>
      </c>
      <c r="BL9" s="24">
        <f>SUM(P34:P37)/AVERAGE(AG34:AG37)</f>
        <v>1.4156354992300543E-2</v>
      </c>
      <c r="BM9" s="24">
        <f>SUM(D34:D37)/AVERAGE(AG34:AG37)</f>
        <v>7.605700554536507E-2</v>
      </c>
      <c r="BN9" s="24">
        <f>(SUM(H34:H37)+SUM(J34:J37))/AVERAGE(AG34:AG37)</f>
        <v>1.1053978327175168E-3</v>
      </c>
      <c r="BO9" s="25">
        <f t="shared" si="2"/>
        <v>-3.3905941460582623E-2</v>
      </c>
      <c r="BP9" s="26">
        <f t="shared" si="3"/>
        <v>7.7162403378082584E-2</v>
      </c>
    </row>
    <row r="10" spans="1:68" x14ac:dyDescent="0.2">
      <c r="A10" s="2">
        <v>2016</v>
      </c>
      <c r="B10" s="2">
        <v>3</v>
      </c>
      <c r="C10" s="4">
        <v>100917465.84456199</v>
      </c>
      <c r="D10" s="4"/>
      <c r="E10" s="4">
        <v>18342943.715</v>
      </c>
      <c r="F10" s="4"/>
      <c r="G10" s="4"/>
      <c r="H10" s="4"/>
      <c r="I10" s="4"/>
      <c r="J10" s="22"/>
      <c r="K10" s="22"/>
      <c r="L10" s="4"/>
      <c r="M10" s="4">
        <v>775294.91</v>
      </c>
      <c r="N10" s="22"/>
      <c r="O10" s="22"/>
      <c r="P10" s="22"/>
      <c r="Q10" s="4"/>
      <c r="R10" s="4"/>
      <c r="S10" s="4"/>
      <c r="T10" s="22"/>
      <c r="U10" s="4"/>
      <c r="V10" s="22"/>
      <c r="W10" s="22"/>
      <c r="X10" s="4"/>
      <c r="Y10" s="4"/>
      <c r="Z10" s="4"/>
      <c r="AA10" s="4"/>
      <c r="AB10" s="4"/>
      <c r="AC10" s="23"/>
      <c r="AD10" s="4"/>
      <c r="AE10" s="4"/>
      <c r="AF10" s="4"/>
      <c r="AG10" s="4"/>
      <c r="AH10" s="4"/>
      <c r="AI10" s="4"/>
      <c r="AJ10" s="24"/>
      <c r="AK10" s="20">
        <f t="shared" si="5"/>
        <v>2021</v>
      </c>
      <c r="AL10" s="25">
        <f>SUM(AB38:AB41)/AVERAGE(AG38:AG41)</f>
        <v>-2.8141138623761022E-2</v>
      </c>
      <c r="AM10" s="4">
        <f>'Central scenario'!AM10</f>
        <v>17835539.214349002</v>
      </c>
      <c r="AN10" s="25">
        <f>AM10/AVERAGE(AG38:AG41)</f>
        <v>3.3916253949734269E-3</v>
      </c>
      <c r="AO10" s="25">
        <f>AVERAGE(AG38:AG41)/AVERAGE(AG34:AG37)-1</f>
        <v>5.1511619932926855E-2</v>
      </c>
      <c r="AP10" s="25"/>
      <c r="AQ10" s="4">
        <f t="shared" si="8"/>
        <v>438732019.16161418</v>
      </c>
      <c r="AR10" s="4">
        <f t="shared" si="9"/>
        <v>400644746.31564665</v>
      </c>
      <c r="AS10" s="27">
        <f>AQ10/AG41</f>
        <v>8.3327333092251391E-2</v>
      </c>
      <c r="AT10" s="27">
        <f>AR10/AG41</f>
        <v>7.6093507585108938E-2</v>
      </c>
      <c r="AV10" s="2">
        <v>11479064</v>
      </c>
      <c r="AX10" s="2">
        <f t="shared" si="4"/>
        <v>1.2265192424993455E-2</v>
      </c>
      <c r="BI10" s="24">
        <f t="shared" si="6"/>
        <v>1.7589639488849236E-2</v>
      </c>
      <c r="BJ10" s="2">
        <f t="shared" si="7"/>
        <v>2021</v>
      </c>
      <c r="BK10" s="24">
        <f>SUM(T38:T41)/AVERAGE(AG38:AG41)</f>
        <v>6.1834992116988174E-2</v>
      </c>
      <c r="BL10" s="24">
        <f>SUM(P38:P41)/AVERAGE(AG38:AG41)</f>
        <v>1.354617031763047E-2</v>
      </c>
      <c r="BM10" s="24">
        <f>SUM(D38:D41)/AVERAGE(AG38:AG41)</f>
        <v>7.6429960423118726E-2</v>
      </c>
      <c r="BN10" s="24">
        <f>(SUM(H38:H41)+SUM(J38:J41))/AVERAGE(AG38:AG41)</f>
        <v>1.5568553483792278E-3</v>
      </c>
      <c r="BO10" s="25">
        <f t="shared" si="2"/>
        <v>-2.9697993972140249E-2</v>
      </c>
      <c r="BP10" s="26">
        <f t="shared" si="3"/>
        <v>7.798681577149795E-2</v>
      </c>
    </row>
    <row r="11" spans="1:68" x14ac:dyDescent="0.2">
      <c r="A11" s="2">
        <v>2016</v>
      </c>
      <c r="B11" s="2">
        <v>4</v>
      </c>
      <c r="C11" s="4">
        <v>108710229.285033</v>
      </c>
      <c r="D11" s="4"/>
      <c r="E11" s="4">
        <v>19759371.113000002</v>
      </c>
      <c r="F11" s="4"/>
      <c r="G11" s="4"/>
      <c r="H11" s="4"/>
      <c r="I11" s="4"/>
      <c r="J11" s="22"/>
      <c r="K11" s="22"/>
      <c r="L11" s="4"/>
      <c r="M11" s="4">
        <v>832906.25299999898</v>
      </c>
      <c r="N11" s="22"/>
      <c r="O11" s="22"/>
      <c r="P11" s="4"/>
      <c r="Q11" s="4"/>
      <c r="R11" s="4"/>
      <c r="S11" s="4"/>
      <c r="T11" s="22"/>
      <c r="U11" s="22"/>
      <c r="V11" s="22"/>
      <c r="W11" s="22"/>
      <c r="X11" s="4"/>
      <c r="Y11" s="4"/>
      <c r="Z11" s="4"/>
      <c r="AA11" s="4"/>
      <c r="AB11" s="4"/>
      <c r="AC11" s="23"/>
      <c r="AD11" s="4"/>
      <c r="AE11" s="4"/>
      <c r="AF11" s="4"/>
      <c r="AG11" s="4"/>
      <c r="AH11" s="4"/>
      <c r="AI11" s="4"/>
      <c r="AJ11" s="24"/>
      <c r="AK11" s="20">
        <f t="shared" si="5"/>
        <v>2022</v>
      </c>
      <c r="AL11" s="25">
        <f>SUM(AB42:AB45)/AVERAGE(AG42:AG45)</f>
        <v>-2.7758031888344064E-2</v>
      </c>
      <c r="AM11" s="4">
        <f>'Central scenario'!AM11</f>
        <v>16827143.601502299</v>
      </c>
      <c r="AN11" s="25">
        <f>AM11/AVERAGE(AG42:AG45)</f>
        <v>3.1006346044656695E-3</v>
      </c>
      <c r="AO11" s="25">
        <f>AVERAGE(AG42:AG45)/AVERAGE(AG38:AG41)-1</f>
        <v>3.2004155474480989E-2</v>
      </c>
      <c r="AP11" s="25"/>
      <c r="AQ11" s="4">
        <f t="shared" si="8"/>
        <v>452773266.91449547</v>
      </c>
      <c r="AR11" s="4">
        <f t="shared" si="9"/>
        <v>396394473.25342941</v>
      </c>
      <c r="AS11" s="27">
        <f>AQ11/AG45</f>
        <v>8.1716469272061498E-2</v>
      </c>
      <c r="AT11" s="27">
        <f>AR11/AG45</f>
        <v>7.1541230810665268E-2</v>
      </c>
      <c r="AV11" s="2">
        <v>11462881</v>
      </c>
      <c r="AX11" s="2">
        <f t="shared" si="4"/>
        <v>-1.4097839336029488E-3</v>
      </c>
      <c r="BI11" s="24">
        <f t="shared" si="6"/>
        <v>1.4872835347450975E-2</v>
      </c>
      <c r="BJ11" s="2">
        <f t="shared" si="7"/>
        <v>2022</v>
      </c>
      <c r="BK11" s="24">
        <f>SUM(T42:T45)/AVERAGE(AG42:AG45)</f>
        <v>6.4425321924785173E-2</v>
      </c>
      <c r="BL11" s="24">
        <f>SUM(P42:P45)/AVERAGE(AG42:AG45)</f>
        <v>1.3691025229088398E-2</v>
      </c>
      <c r="BM11" s="24">
        <f>SUM(D42:D45)/AVERAGE(AG42:AG45)</f>
        <v>7.8492328584040844E-2</v>
      </c>
      <c r="BN11" s="24">
        <f>(SUM(H42:H45)+SUM(J42:J45))/AVERAGE(AG42:AG45)</f>
        <v>1.9826457578458771E-3</v>
      </c>
      <c r="BO11" s="25">
        <f t="shared" si="2"/>
        <v>-2.9740677646189942E-2</v>
      </c>
      <c r="BP11" s="26">
        <f t="shared" si="3"/>
        <v>8.0474974341886718E-2</v>
      </c>
    </row>
    <row r="12" spans="1:68" ht="11.45" customHeight="1" x14ac:dyDescent="0.2">
      <c r="A12" s="2">
        <v>2017</v>
      </c>
      <c r="B12" s="2">
        <v>1</v>
      </c>
      <c r="C12" s="4">
        <v>106787377.90249901</v>
      </c>
      <c r="D12" s="4"/>
      <c r="E12" s="4">
        <v>19409869.568</v>
      </c>
      <c r="F12" s="4"/>
      <c r="G12" s="4"/>
      <c r="H12" s="4"/>
      <c r="I12" s="4"/>
      <c r="J12" s="22"/>
      <c r="K12" s="22"/>
      <c r="L12" s="4"/>
      <c r="M12" s="4">
        <v>832988.16000000003</v>
      </c>
      <c r="N12" s="22"/>
      <c r="O12" s="22"/>
      <c r="P12" s="22"/>
      <c r="Q12" s="4"/>
      <c r="R12" s="4"/>
      <c r="S12" s="4"/>
      <c r="T12" s="22"/>
      <c r="U12" s="22"/>
      <c r="V12" s="22"/>
      <c r="W12" s="22"/>
      <c r="X12" s="4"/>
      <c r="Y12" s="4"/>
      <c r="Z12" s="4"/>
      <c r="AA12" s="4"/>
      <c r="AB12" s="4"/>
      <c r="AC12" s="23"/>
      <c r="AD12" s="4"/>
      <c r="AE12" s="4"/>
      <c r="AF12" s="4"/>
      <c r="AG12" s="4"/>
      <c r="AH12" s="4"/>
      <c r="AI12" s="4"/>
      <c r="AJ12" s="24"/>
      <c r="AK12" s="20">
        <f t="shared" si="5"/>
        <v>2023</v>
      </c>
      <c r="AL12" s="25">
        <f>SUM(AB46:AB49)/AVERAGE(AG46:AG49)</f>
        <v>-2.7158206306906803E-2</v>
      </c>
      <c r="AM12" s="4">
        <f>'Central scenario'!AM12</f>
        <v>15842663.688178601</v>
      </c>
      <c r="AN12" s="25">
        <f>AM12/AVERAGE(AG46:AG49)</f>
        <v>2.7804562940151245E-3</v>
      </c>
      <c r="AO12" s="25">
        <f>AVERAGE(AG46:AG49)/AVERAGE(AG42:AG45)-1</f>
        <v>4.991059625128047E-2</v>
      </c>
      <c r="AP12" s="25"/>
      <c r="AQ12" s="4">
        <f t="shared" si="8"/>
        <v>475371450.63283807</v>
      </c>
      <c r="AR12" s="4">
        <f t="shared" si="9"/>
        <v>399976869.12242335</v>
      </c>
      <c r="AS12" s="27">
        <f>AQ12/AG49</f>
        <v>8.1878270895658731E-2</v>
      </c>
      <c r="AT12" s="27">
        <f>AR12/AG49</f>
        <v>6.8892261826842077E-2</v>
      </c>
      <c r="AV12" s="2">
        <v>11332510</v>
      </c>
      <c r="AX12" s="2">
        <f t="shared" si="4"/>
        <v>-1.1373318801791626E-2</v>
      </c>
      <c r="BI12" s="24">
        <f t="shared" si="6"/>
        <v>1.5115945785946331E-2</v>
      </c>
      <c r="BJ12" s="2">
        <f t="shared" si="7"/>
        <v>2023</v>
      </c>
      <c r="BK12" s="24">
        <f>SUM(T46:T49)/AVERAGE(AG46:AG49)</f>
        <v>6.4583087304182954E-2</v>
      </c>
      <c r="BL12" s="24">
        <f>SUM(P46:P49)/AVERAGE(AG46:AG49)</f>
        <v>1.3470777719697024E-2</v>
      </c>
      <c r="BM12" s="24">
        <f>SUM(D46:D49)/AVERAGE(AG46:AG49)</f>
        <v>7.827051589139275E-2</v>
      </c>
      <c r="BN12" s="24">
        <f>(SUM(H46:H49)+SUM(J46:J49))/AVERAGE(AG46:AG49)</f>
        <v>2.1981821951659259E-3</v>
      </c>
      <c r="BO12" s="25">
        <f t="shared" si="2"/>
        <v>-2.9356388502072728E-2</v>
      </c>
      <c r="BP12" s="26">
        <f t="shared" si="3"/>
        <v>8.0468698086558682E-2</v>
      </c>
    </row>
    <row r="13" spans="1:68" x14ac:dyDescent="0.2">
      <c r="C13" s="30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30"/>
      <c r="P13" s="13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1"/>
      <c r="AD13" s="13"/>
      <c r="AE13" s="13"/>
      <c r="AF13" s="13"/>
      <c r="AG13" s="13"/>
      <c r="AH13" s="13"/>
      <c r="AI13" s="13"/>
      <c r="AJ13" s="26"/>
      <c r="AK13" s="32">
        <f t="shared" si="5"/>
        <v>2024</v>
      </c>
      <c r="AL13" s="33">
        <f>SUM(AB50:AB53)/AVERAGE(AG50:AG53)</f>
        <v>-2.5425116287734615E-2</v>
      </c>
      <c r="AM13" s="13">
        <f>'Central scenario'!AM13</f>
        <v>14900507.1403892</v>
      </c>
      <c r="AN13" s="33">
        <f>AM13/AVERAGE(AG50:AG53)</f>
        <v>2.5143084756023676E-3</v>
      </c>
      <c r="AO13" s="33">
        <f>'GDP evolution by scenario'!M49</f>
        <v>4.0088657677133765E-2</v>
      </c>
      <c r="AP13" s="33"/>
      <c r="AQ13" s="13">
        <f t="shared" si="8"/>
        <v>494428453.98674041</v>
      </c>
      <c r="AR13" s="13">
        <f t="shared" si="9"/>
        <v>400839059.2757501</v>
      </c>
      <c r="AS13" s="34">
        <f>AQ13/AG53</f>
        <v>8.2218296921257691E-2</v>
      </c>
      <c r="AT13" s="34">
        <f>AR13/AG53</f>
        <v>6.6655356356280934E-2</v>
      </c>
      <c r="BI13" s="26">
        <f t="shared" si="6"/>
        <v>1.4439131912977226E-2</v>
      </c>
      <c r="BJ13">
        <f t="shared" si="7"/>
        <v>2024</v>
      </c>
      <c r="BK13" s="26">
        <f>SUM(T50:T53)/AVERAGE(AG50:AG53)</f>
        <v>6.5915913684972322E-2</v>
      </c>
      <c r="BL13" s="26">
        <f>SUM(P50:P53)/AVERAGE(AG50:AG53)</f>
        <v>1.3236296842267488E-2</v>
      </c>
      <c r="BM13" s="26">
        <f>SUM(D50:D53)/AVERAGE(AG50:AG53)</f>
        <v>7.8104733130439447E-2</v>
      </c>
      <c r="BN13" s="26">
        <f>(SUM(H50:H53)+SUM(J50:J53))/AVERAGE(AG50:AG53)</f>
        <v>2.5058111420127888E-3</v>
      </c>
      <c r="BO13" s="33">
        <f t="shared" si="2"/>
        <v>-2.7930927429747406E-2</v>
      </c>
      <c r="BP13" s="26">
        <f t="shared" si="3"/>
        <v>8.0610544272452234E-2</v>
      </c>
    </row>
    <row r="14" spans="1:68" x14ac:dyDescent="0.2">
      <c r="A14" s="5">
        <v>2015</v>
      </c>
      <c r="B14" s="5">
        <v>1</v>
      </c>
      <c r="C14" s="6"/>
      <c r="D14" s="55">
        <f>'High pensions'!Q14</f>
        <v>93656358.855065987</v>
      </c>
      <c r="E14" s="38"/>
      <c r="F14" s="55">
        <f>'High pensions'!I14</f>
        <v>17023151.853301901</v>
      </c>
      <c r="G14" s="8">
        <f>'High pensions'!K14</f>
        <v>0</v>
      </c>
      <c r="H14" s="8">
        <f>'High pensions'!V14</f>
        <v>0</v>
      </c>
      <c r="I14" s="8">
        <f>'High pensions'!M14</f>
        <v>0</v>
      </c>
      <c r="J14" s="6">
        <f>'High pensions'!W14</f>
        <v>0</v>
      </c>
      <c r="K14" s="6"/>
      <c r="L14" s="55">
        <f>'High pensions'!N14</f>
        <v>2735454.9936135854</v>
      </c>
      <c r="M14" s="8"/>
      <c r="N14" s="55">
        <f>'High pensions'!L14</f>
        <v>691939.44381959736</v>
      </c>
      <c r="O14" s="6"/>
      <c r="P14" s="55">
        <f>'High pensions'!X14</f>
        <v>18001135.63042083</v>
      </c>
      <c r="Q14" s="8"/>
      <c r="R14" s="55">
        <f>'High SIPA income'!G9</f>
        <v>17909252.133221857</v>
      </c>
      <c r="S14" s="8"/>
      <c r="T14" s="55">
        <f>'High SIPA income'!J9</f>
        <v>68477577.756701887</v>
      </c>
      <c r="U14" s="6"/>
      <c r="V14" s="55">
        <f>'High SIPA income'!F9</f>
        <v>135449.214417351</v>
      </c>
      <c r="W14" s="8"/>
      <c r="X14" s="55">
        <f>'High SIPA income'!M9</f>
        <v>340209.37552427547</v>
      </c>
      <c r="Y14" s="6"/>
      <c r="Z14" s="6">
        <f t="shared" ref="Z14:Z45" si="10">R14+V14-N14-L14-F14</f>
        <v>-2405844.9430958778</v>
      </c>
      <c r="AA14" s="6"/>
      <c r="AB14" s="6">
        <f t="shared" ref="AB14:AB45" si="11">T14-P14-D14</f>
        <v>-43179916.728784934</v>
      </c>
      <c r="AC14" s="23"/>
      <c r="AD14" s="6">
        <f>'Central scenario'!AD14</f>
        <v>5092693740.32864</v>
      </c>
      <c r="AE14" s="6">
        <f>'Central scenario'!AE14</f>
        <v>672749.81139169901</v>
      </c>
      <c r="AF14" s="6">
        <f>'Central scenario'!AF14</f>
        <v>103.09103866</v>
      </c>
      <c r="AG14" s="6">
        <f>'Central scenario'!AG14</f>
        <v>4908764962.1220083</v>
      </c>
      <c r="AH14" s="6"/>
      <c r="AI14" s="6"/>
      <c r="AJ14" s="35">
        <f t="shared" ref="AJ14:AJ45" si="12">AB14/AG14</f>
        <v>-8.796493020541505E-3</v>
      </c>
      <c r="AK14" s="36">
        <f t="shared" si="5"/>
        <v>2025</v>
      </c>
      <c r="AL14" s="37">
        <f>SUM(AB54:AB57)/AVERAGE(AG54:AG57)</f>
        <v>-2.2906259960261351E-2</v>
      </c>
      <c r="AM14" s="6">
        <f>'Central scenario'!AM14</f>
        <v>13946867.9480024</v>
      </c>
      <c r="AN14" s="37">
        <f>AM14/AVERAGE(AG54:AG57)</f>
        <v>2.2610912837074484E-3</v>
      </c>
      <c r="AO14" s="37">
        <f>'GDP evolution by scenario'!M53</f>
        <v>4.0821135170938883E-2</v>
      </c>
      <c r="AP14" s="37"/>
      <c r="AQ14" s="6">
        <f t="shared" si="8"/>
        <v>514611584.73929149</v>
      </c>
      <c r="AR14" s="6">
        <f t="shared" si="9"/>
        <v>402995840.21105707</v>
      </c>
      <c r="AS14" s="38">
        <f>AQ14/AG57</f>
        <v>8.2034453662018419E-2</v>
      </c>
      <c r="AT14" s="38">
        <f>AR14/AG57</f>
        <v>6.4241739906668649E-2</v>
      </c>
      <c r="AU14" s="5"/>
      <c r="AV14" s="5"/>
      <c r="AW14" s="5">
        <f>workers_and_wage_high!C2</f>
        <v>10914398</v>
      </c>
      <c r="AX14" s="5"/>
      <c r="AY14" s="35">
        <f>(AW14-AV6)/AV6</f>
        <v>-2.2320537999699918E-2</v>
      </c>
      <c r="AZ14" s="11">
        <f>workers_and_wage_high!B2</f>
        <v>6414.7890469953099</v>
      </c>
      <c r="BA14" s="5"/>
      <c r="BB14" s="5"/>
      <c r="BC14" s="5"/>
      <c r="BD14" s="5"/>
      <c r="BE14" s="5"/>
      <c r="BF14" s="5"/>
      <c r="BG14" s="5"/>
      <c r="BH14" s="5"/>
      <c r="BI14" s="35">
        <f t="shared" si="6"/>
        <v>1.6985074578638841E-2</v>
      </c>
      <c r="BJ14" s="5">
        <f t="shared" si="7"/>
        <v>2025</v>
      </c>
      <c r="BK14" s="35">
        <f>SUM(T54:T57)/AVERAGE(AG54:AG57)</f>
        <v>6.7756043664628743E-2</v>
      </c>
      <c r="BL14" s="35">
        <f>SUM(P54:P57)/AVERAGE(AG54:AG57)</f>
        <v>1.2914712370353389E-2</v>
      </c>
      <c r="BM14" s="35">
        <f>SUM(D54:D57)/AVERAGE(AG54:AG57)</f>
        <v>7.7747591254536702E-2</v>
      </c>
      <c r="BN14" s="35">
        <f>(SUM(H54:H57)+SUM(J54:J57))/AVERAGE(AG54:AG57)</f>
        <v>3.3594637844514301E-3</v>
      </c>
      <c r="BO14" s="37">
        <f t="shared" si="2"/>
        <v>-2.6265723744712782E-2</v>
      </c>
      <c r="BP14" s="26">
        <f t="shared" si="3"/>
        <v>8.110705503898813E-2</v>
      </c>
    </row>
    <row r="15" spans="1:68" x14ac:dyDescent="0.2">
      <c r="A15" s="7">
        <v>2015</v>
      </c>
      <c r="B15" s="7">
        <v>2</v>
      </c>
      <c r="C15" s="9"/>
      <c r="D15" s="56">
        <f>'High pensions'!Q15</f>
        <v>107958694.75927833</v>
      </c>
      <c r="E15" s="9"/>
      <c r="F15" s="56">
        <f>'High pensions'!I15</f>
        <v>19622770.703860801</v>
      </c>
      <c r="G15" s="41">
        <f>'High pensions'!K15</f>
        <v>0</v>
      </c>
      <c r="H15" s="41">
        <f>'High pensions'!V15</f>
        <v>0</v>
      </c>
      <c r="I15" s="41">
        <f>'High pensions'!M15</f>
        <v>0</v>
      </c>
      <c r="J15" s="9">
        <f>'High pensions'!W15</f>
        <v>0</v>
      </c>
      <c r="K15" s="9"/>
      <c r="L15" s="56">
        <f>'High pensions'!N15</f>
        <v>2478245.9090260332</v>
      </c>
      <c r="M15" s="41"/>
      <c r="N15" s="56">
        <f>'High pensions'!L15</f>
        <v>799976.43123659864</v>
      </c>
      <c r="O15" s="9"/>
      <c r="P15" s="56">
        <f>'High pensions'!X15</f>
        <v>17260864.096479163</v>
      </c>
      <c r="Q15" s="41"/>
      <c r="R15" s="56">
        <f>'High SIPA income'!G10</f>
        <v>22054908.230723552</v>
      </c>
      <c r="S15" s="41"/>
      <c r="T15" s="56">
        <f>'High SIPA income'!J10</f>
        <v>84328853.156561211</v>
      </c>
      <c r="U15" s="9"/>
      <c r="V15" s="56">
        <f>'High SIPA income'!F10</f>
        <v>151084.142402353</v>
      </c>
      <c r="W15" s="41"/>
      <c r="X15" s="56">
        <f>'High SIPA income'!M10</f>
        <v>379479.80694778298</v>
      </c>
      <c r="Y15" s="9"/>
      <c r="Z15" s="9">
        <f t="shared" si="10"/>
        <v>-695000.6709975265</v>
      </c>
      <c r="AA15" s="9"/>
      <c r="AB15" s="9">
        <f t="shared" si="11"/>
        <v>-40890705.699196279</v>
      </c>
      <c r="AC15" s="23"/>
      <c r="AD15" s="9">
        <f>'Central scenario'!AD15</f>
        <v>5951478855.3666</v>
      </c>
      <c r="AE15" s="9">
        <f>'Central scenario'!AE15</f>
        <v>791235.96554166998</v>
      </c>
      <c r="AF15" s="9">
        <f>'Central scenario'!AF15</f>
        <v>106.73436665</v>
      </c>
      <c r="AG15" s="9">
        <f>'Central scenario'!AG15</f>
        <v>5773307281.0336723</v>
      </c>
      <c r="AH15" s="9"/>
      <c r="AI15" s="9"/>
      <c r="AJ15" s="42">
        <f t="shared" si="12"/>
        <v>-7.0827177055912864E-3</v>
      </c>
      <c r="AK15" s="43">
        <f t="shared" si="5"/>
        <v>2026</v>
      </c>
      <c r="AL15" s="44">
        <f>SUM(AB58:AB61)/AVERAGE(AG58:AG61)</f>
        <v>-2.0476877959928735E-2</v>
      </c>
      <c r="AM15" s="9">
        <f>'Central scenario'!AM15</f>
        <v>13032040.928831499</v>
      </c>
      <c r="AN15" s="44">
        <f>AM15/AVERAGE(AG58:AG61)</f>
        <v>2.0328062168177763E-3</v>
      </c>
      <c r="AO15" s="44">
        <f>'GDP evolution by scenario'!M57</f>
        <v>3.9340526719939595E-2</v>
      </c>
      <c r="AP15" s="44"/>
      <c r="AQ15" s="9">
        <f t="shared" si="8"/>
        <v>534856675.53911805</v>
      </c>
      <c r="AR15" s="9">
        <f t="shared" si="9"/>
        <v>405584523.27213138</v>
      </c>
      <c r="AS15" s="45">
        <f>AQ15/AG61</f>
        <v>8.2261546031631924E-2</v>
      </c>
      <c r="AT15" s="45">
        <f>AR15/AG61</f>
        <v>6.2379346573992168E-2</v>
      </c>
      <c r="AU15" s="7"/>
      <c r="AV15" s="7"/>
      <c r="AW15" s="7">
        <f>workers_and_wage_high!C3</f>
        <v>11021763</v>
      </c>
      <c r="AX15" s="7"/>
      <c r="AY15" s="42">
        <f t="shared" ref="AY15:AY46" si="13">(AW15-AW14)/AW14</f>
        <v>9.8370061271359169E-3</v>
      </c>
      <c r="AZ15" s="12">
        <f>workers_and_wage_high!B3</f>
        <v>6778.9022518415804</v>
      </c>
      <c r="BA15" s="42">
        <f t="shared" ref="BA15:BA46" si="14">(AZ15-AZ14)/AZ14</f>
        <v>5.6761524374183636E-2</v>
      </c>
      <c r="BB15" s="42"/>
      <c r="BC15" s="42"/>
      <c r="BD15" s="42"/>
      <c r="BE15" s="42"/>
      <c r="BF15" s="7"/>
      <c r="BG15" s="7"/>
      <c r="BH15" s="7"/>
      <c r="BI15" s="42">
        <f t="shared" si="6"/>
        <v>1.4982112032120428E-2</v>
      </c>
      <c r="BJ15" s="7">
        <f t="shared" si="7"/>
        <v>2026</v>
      </c>
      <c r="BK15" s="42">
        <f>SUM(T58:T61)/AVERAGE(AG58:AG61)</f>
        <v>6.8356090278709272E-2</v>
      </c>
      <c r="BL15" s="42">
        <f>SUM(P58:P61)/AVERAGE(AG58:AG61)</f>
        <v>1.2387639066974569E-2</v>
      </c>
      <c r="BM15" s="42">
        <f>SUM(D58:D61)/AVERAGE(AG58:AG61)</f>
        <v>7.644532917166344E-2</v>
      </c>
      <c r="BN15" s="42">
        <f>(SUM(H58:H61)+SUM(J58:J61))/AVERAGE(AG58:AG61)</f>
        <v>4.37219298793685E-3</v>
      </c>
      <c r="BO15" s="44">
        <f t="shared" si="2"/>
        <v>-2.4849070947865586E-2</v>
      </c>
      <c r="BP15" s="26">
        <f t="shared" si="3"/>
        <v>8.0817522159600294E-2</v>
      </c>
    </row>
    <row r="16" spans="1:68" x14ac:dyDescent="0.2">
      <c r="A16" s="7">
        <v>2015</v>
      </c>
      <c r="B16" s="7">
        <v>3</v>
      </c>
      <c r="C16" s="9"/>
      <c r="D16" s="56">
        <f>'High pensions'!Q16</f>
        <v>104676876.04430105</v>
      </c>
      <c r="E16" s="9"/>
      <c r="F16" s="56">
        <f>'High pensions'!I16</f>
        <v>19026261.304787099</v>
      </c>
      <c r="G16" s="41">
        <f>'High pensions'!K16</f>
        <v>0</v>
      </c>
      <c r="H16" s="41">
        <f>'High pensions'!V16</f>
        <v>0</v>
      </c>
      <c r="I16" s="41">
        <f>'High pensions'!M16</f>
        <v>0</v>
      </c>
      <c r="J16" s="9">
        <f>'High pensions'!W16</f>
        <v>0</v>
      </c>
      <c r="K16" s="9"/>
      <c r="L16" s="56">
        <f>'High pensions'!N16</f>
        <v>2919136.7623483003</v>
      </c>
      <c r="M16" s="41"/>
      <c r="N16" s="56">
        <f>'High pensions'!L16</f>
        <v>777485.53169219941</v>
      </c>
      <c r="O16" s="9"/>
      <c r="P16" s="56">
        <f>'High pensions'!X16</f>
        <v>19424910.536870245</v>
      </c>
      <c r="Q16" s="41"/>
      <c r="R16" s="56">
        <f>'High SIPA income'!G11</f>
        <v>20136934.541383266</v>
      </c>
      <c r="S16" s="41"/>
      <c r="T16" s="56">
        <f>'High SIPA income'!J11</f>
        <v>76995314.521328419</v>
      </c>
      <c r="U16" s="9"/>
      <c r="V16" s="56">
        <f>'High SIPA income'!F11</f>
        <v>149343.027816335</v>
      </c>
      <c r="W16" s="41"/>
      <c r="X16" s="56">
        <f>'High SIPA income'!M11</f>
        <v>375106.62908496987</v>
      </c>
      <c r="Y16" s="9"/>
      <c r="Z16" s="9">
        <f t="shared" si="10"/>
        <v>-2436606.0296279956</v>
      </c>
      <c r="AA16" s="9"/>
      <c r="AB16" s="9">
        <f t="shared" si="11"/>
        <v>-47106472.05984287</v>
      </c>
      <c r="AC16" s="23"/>
      <c r="AD16" s="9">
        <f>'Central scenario'!AD16</f>
        <v>6221730755.7715998</v>
      </c>
      <c r="AE16" s="9">
        <f>'Central scenario'!AE16</f>
        <v>718281.26544978202</v>
      </c>
      <c r="AF16" s="9">
        <f>'Central scenario'!AF16</f>
        <v>110.48458934999999</v>
      </c>
      <c r="AG16" s="9">
        <f>'Central scenario'!AG16</f>
        <v>5240988327.4358244</v>
      </c>
      <c r="AH16" s="9"/>
      <c r="AI16" s="9"/>
      <c r="AJ16" s="42">
        <f t="shared" si="12"/>
        <v>-8.9880894817580929E-3</v>
      </c>
      <c r="AK16" s="43">
        <f t="shared" si="5"/>
        <v>2027</v>
      </c>
      <c r="AL16" s="44">
        <f>SUM(AB62:AB65)/AVERAGE(AG62:AG65)</f>
        <v>-1.7694430143396885E-2</v>
      </c>
      <c r="AM16" s="9">
        <f>'Central scenario'!AM16</f>
        <v>12139889.4651339</v>
      </c>
      <c r="AN16" s="44">
        <f>AM16/AVERAGE(AG62:AG65)</f>
        <v>1.8236857495627641E-3</v>
      </c>
      <c r="AO16" s="44">
        <f>'GDP evolution by scenario'!M61</f>
        <v>3.8360772647614505E-2</v>
      </c>
      <c r="AP16" s="44"/>
      <c r="AQ16" s="9">
        <f t="shared" si="8"/>
        <v>555374190.86853313</v>
      </c>
      <c r="AR16" s="9">
        <f t="shared" si="9"/>
        <v>408791176.38456488</v>
      </c>
      <c r="AS16" s="45">
        <f>AQ16/AG65</f>
        <v>8.215739912609725E-2</v>
      </c>
      <c r="AT16" s="45">
        <f>AR16/AG65</f>
        <v>6.0473137552414159E-2</v>
      </c>
      <c r="AU16" s="7"/>
      <c r="AV16" s="7"/>
      <c r="AW16" s="7">
        <f>workers_and_wage_high!C4</f>
        <v>11059493</v>
      </c>
      <c r="AX16" s="7"/>
      <c r="AY16" s="42">
        <f t="shared" si="13"/>
        <v>3.4232273003874246E-3</v>
      </c>
      <c r="AZ16" s="12">
        <f>workers_and_wage_high!B4</f>
        <v>7092.0210021706398</v>
      </c>
      <c r="BA16" s="42">
        <f t="shared" si="14"/>
        <v>4.6190185179908208E-2</v>
      </c>
      <c r="BB16" s="42"/>
      <c r="BC16" s="42"/>
      <c r="BD16" s="42"/>
      <c r="BE16" s="42"/>
      <c r="BF16" s="7"/>
      <c r="BG16" s="7"/>
      <c r="BH16" s="7"/>
      <c r="BI16" s="42">
        <f t="shared" si="6"/>
        <v>1.5692783571768548E-2</v>
      </c>
      <c r="BJ16" s="7">
        <f t="shared" si="7"/>
        <v>2027</v>
      </c>
      <c r="BK16" s="42">
        <f>SUM(T62:T65)/AVERAGE(AG62:AG65)</f>
        <v>6.8771742345103817E-2</v>
      </c>
      <c r="BL16" s="42">
        <f>SUM(P62:P65)/AVERAGE(AG62:AG65)</f>
        <v>1.1816772316458338E-2</v>
      </c>
      <c r="BM16" s="42">
        <f>SUM(D62:D65)/AVERAGE(AG62:AG65)</f>
        <v>7.4649400172042343E-2</v>
      </c>
      <c r="BN16" s="42">
        <f>(SUM(H62:H65)+SUM(J62:J65))/AVERAGE(AG62:AG65)</f>
        <v>4.9318355398587626E-3</v>
      </c>
      <c r="BO16" s="44">
        <f t="shared" si="2"/>
        <v>-2.2626265683255646E-2</v>
      </c>
      <c r="BP16" s="26">
        <f t="shared" si="3"/>
        <v>7.9581235711901108E-2</v>
      </c>
    </row>
    <row r="17" spans="1:68" x14ac:dyDescent="0.2">
      <c r="A17" s="7">
        <v>2015</v>
      </c>
      <c r="B17" s="7">
        <v>4</v>
      </c>
      <c r="C17" s="9"/>
      <c r="D17" s="56">
        <f>'High pensions'!Q17</f>
        <v>113223147.98628069</v>
      </c>
      <c r="E17" s="9"/>
      <c r="F17" s="56">
        <f>'High pensions'!I17</f>
        <v>20579647.3943859</v>
      </c>
      <c r="G17" s="41">
        <f>'High pensions'!K17</f>
        <v>0</v>
      </c>
      <c r="H17" s="41">
        <f>'High pensions'!V17</f>
        <v>0</v>
      </c>
      <c r="I17" s="41">
        <f>'High pensions'!M17</f>
        <v>0</v>
      </c>
      <c r="J17" s="9">
        <f>'High pensions'!W17</f>
        <v>0</v>
      </c>
      <c r="K17" s="9"/>
      <c r="L17" s="56">
        <f>'High pensions'!N17</f>
        <v>2757062.569891395</v>
      </c>
      <c r="M17" s="41"/>
      <c r="N17" s="56">
        <f>'High pensions'!L17</f>
        <v>842157.00066279992</v>
      </c>
      <c r="O17" s="9"/>
      <c r="P17" s="56">
        <f>'High pensions'!X17</f>
        <v>18939710.122851133</v>
      </c>
      <c r="Q17" s="41"/>
      <c r="R17" s="56">
        <f>'High SIPA income'!G12</f>
        <v>23620050.041899353</v>
      </c>
      <c r="S17" s="41"/>
      <c r="T17" s="56">
        <f>'High SIPA income'!J12</f>
        <v>90313308.525093392</v>
      </c>
      <c r="U17" s="9"/>
      <c r="V17" s="56">
        <f>'High SIPA income'!F12</f>
        <v>146563.952510206</v>
      </c>
      <c r="W17" s="41"/>
      <c r="X17" s="56">
        <f>'High SIPA income'!M12</f>
        <v>368126.39314561716</v>
      </c>
      <c r="Y17" s="9"/>
      <c r="Z17" s="9">
        <f t="shared" si="10"/>
        <v>-412252.97053053603</v>
      </c>
      <c r="AA17" s="9"/>
      <c r="AB17" s="9">
        <f t="shared" si="11"/>
        <v>-41849549.584038436</v>
      </c>
      <c r="AC17" s="23"/>
      <c r="AD17" s="9">
        <f>'Central scenario'!AD17</f>
        <v>6552140231.3025303</v>
      </c>
      <c r="AE17" s="9">
        <f>'Central scenario'!AE17</f>
        <v>703681.54416900803</v>
      </c>
      <c r="AF17" s="9">
        <f>'Central scenario'!AF17</f>
        <v>115.79241048</v>
      </c>
      <c r="AG17" s="9">
        <f>'Central scenario'!AG17</f>
        <v>5134460463.6352301</v>
      </c>
      <c r="AH17" s="9"/>
      <c r="AI17" s="9"/>
      <c r="AJ17" s="42">
        <f t="shared" si="12"/>
        <v>-8.1507199988075651E-3</v>
      </c>
      <c r="AK17" s="43">
        <f t="shared" si="5"/>
        <v>2028</v>
      </c>
      <c r="AL17" s="44">
        <f>SUM(AB66:AB69)/AVERAGE(AG66:AG69)</f>
        <v>-1.5126432238653379E-2</v>
      </c>
      <c r="AM17" s="9">
        <f>'Central scenario'!AM17</f>
        <v>11273018.6820578</v>
      </c>
      <c r="AN17" s="44">
        <f>AM17/AVERAGE(AG66:AG69)</f>
        <v>1.6239935220087205E-3</v>
      </c>
      <c r="AO17" s="44">
        <f>'GDP evolution by scenario'!M65</f>
        <v>4.277643007840104E-2</v>
      </c>
      <c r="AP17" s="44"/>
      <c r="AQ17" s="9">
        <f t="shared" si="8"/>
        <v>579131116.11156952</v>
      </c>
      <c r="AR17" s="9">
        <f t="shared" si="9"/>
        <v>414785439.08812129</v>
      </c>
      <c r="AS17" s="45">
        <f>AQ17/AG69</f>
        <v>8.2227611058723046E-2</v>
      </c>
      <c r="AT17" s="45">
        <f>AR17/AG69</f>
        <v>5.8893081047278806E-2</v>
      </c>
      <c r="AU17" s="7"/>
      <c r="AV17" s="7"/>
      <c r="AW17" s="7">
        <f>workers_and_wage_high!C5</f>
        <v>11048388</v>
      </c>
      <c r="AX17" s="7"/>
      <c r="AY17" s="42">
        <f t="shared" si="13"/>
        <v>-1.0041147455855345E-3</v>
      </c>
      <c r="AZ17" s="12">
        <f>workers_and_wage_high!B5</f>
        <v>7113.9816443372702</v>
      </c>
      <c r="BA17" s="42">
        <f t="shared" si="14"/>
        <v>3.0965280785137132E-3</v>
      </c>
      <c r="BB17" s="42"/>
      <c r="BC17" s="42"/>
      <c r="BD17" s="42"/>
      <c r="BE17" s="42"/>
      <c r="BF17" s="7"/>
      <c r="BG17" s="7"/>
      <c r="BH17" s="7"/>
      <c r="BI17" s="42">
        <f t="shared" si="6"/>
        <v>1.4966755952477527E-2</v>
      </c>
      <c r="BJ17" s="7">
        <f t="shared" si="7"/>
        <v>2028</v>
      </c>
      <c r="BK17" s="42">
        <f>SUM(T66:T69)/AVERAGE(AG66:AG69)</f>
        <v>6.8795989164346788E-2</v>
      </c>
      <c r="BL17" s="42">
        <f>SUM(P66:P69)/AVERAGE(AG66:AG69)</f>
        <v>1.1155401406936471E-2</v>
      </c>
      <c r="BM17" s="42">
        <f>SUM(D66:D69)/AVERAGE(AG66:AG69)</f>
        <v>7.2767019996063706E-2</v>
      </c>
      <c r="BN17" s="42">
        <f>(SUM(H66:H69)+SUM(J66:J69))/AVERAGE(AG66:AG69)</f>
        <v>5.6792956685031339E-3</v>
      </c>
      <c r="BO17" s="44">
        <f t="shared" si="2"/>
        <v>-2.0805727907156513E-2</v>
      </c>
      <c r="BP17" s="26">
        <f t="shared" si="3"/>
        <v>7.8446315664566835E-2</v>
      </c>
    </row>
    <row r="18" spans="1:68" x14ac:dyDescent="0.2">
      <c r="A18" s="5">
        <f t="shared" ref="A18:A49" si="15">A14+1</f>
        <v>2016</v>
      </c>
      <c r="B18" s="5">
        <f t="shared" ref="B18:B49" si="16">B14</f>
        <v>1</v>
      </c>
      <c r="C18" s="6"/>
      <c r="D18" s="55">
        <f>'High pensions'!Q18</f>
        <v>99367076.7664316</v>
      </c>
      <c r="E18" s="6"/>
      <c r="F18" s="55">
        <f>'High pensions'!I18</f>
        <v>18061142.432745501</v>
      </c>
      <c r="G18" s="8">
        <f>'High pensions'!K18</f>
        <v>0</v>
      </c>
      <c r="H18" s="8">
        <f>'High pensions'!V18</f>
        <v>0</v>
      </c>
      <c r="I18" s="8">
        <f>'High pensions'!M18</f>
        <v>0</v>
      </c>
      <c r="J18" s="6">
        <f>'High pensions'!W18</f>
        <v>0</v>
      </c>
      <c r="K18" s="6"/>
      <c r="L18" s="55">
        <f>'High pensions'!N18</f>
        <v>2795658.977222933</v>
      </c>
      <c r="M18" s="8"/>
      <c r="N18" s="55">
        <f>'High pensions'!L18</f>
        <v>737510.4000402987</v>
      </c>
      <c r="O18" s="6"/>
      <c r="P18" s="55">
        <f>'High pensions'!X18</f>
        <v>18564252.343087912</v>
      </c>
      <c r="Q18" s="8"/>
      <c r="R18" s="55">
        <f>'High SIPA income'!G13</f>
        <v>19233054.659306295</v>
      </c>
      <c r="S18" s="8"/>
      <c r="T18" s="55">
        <f>'High SIPA income'!J13</f>
        <v>73539251.451401144</v>
      </c>
      <c r="U18" s="6"/>
      <c r="V18" s="55">
        <f>'High SIPA income'!F13</f>
        <v>140377.52522743901</v>
      </c>
      <c r="W18" s="8"/>
      <c r="X18" s="55">
        <f>'High SIPA income'!M13</f>
        <v>352587.87140778353</v>
      </c>
      <c r="Y18" s="6"/>
      <c r="Z18" s="6">
        <f t="shared" si="10"/>
        <v>-2220879.6254749987</v>
      </c>
      <c r="AA18" s="6"/>
      <c r="AB18" s="6">
        <f t="shared" si="11"/>
        <v>-44392077.658118367</v>
      </c>
      <c r="AC18" s="23"/>
      <c r="AD18" s="6">
        <f>'Central scenario'!AD18</f>
        <v>7006645045.10604</v>
      </c>
      <c r="AE18" s="6">
        <f>'Central scenario'!AE18</f>
        <v>677652.08911570301</v>
      </c>
      <c r="AF18" s="6">
        <f>'Central scenario'!AF18</f>
        <v>131.11898839</v>
      </c>
      <c r="AG18" s="6">
        <f>'Central scenario'!AG18</f>
        <v>4944534766.466361</v>
      </c>
      <c r="AH18" s="6"/>
      <c r="AI18" s="6"/>
      <c r="AJ18" s="35">
        <f t="shared" si="12"/>
        <v>-8.9780090048478742E-3</v>
      </c>
      <c r="AK18" s="36">
        <f t="shared" si="5"/>
        <v>2029</v>
      </c>
      <c r="AL18" s="37">
        <f>SUM(AB70:AB73)/AVERAGE(AG70:AG73)</f>
        <v>-1.2295460080909265E-2</v>
      </c>
      <c r="AM18" s="6">
        <f>'Central scenario'!AM18</f>
        <v>10452476.732233601</v>
      </c>
      <c r="AN18" s="37">
        <f>AM18/AVERAGE(AG70:AG73)</f>
        <v>1.4493252055806189E-3</v>
      </c>
      <c r="AO18" s="37">
        <f>'GDP evolution by scenario'!M69</f>
        <v>3.8956656890552388E-2</v>
      </c>
      <c r="AP18" s="37"/>
      <c r="AQ18" s="6">
        <f t="shared" si="8"/>
        <v>601692128.29657054</v>
      </c>
      <c r="AR18" s="6">
        <f t="shared" si="9"/>
        <v>420306273.7849924</v>
      </c>
      <c r="AS18" s="38">
        <f>AQ18/AG73</f>
        <v>8.2276113492248726E-2</v>
      </c>
      <c r="AT18" s="38">
        <f>AR18/AG73</f>
        <v>5.7473191117423668E-2</v>
      </c>
      <c r="AU18" s="5"/>
      <c r="AV18" s="5"/>
      <c r="AW18" s="5">
        <f>workers_and_wage_high!C6</f>
        <v>11064497</v>
      </c>
      <c r="AX18" s="5"/>
      <c r="AY18" s="35">
        <f t="shared" si="13"/>
        <v>1.4580407567149163E-3</v>
      </c>
      <c r="AZ18" s="11">
        <f>workers_and_wage_high!B6</f>
        <v>6705.5459972967601</v>
      </c>
      <c r="BA18" s="35">
        <f t="shared" si="14"/>
        <v>-5.7413086996875348E-2</v>
      </c>
      <c r="BB18" s="11">
        <v>54.236515250880799</v>
      </c>
      <c r="BC18" s="40">
        <f>'Central scenario'!BC18</f>
        <v>12.453822881663401</v>
      </c>
      <c r="BD18" s="11">
        <f t="shared" ref="BD18:BD53" si="17">BB18+BC18/2</f>
        <v>60.463426691712499</v>
      </c>
      <c r="BE18" s="40"/>
      <c r="BF18" s="5"/>
      <c r="BG18" s="5"/>
      <c r="BH18" s="5"/>
      <c r="BI18" s="35">
        <f t="shared" si="6"/>
        <v>1.7615739622217533E-2</v>
      </c>
      <c r="BJ18" s="5">
        <f t="shared" si="7"/>
        <v>2029</v>
      </c>
      <c r="BK18" s="35">
        <f>SUM(T70:T73)/AVERAGE(AG70:AG73)</f>
        <v>6.9718339148653052E-2</v>
      </c>
      <c r="BL18" s="35">
        <f>SUM(P70:P73)/AVERAGE(AG70:AG73)</f>
        <v>1.0684911722006286E-2</v>
      </c>
      <c r="BM18" s="35">
        <f>SUM(D70:D73)/AVERAGE(AG70:AG73)</f>
        <v>7.1328887507556032E-2</v>
      </c>
      <c r="BN18" s="35">
        <f>(SUM(H70:H73)+SUM(J70:J73))/AVERAGE(AG70:AG73)</f>
        <v>6.3410648399208347E-3</v>
      </c>
      <c r="BO18" s="37">
        <f t="shared" si="2"/>
        <v>-1.8636524920830101E-2</v>
      </c>
      <c r="BP18" s="26">
        <f t="shared" si="3"/>
        <v>7.7669952347476867E-2</v>
      </c>
    </row>
    <row r="19" spans="1:68" x14ac:dyDescent="0.2">
      <c r="A19" s="7">
        <f t="shared" si="15"/>
        <v>2016</v>
      </c>
      <c r="B19" s="7">
        <f t="shared" si="16"/>
        <v>2</v>
      </c>
      <c r="C19" s="9"/>
      <c r="D19" s="56">
        <f>'High pensions'!Q19</f>
        <v>102439962.15978983</v>
      </c>
      <c r="E19" s="9"/>
      <c r="F19" s="56">
        <f>'High pensions'!I19</f>
        <v>18619675.727424201</v>
      </c>
      <c r="G19" s="41">
        <f>'High pensions'!K19</f>
        <v>0</v>
      </c>
      <c r="H19" s="41">
        <f>'High pensions'!V19</f>
        <v>0</v>
      </c>
      <c r="I19" s="41">
        <f>'High pensions'!M19</f>
        <v>0</v>
      </c>
      <c r="J19" s="9">
        <f>'High pensions'!W19</f>
        <v>0</v>
      </c>
      <c r="K19" s="9"/>
      <c r="L19" s="56">
        <f>'High pensions'!N19</f>
        <v>2828183.6863331911</v>
      </c>
      <c r="M19" s="41"/>
      <c r="N19" s="56">
        <f>'High pensions'!L19</f>
        <v>762298.45939489827</v>
      </c>
      <c r="O19" s="9"/>
      <c r="P19" s="56">
        <f>'High pensions'!X19</f>
        <v>18869399.802186109</v>
      </c>
      <c r="Q19" s="41"/>
      <c r="R19" s="56">
        <f>'High SIPA income'!G14</f>
        <v>21943117.509587437</v>
      </c>
      <c r="S19" s="41"/>
      <c r="T19" s="56">
        <f>'High SIPA income'!J14</f>
        <v>83901411.645205423</v>
      </c>
      <c r="U19" s="9"/>
      <c r="V19" s="56">
        <f>'High SIPA income'!F14</f>
        <v>141764.81012723199</v>
      </c>
      <c r="W19" s="41"/>
      <c r="X19" s="56">
        <f>'High SIPA income'!M14</f>
        <v>356072.33111072861</v>
      </c>
      <c r="Y19" s="9"/>
      <c r="Z19" s="9">
        <f t="shared" si="10"/>
        <v>-125275.5534376204</v>
      </c>
      <c r="AA19" s="9"/>
      <c r="AB19" s="9">
        <f t="shared" si="11"/>
        <v>-37407950.316770516</v>
      </c>
      <c r="AC19" s="23"/>
      <c r="AD19" s="9">
        <f>'Central scenario'!AD19</f>
        <v>8414556482.1792097</v>
      </c>
      <c r="AE19" s="9">
        <f>'Central scenario'!AE19</f>
        <v>760703.28015165601</v>
      </c>
      <c r="AF19" s="9">
        <f>'Central scenario'!AF19</f>
        <v>147.89635652000001</v>
      </c>
      <c r="AG19" s="9">
        <f>'Central scenario'!AG19</f>
        <v>5550523456.0453796</v>
      </c>
      <c r="AH19" s="9"/>
      <c r="AI19" s="9"/>
      <c r="AJ19" s="42">
        <f t="shared" si="12"/>
        <v>-6.7395355794825917E-3</v>
      </c>
      <c r="AK19" s="43">
        <f t="shared" si="5"/>
        <v>2030</v>
      </c>
      <c r="AL19" s="44">
        <f>SUM(AB74:AB77)/AVERAGE(AG74:AG77)</f>
        <v>-1.0368483958178324E-2</v>
      </c>
      <c r="AM19" s="9">
        <f>'Central scenario'!AM19</f>
        <v>9649081.8679126594</v>
      </c>
      <c r="AN19" s="44">
        <f>AM19/AVERAGE(AG74:AG77)</f>
        <v>1.2898531362348614E-3</v>
      </c>
      <c r="AO19" s="44">
        <f>'GDP evolution by scenario'!M73</f>
        <v>3.7271303063876937E-2</v>
      </c>
      <c r="AP19" s="44"/>
      <c r="AQ19" s="9">
        <f t="shared" si="8"/>
        <v>624117977.96146119</v>
      </c>
      <c r="AR19" s="9">
        <f t="shared" si="9"/>
        <v>426158811.29224199</v>
      </c>
      <c r="AS19" s="45">
        <f>AQ19/AG77</f>
        <v>8.241670407411858E-2</v>
      </c>
      <c r="AT19" s="45">
        <f>AR19/AG77</f>
        <v>5.6275585512807716E-2</v>
      </c>
      <c r="AU19" s="7"/>
      <c r="AV19" s="7"/>
      <c r="AW19" s="7">
        <f>workers_and_wage_high!C7</f>
        <v>11128156</v>
      </c>
      <c r="AX19" s="7"/>
      <c r="AY19" s="42">
        <f t="shared" si="13"/>
        <v>5.7534472647062041E-3</v>
      </c>
      <c r="AZ19" s="12">
        <f>workers_and_wage_high!B7</f>
        <v>6521.1732186580603</v>
      </c>
      <c r="BA19" s="42">
        <f t="shared" si="14"/>
        <v>-2.7495565418987053E-2</v>
      </c>
      <c r="BB19" s="12">
        <v>48.357197024301399</v>
      </c>
      <c r="BC19" s="47">
        <f>'Central scenario'!BC19</f>
        <v>10.7565894926318</v>
      </c>
      <c r="BD19" s="12">
        <f t="shared" si="17"/>
        <v>53.735491770617301</v>
      </c>
      <c r="BE19" s="42">
        <f t="shared" ref="BE19:BE53" si="18">BD19/BD18-1</f>
        <v>-0.11127280224124925</v>
      </c>
      <c r="BF19" s="7"/>
      <c r="BG19" s="7"/>
      <c r="BH19" s="7"/>
      <c r="BI19" s="42">
        <f t="shared" si="6"/>
        <v>1.4431561136509188E-2</v>
      </c>
      <c r="BJ19" s="7">
        <f t="shared" si="7"/>
        <v>2030</v>
      </c>
      <c r="BK19" s="42">
        <f>SUM(T74:T77)/AVERAGE(AG74:AG77)</f>
        <v>6.9748439746947721E-2</v>
      </c>
      <c r="BL19" s="42">
        <f>SUM(P74:P77)/AVERAGE(AG74:AG77)</f>
        <v>1.0190803846978787E-2</v>
      </c>
      <c r="BM19" s="42">
        <f>SUM(D74:D77)/AVERAGE(AG74:AG77)</f>
        <v>6.9926119858147243E-2</v>
      </c>
      <c r="BN19" s="42">
        <f>(SUM(H74:H77)+SUM(J74:J77))/AVERAGE(AG74:AG77)</f>
        <v>6.9942564749918236E-3</v>
      </c>
      <c r="BO19" s="44">
        <f t="shared" si="2"/>
        <v>-1.7362740433170147E-2</v>
      </c>
      <c r="BP19" s="26">
        <f t="shared" si="3"/>
        <v>7.6920376333139071E-2</v>
      </c>
    </row>
    <row r="20" spans="1:68" x14ac:dyDescent="0.2">
      <c r="A20" s="7">
        <f t="shared" si="15"/>
        <v>2016</v>
      </c>
      <c r="B20" s="7">
        <f t="shared" si="16"/>
        <v>3</v>
      </c>
      <c r="C20" s="9"/>
      <c r="D20" s="56">
        <f>'High pensions'!Q20</f>
        <v>97784354.156561255</v>
      </c>
      <c r="E20" s="9"/>
      <c r="F20" s="56">
        <f>'High pensions'!I20</f>
        <v>17773463.863357902</v>
      </c>
      <c r="G20" s="41">
        <f>'High pensions'!K20</f>
        <v>0</v>
      </c>
      <c r="H20" s="41">
        <f>'High pensions'!V20</f>
        <v>0</v>
      </c>
      <c r="I20" s="41">
        <f>'High pensions'!M20</f>
        <v>0</v>
      </c>
      <c r="J20" s="9">
        <f>'High pensions'!W20</f>
        <v>0</v>
      </c>
      <c r="K20" s="9"/>
      <c r="L20" s="56">
        <f>'High pensions'!N20</f>
        <v>2477813.0040905806</v>
      </c>
      <c r="M20" s="41"/>
      <c r="N20" s="56">
        <f>'High pensions'!L20</f>
        <v>730249.34684089944</v>
      </c>
      <c r="O20" s="9"/>
      <c r="P20" s="56">
        <f>'High pensions'!X20</f>
        <v>16874999.9051819</v>
      </c>
      <c r="Q20" s="41"/>
      <c r="R20" s="56">
        <f>'High SIPA income'!G15</f>
        <v>19133197.31498893</v>
      </c>
      <c r="S20" s="41"/>
      <c r="T20" s="56">
        <f>'High SIPA income'!J15</f>
        <v>73157438.240597904</v>
      </c>
      <c r="U20" s="9"/>
      <c r="V20" s="56">
        <f>'High SIPA income'!F15</f>
        <v>144189.0349691</v>
      </c>
      <c r="W20" s="41"/>
      <c r="X20" s="56">
        <f>'High SIPA income'!M15</f>
        <v>362161.28499008535</v>
      </c>
      <c r="Y20" s="9"/>
      <c r="Z20" s="9">
        <f t="shared" si="10"/>
        <v>-1704139.8643313535</v>
      </c>
      <c r="AA20" s="9"/>
      <c r="AB20" s="9">
        <f t="shared" si="11"/>
        <v>-41501915.821145251</v>
      </c>
      <c r="AC20" s="23"/>
      <c r="AD20" s="9">
        <f>'Central scenario'!AD20</f>
        <v>8527628825.2780304</v>
      </c>
      <c r="AE20" s="9">
        <f>'Central scenario'!AE20</f>
        <v>694382.47577623103</v>
      </c>
      <c r="AF20" s="9">
        <f>'Central scenario'!AF20</f>
        <v>155.88165151000001</v>
      </c>
      <c r="AG20" s="9">
        <f>'Central scenario'!AG20</f>
        <v>5066609175.7806692</v>
      </c>
      <c r="AH20" s="9"/>
      <c r="AI20" s="9"/>
      <c r="AJ20" s="42">
        <f t="shared" si="12"/>
        <v>-8.1912605415732677E-3</v>
      </c>
      <c r="AK20" s="43">
        <f t="shared" si="5"/>
        <v>2031</v>
      </c>
      <c r="AL20" s="44">
        <f>SUM(AB78:AB81)/AVERAGE(AG78:AG81)</f>
        <v>-7.8663426791195298E-3</v>
      </c>
      <c r="AM20" s="9">
        <f>'Central scenario'!AM20</f>
        <v>8873587.4679367002</v>
      </c>
      <c r="AN20" s="44">
        <f>AM20/AVERAGE(AG78:AG81)</f>
        <v>1.1408446865226311E-3</v>
      </c>
      <c r="AO20" s="44">
        <f>'GDP evolution by scenario'!M77</f>
        <v>3.9745341716699745E-2</v>
      </c>
      <c r="AP20" s="44"/>
      <c r="AQ20" s="9">
        <f t="shared" si="8"/>
        <v>648923760.26707518</v>
      </c>
      <c r="AR20" s="9">
        <f t="shared" si="9"/>
        <v>434062542.20616239</v>
      </c>
      <c r="AS20" s="45">
        <f>AQ20/AG81</f>
        <v>8.2295846974456147E-2</v>
      </c>
      <c r="AT20" s="45">
        <f>AR20/AG81</f>
        <v>5.5047367253188519E-2</v>
      </c>
      <c r="AU20" s="7"/>
      <c r="AV20" s="7"/>
      <c r="AW20" s="7">
        <f>workers_and_wage_high!C8</f>
        <v>11235296</v>
      </c>
      <c r="AX20" s="7"/>
      <c r="AY20" s="42">
        <f t="shared" si="13"/>
        <v>9.6278305228647051E-3</v>
      </c>
      <c r="AZ20" s="12">
        <f>workers_and_wage_high!B8</f>
        <v>6554.0196453557301</v>
      </c>
      <c r="BA20" s="42">
        <f t="shared" si="14"/>
        <v>5.0368891603264319E-3</v>
      </c>
      <c r="BB20" s="12">
        <v>51.155923549896897</v>
      </c>
      <c r="BC20" s="47">
        <f>'Central scenario'!BC20</f>
        <v>11.0036892295276</v>
      </c>
      <c r="BD20" s="12">
        <f t="shared" si="17"/>
        <v>56.657768164660695</v>
      </c>
      <c r="BE20" s="42">
        <f t="shared" si="18"/>
        <v>5.4382611896766964E-2</v>
      </c>
      <c r="BF20" s="7"/>
      <c r="BG20" s="7"/>
      <c r="BH20" s="7"/>
      <c r="BI20" s="42">
        <f t="shared" si="6"/>
        <v>1.5527556032138637E-2</v>
      </c>
      <c r="BJ20" s="7">
        <f t="shared" si="7"/>
        <v>2031</v>
      </c>
      <c r="BK20" s="42">
        <f>SUM(T78:T81)/AVERAGE(AG78:AG81)</f>
        <v>7.0552803362262481E-2</v>
      </c>
      <c r="BL20" s="42">
        <f>SUM(P78:P81)/AVERAGE(AG78:AG81)</f>
        <v>9.6648205581204814E-3</v>
      </c>
      <c r="BM20" s="42">
        <f>SUM(D78:D81)/AVERAGE(AG78:AG81)</f>
        <v>6.8754325483261533E-2</v>
      </c>
      <c r="BN20" s="42">
        <f>(SUM(H78:H81)+SUM(J78:J81))/AVERAGE(AG78:AG81)</f>
        <v>7.4001501291113261E-3</v>
      </c>
      <c r="BO20" s="44">
        <f t="shared" si="2"/>
        <v>-1.5266492808230857E-2</v>
      </c>
      <c r="BP20" s="26">
        <f t="shared" si="3"/>
        <v>7.615447561237286E-2</v>
      </c>
    </row>
    <row r="21" spans="1:68" x14ac:dyDescent="0.2">
      <c r="A21" s="7">
        <f t="shared" si="15"/>
        <v>2016</v>
      </c>
      <c r="B21" s="7">
        <f t="shared" si="16"/>
        <v>4</v>
      </c>
      <c r="C21" s="9"/>
      <c r="D21" s="56">
        <f>'High pensions'!Q21</f>
        <v>106824539.39865157</v>
      </c>
      <c r="E21" s="9"/>
      <c r="F21" s="56">
        <f>'High pensions'!I21</f>
        <v>19416624.541814685</v>
      </c>
      <c r="G21" s="56">
        <f>'High pensions'!K21</f>
        <v>36324.844012515401</v>
      </c>
      <c r="H21" s="56">
        <f>'High pensions'!V21</f>
        <v>199848.57419518099</v>
      </c>
      <c r="I21" s="57">
        <f>'High pensions'!M21</f>
        <v>1123.4487838923014</v>
      </c>
      <c r="J21" s="56">
        <f>'High pensions'!W21</f>
        <v>6180.8837379956867</v>
      </c>
      <c r="K21" s="9"/>
      <c r="L21" s="56">
        <f>'High pensions'!N21</f>
        <v>3910348.4398605041</v>
      </c>
      <c r="M21" s="41"/>
      <c r="N21" s="56">
        <f>'High pensions'!L21</f>
        <v>800543.01667150855</v>
      </c>
      <c r="O21" s="9"/>
      <c r="P21" s="56">
        <f>'High pensions'!X21</f>
        <v>24695168.12280139</v>
      </c>
      <c r="Q21" s="41"/>
      <c r="R21" s="56">
        <f>'High SIPA income'!G16</f>
        <v>22467624.380473539</v>
      </c>
      <c r="S21" s="41"/>
      <c r="T21" s="56">
        <f>'High SIPA income'!J16</f>
        <v>85906909.125940606</v>
      </c>
      <c r="U21" s="9"/>
      <c r="V21" s="56">
        <f>'High SIPA income'!F16</f>
        <v>151268.17202622999</v>
      </c>
      <c r="W21" s="41"/>
      <c r="X21" s="56">
        <f>'High SIPA income'!M16</f>
        <v>379942.03630574921</v>
      </c>
      <c r="Y21" s="9"/>
      <c r="Z21" s="9">
        <f t="shared" si="10"/>
        <v>-1508623.4458469301</v>
      </c>
      <c r="AA21" s="9"/>
      <c r="AB21" s="9">
        <f t="shared" si="11"/>
        <v>-45612798.395512357</v>
      </c>
      <c r="AC21" s="23"/>
      <c r="AD21" s="9">
        <f>'Central scenario'!AD21</f>
        <v>8963807873.5824299</v>
      </c>
      <c r="AE21" s="9">
        <f>'Central scenario'!AE21</f>
        <v>693173.54934705805</v>
      </c>
      <c r="AF21" s="9">
        <f>'Central scenario'!AF21</f>
        <v>164.01000929</v>
      </c>
      <c r="AG21" s="9">
        <f>'Central scenario'!AG21</f>
        <v>5057788161.4944935</v>
      </c>
      <c r="AH21" s="9"/>
      <c r="AI21" s="9"/>
      <c r="AJ21" s="42">
        <f t="shared" si="12"/>
        <v>-9.018329146872478E-3</v>
      </c>
      <c r="AK21" s="43">
        <f t="shared" si="5"/>
        <v>2032</v>
      </c>
      <c r="AL21" s="44">
        <f>SUM(AB82:AB85)/AVERAGE(AG82:AG85)</f>
        <v>-6.077540612204271E-3</v>
      </c>
      <c r="AM21" s="9">
        <f>'Central scenario'!AM21</f>
        <v>8126011.6642673099</v>
      </c>
      <c r="AN21" s="44">
        <f>AM21/AVERAGE(AG82:AG85)</f>
        <v>1.0093307280631973E-3</v>
      </c>
      <c r="AO21" s="44">
        <f>'GDP evolution by scenario'!M81</f>
        <v>3.5073609252844085E-2</v>
      </c>
      <c r="AP21" s="44"/>
      <c r="AQ21" s="9">
        <f t="shared" si="8"/>
        <v>671683858.6695689</v>
      </c>
      <c r="AR21" s="9">
        <f t="shared" si="9"/>
        <v>441030854.66170943</v>
      </c>
      <c r="AS21" s="45">
        <f>AQ21/AG85</f>
        <v>8.2382015060980598E-2</v>
      </c>
      <c r="AT21" s="45">
        <f>AR21/AG85</f>
        <v>5.4092427623710262E-2</v>
      </c>
      <c r="AW21" s="7">
        <f>workers_and_wage_high!C9</f>
        <v>11156745</v>
      </c>
      <c r="AY21" s="42">
        <f t="shared" si="13"/>
        <v>-6.9914490904378485E-3</v>
      </c>
      <c r="AZ21" s="12">
        <f>workers_and_wage_high!B9</f>
        <v>6660.1842529204996</v>
      </c>
      <c r="BA21" s="42">
        <f t="shared" si="14"/>
        <v>1.6198396298674398E-2</v>
      </c>
      <c r="BB21" s="12">
        <v>53.901815154490301</v>
      </c>
      <c r="BC21" s="47">
        <f>'Central scenario'!BC21</f>
        <v>11.514488248025501</v>
      </c>
      <c r="BD21" s="12">
        <f t="shared" si="17"/>
        <v>59.659059278503051</v>
      </c>
      <c r="BE21" s="42">
        <f t="shared" si="18"/>
        <v>5.2972279196030092E-2</v>
      </c>
      <c r="BI21" s="42">
        <f t="shared" si="6"/>
        <v>1.3750025141398529E-2</v>
      </c>
      <c r="BJ21" s="7">
        <f t="shared" si="7"/>
        <v>2032</v>
      </c>
      <c r="BK21" s="42">
        <f>SUM(T82:T85)/AVERAGE(AG82:AG85)</f>
        <v>7.0725341607634468E-2</v>
      </c>
      <c r="BL21" s="42">
        <f>SUM(P82:P85)/AVERAGE(AG82:AG85)</f>
        <v>9.1821043825429677E-3</v>
      </c>
      <c r="BM21" s="42">
        <f>SUM(D82:D85)/AVERAGE(AG82:AG85)</f>
        <v>6.7620777837295781E-2</v>
      </c>
      <c r="BN21" s="42">
        <f>(SUM(H82:H85)+SUM(J82:J85))/AVERAGE(AG82:AG85)</f>
        <v>7.8776468831269781E-3</v>
      </c>
      <c r="BO21" s="44">
        <f t="shared" si="2"/>
        <v>-1.3955187495331249E-2</v>
      </c>
      <c r="BP21" s="26">
        <f t="shared" si="3"/>
        <v>7.5498424720422758E-2</v>
      </c>
    </row>
    <row r="22" spans="1:68" x14ac:dyDescent="0.2">
      <c r="A22" s="5">
        <f t="shared" si="15"/>
        <v>2017</v>
      </c>
      <c r="B22" s="5">
        <f t="shared" si="16"/>
        <v>1</v>
      </c>
      <c r="C22" s="6"/>
      <c r="D22" s="55">
        <f>'High pensions'!Q22</f>
        <v>102020428.17773473</v>
      </c>
      <c r="E22" s="6"/>
      <c r="F22" s="55">
        <f>'High pensions'!I22</f>
        <v>18543420.46006754</v>
      </c>
      <c r="G22" s="55">
        <f>'High pensions'!K22</f>
        <v>66682.149607556305</v>
      </c>
      <c r="H22" s="55">
        <f>'High pensions'!V22</f>
        <v>366865.51272590202</v>
      </c>
      <c r="I22" s="55">
        <f>'High pensions'!M22</f>
        <v>2062.334523945101</v>
      </c>
      <c r="J22" s="55">
        <f>'High pensions'!W22</f>
        <v>11346.356063688025</v>
      </c>
      <c r="K22" s="6"/>
      <c r="L22" s="55">
        <f>'High pensions'!N22</f>
        <v>4299591.3674410377</v>
      </c>
      <c r="M22" s="8"/>
      <c r="N22" s="55">
        <f>'High pensions'!L22</f>
        <v>765007.80687155947</v>
      </c>
      <c r="O22" s="6"/>
      <c r="P22" s="55">
        <f>'High pensions'!X22</f>
        <v>26519447.284662407</v>
      </c>
      <c r="Q22" s="8"/>
      <c r="R22" s="55">
        <f>'High SIPA income'!G17</f>
        <v>19431210.503118884</v>
      </c>
      <c r="S22" s="8"/>
      <c r="T22" s="55">
        <f>'High SIPA income'!J17</f>
        <v>74296917.494722426</v>
      </c>
      <c r="U22" s="6"/>
      <c r="V22" s="55">
        <f>'High SIPA income'!F17</f>
        <v>123378.28715431099</v>
      </c>
      <c r="W22" s="8"/>
      <c r="X22" s="55">
        <f>'High SIPA income'!M17</f>
        <v>309890.68638441636</v>
      </c>
      <c r="Y22" s="6"/>
      <c r="Z22" s="6">
        <f t="shared" si="10"/>
        <v>-4053430.8441069443</v>
      </c>
      <c r="AA22" s="6"/>
      <c r="AB22" s="6">
        <f t="shared" si="11"/>
        <v>-54242957.967674717</v>
      </c>
      <c r="AC22" s="23"/>
      <c r="AD22" s="6">
        <f>'Central scenario'!AD22</f>
        <v>9207047993.4630699</v>
      </c>
      <c r="AE22" s="6">
        <f>'Central scenario'!AE22</f>
        <v>679640.26735506102</v>
      </c>
      <c r="AF22" s="6">
        <f>'Central scenario'!AF22</f>
        <v>172.09591728000001</v>
      </c>
      <c r="AG22" s="6">
        <f>'Central scenario'!AG22</f>
        <v>4959041644.8252344</v>
      </c>
      <c r="AH22" s="6"/>
      <c r="AI22" s="6"/>
      <c r="AJ22" s="35">
        <f t="shared" si="12"/>
        <v>-1.0938193677860581E-2</v>
      </c>
      <c r="AK22" s="36">
        <f t="shared" si="5"/>
        <v>2033</v>
      </c>
      <c r="AL22" s="37">
        <f>SUM(AB86:AB89)/AVERAGE(AG86:AG89)</f>
        <v>-4.6952188150375541E-3</v>
      </c>
      <c r="AM22" s="6">
        <f>'Central scenario'!AM22</f>
        <v>7406781.3807915701</v>
      </c>
      <c r="AN22" s="37">
        <f>AM22/AVERAGE(AG86:AG89)</f>
        <v>8.8587433613333691E-4</v>
      </c>
      <c r="AO22" s="37">
        <f>'GDP evolution by scenario'!M85</f>
        <v>3.8516640042307593E-2</v>
      </c>
      <c r="AP22" s="37"/>
      <c r="AQ22" s="6">
        <f t="shared" si="8"/>
        <v>697554864.07617283</v>
      </c>
      <c r="AR22" s="6">
        <f t="shared" si="9"/>
        <v>450481236.86604518</v>
      </c>
      <c r="AS22" s="38">
        <f>AQ22/AG89</f>
        <v>8.1902043325647045E-2</v>
      </c>
      <c r="AT22" s="38">
        <f>AR22/AG89</f>
        <v>5.2892375466490817E-2</v>
      </c>
      <c r="AU22" s="5"/>
      <c r="AV22" s="5"/>
      <c r="AW22" s="5">
        <f>workers_and_wage_high!C10</f>
        <v>11057148</v>
      </c>
      <c r="AX22" s="5"/>
      <c r="AY22" s="35">
        <f t="shared" si="13"/>
        <v>-8.9270660932019158E-3</v>
      </c>
      <c r="AZ22" s="11">
        <f>workers_and_wage_high!B10</f>
        <v>6744.0342912967499</v>
      </c>
      <c r="BA22" s="35">
        <f t="shared" si="14"/>
        <v>1.2589747549323717E-2</v>
      </c>
      <c r="BB22" s="11">
        <v>54.553642181864497</v>
      </c>
      <c r="BC22" s="40">
        <f>'Central scenario'!BC22</f>
        <v>12.4947600115723</v>
      </c>
      <c r="BD22" s="11">
        <f t="shared" si="17"/>
        <v>60.801022187650645</v>
      </c>
      <c r="BE22" s="35">
        <f t="shared" si="18"/>
        <v>1.9141483673361881E-2</v>
      </c>
      <c r="BF22" s="5"/>
      <c r="BG22" s="5"/>
      <c r="BH22" s="5"/>
      <c r="BI22" s="35">
        <f t="shared" si="6"/>
        <v>1.5331167162890104E-2</v>
      </c>
      <c r="BJ22" s="5">
        <f t="shared" si="7"/>
        <v>2033</v>
      </c>
      <c r="BK22" s="35">
        <f>SUM(T86:T89)/AVERAGE(AG86:AG89)</f>
        <v>7.0744580492771839E-2</v>
      </c>
      <c r="BL22" s="35">
        <f>SUM(P86:P89)/AVERAGE(AG86:AG89)</f>
        <v>8.927447466224387E-3</v>
      </c>
      <c r="BM22" s="35">
        <f>SUM(D86:D89)/AVERAGE(AG86:AG89)</f>
        <v>6.6512351841585007E-2</v>
      </c>
      <c r="BN22" s="35">
        <f>(SUM(H86:H89)+SUM(J86:J89))/AVERAGE(AG86:AG89)</f>
        <v>8.200858454227921E-3</v>
      </c>
      <c r="BO22" s="37">
        <f t="shared" si="2"/>
        <v>-1.2896077269265475E-2</v>
      </c>
      <c r="BP22" s="26">
        <f t="shared" si="3"/>
        <v>7.4713210295812932E-2</v>
      </c>
    </row>
    <row r="23" spans="1:68" x14ac:dyDescent="0.2">
      <c r="A23" s="7">
        <f t="shared" si="15"/>
        <v>2017</v>
      </c>
      <c r="B23" s="7">
        <f t="shared" si="16"/>
        <v>2</v>
      </c>
      <c r="C23" s="9"/>
      <c r="D23" s="56">
        <f>'High pensions'!Q23</f>
        <v>108855914.20847927</v>
      </c>
      <c r="E23" s="9"/>
      <c r="F23" s="56">
        <f>'High pensions'!I23</f>
        <v>19785850.959341578</v>
      </c>
      <c r="G23" s="56">
        <f>'High pensions'!K23</f>
        <v>102244.218065323</v>
      </c>
      <c r="H23" s="56">
        <f>'High pensions'!V23</f>
        <v>562517.52087402868</v>
      </c>
      <c r="I23" s="56">
        <f>'High pensions'!M23</f>
        <v>3162.1923112990044</v>
      </c>
      <c r="J23" s="56">
        <f>'High pensions'!W23</f>
        <v>17397.449099198715</v>
      </c>
      <c r="K23" s="9"/>
      <c r="L23" s="56">
        <f>'High pensions'!N23</f>
        <v>3939404.9843641627</v>
      </c>
      <c r="M23" s="41"/>
      <c r="N23" s="56">
        <f>'High pensions'!L23</f>
        <v>818497.02650819719</v>
      </c>
      <c r="O23" s="9"/>
      <c r="P23" s="56">
        <f>'High pensions'!X23</f>
        <v>24944720.335192028</v>
      </c>
      <c r="Q23" s="41"/>
      <c r="R23" s="56">
        <f>'High SIPA income'!G18</f>
        <v>23254020.583542269</v>
      </c>
      <c r="S23" s="41"/>
      <c r="T23" s="56">
        <f>'High SIPA income'!J18</f>
        <v>88913763.166669682</v>
      </c>
      <c r="U23" s="9"/>
      <c r="V23" s="56">
        <f>'High SIPA income'!F18</f>
        <v>131002.673091904</v>
      </c>
      <c r="W23" s="41"/>
      <c r="X23" s="56">
        <f>'High SIPA income'!M18</f>
        <v>329040.94568818907</v>
      </c>
      <c r="Y23" s="9"/>
      <c r="Z23" s="9">
        <f t="shared" si="10"/>
        <v>-1158729.7135797665</v>
      </c>
      <c r="AA23" s="9"/>
      <c r="AB23" s="9">
        <f t="shared" si="11"/>
        <v>-44886871.377001613</v>
      </c>
      <c r="AC23" s="23"/>
      <c r="AD23" s="9">
        <f>'Central scenario'!AD23</f>
        <v>10602469309.9181</v>
      </c>
      <c r="AE23" s="9">
        <f>'Central scenario'!AE23</f>
        <v>776515.90050865698</v>
      </c>
      <c r="AF23" s="9">
        <f>'Central scenario'!AF23</f>
        <v>183.45579240999999</v>
      </c>
      <c r="AG23" s="9">
        <f>'Central scenario'!AG23</f>
        <v>5665901320.8227959</v>
      </c>
      <c r="AH23" s="9"/>
      <c r="AI23" s="9"/>
      <c r="AJ23" s="42">
        <f t="shared" si="12"/>
        <v>-7.9222825875977648E-3</v>
      </c>
      <c r="AK23" s="43">
        <f t="shared" si="5"/>
        <v>2034</v>
      </c>
      <c r="AL23" s="44">
        <f>SUM(AB90:AB93)/AVERAGE(AG90:AG93)</f>
        <v>-3.1418434437787456E-3</v>
      </c>
      <c r="AM23" s="9">
        <f>'Central scenario'!AM23</f>
        <v>6738583.4030681401</v>
      </c>
      <c r="AN23" s="44">
        <f>AM23/AVERAGE(AG90:AG93)</f>
        <v>7.7732000148625954E-4</v>
      </c>
      <c r="AO23" s="44">
        <f>'GDP evolution by scenario'!M89</f>
        <v>3.6839082998897155E-2</v>
      </c>
      <c r="AP23" s="44"/>
      <c r="AQ23" s="9">
        <f t="shared" si="8"/>
        <v>723252145.6101594</v>
      </c>
      <c r="AR23" s="9">
        <f t="shared" si="9"/>
        <v>460224934.1612407</v>
      </c>
      <c r="AS23" s="45">
        <f>AQ23/AG93</f>
        <v>8.2398906606910127E-2</v>
      </c>
      <c r="AT23" s="45">
        <f>AR23/AG93</f>
        <v>5.2432656575295965E-2</v>
      </c>
      <c r="AU23" s="7"/>
      <c r="AV23" s="7"/>
      <c r="AW23" s="7">
        <f>workers_and_wage_high!C11</f>
        <v>11247506</v>
      </c>
      <c r="AX23" s="7"/>
      <c r="AY23" s="42">
        <f t="shared" si="13"/>
        <v>1.7215831785918033E-2</v>
      </c>
      <c r="AZ23" s="12">
        <f>workers_and_wage_high!B11</f>
        <v>6741.6617525258698</v>
      </c>
      <c r="BA23" s="42">
        <f t="shared" si="14"/>
        <v>-3.5179814757790341E-4</v>
      </c>
      <c r="BB23" s="12">
        <v>49.9198466641054</v>
      </c>
      <c r="BC23" s="47">
        <f>'Central scenario'!BC23</f>
        <v>10.7610894199697</v>
      </c>
      <c r="BD23" s="12">
        <f t="shared" si="17"/>
        <v>55.300391374090253</v>
      </c>
      <c r="BE23" s="42">
        <f t="shared" si="18"/>
        <v>-9.0469380540737498E-2</v>
      </c>
      <c r="BF23" s="7"/>
      <c r="BG23" s="7"/>
      <c r="BH23" s="7"/>
      <c r="BI23" s="42">
        <f t="shared" si="6"/>
        <v>1.2330031625780476E-2</v>
      </c>
      <c r="BJ23" s="7">
        <f t="shared" si="7"/>
        <v>2034</v>
      </c>
      <c r="BK23" s="42">
        <f>SUM(T90:T93)/AVERAGE(AG90:AG93)</f>
        <v>7.0645527028106031E-2</v>
      </c>
      <c r="BL23" s="42">
        <f>SUM(P90:P93)/AVERAGE(AG90:AG93)</f>
        <v>8.5176235619977038E-3</v>
      </c>
      <c r="BM23" s="42">
        <f>SUM(D90:D93)/AVERAGE(AG90:AG93)</f>
        <v>6.5269746909887086E-2</v>
      </c>
      <c r="BN23" s="42">
        <f>(SUM(H90:H93)+SUM(J90:J93))/AVERAGE(AG90:AG93)</f>
        <v>8.492259450138968E-3</v>
      </c>
      <c r="BO23" s="44">
        <f t="shared" si="2"/>
        <v>-1.1634102893917714E-2</v>
      </c>
      <c r="BP23" s="26">
        <f t="shared" si="3"/>
        <v>7.3762006360026056E-2</v>
      </c>
    </row>
    <row r="24" spans="1:68" x14ac:dyDescent="0.2">
      <c r="A24" s="7">
        <f t="shared" si="15"/>
        <v>2017</v>
      </c>
      <c r="B24" s="7">
        <f t="shared" si="16"/>
        <v>3</v>
      </c>
      <c r="C24" s="9"/>
      <c r="D24" s="56">
        <f>'High pensions'!Q24</f>
        <v>104302964.88111053</v>
      </c>
      <c r="E24" s="9"/>
      <c r="F24" s="56">
        <f>'High pensions'!I24</f>
        <v>18958298.524806652</v>
      </c>
      <c r="G24" s="56">
        <f>'High pensions'!K24</f>
        <v>148476.22300634999</v>
      </c>
      <c r="H24" s="56">
        <f>'High pensions'!V24</f>
        <v>816872.37141283497</v>
      </c>
      <c r="I24" s="56">
        <f>'High pensions'!M24</f>
        <v>4592.0481342170096</v>
      </c>
      <c r="J24" s="56">
        <f>'High pensions'!W24</f>
        <v>25264.093961221697</v>
      </c>
      <c r="K24" s="9"/>
      <c r="L24" s="56">
        <f>'High pensions'!N24</f>
        <v>3599614.5523328749</v>
      </c>
      <c r="M24" s="41"/>
      <c r="N24" s="56">
        <f>'High pensions'!L24</f>
        <v>785462.55747468024</v>
      </c>
      <c r="O24" s="9"/>
      <c r="P24" s="56">
        <f>'High pensions'!X24</f>
        <v>22999800.266207617</v>
      </c>
      <c r="Q24" s="41"/>
      <c r="R24" s="56">
        <f>'High SIPA income'!G19</f>
        <v>20589537.43902459</v>
      </c>
      <c r="S24" s="41"/>
      <c r="T24" s="56">
        <f>'High SIPA income'!J19</f>
        <v>78725880.928322583</v>
      </c>
      <c r="U24" s="9"/>
      <c r="V24" s="56">
        <f>'High SIPA income'!F19</f>
        <v>137459.02665501201</v>
      </c>
      <c r="W24" s="41"/>
      <c r="X24" s="56">
        <f>'High SIPA income'!M19</f>
        <v>345257.44442033331</v>
      </c>
      <c r="Y24" s="9"/>
      <c r="Z24" s="9">
        <f t="shared" si="10"/>
        <v>-2616379.168934606</v>
      </c>
      <c r="AA24" s="9"/>
      <c r="AB24" s="9">
        <f t="shared" si="11"/>
        <v>-48576884.218995571</v>
      </c>
      <c r="AC24" s="23"/>
      <c r="AD24" s="9">
        <f>'Central scenario'!AD24</f>
        <v>11070090101.6518</v>
      </c>
      <c r="AE24" s="9">
        <f>'Central scenario'!AE24</f>
        <v>720893.64749107696</v>
      </c>
      <c r="AF24" s="9">
        <f>'Central scenario'!AF24</f>
        <v>191.50871928999999</v>
      </c>
      <c r="AG24" s="9">
        <f>'Central scenario'!AG24</f>
        <v>5260049751.4820948</v>
      </c>
      <c r="AH24" s="9"/>
      <c r="AI24" s="9"/>
      <c r="AJ24" s="42">
        <f t="shared" si="12"/>
        <v>-9.2350617416324509E-3</v>
      </c>
      <c r="AK24" s="43">
        <f t="shared" si="5"/>
        <v>2035</v>
      </c>
      <c r="AL24" s="44">
        <f>SUM(AB94:AB97)/AVERAGE(AG94:AG97)</f>
        <v>-1.0348028414617046E-3</v>
      </c>
      <c r="AM24" s="9">
        <f>'Central scenario'!AM24</f>
        <v>6098422.29766839</v>
      </c>
      <c r="AN24" s="44">
        <f>AM24/AVERAGE(AG94:AG97)</f>
        <v>6.8584798207625512E-4</v>
      </c>
      <c r="AO24" s="44">
        <f>'GDP evolution by scenario'!M93</f>
        <v>2.5701201744293689E-2</v>
      </c>
      <c r="AP24" s="44"/>
      <c r="AQ24" s="9">
        <f t="shared" si="8"/>
        <v>741840594.91647935</v>
      </c>
      <c r="AR24" s="9">
        <f t="shared" si="9"/>
        <v>465883337.19953048</v>
      </c>
      <c r="AS24" s="45">
        <f>AQ24/AG97</f>
        <v>8.2371001014858836E-2</v>
      </c>
      <c r="AT24" s="45">
        <f>AR24/AG97</f>
        <v>5.1729815143897392E-2</v>
      </c>
      <c r="AU24" s="7"/>
      <c r="AV24" s="7"/>
      <c r="AW24" s="7">
        <f>workers_and_wage_high!C12</f>
        <v>11410134</v>
      </c>
      <c r="AX24" s="7"/>
      <c r="AY24" s="42">
        <f t="shared" si="13"/>
        <v>1.4459027627991486E-2</v>
      </c>
      <c r="AZ24" s="12">
        <f>workers_and_wage_high!B12</f>
        <v>6886.4292106928397</v>
      </c>
      <c r="BA24" s="42">
        <f t="shared" si="14"/>
        <v>2.1473557036991723E-2</v>
      </c>
      <c r="BB24" s="12">
        <v>50.646714140221597</v>
      </c>
      <c r="BC24" s="47">
        <f>'Central scenario'!BC24</f>
        <v>11.1261459164056</v>
      </c>
      <c r="BD24" s="12">
        <f t="shared" si="17"/>
        <v>56.2097870984244</v>
      </c>
      <c r="BE24" s="42">
        <f t="shared" si="18"/>
        <v>1.6444652591739661E-2</v>
      </c>
      <c r="BF24" s="7"/>
      <c r="BG24" s="7"/>
      <c r="BH24" s="7"/>
      <c r="BI24" s="42">
        <f t="shared" si="6"/>
        <v>1.2942859792380784E-2</v>
      </c>
      <c r="BJ24" s="7">
        <f t="shared" si="7"/>
        <v>2035</v>
      </c>
      <c r="BK24" s="42">
        <f>SUM(T94:T97)/AVERAGE(AG94:AG97)</f>
        <v>7.1478992226822802E-2</v>
      </c>
      <c r="BL24" s="42">
        <f>SUM(P94:P97)/AVERAGE(AG94:AG97)</f>
        <v>8.1453183638335053E-3</v>
      </c>
      <c r="BM24" s="42">
        <f>SUM(D94:D97)/AVERAGE(AG94:AG97)</f>
        <v>6.4368476704451005E-2</v>
      </c>
      <c r="BN24" s="42">
        <f>(SUM(H94:H97)+SUM(J94:J97))/AVERAGE(AG94:AG97)</f>
        <v>8.9561594578288772E-3</v>
      </c>
      <c r="BO24" s="44">
        <f t="shared" si="2"/>
        <v>-9.990962299290581E-3</v>
      </c>
      <c r="BP24" s="26">
        <f t="shared" si="3"/>
        <v>7.3324636162279883E-2</v>
      </c>
    </row>
    <row r="25" spans="1:68" x14ac:dyDescent="0.2">
      <c r="A25" s="7">
        <f t="shared" si="15"/>
        <v>2017</v>
      </c>
      <c r="B25" s="7">
        <f t="shared" si="16"/>
        <v>4</v>
      </c>
      <c r="C25" s="9"/>
      <c r="D25" s="56">
        <f>'High pensions'!Q25</f>
        <v>113342542.85642579</v>
      </c>
      <c r="E25" s="9"/>
      <c r="F25" s="56">
        <f>'High pensions'!I25</f>
        <v>20601348.825338714</v>
      </c>
      <c r="G25" s="56">
        <f>'High pensions'!K25</f>
        <v>189845.474762486</v>
      </c>
      <c r="H25" s="56">
        <f>'High pensions'!V25</f>
        <v>1044473.7886725139</v>
      </c>
      <c r="I25" s="56">
        <f>'High pensions'!M25</f>
        <v>5871.5095287360018</v>
      </c>
      <c r="J25" s="56">
        <f>'High pensions'!W25</f>
        <v>32303.3130517235</v>
      </c>
      <c r="K25" s="9"/>
      <c r="L25" s="56">
        <f>'High pensions'!N25</f>
        <v>4012507.368122709</v>
      </c>
      <c r="M25" s="41"/>
      <c r="N25" s="56">
        <f>'High pensions'!L25</f>
        <v>856204.00619386509</v>
      </c>
      <c r="O25" s="9"/>
      <c r="P25" s="56">
        <f>'High pensions'!X25</f>
        <v>25531501.628902152</v>
      </c>
      <c r="Q25" s="41"/>
      <c r="R25" s="56">
        <f>'High SIPA income'!G20</f>
        <v>24347324.230016671</v>
      </c>
      <c r="S25" s="41"/>
      <c r="T25" s="56">
        <f>'High SIPA income'!J20</f>
        <v>93094104.417450219</v>
      </c>
      <c r="U25" s="9"/>
      <c r="V25" s="56">
        <f>'High SIPA income'!F20</f>
        <v>143698.09455918201</v>
      </c>
      <c r="W25" s="41"/>
      <c r="X25" s="56">
        <f>'High SIPA income'!M20</f>
        <v>360928.18422241905</v>
      </c>
      <c r="Y25" s="9"/>
      <c r="Z25" s="9">
        <f t="shared" si="10"/>
        <v>-979037.87507943437</v>
      </c>
      <c r="AA25" s="9"/>
      <c r="AB25" s="9">
        <f t="shared" si="11"/>
        <v>-45779940.067877725</v>
      </c>
      <c r="AC25" s="23"/>
      <c r="AD25" s="9">
        <f>'Central scenario'!AD25</f>
        <v>11699507791.7232</v>
      </c>
      <c r="AE25" s="9">
        <f>'Central scenario'!AE25</f>
        <v>724273.57873321604</v>
      </c>
      <c r="AF25" s="9">
        <f>'Central scenario'!AF25</f>
        <v>200.87293846</v>
      </c>
      <c r="AG25" s="9">
        <f>'Central scenario'!AG25</f>
        <v>5284711650.7124662</v>
      </c>
      <c r="AH25" s="9"/>
      <c r="AI25" s="9"/>
      <c r="AJ25" s="42">
        <f t="shared" si="12"/>
        <v>-8.6627129526936127E-3</v>
      </c>
      <c r="AK25" s="43">
        <f t="shared" si="5"/>
        <v>2036</v>
      </c>
      <c r="AL25" s="44">
        <f>SUM(AB98:AB101)/AVERAGE(AG98:AG101)</f>
        <v>5.931321081369419E-4</v>
      </c>
      <c r="AM25" s="9">
        <f>'Central scenario'!AM25</f>
        <v>5493111.4769607</v>
      </c>
      <c r="AN25" s="44">
        <f>AM25/AVERAGE(AG98:AG101)</f>
        <v>6.0096046415929498E-4</v>
      </c>
      <c r="AO25" s="44">
        <f>'GDP evolution by scenario'!M97</f>
        <v>2.7975777771884314E-2</v>
      </c>
      <c r="AP25" s="44"/>
      <c r="AQ25" s="9">
        <f t="shared" si="8"/>
        <v>762594162.54202521</v>
      </c>
      <c r="AR25" s="9">
        <f t="shared" si="9"/>
        <v>473353591.36937356</v>
      </c>
      <c r="AS25" s="45">
        <f>AQ25/AG101</f>
        <v>8.2176081264303577E-2</v>
      </c>
      <c r="AT25" s="45">
        <f>AR25/AG101</f>
        <v>5.1007921515496747E-2</v>
      </c>
      <c r="AU25" s="7"/>
      <c r="AV25" s="7"/>
      <c r="AW25" s="7">
        <f>workers_and_wage_high!C13</f>
        <v>11521898</v>
      </c>
      <c r="AX25" s="7"/>
      <c r="AY25" s="42">
        <f t="shared" si="13"/>
        <v>9.7951522742852973E-3</v>
      </c>
      <c r="AZ25" s="12">
        <f>workers_and_wage_high!B13</f>
        <v>6890.5453339577498</v>
      </c>
      <c r="BA25" s="42">
        <f t="shared" si="14"/>
        <v>5.9771517850192328E-4</v>
      </c>
      <c r="BB25" s="12">
        <v>52.575910775771497</v>
      </c>
      <c r="BC25" s="47">
        <f>'Central scenario'!BC25</f>
        <v>11.7344517173055</v>
      </c>
      <c r="BD25" s="12">
        <f t="shared" si="17"/>
        <v>58.443136634424249</v>
      </c>
      <c r="BE25" s="42">
        <f t="shared" si="18"/>
        <v>3.9732396283394866E-2</v>
      </c>
      <c r="BI25" s="42">
        <f t="shared" si="6"/>
        <v>1.2005428201573668E-2</v>
      </c>
      <c r="BJ25" s="7">
        <f t="shared" si="7"/>
        <v>2036</v>
      </c>
      <c r="BK25" s="42">
        <f>SUM(T98:T101)/AVERAGE(AG98:AG101)</f>
        <v>7.1765150530855901E-2</v>
      </c>
      <c r="BL25" s="42">
        <f>SUM(P98:P101)/AVERAGE(AG98:AG101)</f>
        <v>7.8102257304441597E-3</v>
      </c>
      <c r="BM25" s="42">
        <f>SUM(D98:D101)/AVERAGE(AG98:AG101)</f>
        <v>6.3361792692274807E-2</v>
      </c>
      <c r="BN25" s="42">
        <f>(SUM(H98:H101)+SUM(J98:J101))/AVERAGE(AG98:AG101)</f>
        <v>9.3983665334372163E-3</v>
      </c>
      <c r="BO25" s="44">
        <f t="shared" si="2"/>
        <v>-8.8052344253002745E-3</v>
      </c>
      <c r="BP25" s="26">
        <f t="shared" si="3"/>
        <v>7.2760159225712023E-2</v>
      </c>
    </row>
    <row r="26" spans="1:68" x14ac:dyDescent="0.2">
      <c r="A26" s="5">
        <f t="shared" si="15"/>
        <v>2018</v>
      </c>
      <c r="B26" s="5">
        <f t="shared" si="16"/>
        <v>1</v>
      </c>
      <c r="C26" s="6">
        <f>D26*0.081</f>
        <v>8642270.0687378533</v>
      </c>
      <c r="D26" s="55">
        <f>'High pensions'!Q26</f>
        <v>106694692.20664015</v>
      </c>
      <c r="E26" s="6"/>
      <c r="F26" s="55">
        <f>'High pensions'!I26</f>
        <v>19393023.277636182</v>
      </c>
      <c r="G26" s="55">
        <f>'High pensions'!K26</f>
        <v>193632.46803601799</v>
      </c>
      <c r="H26" s="55">
        <f>'High pensions'!V26</f>
        <v>1065308.7083198316</v>
      </c>
      <c r="I26" s="55">
        <f>'High pensions'!M26</f>
        <v>5988.6330320420093</v>
      </c>
      <c r="J26" s="55">
        <f>'High pensions'!W26</f>
        <v>32947.692009892889</v>
      </c>
      <c r="K26" s="6"/>
      <c r="L26" s="55">
        <f>'High pensions'!N26</f>
        <v>4266105.6971044773</v>
      </c>
      <c r="M26" s="8"/>
      <c r="N26" s="55">
        <f>'High pensions'!L26</f>
        <v>808953.54009145871</v>
      </c>
      <c r="O26" s="6"/>
      <c r="P26" s="55">
        <f>'High pensions'!X26</f>
        <v>26587466.440190189</v>
      </c>
      <c r="Q26" s="8"/>
      <c r="R26" s="55">
        <f>'High SIPA income'!G21</f>
        <v>19486260.158637881</v>
      </c>
      <c r="S26" s="8"/>
      <c r="T26" s="55">
        <f>'High SIPA income'!J21</f>
        <v>74507404.623846531</v>
      </c>
      <c r="U26" s="6"/>
      <c r="V26" s="55">
        <f>'High SIPA income'!F21</f>
        <v>129450.461885458</v>
      </c>
      <c r="W26" s="8"/>
      <c r="X26" s="55">
        <f>'High SIPA income'!M21</f>
        <v>325142.23865250521</v>
      </c>
      <c r="Y26" s="6"/>
      <c r="Z26" s="6">
        <f t="shared" si="10"/>
        <v>-4852371.8943087757</v>
      </c>
      <c r="AA26" s="6"/>
      <c r="AB26" s="6">
        <f t="shared" si="11"/>
        <v>-58774754.022983812</v>
      </c>
      <c r="AC26" s="23"/>
      <c r="AD26" s="6">
        <f>'Central scenario'!AD26</f>
        <v>12295597168.7493</v>
      </c>
      <c r="AE26" s="6">
        <f>'Central scenario'!AE26</f>
        <v>707566.83526715403</v>
      </c>
      <c r="AF26" s="6">
        <f>'Central scenario'!AF26</f>
        <v>215.82755935060601</v>
      </c>
      <c r="AG26" s="6">
        <f>'Central scenario'!AG26</f>
        <v>5162809755.5819197</v>
      </c>
      <c r="AH26" s="35">
        <f t="shared" ref="AH26:AH57" si="19">(AG26-AG25)/AG25</f>
        <v>-2.306689620693159E-2</v>
      </c>
      <c r="AI26" s="35"/>
      <c r="AJ26" s="35">
        <f t="shared" si="12"/>
        <v>-1.1384257178842935E-2</v>
      </c>
      <c r="AK26" s="36">
        <f t="shared" si="5"/>
        <v>2037</v>
      </c>
      <c r="AL26" s="37">
        <f>SUM(AB102:AB105)/AVERAGE(AG102:AG105)</f>
        <v>2.1636788096876789E-3</v>
      </c>
      <c r="AM26" s="6">
        <f>'Central scenario'!AM26</f>
        <v>4920541.9627627796</v>
      </c>
      <c r="AN26" s="37">
        <f>AM26/AVERAGE(AG102:AG105)</f>
        <v>5.2318493055245226E-4</v>
      </c>
      <c r="AO26" s="37">
        <f>'GDP evolution by scenario'!M101</f>
        <v>2.8928513502670006E-2</v>
      </c>
      <c r="AP26" s="37"/>
      <c r="AQ26" s="6">
        <f t="shared" si="8"/>
        <v>784654878.07017946</v>
      </c>
      <c r="AR26" s="6">
        <f t="shared" si="9"/>
        <v>482061560.10877019</v>
      </c>
      <c r="AS26" s="38">
        <f>AQ26/AG105</f>
        <v>8.2432660649054398E-2</v>
      </c>
      <c r="AT26" s="38">
        <f>AR26/AG105</f>
        <v>5.0643433319541367E-2</v>
      </c>
      <c r="AU26" s="35">
        <f>AVERAGE(AH26:AH29)</f>
        <v>-1.4549820087136093E-2</v>
      </c>
      <c r="AV26" s="5"/>
      <c r="AW26" s="5">
        <f>workers_and_wage_high!C14</f>
        <v>11482379</v>
      </c>
      <c r="AX26" s="5"/>
      <c r="AY26" s="35">
        <f t="shared" si="13"/>
        <v>-3.4299036495549604E-3</v>
      </c>
      <c r="AZ26" s="11">
        <f>workers_and_wage_high!B14</f>
        <v>6808.8492663922098</v>
      </c>
      <c r="BA26" s="35">
        <f t="shared" si="14"/>
        <v>-1.1856255725207737E-2</v>
      </c>
      <c r="BB26" s="11">
        <v>51.315371544376099</v>
      </c>
      <c r="BC26" s="40">
        <f>'Central scenario'!BC26</f>
        <v>12.3076277148944</v>
      </c>
      <c r="BD26" s="11">
        <f t="shared" si="17"/>
        <v>57.469185401823296</v>
      </c>
      <c r="BE26" s="35">
        <f t="shared" si="18"/>
        <v>-1.6664937727303264E-2</v>
      </c>
      <c r="BF26" s="5"/>
      <c r="BG26" s="5"/>
      <c r="BH26" s="5"/>
      <c r="BI26" s="35">
        <f t="shared" si="6"/>
        <v>1.5303530806720658E-2</v>
      </c>
      <c r="BJ26" s="5">
        <f t="shared" si="7"/>
        <v>2037</v>
      </c>
      <c r="BK26" s="35">
        <f>SUM(T102:T105)/AVERAGE(AG102:AG105)</f>
        <v>7.2495507615714438E-2</v>
      </c>
      <c r="BL26" s="35">
        <f>SUM(P102:P105)/AVERAGE(AG102:AG105)</f>
        <v>7.4851875421857285E-3</v>
      </c>
      <c r="BM26" s="35">
        <f>SUM(D102:D105)/AVERAGE(AG102:AG105)</f>
        <v>6.2846641263841027E-2</v>
      </c>
      <c r="BN26" s="35">
        <f>(SUM(H102:H105)+SUM(J102:J105))/AVERAGE(AG102:AG105)</f>
        <v>9.9165009248919217E-3</v>
      </c>
      <c r="BO26" s="37">
        <f t="shared" si="2"/>
        <v>-7.7528221152042432E-3</v>
      </c>
      <c r="BP26" s="26">
        <f t="shared" si="3"/>
        <v>7.2763142188732949E-2</v>
      </c>
    </row>
    <row r="27" spans="1:68" x14ac:dyDescent="0.2">
      <c r="A27" s="7">
        <f t="shared" si="15"/>
        <v>2018</v>
      </c>
      <c r="B27" s="7">
        <f t="shared" si="16"/>
        <v>2</v>
      </c>
      <c r="C27" s="9">
        <f>D27*0.081</f>
        <v>8696266.5468136724</v>
      </c>
      <c r="D27" s="56">
        <f>'High pensions'!Q27</f>
        <v>107361315.39276139</v>
      </c>
      <c r="E27" s="9"/>
      <c r="F27" s="56">
        <f>'High pensions'!I27</f>
        <v>19514189.932682369</v>
      </c>
      <c r="G27" s="56">
        <f>'High pensions'!K27</f>
        <v>211229.041623464</v>
      </c>
      <c r="H27" s="56">
        <f>'High pensions'!V27</f>
        <v>1162119.8643693947</v>
      </c>
      <c r="I27" s="56">
        <f>'High pensions'!M27</f>
        <v>6532.8569574269932</v>
      </c>
      <c r="J27" s="56">
        <f>'High pensions'!W27</f>
        <v>35941.851475343596</v>
      </c>
      <c r="K27" s="9"/>
      <c r="L27" s="56">
        <f>'High pensions'!N27</f>
        <v>3380805.3509411579</v>
      </c>
      <c r="M27" s="41"/>
      <c r="N27" s="56">
        <f>'High pensions'!L27</f>
        <v>802325.9323444739</v>
      </c>
      <c r="O27" s="9"/>
      <c r="P27" s="56">
        <f>'High pensions'!X27</f>
        <v>21957175.593044452</v>
      </c>
      <c r="Q27" s="41"/>
      <c r="R27" s="56">
        <f>'High SIPA income'!G22</f>
        <v>22133362.586404048</v>
      </c>
      <c r="S27" s="41"/>
      <c r="T27" s="56">
        <f>'High SIPA income'!J22</f>
        <v>84628830.185277969</v>
      </c>
      <c r="U27" s="9"/>
      <c r="V27" s="56">
        <f>'High SIPA income'!F22</f>
        <v>124241.716375217</v>
      </c>
      <c r="W27" s="41"/>
      <c r="X27" s="56">
        <f>'High SIPA income'!M22</f>
        <v>312059.3716537804</v>
      </c>
      <c r="Y27" s="9"/>
      <c r="Z27" s="9">
        <f t="shared" si="10"/>
        <v>-1439716.9131887369</v>
      </c>
      <c r="AA27" s="9"/>
      <c r="AB27" s="9">
        <f t="shared" si="11"/>
        <v>-44689660.800527878</v>
      </c>
      <c r="AC27" s="23"/>
      <c r="AD27" s="9">
        <f>'Central scenario'!AD27</f>
        <v>14242781391.0506</v>
      </c>
      <c r="AE27" s="9">
        <f>'Central scenario'!AE27</f>
        <v>746958.68161084899</v>
      </c>
      <c r="AF27" s="9">
        <f>'Central scenario'!AF27</f>
        <v>231.63985042710499</v>
      </c>
      <c r="AG27" s="9">
        <f>'Central scenario'!AG27</f>
        <v>5450235053.7402563</v>
      </c>
      <c r="AH27" s="42">
        <f t="shared" si="19"/>
        <v>5.5672262152905896E-2</v>
      </c>
      <c r="AI27" s="42"/>
      <c r="AJ27" s="42">
        <f t="shared" si="12"/>
        <v>-8.1995841206627101E-3</v>
      </c>
      <c r="AK27" s="43">
        <f t="shared" si="5"/>
        <v>2038</v>
      </c>
      <c r="AL27" s="44">
        <f>SUM(AB106:AB109)/AVERAGE(AG106:AG109)</f>
        <v>3.5771316909351584E-3</v>
      </c>
      <c r="AM27" s="9">
        <f>'Central scenario'!AM27</f>
        <v>4379286.2132199397</v>
      </c>
      <c r="AN27" s="44">
        <f>AM27/AVERAGE(AG106:AG109)</f>
        <v>4.50998766241763E-4</v>
      </c>
      <c r="AO27" s="44">
        <f>'GDP evolution by scenario'!M105</f>
        <v>3.245293367264046E-2</v>
      </c>
      <c r="AP27" s="44"/>
      <c r="AQ27" s="9">
        <f t="shared" si="8"/>
        <v>810119230.78410482</v>
      </c>
      <c r="AR27" s="9">
        <f t="shared" si="9"/>
        <v>493261822.69925058</v>
      </c>
      <c r="AS27" s="45">
        <f>AQ27/AG109</f>
        <v>8.2720129655723548E-2</v>
      </c>
      <c r="AT27" s="45">
        <f>AR27/AG109</f>
        <v>5.0366267553490982E-2</v>
      </c>
      <c r="AU27" s="7"/>
      <c r="AV27" s="7"/>
      <c r="AW27" s="7">
        <f>workers_and_wage_high!C15</f>
        <v>11422089</v>
      </c>
      <c r="AX27" s="7"/>
      <c r="AY27" s="42">
        <f t="shared" si="13"/>
        <v>-5.2506540674193041E-3</v>
      </c>
      <c r="AZ27" s="12">
        <f>workers_and_wage_high!B15</f>
        <v>6722.8798885740098</v>
      </c>
      <c r="BA27" s="42">
        <f t="shared" si="14"/>
        <v>-1.2626124394108137E-2</v>
      </c>
      <c r="BB27" s="12">
        <v>46.429258173358598</v>
      </c>
      <c r="BC27" s="47">
        <f>'Central scenario'!BC27</f>
        <v>10.7584829174465</v>
      </c>
      <c r="BD27" s="12">
        <f t="shared" si="17"/>
        <v>51.808499632081848</v>
      </c>
      <c r="BE27" s="42">
        <f t="shared" si="18"/>
        <v>-9.8499495515066982E-2</v>
      </c>
      <c r="BF27" s="7"/>
      <c r="BG27" s="7"/>
      <c r="BH27" s="7"/>
      <c r="BI27" s="42">
        <f t="shared" si="6"/>
        <v>1.3244414652858711E-2</v>
      </c>
      <c r="BJ27" s="7">
        <f t="shared" si="7"/>
        <v>2038</v>
      </c>
      <c r="BK27" s="42">
        <f>SUM(T106:T109)/AVERAGE(AG106:AG109)</f>
        <v>7.2759598393871014E-2</v>
      </c>
      <c r="BL27" s="42">
        <f>SUM(P106:P109)/AVERAGE(AG106:AG109)</f>
        <v>7.1616050076970727E-3</v>
      </c>
      <c r="BM27" s="42">
        <f>SUM(D106:D109)/AVERAGE(AG106:AG109)</f>
        <v>6.2020861695238787E-2</v>
      </c>
      <c r="BN27" s="42">
        <f>(SUM(H106:H109)+SUM(J106:J109))/AVERAGE(AG106:AG109)</f>
        <v>1.0288964004847247E-2</v>
      </c>
      <c r="BO27" s="44">
        <f t="shared" si="2"/>
        <v>-6.7118323139120882E-3</v>
      </c>
      <c r="BP27" s="26">
        <f t="shared" si="3"/>
        <v>7.2309825700086039E-2</v>
      </c>
    </row>
    <row r="28" spans="1:68" x14ac:dyDescent="0.2">
      <c r="A28" s="7">
        <f t="shared" si="15"/>
        <v>2018</v>
      </c>
      <c r="B28" s="7">
        <f t="shared" si="16"/>
        <v>3</v>
      </c>
      <c r="C28" s="9">
        <f>D28*0.081</f>
        <v>8132572.8167383354</v>
      </c>
      <c r="D28" s="56">
        <f>'High pensions'!Q28</f>
        <v>100402133.53997944</v>
      </c>
      <c r="E28" s="9"/>
      <c r="F28" s="56">
        <f>'High pensions'!I28</f>
        <v>18249276.253537752</v>
      </c>
      <c r="G28" s="56">
        <f>'High pensions'!K28</f>
        <v>227995.70952744599</v>
      </c>
      <c r="H28" s="56">
        <f>'High pensions'!V28</f>
        <v>1254365.1242103018</v>
      </c>
      <c r="I28" s="56">
        <f>'High pensions'!M28</f>
        <v>7051.4136967260274</v>
      </c>
      <c r="J28" s="56">
        <f>'High pensions'!W28</f>
        <v>38794.797655993636</v>
      </c>
      <c r="K28" s="9"/>
      <c r="L28" s="56">
        <f>'High pensions'!N28</f>
        <v>3200447.9181895447</v>
      </c>
      <c r="M28" s="41"/>
      <c r="N28" s="56">
        <f>'High pensions'!L28</f>
        <v>761230.52145417407</v>
      </c>
      <c r="O28" s="9"/>
      <c r="P28" s="56">
        <f>'High pensions'!X28</f>
        <v>20795205.1915012</v>
      </c>
      <c r="Q28" s="41"/>
      <c r="R28" s="56">
        <f>'High SIPA income'!G23</f>
        <v>18225209.190643813</v>
      </c>
      <c r="S28" s="41"/>
      <c r="T28" s="56">
        <f>'High SIPA income'!J23</f>
        <v>69685666.950290039</v>
      </c>
      <c r="U28" s="9"/>
      <c r="V28" s="56">
        <f>'High SIPA income'!F23</f>
        <v>112609.408176984</v>
      </c>
      <c r="W28" s="41"/>
      <c r="X28" s="56">
        <f>'High SIPA income'!M23</f>
        <v>282842.36714733113</v>
      </c>
      <c r="Y28" s="9"/>
      <c r="Z28" s="9">
        <f t="shared" si="10"/>
        <v>-3873136.0943606719</v>
      </c>
      <c r="AA28" s="9"/>
      <c r="AB28" s="9">
        <f t="shared" si="11"/>
        <v>-51511671.781190604</v>
      </c>
      <c r="AC28" s="23"/>
      <c r="AD28" s="9">
        <f>'Central scenario'!AD28</f>
        <v>14960937951.183699</v>
      </c>
      <c r="AE28" s="9">
        <f>'Central scenario'!AE28</f>
        <v>694578.46694602806</v>
      </c>
      <c r="AF28" s="9">
        <f>'Central scenario'!AF28</f>
        <v>257.384544350716</v>
      </c>
      <c r="AG28" s="9">
        <f>'Central scenario'!AG28</f>
        <v>5068039238.7415113</v>
      </c>
      <c r="AH28" s="42">
        <f t="shared" si="19"/>
        <v>-7.0124648062006203E-2</v>
      </c>
      <c r="AI28" s="42"/>
      <c r="AJ28" s="42">
        <f t="shared" si="12"/>
        <v>-1.0164023866946601E-2</v>
      </c>
      <c r="AK28" s="43">
        <f t="shared" si="5"/>
        <v>2039</v>
      </c>
      <c r="AL28" s="44">
        <f>SUM(AB110:AB113)/AVERAGE(AG110:AG113)</f>
        <v>4.5457029201457586E-3</v>
      </c>
      <c r="AM28" s="9">
        <f>'Central scenario'!AM28</f>
        <v>3887732.6916358299</v>
      </c>
      <c r="AN28" s="44">
        <f>AM28/AVERAGE(AG110:AG113)</f>
        <v>3.8977567128097631E-4</v>
      </c>
      <c r="AO28" s="44">
        <f>'GDP evolution by scenario'!M109</f>
        <v>2.7196881574554244E-2</v>
      </c>
      <c r="AP28" s="44"/>
      <c r="AQ28" s="9">
        <f t="shared" si="8"/>
        <v>832151947.56500912</v>
      </c>
      <c r="AR28" s="9">
        <f t="shared" si="9"/>
        <v>502741046.66509861</v>
      </c>
      <c r="AS28" s="45">
        <f>AQ28/AG113</f>
        <v>8.2330538507408749E-2</v>
      </c>
      <c r="AT28" s="45">
        <f>AR28/AG113</f>
        <v>4.9739643370217974E-2</v>
      </c>
      <c r="AU28" s="9"/>
      <c r="AV28" s="7"/>
      <c r="AW28" s="7">
        <f>workers_and_wage_high!C16</f>
        <v>11521794</v>
      </c>
      <c r="AX28" s="7"/>
      <c r="AY28" s="42">
        <f t="shared" si="13"/>
        <v>8.7291387766283389E-3</v>
      </c>
      <c r="AZ28" s="12">
        <f>workers_and_wage_high!B16</f>
        <v>6343.4258394606504</v>
      </c>
      <c r="BA28" s="42">
        <f t="shared" si="14"/>
        <v>-5.6442187782986757E-2</v>
      </c>
      <c r="BB28" s="12">
        <v>45.537953064162501</v>
      </c>
      <c r="BC28" s="47">
        <f>'Central scenario'!BC28</f>
        <v>11.4316580981135</v>
      </c>
      <c r="BD28" s="12">
        <f t="shared" si="17"/>
        <v>51.253782113219252</v>
      </c>
      <c r="BE28" s="42">
        <f t="shared" si="18"/>
        <v>-1.0707075533974653E-2</v>
      </c>
      <c r="BF28" s="7"/>
      <c r="BG28" s="7"/>
      <c r="BH28" s="7"/>
      <c r="BI28" s="42">
        <f t="shared" si="6"/>
        <v>1.5608121292541631E-2</v>
      </c>
      <c r="BJ28" s="7">
        <f t="shared" si="7"/>
        <v>2039</v>
      </c>
      <c r="BK28" s="42">
        <f>SUM(T110:T113)/AVERAGE(AG110:AG113)</f>
        <v>7.3161211468746337E-2</v>
      </c>
      <c r="BL28" s="42">
        <f>SUM(P110:P113)/AVERAGE(AG110:AG113)</f>
        <v>7.0739681280476184E-3</v>
      </c>
      <c r="BM28" s="42">
        <f>SUM(D110:D113)/AVERAGE(AG110:AG113)</f>
        <v>6.1541540420552966E-2</v>
      </c>
      <c r="BN28" s="42">
        <f>(SUM(H110:H113)+SUM(J110:J113))/AVERAGE(AG110:AG113)</f>
        <v>1.0765823939282581E-2</v>
      </c>
      <c r="BO28" s="44">
        <f t="shared" si="2"/>
        <v>-6.2201210191368227E-3</v>
      </c>
      <c r="BP28" s="26">
        <f t="shared" si="3"/>
        <v>7.2307364359835549E-2</v>
      </c>
    </row>
    <row r="29" spans="1:68" x14ac:dyDescent="0.2">
      <c r="A29" s="7">
        <f t="shared" si="15"/>
        <v>2018</v>
      </c>
      <c r="B29" s="7">
        <f t="shared" si="16"/>
        <v>4</v>
      </c>
      <c r="C29" s="9">
        <f>D29*0.081</f>
        <v>7440922.6788634248</v>
      </c>
      <c r="D29" s="56">
        <f>'High pensions'!Q29</f>
        <v>91863242.948931172</v>
      </c>
      <c r="E29" s="9"/>
      <c r="F29" s="56">
        <f>'High pensions'!I29</f>
        <v>16697231.811845442</v>
      </c>
      <c r="G29" s="56">
        <f>'High pensions'!K29</f>
        <v>233179.582375956</v>
      </c>
      <c r="H29" s="56">
        <f>'High pensions'!V29</f>
        <v>1282885.263133043</v>
      </c>
      <c r="I29" s="56">
        <f>'High pensions'!M29</f>
        <v>7211.7396611130098</v>
      </c>
      <c r="J29" s="56">
        <f>'High pensions'!W29</f>
        <v>39676.863808243768</v>
      </c>
      <c r="K29" s="9"/>
      <c r="L29" s="56">
        <f>'High pensions'!N29</f>
        <v>3094285.8053144412</v>
      </c>
      <c r="M29" s="41"/>
      <c r="N29" s="56">
        <f>'High pensions'!L29</f>
        <v>694867.23450499214</v>
      </c>
      <c r="O29" s="9"/>
      <c r="P29" s="56">
        <f>'High pensions'!X29</f>
        <v>19879218.258659616</v>
      </c>
      <c r="Q29" s="41"/>
      <c r="R29" s="56">
        <f>'High SIPA income'!G24</f>
        <v>19900723.849681575</v>
      </c>
      <c r="S29" s="41"/>
      <c r="T29" s="56">
        <f>'High SIPA income'!J24</f>
        <v>76092142.468824789</v>
      </c>
      <c r="U29" s="9"/>
      <c r="V29" s="56">
        <f>'High SIPA income'!F24</f>
        <v>111380.981934753</v>
      </c>
      <c r="W29" s="41"/>
      <c r="X29" s="56">
        <f>'High SIPA income'!M24</f>
        <v>279756.91459195991</v>
      </c>
      <c r="Y29" s="9"/>
      <c r="Z29" s="9">
        <f t="shared" si="10"/>
        <v>-474280.02004854567</v>
      </c>
      <c r="AA29" s="9"/>
      <c r="AB29" s="9">
        <f t="shared" si="11"/>
        <v>-35650318.738766</v>
      </c>
      <c r="AC29" s="23"/>
      <c r="AD29" s="9">
        <f>'Central scenario'!AD29</f>
        <v>16923844884.968002</v>
      </c>
      <c r="AE29" s="9">
        <f>'Central scenario'!AE29</f>
        <v>680214.58547724294</v>
      </c>
      <c r="AF29" s="9">
        <f>'Central scenario'!AF29</f>
        <v>298.099530285664</v>
      </c>
      <c r="AG29" s="9">
        <f>'Central scenario'!AG29</f>
        <v>4963232196.242033</v>
      </c>
      <c r="AH29" s="42">
        <f t="shared" si="19"/>
        <v>-2.067999823251248E-2</v>
      </c>
      <c r="AI29" s="42"/>
      <c r="AJ29" s="42">
        <f t="shared" si="12"/>
        <v>-7.1828835180749832E-3</v>
      </c>
      <c r="AK29" s="43">
        <f t="shared" si="5"/>
        <v>2040</v>
      </c>
      <c r="AL29" s="44">
        <f>SUM(AB114:AB117)/AVERAGE(AG114:AG117)</f>
        <v>5.601666229652383E-3</v>
      </c>
      <c r="AM29" s="9">
        <f>'Central scenario'!AM29</f>
        <v>3427469.19706586</v>
      </c>
      <c r="AN29" s="44">
        <f>AM29/AVERAGE(AG114:AG117)</f>
        <v>3.3412486909646931E-4</v>
      </c>
      <c r="AO29" s="44">
        <f>'GDP evolution by scenario'!M113</f>
        <v>2.8449781968706844E-2</v>
      </c>
      <c r="AP29" s="44"/>
      <c r="AQ29" s="9">
        <f t="shared" si="8"/>
        <v>855826489.03806841</v>
      </c>
      <c r="AR29" s="9">
        <f t="shared" si="9"/>
        <v>513571984.5712021</v>
      </c>
      <c r="AS29" s="45">
        <f>AQ29/AG117</f>
        <v>8.2675481308499263E-2</v>
      </c>
      <c r="AT29" s="45">
        <f>AR29/AG117</f>
        <v>4.9612639424971829E-2</v>
      </c>
      <c r="AV29" s="7"/>
      <c r="AW29" s="7">
        <f>workers_and_wage_high!C17</f>
        <v>11541231</v>
      </c>
      <c r="AX29" s="7"/>
      <c r="AY29" s="42">
        <f t="shared" si="13"/>
        <v>1.6869768718308972E-3</v>
      </c>
      <c r="AZ29" s="12">
        <f>workers_and_wage_high!B17</f>
        <v>6007.4717209044502</v>
      </c>
      <c r="BA29" s="42">
        <f t="shared" si="14"/>
        <v>-5.2960990962694805E-2</v>
      </c>
      <c r="BB29" s="12">
        <v>47.142882950167099</v>
      </c>
      <c r="BC29" s="47">
        <f>'Central scenario'!BC29</f>
        <v>12.2792900390599</v>
      </c>
      <c r="BD29" s="12">
        <f t="shared" si="17"/>
        <v>53.28252796969705</v>
      </c>
      <c r="BE29" s="42">
        <f t="shared" si="18"/>
        <v>3.9582363931627729E-2</v>
      </c>
      <c r="BF29" s="7"/>
      <c r="BG29" s="49">
        <f>(BB29-BB25)/BB25</f>
        <v>-0.10333682755921168</v>
      </c>
      <c r="BH29" s="7"/>
      <c r="BI29" s="42">
        <f t="shared" si="6"/>
        <v>1.3198663183057796E-2</v>
      </c>
      <c r="BJ29" s="7">
        <f t="shared" si="7"/>
        <v>2040</v>
      </c>
      <c r="BK29" s="42">
        <f>SUM(T114:T117)/AVERAGE(AG114:AG117)</f>
        <v>7.3214605328453461E-2</v>
      </c>
      <c r="BL29" s="42">
        <f>SUM(P114:P117)/AVERAGE(AG114:AG117)</f>
        <v>6.7842025121199806E-3</v>
      </c>
      <c r="BM29" s="42">
        <f>SUM(D114:D117)/AVERAGE(AG114:AG117)</f>
        <v>6.0828736586681101E-2</v>
      </c>
      <c r="BN29" s="42">
        <f>(SUM(H114:H117)+SUM(J114:J117))/AVERAGE(AG114:AG117)</f>
        <v>1.1028620383256188E-2</v>
      </c>
      <c r="BO29" s="44">
        <f t="shared" si="2"/>
        <v>-5.4269541536038053E-3</v>
      </c>
      <c r="BP29" s="26">
        <f t="shared" si="3"/>
        <v>7.1857356969937294E-2</v>
      </c>
    </row>
    <row r="30" spans="1:68" x14ac:dyDescent="0.2">
      <c r="A30" s="5">
        <f t="shared" si="15"/>
        <v>2019</v>
      </c>
      <c r="B30" s="5">
        <f t="shared" si="16"/>
        <v>1</v>
      </c>
      <c r="C30" s="6"/>
      <c r="D30" s="55">
        <f>'High pensions'!Q30</f>
        <v>91332937.257698551</v>
      </c>
      <c r="E30" s="6"/>
      <c r="F30" s="55">
        <f>'High pensions'!I30</f>
        <v>16600842.475116121</v>
      </c>
      <c r="G30" s="55">
        <f>'High pensions'!K30</f>
        <v>188388.56565248099</v>
      </c>
      <c r="H30" s="55">
        <f>'High pensions'!V30</f>
        <v>1036458.3046069483</v>
      </c>
      <c r="I30" s="55">
        <f>'High pensions'!M30</f>
        <v>5826.4504840970039</v>
      </c>
      <c r="J30" s="55">
        <f>'High pensions'!W30</f>
        <v>32055.411482687217</v>
      </c>
      <c r="K30" s="6"/>
      <c r="L30" s="55">
        <f>'High pensions'!N30</f>
        <v>3260724.6988664926</v>
      </c>
      <c r="M30" s="8"/>
      <c r="N30" s="55">
        <f>'High pensions'!L30</f>
        <v>691277.19299740158</v>
      </c>
      <c r="O30" s="6"/>
      <c r="P30" s="55">
        <f>'High pensions'!X30</f>
        <v>20723119.119377151</v>
      </c>
      <c r="Q30" s="8"/>
      <c r="R30" s="55">
        <f>'High SIPA income'!G25</f>
        <v>15677316.016310005</v>
      </c>
      <c r="S30" s="8"/>
      <c r="T30" s="55">
        <f>'High SIPA income'!J25</f>
        <v>59943576.567991875</v>
      </c>
      <c r="U30" s="6"/>
      <c r="V30" s="55">
        <f>'High SIPA income'!F25</f>
        <v>112841.24617785</v>
      </c>
      <c r="W30" s="8"/>
      <c r="X30" s="55">
        <f>'High SIPA income'!M25</f>
        <v>283424.67736475618</v>
      </c>
      <c r="Y30" s="6"/>
      <c r="Z30" s="6">
        <f t="shared" si="10"/>
        <v>-4762687.1044921596</v>
      </c>
      <c r="AA30" s="6"/>
      <c r="AB30" s="6">
        <f t="shared" si="11"/>
        <v>-52112479.809083827</v>
      </c>
      <c r="AC30" s="23"/>
      <c r="AD30" s="6">
        <f>'Central scenario'!AD30</f>
        <v>17555535048.112301</v>
      </c>
      <c r="AE30" s="6">
        <f>'Central scenario'!AE30</f>
        <v>666284.64985939302</v>
      </c>
      <c r="AF30" s="6">
        <f>'Central scenario'!AF30</f>
        <v>326.494679287868</v>
      </c>
      <c r="AG30" s="6">
        <f>'Central scenario'!AG30</f>
        <v>4861591469.2917519</v>
      </c>
      <c r="AH30" s="35">
        <f t="shared" si="19"/>
        <v>-2.0478737026899438E-2</v>
      </c>
      <c r="AI30" s="35"/>
      <c r="AJ30" s="35">
        <f t="shared" si="12"/>
        <v>-1.0719222324264054E-2</v>
      </c>
      <c r="AK30" s="5"/>
      <c r="AL30" s="5"/>
      <c r="AM30" s="6"/>
      <c r="AN30" s="5"/>
      <c r="AO30" s="5"/>
      <c r="AP30" s="5"/>
      <c r="AQ30" s="5"/>
      <c r="AR30" s="50">
        <f>(AR29-AR6)/AR6</f>
        <v>-0.11556115785421417</v>
      </c>
      <c r="AS30" s="5"/>
      <c r="AT30" s="5"/>
      <c r="AU30" s="35">
        <f>AVERAGE(AH30:AH33)</f>
        <v>-1.5781212837801404E-2</v>
      </c>
      <c r="AV30" s="5"/>
      <c r="AW30" s="5">
        <f>workers_and_wage_high!C18</f>
        <v>11452454</v>
      </c>
      <c r="AX30" s="5"/>
      <c r="AY30" s="35">
        <f t="shared" si="13"/>
        <v>-7.6921603943288196E-3</v>
      </c>
      <c r="AZ30" s="11">
        <f>workers_and_wage_high!B18</f>
        <v>5985.3012361073797</v>
      </c>
      <c r="BA30" s="35">
        <f t="shared" si="14"/>
        <v>-3.6904850870829566E-3</v>
      </c>
      <c r="BB30" s="11">
        <v>48.222214917215901</v>
      </c>
      <c r="BC30" s="40">
        <f>'Central scenario'!BC30</f>
        <v>13.7158643683573</v>
      </c>
      <c r="BD30" s="11">
        <f t="shared" si="17"/>
        <v>55.080147101394552</v>
      </c>
      <c r="BE30" s="35">
        <f t="shared" si="18"/>
        <v>3.3737497078213829E-2</v>
      </c>
      <c r="BF30" s="5"/>
      <c r="BG30" s="5"/>
      <c r="BH30" s="5"/>
      <c r="BI30" s="35">
        <f t="shared" si="6"/>
        <v>1.5318166634973712E-2</v>
      </c>
      <c r="BJ30" s="5"/>
      <c r="BK30" s="5"/>
      <c r="BL30" s="5"/>
      <c r="BM30" s="5"/>
      <c r="BN30" s="5"/>
      <c r="BO30" s="5"/>
      <c r="BP30" s="5"/>
    </row>
    <row r="31" spans="1:68" x14ac:dyDescent="0.2">
      <c r="A31" s="7">
        <f t="shared" si="15"/>
        <v>2019</v>
      </c>
      <c r="B31" s="7">
        <f t="shared" si="16"/>
        <v>2</v>
      </c>
      <c r="C31" s="9"/>
      <c r="D31" s="56">
        <f>'High pensions'!Q31</f>
        <v>92228073.428879574</v>
      </c>
      <c r="E31" s="9"/>
      <c r="F31" s="56">
        <f>'High pensions'!I31</f>
        <v>16763544.070156546</v>
      </c>
      <c r="G31" s="56">
        <f>'High pensions'!K31</f>
        <v>191156.21622665401</v>
      </c>
      <c r="H31" s="56">
        <f>'High pensions'!V31</f>
        <v>1051685.1014771119</v>
      </c>
      <c r="I31" s="56">
        <f>'High pensions'!M31</f>
        <v>5912.0479245359893</v>
      </c>
      <c r="J31" s="56">
        <f>'High pensions'!W31</f>
        <v>32526.34334465459</v>
      </c>
      <c r="K31" s="9"/>
      <c r="L31" s="56">
        <f>'High pensions'!N31</f>
        <v>2980423.458854272</v>
      </c>
      <c r="M31" s="41"/>
      <c r="N31" s="56">
        <f>'High pensions'!L31</f>
        <v>699056.98160726391</v>
      </c>
      <c r="O31" s="9"/>
      <c r="P31" s="56">
        <f>'High pensions'!X31</f>
        <v>19311436.753980428</v>
      </c>
      <c r="Q31" s="41"/>
      <c r="R31" s="56">
        <f>'High SIPA income'!G26</f>
        <v>18568874.920729809</v>
      </c>
      <c r="S31" s="41"/>
      <c r="T31" s="56">
        <f>'High SIPA income'!J26</f>
        <v>70999702.655366898</v>
      </c>
      <c r="U31" s="9"/>
      <c r="V31" s="56">
        <f>'High SIPA income'!F26</f>
        <v>111367.371902844</v>
      </c>
      <c r="W31" s="41"/>
      <c r="X31" s="56">
        <f>'High SIPA income'!M26</f>
        <v>279722.73011568555</v>
      </c>
      <c r="Y31" s="9"/>
      <c r="Z31" s="9">
        <f t="shared" si="10"/>
        <v>-1762782.2179854307</v>
      </c>
      <c r="AA31" s="9"/>
      <c r="AB31" s="9">
        <f t="shared" si="11"/>
        <v>-40539807.527493104</v>
      </c>
      <c r="AC31" s="23"/>
      <c r="AD31" s="9">
        <f>'Central scenario'!AD31</f>
        <v>21502303713.3428</v>
      </c>
      <c r="AE31" s="9">
        <f>'Central scenario'!AE31</f>
        <v>751809.18971574702</v>
      </c>
      <c r="AF31" s="9">
        <f>'Central scenario'!AF31</f>
        <v>364.36140508200901</v>
      </c>
      <c r="AG31" s="9">
        <f>'Central scenario'!AG31</f>
        <v>5485627117.5218229</v>
      </c>
      <c r="AH31" s="42">
        <f t="shared" si="19"/>
        <v>0.12836036350890298</v>
      </c>
      <c r="AI31" s="42"/>
      <c r="AJ31" s="42">
        <f t="shared" si="12"/>
        <v>-7.3901865108555349E-3</v>
      </c>
      <c r="AK31" s="7"/>
      <c r="AL31" s="7"/>
      <c r="AM31" s="9"/>
      <c r="AN31" s="7"/>
      <c r="AO31" s="7"/>
      <c r="AP31" s="7"/>
      <c r="AQ31" s="7"/>
      <c r="AR31" s="7"/>
      <c r="AS31" s="7"/>
      <c r="AT31" s="7"/>
      <c r="AU31" s="7"/>
      <c r="AV31" s="7"/>
      <c r="AW31" s="7">
        <f>workers_and_wage_high!C19</f>
        <v>11485377</v>
      </c>
      <c r="AX31" s="7"/>
      <c r="AY31" s="42">
        <f t="shared" si="13"/>
        <v>2.8747550524979189E-3</v>
      </c>
      <c r="AZ31" s="12">
        <f>workers_and_wage_high!B19</f>
        <v>5958.1163570190702</v>
      </c>
      <c r="BA31" s="42">
        <f t="shared" si="14"/>
        <v>-4.5419399986607219E-3</v>
      </c>
      <c r="BB31" s="12">
        <v>42.462046450139397</v>
      </c>
      <c r="BC31" s="47">
        <f>'Central scenario'!BC31</f>
        <v>11.539586945375801</v>
      </c>
      <c r="BD31" s="12">
        <f t="shared" si="17"/>
        <v>48.231839922827298</v>
      </c>
      <c r="BE31" s="42">
        <f t="shared" si="18"/>
        <v>-0.12433349471562805</v>
      </c>
      <c r="BF31" s="7"/>
      <c r="BG31" s="7"/>
      <c r="BH31" s="7"/>
      <c r="BI31" s="42">
        <f t="shared" si="6"/>
        <v>1.3705349678970236E-2</v>
      </c>
      <c r="BJ31" s="7"/>
      <c r="BK31" s="7"/>
      <c r="BL31" s="7"/>
      <c r="BM31" s="7"/>
      <c r="BN31" s="7"/>
      <c r="BO31" s="7"/>
      <c r="BP31" s="7"/>
    </row>
    <row r="32" spans="1:68" x14ac:dyDescent="0.2">
      <c r="A32" s="7">
        <f t="shared" si="15"/>
        <v>2019</v>
      </c>
      <c r="B32" s="7">
        <f t="shared" si="16"/>
        <v>3</v>
      </c>
      <c r="C32" s="9">
        <f>SUM(C26:C29)</f>
        <v>32912032.111153286</v>
      </c>
      <c r="D32" s="56">
        <f>'High pensions'!Q32</f>
        <v>94296877.891667843</v>
      </c>
      <c r="E32" s="9"/>
      <c r="F32" s="56">
        <f>'High pensions'!I32</f>
        <v>17139573.77017225</v>
      </c>
      <c r="G32" s="56">
        <f>'High pensions'!K32</f>
        <v>182370.88942965001</v>
      </c>
      <c r="H32" s="56">
        <f>'High pensions'!V32</f>
        <v>1003350.8255304612</v>
      </c>
      <c r="I32" s="56">
        <f>'High pensions'!M32</f>
        <v>5640.3367864839965</v>
      </c>
      <c r="J32" s="56">
        <f>'High pensions'!W32</f>
        <v>31031.468830838872</v>
      </c>
      <c r="K32" s="9"/>
      <c r="L32" s="56">
        <f>'High pensions'!N32</f>
        <v>2896025.9291158468</v>
      </c>
      <c r="M32" s="41"/>
      <c r="N32" s="56">
        <f>'High pensions'!L32</f>
        <v>716197.40540731698</v>
      </c>
      <c r="O32" s="9"/>
      <c r="P32" s="56">
        <f>'High pensions'!X32</f>
        <v>18967799.125464037</v>
      </c>
      <c r="Q32" s="41"/>
      <c r="R32" s="56">
        <f>'High SIPA income'!G27</f>
        <v>15918928.072957322</v>
      </c>
      <c r="S32" s="41"/>
      <c r="T32" s="56">
        <f>'High SIPA income'!J27</f>
        <v>60867401.207510583</v>
      </c>
      <c r="U32" s="9"/>
      <c r="V32" s="56">
        <f>'High SIPA income'!F27</f>
        <v>110090.445964971</v>
      </c>
      <c r="W32" s="41"/>
      <c r="X32" s="56">
        <f>'High SIPA income'!M27</f>
        <v>276515.46030771191</v>
      </c>
      <c r="Y32" s="9"/>
      <c r="Z32" s="9">
        <f t="shared" si="10"/>
        <v>-4722778.5857731197</v>
      </c>
      <c r="AA32" s="9"/>
      <c r="AB32" s="9">
        <f t="shared" si="11"/>
        <v>-52397275.809621297</v>
      </c>
      <c r="AC32" s="23"/>
      <c r="AD32" s="9"/>
      <c r="AE32" s="9"/>
      <c r="AF32" s="9"/>
      <c r="AG32" s="9">
        <f>'Central scenario'!AG32</f>
        <v>5069990023.3072987</v>
      </c>
      <c r="AH32" s="42">
        <f t="shared" si="19"/>
        <v>-7.5768382595113704E-2</v>
      </c>
      <c r="AI32" s="42"/>
      <c r="AJ32" s="42">
        <f t="shared" si="12"/>
        <v>-1.0334788740953196E-2</v>
      </c>
      <c r="AK32" s="7"/>
      <c r="AL32" s="7"/>
      <c r="AM32" s="9"/>
      <c r="AN32" s="7"/>
      <c r="AO32" s="7"/>
      <c r="AP32" s="7"/>
      <c r="AQ32" s="7"/>
      <c r="AR32" s="7"/>
      <c r="AS32" s="7"/>
      <c r="AT32" s="7"/>
      <c r="AU32" s="9"/>
      <c r="AV32" s="7"/>
      <c r="AW32" s="7">
        <f>workers_and_wage_high!C20</f>
        <v>11448803</v>
      </c>
      <c r="AX32" s="7"/>
      <c r="AY32" s="42">
        <f t="shared" si="13"/>
        <v>-3.1843969945435837E-3</v>
      </c>
      <c r="AZ32" s="12">
        <f>workers_and_wage_high!B20</f>
        <v>5902.8722335044604</v>
      </c>
      <c r="BA32" s="42">
        <f t="shared" si="14"/>
        <v>-9.2720786578007006E-3</v>
      </c>
      <c r="BB32" s="12">
        <f>(4*45-(BB30+BB31))/2</f>
        <v>44.657869316322348</v>
      </c>
      <c r="BC32" s="47">
        <f>'Central scenario'!BC32</f>
        <v>11.37227434313345</v>
      </c>
      <c r="BD32" s="12">
        <f t="shared" si="17"/>
        <v>50.344006487889075</v>
      </c>
      <c r="BE32" s="42">
        <f t="shared" si="18"/>
        <v>4.3791955033051222E-2</v>
      </c>
      <c r="BF32" s="7"/>
      <c r="BG32" s="7"/>
      <c r="BH32" s="7"/>
      <c r="BI32" s="42">
        <f t="shared" si="6"/>
        <v>1.6287063516097915E-2</v>
      </c>
      <c r="BJ32" s="7"/>
      <c r="BK32" s="7"/>
      <c r="BL32" s="7"/>
      <c r="BM32" s="7"/>
      <c r="BN32" s="7"/>
      <c r="BO32" s="7"/>
      <c r="BP32" s="7"/>
    </row>
    <row r="33" spans="1:68" x14ac:dyDescent="0.2">
      <c r="A33" s="7">
        <f t="shared" si="15"/>
        <v>2019</v>
      </c>
      <c r="B33" s="7">
        <f t="shared" si="16"/>
        <v>4</v>
      </c>
      <c r="C33" s="9"/>
      <c r="D33" s="56">
        <f>'High pensions'!Q33</f>
        <v>93072114.003382877</v>
      </c>
      <c r="E33" s="9"/>
      <c r="F33" s="56">
        <f>'High pensions'!I33</f>
        <v>16916958.435670722</v>
      </c>
      <c r="G33" s="56">
        <f>'High pensions'!K33</f>
        <v>188855.82304827901</v>
      </c>
      <c r="H33" s="56">
        <f>'High pensions'!V33</f>
        <v>1039029.016935409</v>
      </c>
      <c r="I33" s="56">
        <f>'High pensions'!M33</f>
        <v>5840.9017437610019</v>
      </c>
      <c r="J33" s="56">
        <f>'High pensions'!W33</f>
        <v>32134.91804954761</v>
      </c>
      <c r="K33" s="9"/>
      <c r="L33" s="56">
        <f>'High pensions'!N33</f>
        <v>3098515.7822725275</v>
      </c>
      <c r="M33" s="41"/>
      <c r="N33" s="56">
        <f>'High pensions'!L33</f>
        <v>707971.21136853844</v>
      </c>
      <c r="O33" s="9"/>
      <c r="P33" s="56">
        <f>'High pensions'!X33</f>
        <v>19973261.843608588</v>
      </c>
      <c r="Q33" s="41"/>
      <c r="R33" s="56">
        <f>'High SIPA income'!G28</f>
        <v>18359553.455630261</v>
      </c>
      <c r="S33" s="41"/>
      <c r="T33" s="56">
        <f>'High SIPA income'!J28</f>
        <v>70199343.891311556</v>
      </c>
      <c r="U33" s="9"/>
      <c r="V33" s="56">
        <f>'High SIPA income'!F28</f>
        <v>109378.803212193</v>
      </c>
      <c r="W33" s="41"/>
      <c r="X33" s="56">
        <f>'High SIPA income'!M28</f>
        <v>274728.01888503233</v>
      </c>
      <c r="Y33" s="9"/>
      <c r="Z33" s="9">
        <f t="shared" si="10"/>
        <v>-2254513.1704693343</v>
      </c>
      <c r="AA33" s="9"/>
      <c r="AB33" s="9">
        <f t="shared" si="11"/>
        <v>-42846031.955679908</v>
      </c>
      <c r="AC33" s="23"/>
      <c r="AD33" s="9"/>
      <c r="AE33" s="9"/>
      <c r="AF33" s="9"/>
      <c r="AG33" s="9">
        <f>'Central scenario'!AG33</f>
        <v>4587133830.6113644</v>
      </c>
      <c r="AH33" s="42">
        <f t="shared" si="19"/>
        <v>-9.5238095238095455E-2</v>
      </c>
      <c r="AI33" s="42">
        <f>(AG33-AG29)/AG29</f>
        <v>-7.5776903187289066E-2</v>
      </c>
      <c r="AJ33" s="42">
        <f t="shared" si="12"/>
        <v>-9.3404800334699351E-3</v>
      </c>
      <c r="AK33" s="7"/>
      <c r="AL33" s="7"/>
      <c r="AM33" s="9"/>
      <c r="AN33" s="7"/>
      <c r="AO33" s="7"/>
      <c r="AP33" s="7"/>
      <c r="AQ33" s="7"/>
      <c r="AR33" s="7"/>
      <c r="AS33" s="7"/>
      <c r="AT33" s="7"/>
      <c r="AV33" s="7"/>
      <c r="AW33" s="7">
        <f>workers_and_wage_high!C21</f>
        <v>11547846</v>
      </c>
      <c r="AX33" s="7"/>
      <c r="AY33" s="42">
        <f t="shared" si="13"/>
        <v>8.6509480510757325E-3</v>
      </c>
      <c r="AZ33" s="12">
        <f>workers_and_wage_high!B21</f>
        <v>5859.5579769047199</v>
      </c>
      <c r="BA33" s="42">
        <f t="shared" si="14"/>
        <v>-7.3378272282246821E-3</v>
      </c>
      <c r="BB33" s="12">
        <f>BB32</f>
        <v>44.657869316322348</v>
      </c>
      <c r="BC33" s="47">
        <f>'Central scenario'!BC33</f>
        <v>11.37227434313345</v>
      </c>
      <c r="BD33" s="12">
        <f t="shared" si="17"/>
        <v>50.344006487889075</v>
      </c>
      <c r="BE33" s="42">
        <f t="shared" si="18"/>
        <v>0</v>
      </c>
      <c r="BF33" s="7"/>
      <c r="BG33" s="49">
        <f>(BB33-BB29)/BB29</f>
        <v>-5.2712381558666282E-2</v>
      </c>
      <c r="BH33" s="7"/>
      <c r="BI33" s="42">
        <f t="shared" si="6"/>
        <v>1.4565873093663374E-2</v>
      </c>
      <c r="BJ33" s="7"/>
      <c r="BK33" s="7"/>
      <c r="BL33" s="7"/>
      <c r="BM33" s="7"/>
      <c r="BN33" s="7"/>
      <c r="BO33" s="7"/>
      <c r="BP33" s="7"/>
    </row>
    <row r="34" spans="1:68" x14ac:dyDescent="0.2">
      <c r="A34" s="5">
        <f t="shared" si="15"/>
        <v>2020</v>
      </c>
      <c r="B34" s="5">
        <f t="shared" si="16"/>
        <v>1</v>
      </c>
      <c r="C34" s="6"/>
      <c r="D34" s="55">
        <f>'High pensions'!Q34</f>
        <v>103274627.87276714</v>
      </c>
      <c r="E34" s="6"/>
      <c r="F34" s="55">
        <f>'High pensions'!I34</f>
        <v>18771386.100883681</v>
      </c>
      <c r="G34" s="55">
        <f>'High pensions'!K34</f>
        <v>207611.34248252001</v>
      </c>
      <c r="H34" s="55">
        <f>'High pensions'!V34</f>
        <v>1142216.3510897316</v>
      </c>
      <c r="I34" s="55">
        <f>'High pensions'!M34</f>
        <v>6420.9693551289965</v>
      </c>
      <c r="J34" s="55">
        <f>'High pensions'!W34</f>
        <v>35326.278899679739</v>
      </c>
      <c r="K34" s="6"/>
      <c r="L34" s="55">
        <f>'High pensions'!N34</f>
        <v>3396317.5537646306</v>
      </c>
      <c r="M34" s="8"/>
      <c r="N34" s="55">
        <f>'High pensions'!L34</f>
        <v>700257.25293666869</v>
      </c>
      <c r="O34" s="6"/>
      <c r="P34" s="55">
        <f>'High pensions'!X34</f>
        <v>21476116.728264719</v>
      </c>
      <c r="Q34" s="8"/>
      <c r="R34" s="55">
        <f>'High SIPA income'!G29</f>
        <v>16456964.196641853</v>
      </c>
      <c r="S34" s="8"/>
      <c r="T34" s="55">
        <f>'High SIPA income'!J29</f>
        <v>62924628.958923891</v>
      </c>
      <c r="U34" s="6"/>
      <c r="V34" s="55">
        <f>'High SIPA income'!F29</f>
        <v>110520.360172067</v>
      </c>
      <c r="W34" s="8"/>
      <c r="X34" s="55">
        <f>'High SIPA income'!M29</f>
        <v>277595.28084823181</v>
      </c>
      <c r="Y34" s="6"/>
      <c r="Z34" s="6">
        <f t="shared" si="10"/>
        <v>-6300476.3507710602</v>
      </c>
      <c r="AA34" s="6"/>
      <c r="AB34" s="6">
        <f t="shared" si="11"/>
        <v>-61826115.642107964</v>
      </c>
      <c r="AC34" s="23"/>
      <c r="AD34" s="6"/>
      <c r="AE34" s="6"/>
      <c r="AF34" s="6"/>
      <c r="AG34" s="6">
        <f>'Central scenario'!AG34</f>
        <v>4751031329.6739063</v>
      </c>
      <c r="AH34" s="35">
        <f t="shared" si="19"/>
        <v>3.5729827189432149E-2</v>
      </c>
      <c r="AI34" s="35"/>
      <c r="AJ34" s="35">
        <f t="shared" si="12"/>
        <v>-1.3013198893460356E-2</v>
      </c>
      <c r="AK34" s="5"/>
      <c r="AL34" s="5"/>
      <c r="AM34" s="6"/>
      <c r="AN34" s="5"/>
      <c r="AO34" s="5"/>
      <c r="AP34" s="5"/>
      <c r="AQ34" s="5"/>
      <c r="AR34" s="5"/>
      <c r="AS34" s="5"/>
      <c r="AT34" s="5"/>
      <c r="AU34" s="35">
        <f>AVERAGE(AH34:AH37)</f>
        <v>3.4429477961901704E-2</v>
      </c>
      <c r="AV34" s="5"/>
      <c r="AW34" s="5">
        <f>workers_and_wage_high!C22</f>
        <v>11550904</v>
      </c>
      <c r="AX34" s="5"/>
      <c r="AY34" s="35">
        <f t="shared" si="13"/>
        <v>2.6481129034800085E-4</v>
      </c>
      <c r="AZ34" s="11">
        <f>workers_and_wage_high!B22</f>
        <v>5959.3095259096999</v>
      </c>
      <c r="BA34" s="35">
        <f t="shared" si="14"/>
        <v>1.7023732745396133E-2</v>
      </c>
      <c r="BB34" s="11">
        <f>BB33*3/4+BB37*1/4</f>
        <v>45.493401987241761</v>
      </c>
      <c r="BC34" s="40">
        <f>'Central scenario'!BC34</f>
        <v>11.37227434313345</v>
      </c>
      <c r="BD34" s="11">
        <f t="shared" si="17"/>
        <v>51.179539158808488</v>
      </c>
      <c r="BE34" s="35">
        <f t="shared" si="18"/>
        <v>1.6596467567999706E-2</v>
      </c>
      <c r="BF34" s="5"/>
      <c r="BG34" s="5"/>
      <c r="BH34" s="5"/>
      <c r="BI34" s="35">
        <f t="shared" si="6"/>
        <v>1.7273414410962012E-2</v>
      </c>
      <c r="BJ34" s="5"/>
      <c r="BK34" s="5"/>
      <c r="BL34" s="5"/>
      <c r="BM34" s="5"/>
      <c r="BN34" s="5"/>
      <c r="BO34" s="5"/>
      <c r="BP34" s="5"/>
    </row>
    <row r="35" spans="1:68" x14ac:dyDescent="0.2">
      <c r="A35" s="7">
        <f t="shared" si="15"/>
        <v>2020</v>
      </c>
      <c r="B35" s="7">
        <f t="shared" si="16"/>
        <v>2</v>
      </c>
      <c r="C35" s="9"/>
      <c r="D35" s="56">
        <f>'High pensions'!Q35</f>
        <v>92052272.500338361</v>
      </c>
      <c r="E35" s="9"/>
      <c r="F35" s="56">
        <f>'High pensions'!I35</f>
        <v>16731590.170399033</v>
      </c>
      <c r="G35" s="56">
        <f>'High pensions'!K35</f>
        <v>231326.713951368</v>
      </c>
      <c r="H35" s="56">
        <f>'High pensions'!V35</f>
        <v>1272691.3277455268</v>
      </c>
      <c r="I35" s="56">
        <f>'High pensions'!M35</f>
        <v>7154.4344521040039</v>
      </c>
      <c r="J35" s="56">
        <f>'High pensions'!W35</f>
        <v>39361.587456046334</v>
      </c>
      <c r="K35" s="9"/>
      <c r="L35" s="56">
        <f>'High pensions'!N35</f>
        <v>2487678.499609834</v>
      </c>
      <c r="M35" s="41"/>
      <c r="N35" s="56">
        <f>'High pensions'!L35</f>
        <v>702118.3715322949</v>
      </c>
      <c r="O35" s="9"/>
      <c r="P35" s="56">
        <f>'High pensions'!X35</f>
        <v>16771423.682161519</v>
      </c>
      <c r="Q35" s="41"/>
      <c r="R35" s="56">
        <f>'High SIPA income'!G30</f>
        <v>19904377.372026794</v>
      </c>
      <c r="S35" s="41"/>
      <c r="T35" s="56">
        <f>'High SIPA income'!J30</f>
        <v>76106112.028168723</v>
      </c>
      <c r="U35" s="9"/>
      <c r="V35" s="56">
        <f>'High SIPA income'!F30</f>
        <v>110302.276286578</v>
      </c>
      <c r="W35" s="41"/>
      <c r="X35" s="56">
        <f>'High SIPA income'!M30</f>
        <v>277047.5170032123</v>
      </c>
      <c r="Y35" s="9"/>
      <c r="Z35" s="9">
        <f t="shared" si="10"/>
        <v>93292.606772210449</v>
      </c>
      <c r="AA35" s="9"/>
      <c r="AB35" s="9">
        <f t="shared" si="11"/>
        <v>-32717584.154331155</v>
      </c>
      <c r="AC35" s="23"/>
      <c r="AD35" s="9"/>
      <c r="AE35" s="9"/>
      <c r="AF35" s="9"/>
      <c r="AG35" s="9">
        <f>'Central scenario'!AG35</f>
        <v>4876058469.928483</v>
      </c>
      <c r="AH35" s="42">
        <f t="shared" si="19"/>
        <v>2.6315789473684254E-2</v>
      </c>
      <c r="AI35" s="42"/>
      <c r="AJ35" s="42">
        <f t="shared" si="12"/>
        <v>-6.709842459048901E-3</v>
      </c>
      <c r="AK35" s="7"/>
      <c r="AL35" s="7"/>
      <c r="AM35" s="58"/>
      <c r="AN35" s="7"/>
      <c r="AO35" s="7"/>
      <c r="AP35" s="7"/>
      <c r="AQ35" s="7"/>
      <c r="AR35" s="7"/>
      <c r="AS35" s="7"/>
      <c r="AT35" s="7"/>
      <c r="AU35" s="7"/>
      <c r="AV35" s="7"/>
      <c r="AW35" s="7">
        <f>workers_and_wage_high!C23</f>
        <v>11598921</v>
      </c>
      <c r="AX35" s="7"/>
      <c r="AY35" s="42">
        <f t="shared" si="13"/>
        <v>4.1569906563157311E-3</v>
      </c>
      <c r="AZ35" s="12">
        <f>workers_and_wage_high!B23</f>
        <v>6078.9660271360599</v>
      </c>
      <c r="BA35" s="42">
        <f t="shared" si="14"/>
        <v>2.0078920335673316E-2</v>
      </c>
      <c r="BB35" s="12">
        <f>BB33*2/4+BB37*2/4</f>
        <v>46.328934658161174</v>
      </c>
      <c r="BC35" s="47">
        <f>'Central scenario'!BC35</f>
        <v>11.37227434313345</v>
      </c>
      <c r="BD35" s="12">
        <f t="shared" si="17"/>
        <v>52.015071829727901</v>
      </c>
      <c r="BE35" s="42">
        <f t="shared" si="18"/>
        <v>1.6325521578589797E-2</v>
      </c>
      <c r="BF35" s="7"/>
      <c r="BG35" s="7">
        <f>AVERAGE(BF34:BF37)</f>
        <v>100</v>
      </c>
      <c r="BH35" s="7"/>
      <c r="BI35" s="42">
        <f t="shared" si="6"/>
        <v>1.506728352023832E-2</v>
      </c>
      <c r="BJ35" s="7"/>
      <c r="BK35" s="7"/>
      <c r="BL35" s="7"/>
      <c r="BM35" s="7"/>
      <c r="BN35" s="7"/>
      <c r="BO35" s="7"/>
      <c r="BP35" s="7"/>
    </row>
    <row r="36" spans="1:68" x14ac:dyDescent="0.2">
      <c r="A36" s="7">
        <f t="shared" si="15"/>
        <v>2020</v>
      </c>
      <c r="B36" s="7">
        <f t="shared" si="16"/>
        <v>3</v>
      </c>
      <c r="C36" s="9"/>
      <c r="D36" s="56">
        <f>'High pensions'!Q36</f>
        <v>91469536.157502636</v>
      </c>
      <c r="E36" s="9"/>
      <c r="F36" s="56">
        <f>'High pensions'!I36</f>
        <v>16625670.942107426</v>
      </c>
      <c r="G36" s="56">
        <f>'High pensions'!K36</f>
        <v>255153.858561473</v>
      </c>
      <c r="H36" s="56">
        <f>'High pensions'!V36</f>
        <v>1403781.2472461096</v>
      </c>
      <c r="I36" s="56">
        <f>'High pensions'!M36</f>
        <v>7891.3564503550006</v>
      </c>
      <c r="J36" s="56">
        <f>'High pensions'!W36</f>
        <v>43415.914863282655</v>
      </c>
      <c r="K36" s="9"/>
      <c r="L36" s="56">
        <f>'High pensions'!N36</f>
        <v>2399312.6634905371</v>
      </c>
      <c r="M36" s="41"/>
      <c r="N36" s="56">
        <f>'High pensions'!L36</f>
        <v>700455.25605274551</v>
      </c>
      <c r="O36" s="9"/>
      <c r="P36" s="56">
        <f>'High pensions'!X36</f>
        <v>16303742.967794891</v>
      </c>
      <c r="Q36" s="41"/>
      <c r="R36" s="56">
        <f>'High SIPA income'!G31</f>
        <v>17694861.249561552</v>
      </c>
      <c r="S36" s="41"/>
      <c r="T36" s="56">
        <f>'High SIPA income'!J31</f>
        <v>67657835.631404355</v>
      </c>
      <c r="U36" s="9"/>
      <c r="V36" s="56">
        <f>'High SIPA income'!F31</f>
        <v>117221.819912354</v>
      </c>
      <c r="W36" s="41"/>
      <c r="X36" s="56">
        <f>'High SIPA income'!M31</f>
        <v>294427.41563137795</v>
      </c>
      <c r="Y36" s="9"/>
      <c r="Z36" s="9">
        <f t="shared" si="10"/>
        <v>-1913355.7921768036</v>
      </c>
      <c r="AA36" s="9"/>
      <c r="AB36" s="9">
        <f t="shared" si="11"/>
        <v>-40115443.493893176</v>
      </c>
      <c r="AC36" s="23"/>
      <c r="AD36" s="9"/>
      <c r="AE36" s="9"/>
      <c r="AF36" s="9"/>
      <c r="AG36" s="9">
        <f>'Central scenario'!AG36</f>
        <v>5126112750.4376354</v>
      </c>
      <c r="AH36" s="42">
        <f t="shared" si="19"/>
        <v>5.1282051282051169E-2</v>
      </c>
      <c r="AI36" s="42"/>
      <c r="AJ36" s="42">
        <f t="shared" si="12"/>
        <v>-7.8257044756708423E-3</v>
      </c>
      <c r="AK36" s="7"/>
      <c r="AL36" s="7"/>
      <c r="AU36" s="9"/>
      <c r="AW36" s="7">
        <f>workers_and_wage_high!C24</f>
        <v>11592267</v>
      </c>
      <c r="AY36" s="42">
        <f t="shared" si="13"/>
        <v>-5.73674051232869E-4</v>
      </c>
      <c r="AZ36" s="12">
        <f>workers_and_wage_high!B24</f>
        <v>6198.2249635215903</v>
      </c>
      <c r="BA36" s="42">
        <f t="shared" si="14"/>
        <v>1.9618292955276811E-2</v>
      </c>
      <c r="BB36" s="12">
        <f>BB33*1/4+BB37*3/4</f>
        <v>47.164467329080587</v>
      </c>
      <c r="BC36" s="47">
        <f>'Central scenario'!BC36</f>
        <v>11.37227434313345</v>
      </c>
      <c r="BD36" s="12">
        <f t="shared" si="17"/>
        <v>52.850604500647314</v>
      </c>
      <c r="BE36" s="42">
        <f t="shared" si="18"/>
        <v>1.6063280151847881E-2</v>
      </c>
      <c r="BF36" s="7"/>
      <c r="BG36" s="7"/>
      <c r="BI36" s="42">
        <f t="shared" si="6"/>
        <v>1.7137307309550726E-2</v>
      </c>
    </row>
    <row r="37" spans="1:68" x14ac:dyDescent="0.2">
      <c r="A37" s="7">
        <f t="shared" si="15"/>
        <v>2020</v>
      </c>
      <c r="B37" s="7">
        <f t="shared" si="16"/>
        <v>4</v>
      </c>
      <c r="C37" s="9"/>
      <c r="D37" s="56">
        <f>'High pensions'!Q37</f>
        <v>93571159.455930263</v>
      </c>
      <c r="E37" s="9"/>
      <c r="F37" s="56">
        <f>'High pensions'!I37</f>
        <v>17007665.853984524</v>
      </c>
      <c r="G37" s="56">
        <f>'High pensions'!K37</f>
        <v>280577.49482957798</v>
      </c>
      <c r="H37" s="56">
        <f>'High pensions'!V37</f>
        <v>1543654.5928078168</v>
      </c>
      <c r="I37" s="56">
        <f>'High pensions'!M37</f>
        <v>8677.6544792650384</v>
      </c>
      <c r="J37" s="56">
        <f>'High pensions'!W37</f>
        <v>47741.894622920736</v>
      </c>
      <c r="K37" s="9"/>
      <c r="L37" s="56">
        <f>'High pensions'!N37</f>
        <v>2369556.9229735835</v>
      </c>
      <c r="M37" s="41"/>
      <c r="N37" s="56">
        <f>'High pensions'!L37</f>
        <v>717998.83180853352</v>
      </c>
      <c r="O37" s="9"/>
      <c r="P37" s="56">
        <f>'High pensions'!X37</f>
        <v>16245859.866416249</v>
      </c>
      <c r="Q37" s="41"/>
      <c r="R37" s="56">
        <f>'High SIPA income'!G32</f>
        <v>21037272.795340504</v>
      </c>
      <c r="S37" s="41"/>
      <c r="T37" s="56">
        <f>'High SIPA income'!J32</f>
        <v>80437835.869180962</v>
      </c>
      <c r="U37" s="9"/>
      <c r="V37" s="56">
        <f>'High SIPA income'!F32</f>
        <v>118890.32975185099</v>
      </c>
      <c r="W37" s="41"/>
      <c r="X37" s="56">
        <f>'High SIPA income'!M32</f>
        <v>298618.23130345962</v>
      </c>
      <c r="Y37" s="9"/>
      <c r="Z37" s="9">
        <f t="shared" si="10"/>
        <v>1060941.5163257122</v>
      </c>
      <c r="AA37" s="9"/>
      <c r="AB37" s="9">
        <f t="shared" si="11"/>
        <v>-29379183.453165546</v>
      </c>
      <c r="AC37" s="23"/>
      <c r="AD37" s="9"/>
      <c r="AE37" s="9"/>
      <c r="AF37" s="9"/>
      <c r="AG37" s="9">
        <f>'Central scenario'!AG37</f>
        <v>5251139890.6922131</v>
      </c>
      <c r="AH37" s="42">
        <f t="shared" si="19"/>
        <v>2.4390243902439251E-2</v>
      </c>
      <c r="AI37" s="42">
        <f>(AG37-AG33)/AG33</f>
        <v>0.14475401952516201</v>
      </c>
      <c r="AJ37" s="42">
        <f t="shared" si="12"/>
        <v>-5.5948201847071223E-3</v>
      </c>
      <c r="AK37" s="7"/>
      <c r="AL37" s="7"/>
      <c r="AW37" s="7">
        <f>workers_and_wage_high!C25</f>
        <v>11617863</v>
      </c>
      <c r="AY37" s="42">
        <f t="shared" si="13"/>
        <v>2.2080236764732905E-3</v>
      </c>
      <c r="AZ37" s="12">
        <f>workers_and_wage_high!B25</f>
        <v>6316.4320442964699</v>
      </c>
      <c r="BA37" s="42">
        <f t="shared" si="14"/>
        <v>1.9071118178279053E-2</v>
      </c>
      <c r="BB37" s="52">
        <v>48</v>
      </c>
      <c r="BC37" s="47">
        <f>'Central scenario'!BC37</f>
        <v>11.37227434313345</v>
      </c>
      <c r="BD37" s="12">
        <f t="shared" si="17"/>
        <v>53.686137171566727</v>
      </c>
      <c r="BE37" s="42">
        <f t="shared" si="18"/>
        <v>1.5809330447851044E-2</v>
      </c>
      <c r="BF37" s="7">
        <v>100</v>
      </c>
      <c r="BG37" s="49">
        <f>(BB37-BB33)/BB33</f>
        <v>7.4838561150433372E-2</v>
      </c>
      <c r="BI37" s="42">
        <f t="shared" si="6"/>
        <v>1.5031595036661278E-2</v>
      </c>
    </row>
    <row r="38" spans="1:68" x14ac:dyDescent="0.2">
      <c r="A38" s="5">
        <f t="shared" si="15"/>
        <v>2021</v>
      </c>
      <c r="B38" s="5">
        <f t="shared" si="16"/>
        <v>1</v>
      </c>
      <c r="C38" s="6"/>
      <c r="D38" s="55">
        <f>'High pensions'!Q38</f>
        <v>99717205.06800054</v>
      </c>
      <c r="E38" s="6"/>
      <c r="F38" s="55">
        <f>'High pensions'!I38</f>
        <v>18124782.396103147</v>
      </c>
      <c r="G38" s="55">
        <f>'High pensions'!K38</f>
        <v>325531.82243245002</v>
      </c>
      <c r="H38" s="55">
        <f>'High pensions'!V38</f>
        <v>1790980.0396078546</v>
      </c>
      <c r="I38" s="55">
        <f>'High pensions'!M38</f>
        <v>10067.994508219999</v>
      </c>
      <c r="J38" s="55">
        <f>'High pensions'!W38</f>
        <v>55391.135245603175</v>
      </c>
      <c r="K38" s="6"/>
      <c r="L38" s="55">
        <f>'High pensions'!N38</f>
        <v>2888365.4728951505</v>
      </c>
      <c r="M38" s="8"/>
      <c r="N38" s="55">
        <f>'High pensions'!L38</f>
        <v>767789.87382988259</v>
      </c>
      <c r="O38" s="6"/>
      <c r="P38" s="55">
        <f>'High pensions'!X38</f>
        <v>19211895.520740379</v>
      </c>
      <c r="Q38" s="8"/>
      <c r="R38" s="55">
        <f>'High SIPA income'!G33</f>
        <v>18839362.126184251</v>
      </c>
      <c r="S38" s="8"/>
      <c r="T38" s="55">
        <f>'High SIPA income'!J33</f>
        <v>72033933.929007888</v>
      </c>
      <c r="U38" s="6"/>
      <c r="V38" s="55">
        <f>'High SIPA income'!F33</f>
        <v>124512.17664464501</v>
      </c>
      <c r="W38" s="8"/>
      <c r="X38" s="55">
        <f>'High SIPA income'!M33</f>
        <v>312738.68987472419</v>
      </c>
      <c r="Y38" s="6"/>
      <c r="Z38" s="6">
        <f t="shared" si="10"/>
        <v>-2817063.4399992842</v>
      </c>
      <c r="AA38" s="6"/>
      <c r="AB38" s="6">
        <f t="shared" si="11"/>
        <v>-46895166.659733027</v>
      </c>
      <c r="AC38" s="23"/>
      <c r="AD38" s="6"/>
      <c r="AE38" s="6"/>
      <c r="AF38" s="6"/>
      <c r="AG38" s="6">
        <f t="shared" ref="AG38:AG69" si="20">BF38/100*$AG$37</f>
        <v>5255899018.726841</v>
      </c>
      <c r="AH38" s="35">
        <f t="shared" si="19"/>
        <v>9.0630379949762849E-4</v>
      </c>
      <c r="AI38" s="35"/>
      <c r="AJ38" s="35">
        <f t="shared" si="12"/>
        <v>-8.9223873009441207E-3</v>
      </c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35">
        <f>AVERAGE(AH38:AH41)</f>
        <v>6.6719565550491422E-4</v>
      </c>
      <c r="AV38" s="5"/>
      <c r="AW38" s="5">
        <f>workers_and_wage_high!C26</f>
        <v>11697314</v>
      </c>
      <c r="AX38" s="5"/>
      <c r="AY38" s="35">
        <f t="shared" si="13"/>
        <v>6.8386931400378883E-3</v>
      </c>
      <c r="AZ38" s="11">
        <f>workers_and_wage_high!B26</f>
        <v>6428.9022303285401</v>
      </c>
      <c r="BA38" s="35">
        <f t="shared" si="14"/>
        <v>1.7805967869729086E-2</v>
      </c>
      <c r="BB38" s="11">
        <f>BB37*3/4+BB41*1/4</f>
        <v>49.25</v>
      </c>
      <c r="BC38" s="40">
        <f>'Central scenario'!BC38</f>
        <v>11.37227434313345</v>
      </c>
      <c r="BD38" s="11">
        <f t="shared" si="17"/>
        <v>54.936137171566727</v>
      </c>
      <c r="BE38" s="35">
        <f t="shared" si="18"/>
        <v>2.3283478116619349E-2</v>
      </c>
      <c r="BF38" s="5">
        <f t="shared" ref="BF38:BF69" si="21">BF37*(1+AY38)*(1+BA38)*(1-BE38)</f>
        <v>100.09063037994976</v>
      </c>
      <c r="BG38" s="5"/>
      <c r="BH38" s="5"/>
      <c r="BI38" s="35">
        <f t="shared" si="6"/>
        <v>1.7157255148709184E-2</v>
      </c>
      <c r="BJ38" s="5"/>
      <c r="BK38" s="5"/>
      <c r="BL38" s="5"/>
      <c r="BM38" s="5"/>
      <c r="BN38" s="5"/>
      <c r="BO38" s="5"/>
      <c r="BP38" s="5"/>
    </row>
    <row r="39" spans="1:68" x14ac:dyDescent="0.2">
      <c r="A39" s="7">
        <f t="shared" si="15"/>
        <v>2021</v>
      </c>
      <c r="B39" s="7">
        <f t="shared" si="16"/>
        <v>2</v>
      </c>
      <c r="C39" s="9"/>
      <c r="D39" s="56">
        <f>'High pensions'!Q39</f>
        <v>99665182.749317378</v>
      </c>
      <c r="E39" s="9"/>
      <c r="F39" s="56">
        <f>'High pensions'!I39</f>
        <v>18115326.723882589</v>
      </c>
      <c r="G39" s="56">
        <f>'High pensions'!K39</f>
        <v>339978.92624581198</v>
      </c>
      <c r="H39" s="56">
        <f>'High pensions'!V39</f>
        <v>1870463.7422042203</v>
      </c>
      <c r="I39" s="56">
        <f>'High pensions'!M39</f>
        <v>10514.812151932041</v>
      </c>
      <c r="J39" s="56">
        <f>'High pensions'!W39</f>
        <v>57849.394088788729</v>
      </c>
      <c r="K39" s="9"/>
      <c r="L39" s="56">
        <f>'High pensions'!N39</f>
        <v>2559501.7542748763</v>
      </c>
      <c r="M39" s="41"/>
      <c r="N39" s="56">
        <f>'High pensions'!L39</f>
        <v>769220.94350076839</v>
      </c>
      <c r="O39" s="9"/>
      <c r="P39" s="56">
        <f>'High pensions'!X39</f>
        <v>17513293.444562826</v>
      </c>
      <c r="Q39" s="41"/>
      <c r="R39" s="56">
        <f>'High SIPA income'!G34</f>
        <v>22393673.478956647</v>
      </c>
      <c r="S39" s="41"/>
      <c r="T39" s="56">
        <f>'High SIPA income'!J34</f>
        <v>85624151.444540411</v>
      </c>
      <c r="U39" s="9"/>
      <c r="V39" s="56">
        <f>'High SIPA income'!F34</f>
        <v>122882.24430235699</v>
      </c>
      <c r="W39" s="41"/>
      <c r="X39" s="56">
        <f>'High SIPA income'!M34</f>
        <v>308644.76975343045</v>
      </c>
      <c r="Y39" s="9"/>
      <c r="Z39" s="9">
        <f t="shared" si="10"/>
        <v>1072506.3016007729</v>
      </c>
      <c r="AA39" s="9"/>
      <c r="AB39" s="9">
        <f t="shared" si="11"/>
        <v>-31554324.749339789</v>
      </c>
      <c r="AC39" s="23"/>
      <c r="AD39" s="9"/>
      <c r="AE39" s="9"/>
      <c r="AF39" s="9"/>
      <c r="AG39" s="9">
        <f t="shared" si="20"/>
        <v>5257187789.5552292</v>
      </c>
      <c r="AH39" s="42">
        <f t="shared" si="19"/>
        <v>2.452046403091661E-4</v>
      </c>
      <c r="AI39" s="42"/>
      <c r="AJ39" s="42">
        <f t="shared" si="12"/>
        <v>-6.0021300384267536E-3</v>
      </c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>
        <f>workers_and_wage_high!C27</f>
        <v>11759702</v>
      </c>
      <c r="AX39" s="7"/>
      <c r="AY39" s="42">
        <f t="shared" si="13"/>
        <v>5.3335321254093029E-3</v>
      </c>
      <c r="AZ39" s="12">
        <f>workers_and_wage_high!B27</f>
        <v>6545.2930048666904</v>
      </c>
      <c r="BA39" s="42">
        <f t="shared" si="14"/>
        <v>1.8104299982829614E-2</v>
      </c>
      <c r="BB39" s="12">
        <f>BB37*2/4+BB41*2/4</f>
        <v>50.5</v>
      </c>
      <c r="BC39" s="47">
        <f>'Central scenario'!BC39</f>
        <v>11.37227434313345</v>
      </c>
      <c r="BD39" s="12">
        <f t="shared" si="17"/>
        <v>56.186137171566727</v>
      </c>
      <c r="BE39" s="42">
        <f t="shared" si="18"/>
        <v>2.2753693003500164E-2</v>
      </c>
      <c r="BF39" s="7">
        <f t="shared" si="21"/>
        <v>100.1151730669704</v>
      </c>
      <c r="BG39" s="7"/>
      <c r="BH39" s="7"/>
      <c r="BI39" s="42">
        <f t="shared" ref="BI39:BI70" si="22">T46/AG46</f>
        <v>1.4931182171855474E-2</v>
      </c>
      <c r="BJ39" s="7"/>
      <c r="BK39" s="7"/>
      <c r="BL39" s="7"/>
      <c r="BM39" s="7"/>
      <c r="BN39" s="7"/>
      <c r="BO39" s="7"/>
      <c r="BP39" s="7"/>
    </row>
    <row r="40" spans="1:68" x14ac:dyDescent="0.2">
      <c r="A40" s="7">
        <f t="shared" si="15"/>
        <v>2021</v>
      </c>
      <c r="B40" s="7">
        <f t="shared" si="16"/>
        <v>3</v>
      </c>
      <c r="C40" s="9"/>
      <c r="D40" s="56">
        <f>'High pensions'!Q40</f>
        <v>100410683.57171422</v>
      </c>
      <c r="E40" s="9"/>
      <c r="F40" s="56">
        <f>'High pensions'!I40</f>
        <v>18250830.3230142</v>
      </c>
      <c r="G40" s="56">
        <f>'High pensions'!K40</f>
        <v>377224.18198580103</v>
      </c>
      <c r="H40" s="56">
        <f>'High pensions'!V40</f>
        <v>2075376.1501585979</v>
      </c>
      <c r="I40" s="56">
        <f>'High pensions'!M40</f>
        <v>11666.727277910977</v>
      </c>
      <c r="J40" s="56">
        <f>'High pensions'!W40</f>
        <v>64186.891242016318</v>
      </c>
      <c r="K40" s="9"/>
      <c r="L40" s="56">
        <f>'High pensions'!N40</f>
        <v>2492511.0376853542</v>
      </c>
      <c r="M40" s="41"/>
      <c r="N40" s="56">
        <f>'High pensions'!L40</f>
        <v>776127.7313284874</v>
      </c>
      <c r="O40" s="9"/>
      <c r="P40" s="56">
        <f>'High pensions'!X40</f>
        <v>17203677.406515576</v>
      </c>
      <c r="Q40" s="41"/>
      <c r="R40" s="56">
        <f>'High SIPA income'!G35</f>
        <v>20024710.616694178</v>
      </c>
      <c r="S40" s="41"/>
      <c r="T40" s="56">
        <f>'High SIPA income'!J35</f>
        <v>76566216.618641347</v>
      </c>
      <c r="U40" s="9"/>
      <c r="V40" s="56">
        <f>'High SIPA income'!F35</f>
        <v>123428.44397502999</v>
      </c>
      <c r="W40" s="41"/>
      <c r="X40" s="56">
        <f>'High SIPA income'!M35</f>
        <v>310016.66585744981</v>
      </c>
      <c r="Y40" s="9"/>
      <c r="Z40" s="9">
        <f t="shared" si="10"/>
        <v>-1371330.0313588306</v>
      </c>
      <c r="AA40" s="9"/>
      <c r="AB40" s="9">
        <f t="shared" si="11"/>
        <v>-41048144.359588452</v>
      </c>
      <c r="AC40" s="23"/>
      <c r="AD40" s="9"/>
      <c r="AE40" s="9"/>
      <c r="AF40" s="9"/>
      <c r="AG40" s="9">
        <f t="shared" si="20"/>
        <v>5256548380.3336258</v>
      </c>
      <c r="AH40" s="42">
        <f t="shared" si="19"/>
        <v>-1.2162571458332653E-4</v>
      </c>
      <c r="AI40" s="42"/>
      <c r="AJ40" s="42">
        <f t="shared" si="12"/>
        <v>-7.8089539731361103E-3</v>
      </c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9"/>
      <c r="AV40" s="7"/>
      <c r="AW40" s="7">
        <f>workers_and_wage_high!C28</f>
        <v>11771132</v>
      </c>
      <c r="AX40" s="7"/>
      <c r="AY40" s="42">
        <f t="shared" si="13"/>
        <v>9.7196340519513163E-4</v>
      </c>
      <c r="AZ40" s="12">
        <f>workers_and_wage_high!B28</f>
        <v>6686.9089720962402</v>
      </c>
      <c r="BA40" s="42">
        <f t="shared" si="14"/>
        <v>2.163630675116494E-2</v>
      </c>
      <c r="BB40" s="12">
        <f>BB37*1/4+BB41*3/4</f>
        <v>51.75</v>
      </c>
      <c r="BC40" s="47">
        <f>'Central scenario'!BC40</f>
        <v>11.37227434313345</v>
      </c>
      <c r="BD40" s="12">
        <f t="shared" si="17"/>
        <v>57.436137171566727</v>
      </c>
      <c r="BE40" s="42">
        <f t="shared" si="18"/>
        <v>2.2247480658495355E-2</v>
      </c>
      <c r="BF40" s="7">
        <f t="shared" si="21"/>
        <v>100.10299648750549</v>
      </c>
      <c r="BG40" s="7"/>
      <c r="BH40" s="7"/>
      <c r="BI40" s="42">
        <f t="shared" si="22"/>
        <v>1.731208238288923E-2</v>
      </c>
      <c r="BJ40" s="7"/>
      <c r="BK40" s="7"/>
      <c r="BL40" s="7"/>
      <c r="BM40" s="7"/>
      <c r="BN40" s="7"/>
      <c r="BO40" s="7"/>
      <c r="BP40" s="7"/>
    </row>
    <row r="41" spans="1:68" x14ac:dyDescent="0.2">
      <c r="A41" s="7">
        <f t="shared" si="15"/>
        <v>2021</v>
      </c>
      <c r="B41" s="7">
        <f t="shared" si="16"/>
        <v>4</v>
      </c>
      <c r="C41" s="9"/>
      <c r="D41" s="56">
        <f>'High pensions'!Q41</f>
        <v>102129133.314933</v>
      </c>
      <c r="E41" s="9"/>
      <c r="F41" s="56">
        <f>'High pensions'!I41</f>
        <v>18563178.905520495</v>
      </c>
      <c r="G41" s="56">
        <f>'High pensions'!K41</f>
        <v>400712.814370904</v>
      </c>
      <c r="H41" s="56">
        <f>'High pensions'!V41</f>
        <v>2204603.6752744731</v>
      </c>
      <c r="I41" s="56">
        <f>'High pensions'!M41</f>
        <v>12393.179825904022</v>
      </c>
      <c r="J41" s="56">
        <f>'High pensions'!W41</f>
        <v>68183.618822920616</v>
      </c>
      <c r="K41" s="9"/>
      <c r="L41" s="56">
        <f>'High pensions'!N41</f>
        <v>2496128.438454072</v>
      </c>
      <c r="M41" s="41"/>
      <c r="N41" s="56">
        <f>'High pensions'!L41</f>
        <v>791382.34215089679</v>
      </c>
      <c r="O41" s="9"/>
      <c r="P41" s="56">
        <f>'High pensions'!X41</f>
        <v>17306374.484207913</v>
      </c>
      <c r="Q41" s="41"/>
      <c r="R41" s="56">
        <f>'High SIPA income'!G36</f>
        <v>23785873.335463889</v>
      </c>
      <c r="S41" s="41"/>
      <c r="T41" s="56">
        <f>'High SIPA income'!J36</f>
        <v>90947348.260224149</v>
      </c>
      <c r="U41" s="9"/>
      <c r="V41" s="56">
        <f>'High SIPA income'!F36</f>
        <v>128466.70524058799</v>
      </c>
      <c r="W41" s="41"/>
      <c r="X41" s="56">
        <f>'High SIPA income'!M36</f>
        <v>322671.32558550255</v>
      </c>
      <c r="Y41" s="9"/>
      <c r="Z41" s="9">
        <f t="shared" si="10"/>
        <v>2063650.3545790128</v>
      </c>
      <c r="AA41" s="9"/>
      <c r="AB41" s="9">
        <f t="shared" si="11"/>
        <v>-28488159.538916767</v>
      </c>
      <c r="AC41" s="23"/>
      <c r="AD41" s="9"/>
      <c r="AE41" s="9"/>
      <c r="AF41" s="9"/>
      <c r="AG41" s="9">
        <f t="shared" si="20"/>
        <v>5265163336.9316587</v>
      </c>
      <c r="AH41" s="42">
        <f t="shared" si="19"/>
        <v>1.6388998967961886E-3</v>
      </c>
      <c r="AI41" s="42">
        <f>(AG41-AG37)/AG37</f>
        <v>2.6705527811785442E-3</v>
      </c>
      <c r="AJ41" s="42">
        <f t="shared" si="12"/>
        <v>-5.4106886559607869E-3</v>
      </c>
      <c r="AK41" s="7"/>
      <c r="AL41" s="7"/>
      <c r="AM41" s="7"/>
      <c r="AN41" s="7"/>
      <c r="AO41" s="7"/>
      <c r="AP41" s="7"/>
      <c r="AQ41" s="7"/>
      <c r="AR41" s="7"/>
      <c r="AS41" s="7"/>
      <c r="AT41" s="7"/>
      <c r="AV41" s="7"/>
      <c r="AW41" s="7">
        <f>workers_and_wage_high!C29</f>
        <v>11814454</v>
      </c>
      <c r="AX41" s="7"/>
      <c r="AY41" s="42">
        <f t="shared" si="13"/>
        <v>3.6803597139170642E-3</v>
      </c>
      <c r="AZ41" s="12">
        <f>workers_and_wage_high!B29</f>
        <v>6821.7722627500198</v>
      </c>
      <c r="BA41" s="42">
        <f t="shared" si="14"/>
        <v>2.0168255798987209E-2</v>
      </c>
      <c r="BB41" s="52">
        <v>53</v>
      </c>
      <c r="BC41" s="47">
        <f>'Central scenario'!BC41</f>
        <v>11.37227434313345</v>
      </c>
      <c r="BD41" s="12">
        <f t="shared" si="17"/>
        <v>58.686137171566727</v>
      </c>
      <c r="BE41" s="42">
        <f t="shared" si="18"/>
        <v>2.1763302017789643E-2</v>
      </c>
      <c r="BF41" s="7">
        <f t="shared" si="21"/>
        <v>100.26705527811785</v>
      </c>
      <c r="BG41" s="49">
        <f>(BB41-BB37)/BB37</f>
        <v>0.10416666666666667</v>
      </c>
      <c r="BH41" s="7"/>
      <c r="BI41" s="42">
        <f t="shared" si="22"/>
        <v>1.5015274783643668E-2</v>
      </c>
      <c r="BJ41" s="7"/>
      <c r="BK41" s="7"/>
      <c r="BL41" s="7"/>
      <c r="BM41" s="7"/>
      <c r="BN41" s="7"/>
      <c r="BO41" s="7"/>
      <c r="BP41" s="7"/>
    </row>
    <row r="42" spans="1:68" x14ac:dyDescent="0.2">
      <c r="A42" s="5">
        <f t="shared" si="15"/>
        <v>2022</v>
      </c>
      <c r="B42" s="5">
        <f t="shared" si="16"/>
        <v>1</v>
      </c>
      <c r="C42" s="6"/>
      <c r="D42" s="55">
        <f>'High pensions'!Q42</f>
        <v>103777464.53536992</v>
      </c>
      <c r="E42" s="6"/>
      <c r="F42" s="55">
        <f>'High pensions'!I42</f>
        <v>18862782.616502456</v>
      </c>
      <c r="G42" s="55">
        <f>'High pensions'!K42</f>
        <v>434271.72008854401</v>
      </c>
      <c r="H42" s="55">
        <f>'High pensions'!V42</f>
        <v>2389234.8730549822</v>
      </c>
      <c r="I42" s="55">
        <f>'High pensions'!M42</f>
        <v>13431.084126450005</v>
      </c>
      <c r="J42" s="55">
        <f>'High pensions'!W42</f>
        <v>73893.862053247911</v>
      </c>
      <c r="K42" s="6"/>
      <c r="L42" s="55">
        <f>'High pensions'!N42</f>
        <v>3058716.8061694866</v>
      </c>
      <c r="M42" s="8"/>
      <c r="N42" s="55">
        <f>'High pensions'!L42</f>
        <v>806529.23241474852</v>
      </c>
      <c r="O42" s="6"/>
      <c r="P42" s="55">
        <f>'High pensions'!X42</f>
        <v>20308981.91989236</v>
      </c>
      <c r="Q42" s="8"/>
      <c r="R42" s="55">
        <f>'High SIPA income'!G37</f>
        <v>20937970.580562614</v>
      </c>
      <c r="S42" s="8"/>
      <c r="T42" s="55">
        <f>'High SIPA income'!J37</f>
        <v>80058145.244285926</v>
      </c>
      <c r="U42" s="6"/>
      <c r="V42" s="55">
        <f>'High SIPA income'!F37</f>
        <v>133193.19756555001</v>
      </c>
      <c r="W42" s="8"/>
      <c r="X42" s="55">
        <f>'High SIPA income'!M37</f>
        <v>334542.91162025789</v>
      </c>
      <c r="Y42" s="6"/>
      <c r="Z42" s="6">
        <f t="shared" si="10"/>
        <v>-1656864.8769585267</v>
      </c>
      <c r="AA42" s="6"/>
      <c r="AB42" s="6">
        <f t="shared" si="11"/>
        <v>-44028301.210976347</v>
      </c>
      <c r="AC42" s="23"/>
      <c r="AD42" s="6"/>
      <c r="AE42" s="6"/>
      <c r="AF42" s="6"/>
      <c r="AG42" s="6">
        <f t="shared" si="20"/>
        <v>5313376172.7355909</v>
      </c>
      <c r="AH42" s="35">
        <f t="shared" si="19"/>
        <v>9.1569496934218262E-3</v>
      </c>
      <c r="AI42" s="35"/>
      <c r="AJ42" s="35">
        <f t="shared" si="12"/>
        <v>-8.2863135941508882E-3</v>
      </c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35">
        <f>AVERAGE(AH42:AH45)</f>
        <v>1.2841229550142511E-2</v>
      </c>
      <c r="AV42" s="5"/>
      <c r="AW42" s="5">
        <f>workers_and_wage_high!C30</f>
        <v>11887867</v>
      </c>
      <c r="AX42" s="5"/>
      <c r="AY42" s="35">
        <f t="shared" si="13"/>
        <v>6.2138292637137528E-3</v>
      </c>
      <c r="AZ42" s="11">
        <f>workers_and_wage_high!B30</f>
        <v>6841.72557359649</v>
      </c>
      <c r="BA42" s="35">
        <f t="shared" si="14"/>
        <v>2.9249453188908672E-3</v>
      </c>
      <c r="BB42" s="11">
        <f>BB41*3/4+BB45*1/4</f>
        <v>53</v>
      </c>
      <c r="BC42" s="40">
        <f>'Central scenario'!BC42</f>
        <v>11.37227434313345</v>
      </c>
      <c r="BD42" s="11">
        <f t="shared" si="17"/>
        <v>58.686137171566727</v>
      </c>
      <c r="BE42" s="35">
        <f t="shared" si="18"/>
        <v>0</v>
      </c>
      <c r="BF42" s="5">
        <f t="shared" si="21"/>
        <v>101.18519565920712</v>
      </c>
      <c r="BG42" s="5"/>
      <c r="BH42" s="5"/>
      <c r="BI42" s="35">
        <f t="shared" si="22"/>
        <v>1.7299195564767854E-2</v>
      </c>
      <c r="BJ42" s="5"/>
      <c r="BK42" s="5"/>
      <c r="BL42" s="5"/>
      <c r="BM42" s="5"/>
      <c r="BN42" s="5"/>
      <c r="BO42" s="5"/>
      <c r="BP42" s="5"/>
    </row>
    <row r="43" spans="1:68" x14ac:dyDescent="0.2">
      <c r="A43" s="7">
        <f t="shared" si="15"/>
        <v>2022</v>
      </c>
      <c r="B43" s="7">
        <f t="shared" si="16"/>
        <v>2</v>
      </c>
      <c r="C43" s="9"/>
      <c r="D43" s="56">
        <f>'High pensions'!Q43</f>
        <v>105821990.04634161</v>
      </c>
      <c r="E43" s="9"/>
      <c r="F43" s="56">
        <f>'High pensions'!I43</f>
        <v>19234399.329630081</v>
      </c>
      <c r="G43" s="56">
        <f>'High pensions'!K43</f>
        <v>460536.84607702098</v>
      </c>
      <c r="H43" s="56">
        <f>'High pensions'!V43</f>
        <v>2533737.8467785693</v>
      </c>
      <c r="I43" s="56">
        <f>'High pensions'!M43</f>
        <v>14243.407610629045</v>
      </c>
      <c r="J43" s="56">
        <f>'High pensions'!W43</f>
        <v>78363.026189025331</v>
      </c>
      <c r="K43" s="9"/>
      <c r="L43" s="56">
        <f>'High pensions'!N43</f>
        <v>2565271.7371131112</v>
      </c>
      <c r="M43" s="41"/>
      <c r="N43" s="56">
        <f>'High pensions'!L43</f>
        <v>824851.10521867126</v>
      </c>
      <c r="O43" s="9"/>
      <c r="P43" s="56">
        <f>'High pensions'!X43</f>
        <v>17849294.649160407</v>
      </c>
      <c r="Q43" s="41"/>
      <c r="R43" s="56">
        <f>'High SIPA income'!G38</f>
        <v>24185891.072502859</v>
      </c>
      <c r="S43" s="41"/>
      <c r="T43" s="56">
        <f>'High SIPA income'!J38</f>
        <v>92476850.74800995</v>
      </c>
      <c r="U43" s="9"/>
      <c r="V43" s="56">
        <f>'High SIPA income'!F38</f>
        <v>135321.58355877499</v>
      </c>
      <c r="W43" s="41"/>
      <c r="X43" s="56">
        <f>'High SIPA income'!M38</f>
        <v>339888.80360453011</v>
      </c>
      <c r="Y43" s="9"/>
      <c r="Z43" s="9">
        <f t="shared" si="10"/>
        <v>1696690.4840997718</v>
      </c>
      <c r="AA43" s="9"/>
      <c r="AB43" s="9">
        <f t="shared" si="11"/>
        <v>-31194433.947492078</v>
      </c>
      <c r="AC43" s="23"/>
      <c r="AD43" s="9"/>
      <c r="AE43" s="9"/>
      <c r="AF43" s="9"/>
      <c r="AG43" s="9">
        <f t="shared" si="20"/>
        <v>5396229937.2709522</v>
      </c>
      <c r="AH43" s="42">
        <f t="shared" si="19"/>
        <v>1.5593430964008717E-2</v>
      </c>
      <c r="AI43" s="42"/>
      <c r="AJ43" s="42">
        <f t="shared" si="12"/>
        <v>-5.780782937368327E-3</v>
      </c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>
        <f>workers_and_wage_high!C31</f>
        <v>11977183</v>
      </c>
      <c r="AX43" s="7"/>
      <c r="AY43" s="42">
        <f t="shared" si="13"/>
        <v>7.513206532340915E-3</v>
      </c>
      <c r="AZ43" s="12">
        <f>workers_and_wage_high!B31</f>
        <v>6896.59599889326</v>
      </c>
      <c r="BA43" s="42">
        <f t="shared" si="14"/>
        <v>8.0199687500658208E-3</v>
      </c>
      <c r="BB43" s="12">
        <f>BB41*2/4+BB45*2/4</f>
        <v>53</v>
      </c>
      <c r="BC43" s="47">
        <f>'Central scenario'!BC43</f>
        <v>11.37227434313345</v>
      </c>
      <c r="BD43" s="12">
        <f t="shared" si="17"/>
        <v>58.686137171566727</v>
      </c>
      <c r="BE43" s="42">
        <f t="shared" si="18"/>
        <v>0</v>
      </c>
      <c r="BF43" s="7">
        <f t="shared" si="21"/>
        <v>102.76302002229869</v>
      </c>
      <c r="BG43" s="7"/>
      <c r="BH43" s="7"/>
      <c r="BI43" s="42">
        <f t="shared" si="22"/>
        <v>1.5284123236411734E-2</v>
      </c>
      <c r="BJ43" s="7"/>
      <c r="BK43" s="7"/>
      <c r="BL43" s="7"/>
      <c r="BM43" s="7"/>
      <c r="BN43" s="7"/>
      <c r="BO43" s="7"/>
      <c r="BP43" s="7"/>
    </row>
    <row r="44" spans="1:68" x14ac:dyDescent="0.2">
      <c r="A44" s="7">
        <f t="shared" si="15"/>
        <v>2022</v>
      </c>
      <c r="B44" s="7">
        <f t="shared" si="16"/>
        <v>3</v>
      </c>
      <c r="C44" s="9"/>
      <c r="D44" s="56">
        <f>'High pensions'!Q44</f>
        <v>107392476.99584687</v>
      </c>
      <c r="E44" s="9"/>
      <c r="F44" s="56">
        <f>'High pensions'!I44</f>
        <v>19519853.922910061</v>
      </c>
      <c r="G44" s="56">
        <f>'High pensions'!K44</f>
        <v>487707.29215534002</v>
      </c>
      <c r="H44" s="56">
        <f>'High pensions'!V44</f>
        <v>2683221.6245238571</v>
      </c>
      <c r="I44" s="56">
        <f>'High pensions'!M44</f>
        <v>15083.730685216957</v>
      </c>
      <c r="J44" s="56">
        <f>'High pensions'!W44</f>
        <v>82986.235810017606</v>
      </c>
      <c r="K44" s="9"/>
      <c r="L44" s="56">
        <f>'High pensions'!N44</f>
        <v>2597887.6591791529</v>
      </c>
      <c r="M44" s="41"/>
      <c r="N44" s="56">
        <f>'High pensions'!L44</f>
        <v>839517.03404498473</v>
      </c>
      <c r="O44" s="9"/>
      <c r="P44" s="56">
        <f>'High pensions'!X44</f>
        <v>18099226.43706448</v>
      </c>
      <c r="Q44" s="41"/>
      <c r="R44" s="56">
        <f>'High SIPA income'!G39</f>
        <v>21455399.909818321</v>
      </c>
      <c r="S44" s="41"/>
      <c r="T44" s="56">
        <f>'High SIPA income'!J39</f>
        <v>82036581.131174713</v>
      </c>
      <c r="U44" s="9"/>
      <c r="V44" s="56">
        <f>'High SIPA income'!F39</f>
        <v>134470.98406568301</v>
      </c>
      <c r="W44" s="41"/>
      <c r="X44" s="56">
        <f>'High SIPA income'!M39</f>
        <v>337752.34291252168</v>
      </c>
      <c r="Y44" s="9"/>
      <c r="Z44" s="9">
        <f t="shared" si="10"/>
        <v>-1367387.7222501971</v>
      </c>
      <c r="AA44" s="9"/>
      <c r="AB44" s="9">
        <f t="shared" si="11"/>
        <v>-43455122.301736638</v>
      </c>
      <c r="AC44" s="23"/>
      <c r="AD44" s="9"/>
      <c r="AE44" s="9"/>
      <c r="AF44" s="9"/>
      <c r="AG44" s="9">
        <f t="shared" si="20"/>
        <v>5457609849.8590307</v>
      </c>
      <c r="AH44" s="42">
        <f t="shared" si="19"/>
        <v>1.137459176158092E-2</v>
      </c>
      <c r="AI44" s="42"/>
      <c r="AJ44" s="42">
        <f t="shared" si="12"/>
        <v>-7.9622991560782015E-3</v>
      </c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9"/>
      <c r="AV44" s="7"/>
      <c r="AW44" s="7">
        <f>workers_and_wage_high!C32</f>
        <v>12003953</v>
      </c>
      <c r="AX44" s="7"/>
      <c r="AY44" s="42">
        <f t="shared" si="13"/>
        <v>2.2350831577007714E-3</v>
      </c>
      <c r="AZ44" s="12">
        <f>workers_and_wage_high!B32</f>
        <v>6959.4869308997304</v>
      </c>
      <c r="BA44" s="42">
        <f t="shared" si="14"/>
        <v>9.1191265976088634E-3</v>
      </c>
      <c r="BB44" s="12">
        <f>BB41*1/4+BB45*3/4</f>
        <v>53</v>
      </c>
      <c r="BC44" s="47">
        <f>'Central scenario'!BC44</f>
        <v>11.37227434313345</v>
      </c>
      <c r="BD44" s="12">
        <f t="shared" si="17"/>
        <v>58.686137171566727</v>
      </c>
      <c r="BE44" s="42">
        <f t="shared" si="18"/>
        <v>0</v>
      </c>
      <c r="BF44" s="7">
        <f t="shared" si="21"/>
        <v>103.93190742323951</v>
      </c>
      <c r="BG44" s="7"/>
      <c r="BH44" s="7"/>
      <c r="BI44" s="42">
        <f t="shared" si="22"/>
        <v>1.7566572697151814E-2</v>
      </c>
      <c r="BJ44" s="7"/>
      <c r="BK44" s="7"/>
      <c r="BL44" s="7"/>
      <c r="BM44" s="7"/>
      <c r="BN44" s="7"/>
      <c r="BO44" s="7"/>
      <c r="BP44" s="7"/>
    </row>
    <row r="45" spans="1:68" x14ac:dyDescent="0.2">
      <c r="A45" s="7">
        <f t="shared" si="15"/>
        <v>2022</v>
      </c>
      <c r="B45" s="7">
        <f t="shared" si="16"/>
        <v>4</v>
      </c>
      <c r="C45" s="9"/>
      <c r="D45" s="56">
        <f>'High pensions'!Q45</f>
        <v>108985925.59970547</v>
      </c>
      <c r="E45" s="9"/>
      <c r="F45" s="56">
        <f>'High pensions'!I45</f>
        <v>19809482.068671033</v>
      </c>
      <c r="G45" s="56">
        <f>'High pensions'!K45</f>
        <v>514536.74924107001</v>
      </c>
      <c r="H45" s="56">
        <f>'High pensions'!V45</f>
        <v>2830829.3814399382</v>
      </c>
      <c r="I45" s="56">
        <f>'High pensions'!M45</f>
        <v>15913.507708486984</v>
      </c>
      <c r="J45" s="56">
        <f>'High pensions'!W45</f>
        <v>87551.42416824706</v>
      </c>
      <c r="K45" s="9"/>
      <c r="L45" s="56">
        <f>'High pensions'!N45</f>
        <v>2571696.860201335</v>
      </c>
      <c r="M45" s="41"/>
      <c r="N45" s="56">
        <f>'High pensions'!L45</f>
        <v>854124.66995061189</v>
      </c>
      <c r="O45" s="9"/>
      <c r="P45" s="56">
        <f>'High pensions'!X45</f>
        <v>18043689.159466147</v>
      </c>
      <c r="Q45" s="41"/>
      <c r="R45" s="56">
        <f>'High SIPA income'!G40</f>
        <v>24862686.497585636</v>
      </c>
      <c r="S45" s="41">
        <f>SUM(T42:T45)/AVERAGE(AG42:AG45)</f>
        <v>6.4425321924785173E-2</v>
      </c>
      <c r="T45" s="56">
        <f>'High SIPA income'!J40</f>
        <v>95064636.714823991</v>
      </c>
      <c r="U45" s="9"/>
      <c r="V45" s="56">
        <f>'High SIPA income'!F40</f>
        <v>135126.01848994999</v>
      </c>
      <c r="W45" s="41"/>
      <c r="X45" s="56">
        <f>'High SIPA income'!M40</f>
        <v>339397.60053461557</v>
      </c>
      <c r="Y45" s="9"/>
      <c r="Z45" s="9">
        <f t="shared" si="10"/>
        <v>1762508.9172526039</v>
      </c>
      <c r="AA45" s="9"/>
      <c r="AB45" s="9">
        <f t="shared" si="11"/>
        <v>-31964978.044347629</v>
      </c>
      <c r="AC45" s="23"/>
      <c r="AD45" s="9"/>
      <c r="AE45" s="9"/>
      <c r="AF45" s="9"/>
      <c r="AG45" s="9">
        <f t="shared" si="20"/>
        <v>5540783528.0677824</v>
      </c>
      <c r="AH45" s="42">
        <f t="shared" si="19"/>
        <v>1.5239945781558578E-2</v>
      </c>
      <c r="AI45" s="42">
        <f>(AG45-AG41)/AG41</f>
        <v>5.2347889989058698E-2</v>
      </c>
      <c r="AJ45" s="42">
        <f t="shared" si="12"/>
        <v>-5.7690357117226457E-3</v>
      </c>
      <c r="AK45" s="7"/>
      <c r="AL45" s="7"/>
      <c r="AM45" s="7"/>
      <c r="AN45" s="7"/>
      <c r="AO45" s="7"/>
      <c r="AP45" s="7"/>
      <c r="AQ45" s="7"/>
      <c r="AR45" s="7"/>
      <c r="AS45" s="7"/>
      <c r="AT45" s="7"/>
      <c r="AV45" s="7"/>
      <c r="AW45" s="7">
        <f>workers_and_wage_high!C33</f>
        <v>12074069</v>
      </c>
      <c r="AX45" s="7"/>
      <c r="AY45" s="42">
        <f t="shared" si="13"/>
        <v>5.841075852263E-3</v>
      </c>
      <c r="AZ45" s="12">
        <f>workers_and_wage_high!B33</f>
        <v>7024.5183896545204</v>
      </c>
      <c r="BA45" s="42">
        <f t="shared" si="14"/>
        <v>9.3442892271345494E-3</v>
      </c>
      <c r="BB45" s="12">
        <v>53</v>
      </c>
      <c r="BC45" s="47">
        <f>'Central scenario'!BC45</f>
        <v>11.37227434313345</v>
      </c>
      <c r="BD45" s="12">
        <f t="shared" si="17"/>
        <v>58.686137171566727</v>
      </c>
      <c r="BE45" s="42">
        <f t="shared" si="18"/>
        <v>0</v>
      </c>
      <c r="BF45" s="7">
        <f t="shared" si="21"/>
        <v>105.51582405734364</v>
      </c>
      <c r="BG45" s="49">
        <f>(BB45-BB41)/BB41</f>
        <v>0</v>
      </c>
      <c r="BH45" s="7"/>
      <c r="BI45" s="42">
        <f t="shared" si="22"/>
        <v>1.5295373621936115E-2</v>
      </c>
      <c r="BJ45" s="7"/>
      <c r="BK45" s="7"/>
      <c r="BL45" s="7"/>
      <c r="BM45" s="7"/>
      <c r="BN45" s="7"/>
      <c r="BO45" s="7"/>
      <c r="BP45" s="7"/>
    </row>
    <row r="46" spans="1:68" x14ac:dyDescent="0.2">
      <c r="A46" s="5">
        <f t="shared" si="15"/>
        <v>2023</v>
      </c>
      <c r="B46" s="5">
        <f t="shared" si="16"/>
        <v>1</v>
      </c>
      <c r="C46" s="6"/>
      <c r="D46" s="55">
        <f>'High pensions'!Q46</f>
        <v>110305877.89425793</v>
      </c>
      <c r="E46" s="6"/>
      <c r="F46" s="55">
        <f>'High pensions'!I46</f>
        <v>20049399.022778261</v>
      </c>
      <c r="G46" s="55">
        <f>'High pensions'!K46</f>
        <v>515533.98232543701</v>
      </c>
      <c r="H46" s="55">
        <f>'High pensions'!V46</f>
        <v>2836315.8636387973</v>
      </c>
      <c r="I46" s="55">
        <f>'High pensions'!M46</f>
        <v>15944.349968828028</v>
      </c>
      <c r="J46" s="55">
        <f>'High pensions'!W46</f>
        <v>87721.109184705507</v>
      </c>
      <c r="K46" s="6"/>
      <c r="L46" s="55">
        <f>'High pensions'!N46</f>
        <v>3163248.0753293387</v>
      </c>
      <c r="M46" s="8"/>
      <c r="N46" s="55">
        <f>'High pensions'!L46</f>
        <v>866439.67455277219</v>
      </c>
      <c r="O46" s="6"/>
      <c r="P46" s="55">
        <f>'High pensions'!X46</f>
        <v>21181004.748688824</v>
      </c>
      <c r="Q46" s="8"/>
      <c r="R46" s="55">
        <f>'High SIPA income'!G41</f>
        <v>21916715.793523237</v>
      </c>
      <c r="S46" s="8"/>
      <c r="T46" s="55">
        <f>'High SIPA income'!J41</f>
        <v>83800462.395552337</v>
      </c>
      <c r="U46" s="6"/>
      <c r="V46" s="55">
        <f>'High SIPA income'!F41</f>
        <v>138870.25534937499</v>
      </c>
      <c r="W46" s="8"/>
      <c r="X46" s="55">
        <f>'High SIPA income'!M41</f>
        <v>348802.0440320507</v>
      </c>
      <c r="Y46" s="6"/>
      <c r="Z46" s="6">
        <f t="shared" ref="Z46:Z77" si="23">R46+V46-N46-L46-F46</f>
        <v>-2023500.7237877585</v>
      </c>
      <c r="AA46" s="6"/>
      <c r="AB46" s="6">
        <f t="shared" ref="AB46:AB77" si="24">T46-P46-D46</f>
        <v>-47686420.24739442</v>
      </c>
      <c r="AC46" s="23"/>
      <c r="AD46" s="6"/>
      <c r="AE46" s="6"/>
      <c r="AF46" s="6"/>
      <c r="AG46" s="6">
        <f t="shared" si="20"/>
        <v>5612446585.3421831</v>
      </c>
      <c r="AH46" s="35">
        <f t="shared" si="19"/>
        <v>1.2933740672484187E-2</v>
      </c>
      <c r="AI46" s="35"/>
      <c r="AJ46" s="35">
        <f t="shared" ref="AJ46:AJ77" si="25">AB46/AG46</f>
        <v>-8.4965477216184578E-3</v>
      </c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35">
        <f>AVERAGE(AH46:AH49)</f>
        <v>1.1754593488602595E-2</v>
      </c>
      <c r="AV46" s="5"/>
      <c r="AW46" s="5">
        <f>workers_and_wage_high!C34</f>
        <v>12165959</v>
      </c>
      <c r="AX46" s="5"/>
      <c r="AY46" s="35">
        <f t="shared" si="13"/>
        <v>7.6105246706806131E-3</v>
      </c>
      <c r="AZ46" s="11">
        <f>workers_and_wage_high!B34</f>
        <v>7061.6289872328798</v>
      </c>
      <c r="BA46" s="35">
        <f t="shared" si="14"/>
        <v>5.2830095274595109E-3</v>
      </c>
      <c r="BB46" s="11">
        <f>BB45*3/4+BB49*1/4</f>
        <v>53</v>
      </c>
      <c r="BC46" s="40">
        <f>'Central scenario'!BC46</f>
        <v>11.37227434313345</v>
      </c>
      <c r="BD46" s="11">
        <f t="shared" si="17"/>
        <v>58.686137171566727</v>
      </c>
      <c r="BE46" s="35">
        <f t="shared" si="18"/>
        <v>0</v>
      </c>
      <c r="BF46" s="5">
        <f t="shared" si="21"/>
        <v>106.88053836254478</v>
      </c>
      <c r="BG46" s="5"/>
      <c r="BH46" s="5"/>
      <c r="BI46" s="35">
        <f t="shared" si="22"/>
        <v>1.7749742925343513E-2</v>
      </c>
      <c r="BJ46" s="5"/>
      <c r="BK46" s="5"/>
      <c r="BL46" s="5"/>
      <c r="BM46" s="5"/>
      <c r="BN46" s="5"/>
      <c r="BO46" s="5"/>
      <c r="BP46" s="5"/>
    </row>
    <row r="47" spans="1:68" x14ac:dyDescent="0.2">
      <c r="A47" s="7">
        <f t="shared" si="15"/>
        <v>2023</v>
      </c>
      <c r="B47" s="7">
        <f t="shared" si="16"/>
        <v>2</v>
      </c>
      <c r="C47" s="9"/>
      <c r="D47" s="56">
        <f>'High pensions'!Q47</f>
        <v>110971509.79376294</v>
      </c>
      <c r="E47" s="9"/>
      <c r="F47" s="56">
        <f>'High pensions'!I47</f>
        <v>20170385.499747865</v>
      </c>
      <c r="G47" s="56">
        <f>'High pensions'!K47</f>
        <v>534940.03594053397</v>
      </c>
      <c r="H47" s="56">
        <f>'High pensions'!V47</f>
        <v>2943082.2449175757</v>
      </c>
      <c r="I47" s="56">
        <f>'High pensions'!M47</f>
        <v>16544.537194036995</v>
      </c>
      <c r="J47" s="56">
        <f>'High pensions'!W47</f>
        <v>91023.162213944874</v>
      </c>
      <c r="K47" s="9"/>
      <c r="L47" s="56">
        <f>'High pensions'!N47</f>
        <v>2660810.2112775934</v>
      </c>
      <c r="M47" s="41"/>
      <c r="N47" s="56">
        <f>'High pensions'!L47</f>
        <v>873702.06448346376</v>
      </c>
      <c r="O47" s="9"/>
      <c r="P47" s="56">
        <f>'High pensions'!X47</f>
        <v>18613807.81028242</v>
      </c>
      <c r="Q47" s="41"/>
      <c r="R47" s="56">
        <f>'High SIPA income'!G42</f>
        <v>25582769.2909889</v>
      </c>
      <c r="S47" s="41"/>
      <c r="T47" s="56">
        <f>'High SIPA income'!J42</f>
        <v>97817935.686201215</v>
      </c>
      <c r="U47" s="9"/>
      <c r="V47" s="56">
        <f>'High SIPA income'!F42</f>
        <v>141590.41758257401</v>
      </c>
      <c r="W47" s="41"/>
      <c r="X47" s="56">
        <f>'High SIPA income'!M42</f>
        <v>355634.30731731351</v>
      </c>
      <c r="Y47" s="9"/>
      <c r="Z47" s="9">
        <f t="shared" si="23"/>
        <v>2019461.9330625534</v>
      </c>
      <c r="AA47" s="9"/>
      <c r="AB47" s="9">
        <f t="shared" si="24"/>
        <v>-31767381.917844146</v>
      </c>
      <c r="AC47" s="23"/>
      <c r="AD47" s="9"/>
      <c r="AE47" s="9"/>
      <c r="AF47" s="9"/>
      <c r="AG47" s="9">
        <f t="shared" si="20"/>
        <v>5650269766.6735735</v>
      </c>
      <c r="AH47" s="42">
        <f t="shared" si="19"/>
        <v>6.7391610336518422E-3</v>
      </c>
      <c r="AI47" s="42"/>
      <c r="AJ47" s="42">
        <f t="shared" si="25"/>
        <v>-5.6222770291808983E-3</v>
      </c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>
        <f>workers_and_wage_high!C35</f>
        <v>12168197</v>
      </c>
      <c r="AX47" s="7"/>
      <c r="AY47" s="42">
        <f t="shared" ref="AY47:AY78" si="26">(AW47-AW46)/AW46</f>
        <v>1.8395590516127828E-4</v>
      </c>
      <c r="AZ47" s="12">
        <f>workers_and_wage_high!B35</f>
        <v>7107.9108999543396</v>
      </c>
      <c r="BA47" s="42">
        <f t="shared" ref="BA47:BA78" si="27">(AZ47-AZ46)/AZ46</f>
        <v>6.553999481583566E-3</v>
      </c>
      <c r="BB47" s="12">
        <f>BB45*2/4+BB49*2/4</f>
        <v>53</v>
      </c>
      <c r="BC47" s="47">
        <f>'Central scenario'!BC47</f>
        <v>11.37227434313345</v>
      </c>
      <c r="BD47" s="12">
        <f t="shared" si="17"/>
        <v>58.686137171566727</v>
      </c>
      <c r="BE47" s="42">
        <f t="shared" si="18"/>
        <v>0</v>
      </c>
      <c r="BF47" s="7">
        <f t="shared" si="21"/>
        <v>107.60082352193338</v>
      </c>
      <c r="BG47" s="7"/>
      <c r="BH47" s="7"/>
      <c r="BI47" s="42">
        <f t="shared" si="22"/>
        <v>1.561124526585261E-2</v>
      </c>
      <c r="BJ47" s="7"/>
      <c r="BK47" s="7"/>
      <c r="BL47" s="7"/>
      <c r="BM47" s="7"/>
      <c r="BN47" s="7"/>
      <c r="BO47" s="7"/>
      <c r="BP47" s="7"/>
    </row>
    <row r="48" spans="1:68" x14ac:dyDescent="0.2">
      <c r="A48" s="7">
        <f t="shared" si="15"/>
        <v>2023</v>
      </c>
      <c r="B48" s="7">
        <f t="shared" si="16"/>
        <v>3</v>
      </c>
      <c r="C48" s="9"/>
      <c r="D48" s="56">
        <f>'High pensions'!Q48</f>
        <v>111967602.08646503</v>
      </c>
      <c r="E48" s="9"/>
      <c r="F48" s="56">
        <f>'High pensions'!I48</f>
        <v>20351437.064915072</v>
      </c>
      <c r="G48" s="56">
        <f>'High pensions'!K48</f>
        <v>566215.40546102705</v>
      </c>
      <c r="H48" s="56">
        <f>'High pensions'!V48</f>
        <v>3115150.100293485</v>
      </c>
      <c r="I48" s="56">
        <f>'High pensions'!M48</f>
        <v>17511.816663742997</v>
      </c>
      <c r="J48" s="56">
        <f>'High pensions'!W48</f>
        <v>96344.848462684502</v>
      </c>
      <c r="K48" s="9"/>
      <c r="L48" s="56">
        <f>'High pensions'!N48</f>
        <v>2604017.8907993566</v>
      </c>
      <c r="M48" s="41"/>
      <c r="N48" s="56">
        <f>'High pensions'!L48</f>
        <v>883724.26829835773</v>
      </c>
      <c r="O48" s="9"/>
      <c r="P48" s="56">
        <f>'High pensions'!X48</f>
        <v>18374251.39770288</v>
      </c>
      <c r="Q48" s="41"/>
      <c r="R48" s="56">
        <f>'High SIPA income'!G43</f>
        <v>22473945.265054215</v>
      </c>
      <c r="S48" s="41"/>
      <c r="T48" s="56">
        <f>'High SIPA income'!J43</f>
        <v>85931077.575976625</v>
      </c>
      <c r="U48" s="9"/>
      <c r="V48" s="56">
        <f>'High SIPA income'!F43</f>
        <v>147889.99077612199</v>
      </c>
      <c r="W48" s="41"/>
      <c r="X48" s="56">
        <f>'High SIPA income'!M43</f>
        <v>371457.01896215777</v>
      </c>
      <c r="Y48" s="9"/>
      <c r="Z48" s="9">
        <f t="shared" si="23"/>
        <v>-1217343.9681824483</v>
      </c>
      <c r="AA48" s="9"/>
      <c r="AB48" s="9">
        <f t="shared" si="24"/>
        <v>-44410775.908191293</v>
      </c>
      <c r="AC48" s="23"/>
      <c r="AD48" s="9"/>
      <c r="AE48" s="9"/>
      <c r="AF48" s="9"/>
      <c r="AG48" s="9">
        <f t="shared" si="20"/>
        <v>5722910756.8236084</v>
      </c>
      <c r="AH48" s="42">
        <f t="shared" si="19"/>
        <v>1.285619857984234E-2</v>
      </c>
      <c r="AI48" s="42"/>
      <c r="AJ48" s="42">
        <f t="shared" si="25"/>
        <v>-7.7601727154733126E-3</v>
      </c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9"/>
      <c r="AV48" s="7"/>
      <c r="AW48" s="7">
        <f>workers_and_wage_high!C36</f>
        <v>12208077</v>
      </c>
      <c r="AX48" s="7"/>
      <c r="AY48" s="42">
        <f t="shared" si="26"/>
        <v>3.2773959856172612E-3</v>
      </c>
      <c r="AZ48" s="12">
        <f>workers_and_wage_high!B36</f>
        <v>7175.7737618511901</v>
      </c>
      <c r="BA48" s="42">
        <f t="shared" si="27"/>
        <v>9.5475116179757485E-3</v>
      </c>
      <c r="BB48" s="12">
        <f>BB45*1/4+BB49*3/4</f>
        <v>53</v>
      </c>
      <c r="BC48" s="47">
        <f>'Central scenario'!BC48</f>
        <v>11.37227434313345</v>
      </c>
      <c r="BD48" s="12">
        <f t="shared" si="17"/>
        <v>58.686137171566727</v>
      </c>
      <c r="BE48" s="42">
        <f t="shared" si="18"/>
        <v>0</v>
      </c>
      <c r="BF48" s="7">
        <f t="shared" si="21"/>
        <v>108.98416107648592</v>
      </c>
      <c r="BG48" s="7"/>
      <c r="BH48" s="7"/>
      <c r="BI48" s="42">
        <f t="shared" si="22"/>
        <v>1.8059423553986455E-2</v>
      </c>
      <c r="BJ48" s="7"/>
      <c r="BK48" s="7"/>
      <c r="BL48" s="7"/>
      <c r="BM48" s="7"/>
      <c r="BN48" s="7"/>
      <c r="BO48" s="7"/>
      <c r="BP48" s="7"/>
    </row>
    <row r="49" spans="1:68" x14ac:dyDescent="0.2">
      <c r="A49" s="7">
        <f t="shared" si="15"/>
        <v>2023</v>
      </c>
      <c r="B49" s="7">
        <f t="shared" si="16"/>
        <v>4</v>
      </c>
      <c r="C49" s="9"/>
      <c r="D49" s="56">
        <f>'High pensions'!Q49</f>
        <v>112729817.53921929</v>
      </c>
      <c r="E49" s="9"/>
      <c r="F49" s="56">
        <f>'High pensions'!I49</f>
        <v>20489978.745968983</v>
      </c>
      <c r="G49" s="56">
        <f>'High pensions'!K49</f>
        <v>591570.82222261501</v>
      </c>
      <c r="H49" s="56">
        <f>'High pensions'!V49</f>
        <v>3254648.1222583437</v>
      </c>
      <c r="I49" s="56">
        <f>'High pensions'!M49</f>
        <v>18296.004811009043</v>
      </c>
      <c r="J49" s="56">
        <f>'High pensions'!W49</f>
        <v>100659.22027603307</v>
      </c>
      <c r="K49" s="9"/>
      <c r="L49" s="56">
        <f>'High pensions'!N49</f>
        <v>2636229.7842220576</v>
      </c>
      <c r="M49" s="41"/>
      <c r="N49" s="56">
        <f>'High pensions'!L49</f>
        <v>891759.13093089312</v>
      </c>
      <c r="O49" s="9"/>
      <c r="P49" s="56">
        <f>'High pensions'!X49</f>
        <v>18585604.509338643</v>
      </c>
      <c r="Q49" s="41"/>
      <c r="R49" s="56">
        <f>'High SIPA income'!G44</f>
        <v>26267540.006165884</v>
      </c>
      <c r="S49" s="41"/>
      <c r="T49" s="56">
        <f>'High SIPA income'!J44</f>
        <v>100436215.86592242</v>
      </c>
      <c r="U49" s="9"/>
      <c r="V49" s="56">
        <f>'High SIPA income'!F44</f>
        <v>145909.607320735</v>
      </c>
      <c r="W49" s="41"/>
      <c r="X49" s="56">
        <f>'High SIPA income'!M44</f>
        <v>366482.86668261891</v>
      </c>
      <c r="Y49" s="9"/>
      <c r="Z49" s="9">
        <f t="shared" si="23"/>
        <v>2395481.9523646832</v>
      </c>
      <c r="AA49" s="9"/>
      <c r="AB49" s="9">
        <f t="shared" si="24"/>
        <v>-30879206.182635516</v>
      </c>
      <c r="AC49" s="23"/>
      <c r="AD49" s="9"/>
      <c r="AE49" s="9"/>
      <c r="AF49" s="9"/>
      <c r="AG49" s="9">
        <f t="shared" si="20"/>
        <v>5805831576.959239</v>
      </c>
      <c r="AH49" s="42">
        <f t="shared" si="19"/>
        <v>1.4489273668432008E-2</v>
      </c>
      <c r="AI49" s="42">
        <f>(AG49-AG45)/AG45</f>
        <v>4.7835842629261834E-2</v>
      </c>
      <c r="AJ49" s="42">
        <f t="shared" si="25"/>
        <v>-5.3186534561528338E-3</v>
      </c>
      <c r="AK49" s="7"/>
      <c r="AL49" s="7"/>
      <c r="AM49" s="7"/>
      <c r="AN49" s="7"/>
      <c r="AO49" s="7"/>
      <c r="AP49" s="7"/>
      <c r="AQ49" s="7"/>
      <c r="AR49" s="7"/>
      <c r="AS49" s="7"/>
      <c r="AT49" s="7"/>
      <c r="AV49" s="7"/>
      <c r="AW49" s="7">
        <f>workers_and_wage_high!C37</f>
        <v>12268752</v>
      </c>
      <c r="AX49" s="7"/>
      <c r="AY49" s="42">
        <f t="shared" si="26"/>
        <v>4.9700702248191911E-3</v>
      </c>
      <c r="AZ49" s="12">
        <f>workers_and_wage_high!B37</f>
        <v>7243.7435973002403</v>
      </c>
      <c r="BA49" s="42">
        <f t="shared" si="27"/>
        <v>9.4721263106705648E-3</v>
      </c>
      <c r="BB49" s="12">
        <v>53</v>
      </c>
      <c r="BC49" s="47">
        <f>'Central scenario'!BC49</f>
        <v>11.37227434313345</v>
      </c>
      <c r="BD49" s="12">
        <f t="shared" si="17"/>
        <v>58.686137171566727</v>
      </c>
      <c r="BE49" s="42">
        <f t="shared" si="18"/>
        <v>0</v>
      </c>
      <c r="BF49" s="7">
        <f t="shared" si="21"/>
        <v>110.5632624118476</v>
      </c>
      <c r="BG49" s="49">
        <f>(BB49-BB45)/BB45</f>
        <v>0</v>
      </c>
      <c r="BH49" s="7"/>
      <c r="BI49" s="42">
        <f t="shared" si="22"/>
        <v>1.5875725128428522E-2</v>
      </c>
      <c r="BJ49" s="7"/>
      <c r="BK49" s="7"/>
      <c r="BL49" s="7"/>
      <c r="BM49" s="7"/>
      <c r="BN49" s="7"/>
      <c r="BO49" s="7"/>
      <c r="BP49" s="7"/>
    </row>
    <row r="50" spans="1:68" x14ac:dyDescent="0.2">
      <c r="A50" s="5">
        <f t="shared" ref="A50:A81" si="28">A46+1</f>
        <v>2024</v>
      </c>
      <c r="B50" s="5">
        <f t="shared" ref="B50:B81" si="29">B46</f>
        <v>1</v>
      </c>
      <c r="C50" s="6"/>
      <c r="D50" s="55">
        <f>'High pensions'!Q50</f>
        <v>113974171.37798184</v>
      </c>
      <c r="E50" s="6"/>
      <c r="F50" s="55">
        <f>'High pensions'!I50</f>
        <v>20716154.78586046</v>
      </c>
      <c r="G50" s="55">
        <f>'High pensions'!K50</f>
        <v>618388.81834753905</v>
      </c>
      <c r="H50" s="55">
        <f>'High pensions'!V50</f>
        <v>3402192.8243496008</v>
      </c>
      <c r="I50" s="55">
        <f>'High pensions'!M50</f>
        <v>19125.427371572936</v>
      </c>
      <c r="J50" s="55">
        <f>'High pensions'!W50</f>
        <v>105222.4584850368</v>
      </c>
      <c r="K50" s="6"/>
      <c r="L50" s="55">
        <f>'High pensions'!N50</f>
        <v>3170743.1951012509</v>
      </c>
      <c r="M50" s="8"/>
      <c r="N50" s="55">
        <f>'High pensions'!L50</f>
        <v>903119.67040232569</v>
      </c>
      <c r="O50" s="6"/>
      <c r="P50" s="55">
        <f>'High pensions'!X50</f>
        <v>21421699.475631408</v>
      </c>
      <c r="Q50" s="8"/>
      <c r="R50" s="55">
        <f>'High SIPA income'!G45</f>
        <v>23371110.662047639</v>
      </c>
      <c r="S50" s="8"/>
      <c r="T50" s="55">
        <f>'High SIPA income'!J45</f>
        <v>89361467.230231121</v>
      </c>
      <c r="U50" s="6"/>
      <c r="V50" s="55">
        <f>'High SIPA income'!F45</f>
        <v>144876.778828376</v>
      </c>
      <c r="W50" s="8"/>
      <c r="X50" s="55">
        <f>'High SIPA income'!M45</f>
        <v>363888.69928253005</v>
      </c>
      <c r="Y50" s="6"/>
      <c r="Z50" s="6">
        <f t="shared" si="23"/>
        <v>-1274030.2104880214</v>
      </c>
      <c r="AA50" s="6"/>
      <c r="AB50" s="6">
        <f t="shared" si="24"/>
        <v>-46034403.623382121</v>
      </c>
      <c r="AC50" s="23"/>
      <c r="AD50" s="6"/>
      <c r="AE50" s="6"/>
      <c r="AF50" s="6"/>
      <c r="AG50" s="6">
        <f t="shared" si="20"/>
        <v>5846685861.400486</v>
      </c>
      <c r="AH50" s="35">
        <f t="shared" si="19"/>
        <v>7.0367670676806156E-3</v>
      </c>
      <c r="AI50" s="35"/>
      <c r="AJ50" s="35">
        <f t="shared" si="25"/>
        <v>-7.8735893657805086E-3</v>
      </c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35">
        <f>AVERAGE(AH50:AH53)</f>
        <v>8.8325469603211873E-3</v>
      </c>
      <c r="AV50" s="5"/>
      <c r="AW50" s="5">
        <f>workers_and_wage_high!C38</f>
        <v>12242893</v>
      </c>
      <c r="AX50" s="5"/>
      <c r="AY50" s="35">
        <f t="shared" si="26"/>
        <v>-2.10771234107593E-3</v>
      </c>
      <c r="AZ50" s="11">
        <f>workers_and_wage_high!B38</f>
        <v>7325.7273873459899</v>
      </c>
      <c r="BA50" s="35">
        <f t="shared" si="27"/>
        <v>1.1317875756439692E-2</v>
      </c>
      <c r="BB50" s="11">
        <f>BB49*3/4+BB53*1/4</f>
        <v>53.125</v>
      </c>
      <c r="BC50" s="40">
        <f>'Central scenario'!BC50</f>
        <v>11.37227434313345</v>
      </c>
      <c r="BD50" s="11">
        <f t="shared" si="17"/>
        <v>58.811137171566727</v>
      </c>
      <c r="BE50" s="35">
        <f t="shared" si="18"/>
        <v>2.1299749144259028E-3</v>
      </c>
      <c r="BF50" s="5">
        <f t="shared" si="21"/>
        <v>111.34127033568262</v>
      </c>
      <c r="BG50" s="5"/>
      <c r="BH50" s="5"/>
      <c r="BI50" s="35">
        <f t="shared" si="22"/>
        <v>1.8177538416777526E-2</v>
      </c>
      <c r="BJ50" s="5"/>
      <c r="BK50" s="5"/>
      <c r="BL50" s="5"/>
      <c r="BM50" s="5"/>
      <c r="BN50" s="5"/>
      <c r="BO50" s="5"/>
      <c r="BP50" s="5"/>
    </row>
    <row r="51" spans="1:68" x14ac:dyDescent="0.2">
      <c r="A51" s="7">
        <f t="shared" si="28"/>
        <v>2024</v>
      </c>
      <c r="B51" s="7">
        <f t="shared" si="29"/>
        <v>2</v>
      </c>
      <c r="C51" s="9"/>
      <c r="D51" s="56">
        <f>'High pensions'!Q51</f>
        <v>115214271.36213483</v>
      </c>
      <c r="E51" s="9"/>
      <c r="F51" s="56">
        <f>'High pensions'!I51</f>
        <v>20941557.637322817</v>
      </c>
      <c r="G51" s="56">
        <f>'High pensions'!K51</f>
        <v>622063.91224558104</v>
      </c>
      <c r="H51" s="56">
        <f>'High pensions'!V51</f>
        <v>3422412.1066486258</v>
      </c>
      <c r="I51" s="56">
        <f>'High pensions'!M51</f>
        <v>19239.090069450904</v>
      </c>
      <c r="J51" s="56">
        <f>'High pensions'!W51</f>
        <v>105847.79711284379</v>
      </c>
      <c r="K51" s="9"/>
      <c r="L51" s="56">
        <f>'High pensions'!N51</f>
        <v>2692664.4977211244</v>
      </c>
      <c r="M51" s="41"/>
      <c r="N51" s="56">
        <f>'High pensions'!L51</f>
        <v>915337.26769784838</v>
      </c>
      <c r="O51" s="9"/>
      <c r="P51" s="56">
        <f>'High pensions'!X51</f>
        <v>19008164.457781404</v>
      </c>
      <c r="Q51" s="41"/>
      <c r="R51" s="56">
        <f>'High SIPA income'!G46</f>
        <v>27032550.643326268</v>
      </c>
      <c r="S51" s="41"/>
      <c r="T51" s="56">
        <f>'High SIPA income'!J46</f>
        <v>103361300.34187758</v>
      </c>
      <c r="U51" s="9"/>
      <c r="V51" s="56">
        <f>'High SIPA income'!F46</f>
        <v>149081.988106479</v>
      </c>
      <c r="W51" s="41"/>
      <c r="X51" s="56">
        <f>'High SIPA income'!M46</f>
        <v>374450.97259364824</v>
      </c>
      <c r="Y51" s="9"/>
      <c r="Z51" s="9">
        <f t="shared" si="23"/>
        <v>2632073.2286909558</v>
      </c>
      <c r="AA51" s="9"/>
      <c r="AB51" s="9">
        <f t="shared" si="24"/>
        <v>-30861135.478038654</v>
      </c>
      <c r="AC51" s="23"/>
      <c r="AD51" s="9"/>
      <c r="AE51" s="9"/>
      <c r="AF51" s="9"/>
      <c r="AG51" s="9">
        <f t="shared" si="20"/>
        <v>5883976466.2025528</v>
      </c>
      <c r="AH51" s="42">
        <f t="shared" si="19"/>
        <v>6.3780756630448408E-3</v>
      </c>
      <c r="AI51" s="42"/>
      <c r="AJ51" s="42">
        <f t="shared" si="25"/>
        <v>-5.2449454302382782E-3</v>
      </c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>
        <f>workers_and_wage_high!C39</f>
        <v>12283997</v>
      </c>
      <c r="AX51" s="7"/>
      <c r="AY51" s="42">
        <f t="shared" si="26"/>
        <v>3.3573763978824284E-3</v>
      </c>
      <c r="AZ51" s="12">
        <f>workers_and_wage_high!B39</f>
        <v>7363.4327521854002</v>
      </c>
      <c r="BA51" s="42">
        <f t="shared" si="27"/>
        <v>5.1469789750216814E-3</v>
      </c>
      <c r="BB51" s="12">
        <f>BB49*2/4+BB53*2/4</f>
        <v>53.25</v>
      </c>
      <c r="BC51" s="47">
        <f>'Central scenario'!BC51</f>
        <v>11.37227434313345</v>
      </c>
      <c r="BD51" s="12">
        <f t="shared" si="17"/>
        <v>58.936137171566727</v>
      </c>
      <c r="BE51" s="42">
        <f t="shared" si="18"/>
        <v>2.1254477640066938E-3</v>
      </c>
      <c r="BF51" s="7">
        <f t="shared" si="21"/>
        <v>112.05141338230312</v>
      </c>
      <c r="BG51" s="7"/>
      <c r="BH51" s="7"/>
      <c r="BI51" s="42">
        <f t="shared" si="22"/>
        <v>1.5917514704937574E-2</v>
      </c>
      <c r="BJ51" s="7"/>
      <c r="BK51" s="7"/>
      <c r="BL51" s="7"/>
      <c r="BM51" s="7"/>
      <c r="BN51" s="7"/>
      <c r="BO51" s="7"/>
      <c r="BP51" s="7"/>
    </row>
    <row r="52" spans="1:68" x14ac:dyDescent="0.2">
      <c r="A52" s="7">
        <f t="shared" si="28"/>
        <v>2024</v>
      </c>
      <c r="B52" s="7">
        <f t="shared" si="29"/>
        <v>3</v>
      </c>
      <c r="C52" s="9"/>
      <c r="D52" s="56">
        <f>'High pensions'!Q52</f>
        <v>116438166.18520482</v>
      </c>
      <c r="E52" s="9"/>
      <c r="F52" s="56">
        <f>'High pensions'!I52</f>
        <v>21164015.0089342</v>
      </c>
      <c r="G52" s="56">
        <f>'High pensions'!K52</f>
        <v>651557.96663640195</v>
      </c>
      <c r="H52" s="56">
        <f>'High pensions'!V52</f>
        <v>3584679.6917540105</v>
      </c>
      <c r="I52" s="56">
        <f>'High pensions'!M52</f>
        <v>20151.277318652021</v>
      </c>
      <c r="J52" s="56">
        <f>'High pensions'!W52</f>
        <v>110866.38221919848</v>
      </c>
      <c r="K52" s="9"/>
      <c r="L52" s="56">
        <f>'High pensions'!N52</f>
        <v>2654205.6494816761</v>
      </c>
      <c r="M52" s="41"/>
      <c r="N52" s="56">
        <f>'High pensions'!L52</f>
        <v>927447.12371294573</v>
      </c>
      <c r="O52" s="9"/>
      <c r="P52" s="56">
        <f>'High pensions'!X52</f>
        <v>18875226.166251138</v>
      </c>
      <c r="Q52" s="41"/>
      <c r="R52" s="56">
        <f>'High SIPA income'!G47</f>
        <v>23845077.836372223</v>
      </c>
      <c r="S52" s="41"/>
      <c r="T52" s="56">
        <f>'High SIPA income'!J47</f>
        <v>91173721.800801903</v>
      </c>
      <c r="U52" s="9"/>
      <c r="V52" s="56">
        <f>'High SIPA income'!F47</f>
        <v>146925.25375725201</v>
      </c>
      <c r="W52" s="41"/>
      <c r="X52" s="56">
        <f>'High SIPA income'!M47</f>
        <v>369033.8777121568</v>
      </c>
      <c r="Y52" s="9"/>
      <c r="Z52" s="9">
        <f t="shared" si="23"/>
        <v>-753664.69199934602</v>
      </c>
      <c r="AA52" s="9"/>
      <c r="AB52" s="9">
        <f t="shared" si="24"/>
        <v>-44139670.550654054</v>
      </c>
      <c r="AC52" s="23"/>
      <c r="AD52" s="9"/>
      <c r="AE52" s="9"/>
      <c r="AF52" s="9"/>
      <c r="AG52" s="9">
        <f t="shared" si="20"/>
        <v>5960869217.9995909</v>
      </c>
      <c r="AH52" s="42">
        <f t="shared" si="19"/>
        <v>1.3068161002802876E-2</v>
      </c>
      <c r="AI52" s="42"/>
      <c r="AJ52" s="42">
        <f t="shared" si="25"/>
        <v>-7.4049050459568536E-3</v>
      </c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9"/>
      <c r="AV52" s="7"/>
      <c r="AW52" s="7">
        <f>workers_and_wage_high!C40</f>
        <v>12422073</v>
      </c>
      <c r="AX52" s="7"/>
      <c r="AY52" s="42">
        <f t="shared" si="26"/>
        <v>1.1240315346869589E-2</v>
      </c>
      <c r="AZ52" s="12">
        <f>workers_and_wage_high!B40</f>
        <v>7392.4212470607999</v>
      </c>
      <c r="BA52" s="42">
        <f t="shared" si="27"/>
        <v>3.9368180373204626E-3</v>
      </c>
      <c r="BB52" s="12">
        <f>BB49*1/4+BB53*3/4</f>
        <v>53.375</v>
      </c>
      <c r="BC52" s="47">
        <f>'Central scenario'!BC52</f>
        <v>11.37227434313345</v>
      </c>
      <c r="BD52" s="12">
        <f t="shared" si="17"/>
        <v>59.061137171566727</v>
      </c>
      <c r="BE52" s="42">
        <f t="shared" si="18"/>
        <v>2.1209398172146177E-3</v>
      </c>
      <c r="BF52" s="7">
        <f t="shared" si="21"/>
        <v>113.51571929297469</v>
      </c>
      <c r="BG52" s="7"/>
      <c r="BH52" s="7"/>
      <c r="BI52" s="42">
        <f t="shared" si="22"/>
        <v>1.817571696585835E-2</v>
      </c>
      <c r="BJ52" s="7"/>
      <c r="BK52" s="7"/>
      <c r="BL52" s="7"/>
      <c r="BM52" s="7"/>
      <c r="BN52" s="7"/>
      <c r="BO52" s="7"/>
      <c r="BP52" s="7"/>
    </row>
    <row r="53" spans="1:68" x14ac:dyDescent="0.2">
      <c r="A53" s="7">
        <f t="shared" si="28"/>
        <v>2024</v>
      </c>
      <c r="B53" s="7">
        <f t="shared" si="29"/>
        <v>4</v>
      </c>
      <c r="C53" s="9"/>
      <c r="D53" s="56">
        <f>'High pensions'!Q53</f>
        <v>117244253.97843881</v>
      </c>
      <c r="E53" s="9"/>
      <c r="F53" s="56">
        <f>'High pensions'!I53</f>
        <v>21310531.007197067</v>
      </c>
      <c r="G53" s="56">
        <f>'High pensions'!K53</f>
        <v>726204.04963373498</v>
      </c>
      <c r="H53" s="56">
        <f>'High pensions'!V53</f>
        <v>3995360.4162502345</v>
      </c>
      <c r="I53" s="56">
        <f>'High pensions'!M53</f>
        <v>22459.91906083806</v>
      </c>
      <c r="J53" s="56">
        <f>'High pensions'!W53</f>
        <v>123567.84792526992</v>
      </c>
      <c r="K53" s="9"/>
      <c r="L53" s="56">
        <f>'High pensions'!N53</f>
        <v>2695459.7094612727</v>
      </c>
      <c r="M53" s="41"/>
      <c r="N53" s="56">
        <f>'High pensions'!L53</f>
        <v>936112.79121915996</v>
      </c>
      <c r="O53" s="9"/>
      <c r="P53" s="56">
        <f>'High pensions'!X53</f>
        <v>19136969.625432737</v>
      </c>
      <c r="Q53" s="41"/>
      <c r="R53" s="56">
        <f>'High SIPA income'!G48</f>
        <v>27916187.586484864</v>
      </c>
      <c r="S53" s="41"/>
      <c r="T53" s="56">
        <f>'High SIPA income'!J48</f>
        <v>106739962.78036052</v>
      </c>
      <c r="U53" s="9"/>
      <c r="V53" s="56">
        <f>'High SIPA income'!F48</f>
        <v>148260.13531661901</v>
      </c>
      <c r="W53" s="41"/>
      <c r="X53" s="56">
        <f>'High SIPA income'!M48</f>
        <v>372386.71533225407</v>
      </c>
      <c r="Y53" s="9"/>
      <c r="Z53" s="9">
        <f t="shared" si="23"/>
        <v>3122344.2139239833</v>
      </c>
      <c r="AA53" s="9"/>
      <c r="AB53" s="9">
        <f t="shared" si="24"/>
        <v>-29641260.823511019</v>
      </c>
      <c r="AC53" s="23"/>
      <c r="AD53" s="9"/>
      <c r="AE53" s="9"/>
      <c r="AF53" s="9"/>
      <c r="AG53" s="9">
        <f t="shared" si="20"/>
        <v>6013606125.4134912</v>
      </c>
      <c r="AH53" s="42">
        <f t="shared" si="19"/>
        <v>8.8471841077564124E-3</v>
      </c>
      <c r="AI53" s="42">
        <f>(AG53-AG49)/AG49</f>
        <v>3.5787215956938352E-2</v>
      </c>
      <c r="AJ53" s="42">
        <f t="shared" si="25"/>
        <v>-4.9290326312272249E-3</v>
      </c>
      <c r="AK53" s="7"/>
      <c r="AL53" s="7"/>
      <c r="AM53" s="7"/>
      <c r="AN53" s="7"/>
      <c r="AO53" s="7"/>
      <c r="AP53" s="7"/>
      <c r="AQ53" s="7"/>
      <c r="AR53" s="7"/>
      <c r="AS53" s="7"/>
      <c r="AT53" s="7"/>
      <c r="AV53" s="7"/>
      <c r="AW53" s="7">
        <f>workers_and_wage_high!C41</f>
        <v>12447422</v>
      </c>
      <c r="AX53" s="7"/>
      <c r="AY53" s="42">
        <f t="shared" si="26"/>
        <v>2.0406416867780443E-3</v>
      </c>
      <c r="AZ53" s="12">
        <f>workers_and_wage_high!B41</f>
        <v>7458.4209885603505</v>
      </c>
      <c r="BA53" s="42">
        <f t="shared" si="27"/>
        <v>8.9280276777776654E-3</v>
      </c>
      <c r="BB53" s="7">
        <v>53.5</v>
      </c>
      <c r="BC53" s="47">
        <f>'Central scenario'!BC53</f>
        <v>11.37227434313345</v>
      </c>
      <c r="BD53" s="12">
        <f t="shared" si="17"/>
        <v>59.186137171566727</v>
      </c>
      <c r="BE53" s="42">
        <f t="shared" si="18"/>
        <v>2.1164509521192088E-3</v>
      </c>
      <c r="BF53" s="7">
        <f t="shared" si="21"/>
        <v>114.52001376068404</v>
      </c>
      <c r="BG53" s="49">
        <f>(BB53-BB49)/BB49</f>
        <v>9.433962264150943E-3</v>
      </c>
      <c r="BH53" s="7"/>
      <c r="BI53" s="42">
        <f t="shared" si="22"/>
        <v>1.5905174602346021E-2</v>
      </c>
      <c r="BJ53" s="7"/>
      <c r="BK53" s="7"/>
      <c r="BL53" s="7"/>
      <c r="BM53" s="7"/>
      <c r="BN53" s="7"/>
      <c r="BO53" s="7"/>
      <c r="BP53" s="7"/>
    </row>
    <row r="54" spans="1:68" x14ac:dyDescent="0.2">
      <c r="A54" s="5">
        <f t="shared" si="28"/>
        <v>2025</v>
      </c>
      <c r="B54" s="5">
        <f t="shared" si="29"/>
        <v>1</v>
      </c>
      <c r="C54" s="6"/>
      <c r="D54" s="55">
        <f>'High pensions'!Q54</f>
        <v>118435650.08099428</v>
      </c>
      <c r="E54" s="6"/>
      <c r="F54" s="55">
        <f>'High pensions'!I54</f>
        <v>21527081.35166027</v>
      </c>
      <c r="G54" s="55">
        <f>'High pensions'!K54</f>
        <v>801040.790121531</v>
      </c>
      <c r="H54" s="55">
        <f>'High pensions'!V54</f>
        <v>4407090.082005932</v>
      </c>
      <c r="I54" s="55">
        <f>'High pensions'!M54</f>
        <v>24774.457426439039</v>
      </c>
      <c r="J54" s="55">
        <f>'High pensions'!W54</f>
        <v>136301.75511358518</v>
      </c>
      <c r="K54" s="6"/>
      <c r="L54" s="55">
        <f>'High pensions'!N54</f>
        <v>3211111.9009518754</v>
      </c>
      <c r="M54" s="8"/>
      <c r="N54" s="55">
        <f>'High pensions'!L54</f>
        <v>948313.71656446159</v>
      </c>
      <c r="O54" s="6"/>
      <c r="P54" s="55">
        <f>'High pensions'!X54</f>
        <v>21879817.189779751</v>
      </c>
      <c r="Q54" s="8"/>
      <c r="R54" s="55">
        <f>'High SIPA income'!G49</f>
        <v>24778509.102047753</v>
      </c>
      <c r="S54" s="8"/>
      <c r="T54" s="55">
        <f>'High SIPA income'!J49</f>
        <v>94742777.14718692</v>
      </c>
      <c r="U54" s="6"/>
      <c r="V54" s="55">
        <f>'High SIPA income'!F49</f>
        <v>149136.46525407099</v>
      </c>
      <c r="W54" s="8"/>
      <c r="X54" s="55">
        <f>'High SIPA income'!M49</f>
        <v>374587.80348220188</v>
      </c>
      <c r="Y54" s="6"/>
      <c r="Z54" s="6">
        <f t="shared" si="23"/>
        <v>-758861.40187478438</v>
      </c>
      <c r="AA54" s="6"/>
      <c r="AB54" s="6">
        <f t="shared" si="24"/>
        <v>-45572690.123587102</v>
      </c>
      <c r="AC54" s="23"/>
      <c r="AD54" s="6"/>
      <c r="AE54" s="6"/>
      <c r="AF54" s="6"/>
      <c r="AG54" s="6">
        <f t="shared" si="20"/>
        <v>6068880190.770133</v>
      </c>
      <c r="AH54" s="35">
        <f t="shared" si="19"/>
        <v>9.1915007740619465E-3</v>
      </c>
      <c r="AI54" s="35"/>
      <c r="AJ54" s="35">
        <f t="shared" si="25"/>
        <v>-7.5092420168215556E-3</v>
      </c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35">
        <f>AVERAGE(AH54:AH57)</f>
        <v>1.0619067969381075E-2</v>
      </c>
      <c r="AV54" s="5"/>
      <c r="AW54" s="5">
        <f>workers_and_wage_high!C42</f>
        <v>12483923</v>
      </c>
      <c r="AX54" s="5"/>
      <c r="AY54" s="35">
        <f t="shared" si="26"/>
        <v>2.9324144389095189E-3</v>
      </c>
      <c r="AZ54" s="11">
        <f>workers_and_wage_high!B42</f>
        <v>7504.96739609413</v>
      </c>
      <c r="BA54" s="35">
        <f t="shared" si="27"/>
        <v>6.2407857648652349E-3</v>
      </c>
      <c r="BB54" s="40"/>
      <c r="BC54" s="40"/>
      <c r="BD54" s="40"/>
      <c r="BE54" s="40"/>
      <c r="BF54" s="5">
        <f t="shared" si="21"/>
        <v>115.57262455581093</v>
      </c>
      <c r="BG54" s="5"/>
      <c r="BH54" s="5"/>
      <c r="BI54" s="35">
        <f t="shared" si="22"/>
        <v>1.8328483636598922E-2</v>
      </c>
      <c r="BJ54" s="5"/>
      <c r="BK54" s="5"/>
      <c r="BL54" s="5"/>
      <c r="BM54" s="5"/>
      <c r="BN54" s="5"/>
      <c r="BO54" s="5"/>
      <c r="BP54" s="5"/>
    </row>
    <row r="55" spans="1:68" x14ac:dyDescent="0.2">
      <c r="A55" s="7">
        <f t="shared" si="28"/>
        <v>2025</v>
      </c>
      <c r="B55" s="7">
        <f t="shared" si="29"/>
        <v>2</v>
      </c>
      <c r="C55" s="9"/>
      <c r="D55" s="56">
        <f>'High pensions'!Q55</f>
        <v>119273596.72847877</v>
      </c>
      <c r="E55" s="9"/>
      <c r="F55" s="56">
        <f>'High pensions'!I55</f>
        <v>21679388.073803592</v>
      </c>
      <c r="G55" s="56">
        <f>'High pensions'!K55</f>
        <v>885713.39393000805</v>
      </c>
      <c r="H55" s="56">
        <f>'High pensions'!V55</f>
        <v>4872933.7657031659</v>
      </c>
      <c r="I55" s="56">
        <f>'High pensions'!M55</f>
        <v>27393.197750412975</v>
      </c>
      <c r="J55" s="56">
        <f>'High pensions'!W55</f>
        <v>150709.2917227803</v>
      </c>
      <c r="K55" s="9"/>
      <c r="L55" s="56">
        <f>'High pensions'!N55</f>
        <v>2686330.3918861952</v>
      </c>
      <c r="M55" s="41"/>
      <c r="N55" s="56">
        <f>'High pensions'!L55</f>
        <v>957956.03931788355</v>
      </c>
      <c r="O55" s="9"/>
      <c r="P55" s="56">
        <f>'High pensions'!X55</f>
        <v>19209772.659375776</v>
      </c>
      <c r="Q55" s="41"/>
      <c r="R55" s="56">
        <f>'High SIPA income'!G50</f>
        <v>28982690.155051991</v>
      </c>
      <c r="S55" s="41"/>
      <c r="T55" s="56">
        <f>'High SIPA income'!J50</f>
        <v>110817827.7868676</v>
      </c>
      <c r="U55" s="9"/>
      <c r="V55" s="56">
        <f>'High SIPA income'!F50</f>
        <v>152790.51827172501</v>
      </c>
      <c r="W55" s="41"/>
      <c r="X55" s="56">
        <f>'High SIPA income'!M50</f>
        <v>383765.73116983136</v>
      </c>
      <c r="Y55" s="9"/>
      <c r="Z55" s="9">
        <f t="shared" si="23"/>
        <v>3811806.1683160476</v>
      </c>
      <c r="AA55" s="9"/>
      <c r="AB55" s="9">
        <f t="shared" si="24"/>
        <v>-27665541.600986943</v>
      </c>
      <c r="AC55" s="23"/>
      <c r="AD55" s="9"/>
      <c r="AE55" s="9"/>
      <c r="AF55" s="9"/>
      <c r="AG55" s="9">
        <f t="shared" si="20"/>
        <v>6136288207.4054661</v>
      </c>
      <c r="AH55" s="42">
        <f t="shared" si="19"/>
        <v>1.1107158901876274E-2</v>
      </c>
      <c r="AI55" s="42"/>
      <c r="AJ55" s="42">
        <f t="shared" si="25"/>
        <v>-4.508514050497057E-3</v>
      </c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>
        <f>workers_and_wage_high!C43</f>
        <v>12526419</v>
      </c>
      <c r="AX55" s="7"/>
      <c r="AY55" s="42">
        <f t="shared" si="26"/>
        <v>3.4040581634474996E-3</v>
      </c>
      <c r="AZ55" s="12">
        <f>workers_and_wage_high!B43</f>
        <v>7562.5827898334701</v>
      </c>
      <c r="BA55" s="42">
        <f t="shared" si="27"/>
        <v>7.6769678932016878E-3</v>
      </c>
      <c r="BB55" s="47"/>
      <c r="BC55" s="47"/>
      <c r="BD55" s="47"/>
      <c r="BE55" s="47"/>
      <c r="BF55" s="7">
        <f t="shared" si="21"/>
        <v>116.85630806145925</v>
      </c>
      <c r="BG55" s="7"/>
      <c r="BH55" s="7"/>
      <c r="BI55" s="42">
        <f t="shared" si="22"/>
        <v>1.5993816795967345E-2</v>
      </c>
      <c r="BJ55" s="7"/>
      <c r="BK55" s="7"/>
      <c r="BL55" s="7"/>
      <c r="BM55" s="7"/>
      <c r="BN55" s="7"/>
      <c r="BO55" s="7"/>
      <c r="BP55" s="7"/>
    </row>
    <row r="56" spans="1:68" x14ac:dyDescent="0.2">
      <c r="A56" s="7">
        <f t="shared" si="28"/>
        <v>2025</v>
      </c>
      <c r="B56" s="7">
        <f t="shared" si="29"/>
        <v>3</v>
      </c>
      <c r="C56" s="9"/>
      <c r="D56" s="56">
        <f>'High pensions'!Q56</f>
        <v>120507665.87843576</v>
      </c>
      <c r="E56" s="9"/>
      <c r="F56" s="56">
        <f>'High pensions'!I56</f>
        <v>21903694.749762483</v>
      </c>
      <c r="G56" s="56">
        <f>'High pensions'!K56</f>
        <v>939929.51716971898</v>
      </c>
      <c r="H56" s="56">
        <f>'High pensions'!V56</f>
        <v>5171214.8794255909</v>
      </c>
      <c r="I56" s="56">
        <f>'High pensions'!M56</f>
        <v>29069.985067105037</v>
      </c>
      <c r="J56" s="56">
        <f>'High pensions'!W56</f>
        <v>159934.48080697883</v>
      </c>
      <c r="K56" s="9"/>
      <c r="L56" s="56">
        <f>'High pensions'!N56</f>
        <v>2682383.0375316371</v>
      </c>
      <c r="M56" s="41"/>
      <c r="N56" s="56">
        <f>'High pensions'!L56</f>
        <v>969701.13890549168</v>
      </c>
      <c r="O56" s="9"/>
      <c r="P56" s="56">
        <f>'High pensions'!X56</f>
        <v>19253907.891431443</v>
      </c>
      <c r="Q56" s="41"/>
      <c r="R56" s="56">
        <f>'High SIPA income'!G51</f>
        <v>25719979.340364601</v>
      </c>
      <c r="S56" s="41"/>
      <c r="T56" s="56">
        <f>'High SIPA income'!J51</f>
        <v>98342570.20221746</v>
      </c>
      <c r="U56" s="9"/>
      <c r="V56" s="56">
        <f>'High SIPA income'!F51</f>
        <v>147134.90654442299</v>
      </c>
      <c r="W56" s="41"/>
      <c r="X56" s="56">
        <f>'High SIPA income'!M51</f>
        <v>369560.46506895457</v>
      </c>
      <c r="Y56" s="9"/>
      <c r="Z56" s="9">
        <f t="shared" si="23"/>
        <v>311335.32070941478</v>
      </c>
      <c r="AA56" s="9"/>
      <c r="AB56" s="9">
        <f t="shared" si="24"/>
        <v>-41419003.567649752</v>
      </c>
      <c r="AC56" s="23"/>
      <c r="AD56" s="9"/>
      <c r="AE56" s="9"/>
      <c r="AF56" s="9"/>
      <c r="AG56" s="9">
        <f t="shared" si="20"/>
        <v>6194524622.1299381</v>
      </c>
      <c r="AH56" s="42">
        <f t="shared" si="19"/>
        <v>9.490495354209488E-3</v>
      </c>
      <c r="AI56" s="42"/>
      <c r="AJ56" s="42">
        <f t="shared" si="25"/>
        <v>-6.6863893671001593E-3</v>
      </c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9"/>
      <c r="AV56" s="7"/>
      <c r="AW56" s="7">
        <f>workers_and_wage_high!C44</f>
        <v>12582659</v>
      </c>
      <c r="AX56" s="7"/>
      <c r="AY56" s="42">
        <f t="shared" si="26"/>
        <v>4.4897109062055169E-3</v>
      </c>
      <c r="AZ56" s="12">
        <f>workers_and_wage_high!B44</f>
        <v>7600.2325994746498</v>
      </c>
      <c r="BA56" s="42">
        <f t="shared" si="27"/>
        <v>4.9784327243059152E-3</v>
      </c>
      <c r="BB56" s="47"/>
      <c r="BC56" s="47"/>
      <c r="BD56" s="47"/>
      <c r="BE56" s="47"/>
      <c r="BF56" s="7">
        <f t="shared" si="21"/>
        <v>117.96533231022659</v>
      </c>
      <c r="BG56" s="7"/>
      <c r="BH56" s="7"/>
      <c r="BI56" s="42">
        <f t="shared" si="22"/>
        <v>1.8397839813104989E-2</v>
      </c>
      <c r="BJ56" s="7"/>
      <c r="BK56" s="7"/>
      <c r="BL56" s="7"/>
      <c r="BM56" s="7"/>
      <c r="BN56" s="7"/>
      <c r="BO56" s="7"/>
      <c r="BP56" s="7"/>
    </row>
    <row r="57" spans="1:68" x14ac:dyDescent="0.2">
      <c r="A57" s="7">
        <f t="shared" si="28"/>
        <v>2025</v>
      </c>
      <c r="B57" s="7">
        <f t="shared" si="29"/>
        <v>4</v>
      </c>
      <c r="C57" s="9"/>
      <c r="D57" s="56">
        <f>'High pensions'!Q57</f>
        <v>121345941.01711074</v>
      </c>
      <c r="E57" s="9"/>
      <c r="F57" s="56">
        <f>'High pensions'!I57</f>
        <v>22056061.1790681</v>
      </c>
      <c r="G57" s="56">
        <f>'High pensions'!K57</f>
        <v>1026764.8417181</v>
      </c>
      <c r="H57" s="56">
        <f>'High pensions'!V57</f>
        <v>5648957.2145279963</v>
      </c>
      <c r="I57" s="56">
        <f>'High pensions'!M57</f>
        <v>31755.613661380019</v>
      </c>
      <c r="J57" s="56">
        <f>'High pensions'!W57</f>
        <v>174710.01694413999</v>
      </c>
      <c r="K57" s="9"/>
      <c r="L57" s="56">
        <f>'High pensions'!N57</f>
        <v>2684356.6744968011</v>
      </c>
      <c r="M57" s="41"/>
      <c r="N57" s="56">
        <f>'High pensions'!L57</f>
        <v>979317.9391717203</v>
      </c>
      <c r="O57" s="9"/>
      <c r="P57" s="56">
        <f>'High pensions'!X57</f>
        <v>19317057.900675945</v>
      </c>
      <c r="Q57" s="41"/>
      <c r="R57" s="56">
        <f>'High SIPA income'!G52</f>
        <v>29822730.274659026</v>
      </c>
      <c r="S57" s="41"/>
      <c r="T57" s="56">
        <f>'High SIPA income'!J52</f>
        <v>114029793.99189034</v>
      </c>
      <c r="U57" s="9"/>
      <c r="V57" s="56">
        <f>'High SIPA income'!F52</f>
        <v>148034.937033247</v>
      </c>
      <c r="W57" s="41"/>
      <c r="X57" s="56">
        <f>'High SIPA income'!M52</f>
        <v>371821.08217089029</v>
      </c>
      <c r="Y57" s="9"/>
      <c r="Z57" s="9">
        <f t="shared" si="23"/>
        <v>4251029.4189556539</v>
      </c>
      <c r="AA57" s="9"/>
      <c r="AB57" s="9">
        <f t="shared" si="24"/>
        <v>-26633204.925896347</v>
      </c>
      <c r="AC57" s="23"/>
      <c r="AD57" s="9"/>
      <c r="AE57" s="9"/>
      <c r="AF57" s="9"/>
      <c r="AG57" s="9">
        <f t="shared" si="20"/>
        <v>6273115279.824852</v>
      </c>
      <c r="AH57" s="42">
        <f t="shared" si="19"/>
        <v>1.2687116847376594E-2</v>
      </c>
      <c r="AI57" s="42">
        <f>(AG57-AG53)/AG53</f>
        <v>4.3153666701694245E-2</v>
      </c>
      <c r="AJ57" s="42">
        <f t="shared" si="25"/>
        <v>-4.2456106316987622E-3</v>
      </c>
      <c r="AK57" s="7"/>
      <c r="AL57" s="7"/>
      <c r="AM57" s="7"/>
      <c r="AN57" s="7"/>
      <c r="AO57" s="7"/>
      <c r="AP57" s="7"/>
      <c r="AQ57" s="7"/>
      <c r="AR57" s="7"/>
      <c r="AS57" s="7"/>
      <c r="AT57" s="7"/>
      <c r="AV57" s="7"/>
      <c r="AW57" s="7">
        <f>workers_and_wage_high!C45</f>
        <v>12647696</v>
      </c>
      <c r="AX57" s="7"/>
      <c r="AY57" s="42">
        <f t="shared" si="26"/>
        <v>5.1687803031139918E-3</v>
      </c>
      <c r="AZ57" s="12">
        <f>workers_and_wage_high!B45</f>
        <v>7657.0798748947</v>
      </c>
      <c r="BA57" s="42">
        <f t="shared" si="27"/>
        <v>7.4796757436054861E-3</v>
      </c>
      <c r="BB57" s="47"/>
      <c r="BC57" s="47"/>
      <c r="BD57" s="47"/>
      <c r="BE57" s="47"/>
      <c r="BF57" s="7">
        <f t="shared" si="21"/>
        <v>119.46197226518605</v>
      </c>
      <c r="BG57" s="49">
        <f>(BB57-BB53)/BB53</f>
        <v>-1</v>
      </c>
      <c r="BH57" s="7"/>
      <c r="BI57" s="42">
        <f t="shared" si="22"/>
        <v>1.5908920171661581E-2</v>
      </c>
      <c r="BJ57" s="7"/>
      <c r="BK57" s="7"/>
      <c r="BL57" s="7"/>
      <c r="BM57" s="7"/>
      <c r="BN57" s="7"/>
      <c r="BO57" s="7"/>
      <c r="BP57" s="7"/>
    </row>
    <row r="58" spans="1:68" x14ac:dyDescent="0.2">
      <c r="A58" s="5">
        <f t="shared" si="28"/>
        <v>2026</v>
      </c>
      <c r="B58" s="5">
        <f t="shared" si="29"/>
        <v>1</v>
      </c>
      <c r="C58" s="6"/>
      <c r="D58" s="55">
        <f>'High pensions'!Q58</f>
        <v>121662314.36411773</v>
      </c>
      <c r="E58" s="6"/>
      <c r="F58" s="55">
        <f>'High pensions'!I58</f>
        <v>22113565.779869117</v>
      </c>
      <c r="G58" s="55">
        <f>'High pensions'!K58</f>
        <v>1140409.62332098</v>
      </c>
      <c r="H58" s="55">
        <f>'High pensions'!V58</f>
        <v>6274197.2722756127</v>
      </c>
      <c r="I58" s="55">
        <f>'High pensions'!M58</f>
        <v>35270.400721260114</v>
      </c>
      <c r="J58" s="55">
        <f>'High pensions'!W58</f>
        <v>194047.33831776225</v>
      </c>
      <c r="K58" s="6"/>
      <c r="L58" s="55">
        <f>'High pensions'!N58</f>
        <v>3245255.8692230438</v>
      </c>
      <c r="M58" s="8"/>
      <c r="N58" s="55">
        <f>'High pensions'!L58</f>
        <v>983214.22979884222</v>
      </c>
      <c r="O58" s="6"/>
      <c r="P58" s="55">
        <f>'High pensions'!X58</f>
        <v>22249002.729951844</v>
      </c>
      <c r="Q58" s="8"/>
      <c r="R58" s="55">
        <f>'High SIPA income'!G53</f>
        <v>26278636.640259776</v>
      </c>
      <c r="S58" s="8"/>
      <c r="T58" s="55">
        <f>'High SIPA income'!J53</f>
        <v>100478644.80814455</v>
      </c>
      <c r="U58" s="6"/>
      <c r="V58" s="55">
        <f>'High SIPA income'!F53</f>
        <v>146226.470725035</v>
      </c>
      <c r="W58" s="8"/>
      <c r="X58" s="55">
        <f>'High SIPA income'!M53</f>
        <v>367278.73619996611</v>
      </c>
      <c r="Y58" s="6"/>
      <c r="Z58" s="6">
        <f t="shared" si="23"/>
        <v>82827.23209380731</v>
      </c>
      <c r="AA58" s="6"/>
      <c r="AB58" s="6">
        <f t="shared" si="24"/>
        <v>-43432672.285925016</v>
      </c>
      <c r="AC58" s="23"/>
      <c r="AD58" s="6"/>
      <c r="AE58" s="6"/>
      <c r="AF58" s="6"/>
      <c r="AG58" s="6">
        <f t="shared" si="20"/>
        <v>6312458111.1256227</v>
      </c>
      <c r="AH58" s="35">
        <f t="shared" ref="AH58:AH89" si="30">(AG58-AG57)/AG57</f>
        <v>6.2716576287546281E-3</v>
      </c>
      <c r="AI58" s="35"/>
      <c r="AJ58" s="35">
        <f t="shared" si="25"/>
        <v>-6.8804689902615774E-3</v>
      </c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35">
        <f>AVERAGE(AH58:AH61)</f>
        <v>9.0008153649014759E-3</v>
      </c>
      <c r="AV58" s="5"/>
      <c r="AW58" s="5">
        <f>workers_and_wage_high!C46</f>
        <v>12695877</v>
      </c>
      <c r="AX58" s="5"/>
      <c r="AY58" s="35">
        <f t="shared" si="26"/>
        <v>3.8094685387757583E-3</v>
      </c>
      <c r="AZ58" s="11">
        <f>workers_and_wage_high!B46</f>
        <v>7675.8615053932699</v>
      </c>
      <c r="BA58" s="35">
        <f t="shared" si="27"/>
        <v>2.4528450539153118E-3</v>
      </c>
      <c r="BB58" s="40"/>
      <c r="BC58" s="40"/>
      <c r="BD58" s="40"/>
      <c r="BE58" s="40"/>
      <c r="BF58" s="5">
        <f t="shared" si="21"/>
        <v>120.21119685488905</v>
      </c>
      <c r="BG58" s="5"/>
      <c r="BH58" s="5"/>
      <c r="BI58" s="35">
        <f t="shared" si="22"/>
        <v>1.8451784490194984E-2</v>
      </c>
      <c r="BJ58" s="5"/>
      <c r="BK58" s="5"/>
      <c r="BL58" s="5"/>
      <c r="BM58" s="5"/>
      <c r="BN58" s="5"/>
      <c r="BO58" s="5"/>
      <c r="BP58" s="5"/>
    </row>
    <row r="59" spans="1:68" x14ac:dyDescent="0.2">
      <c r="A59" s="7">
        <f t="shared" si="28"/>
        <v>2026</v>
      </c>
      <c r="B59" s="7">
        <f t="shared" si="29"/>
        <v>2</v>
      </c>
      <c r="C59" s="9"/>
      <c r="D59" s="56">
        <f>'High pensions'!Q59</f>
        <v>122209185.15497351</v>
      </c>
      <c r="E59" s="9"/>
      <c r="F59" s="56">
        <f>'High pensions'!I59</f>
        <v>22212966.019539759</v>
      </c>
      <c r="G59" s="56">
        <f>'High pensions'!K59</f>
        <v>1219740.4486893399</v>
      </c>
      <c r="H59" s="56">
        <f>'High pensions'!V59</f>
        <v>6710652.0670747655</v>
      </c>
      <c r="I59" s="56">
        <f>'High pensions'!M59</f>
        <v>37723.931402760092</v>
      </c>
      <c r="J59" s="56">
        <f>'High pensions'!W59</f>
        <v>207545.94021879067</v>
      </c>
      <c r="K59" s="9"/>
      <c r="L59" s="56">
        <f>'High pensions'!N59</f>
        <v>2651135.3433847581</v>
      </c>
      <c r="M59" s="41"/>
      <c r="N59" s="56">
        <f>'High pensions'!L59</f>
        <v>991413.52602294087</v>
      </c>
      <c r="O59" s="9"/>
      <c r="P59" s="56">
        <f>'High pensions'!X59</f>
        <v>19211218.605688322</v>
      </c>
      <c r="Q59" s="41"/>
      <c r="R59" s="56">
        <f>'High SIPA income'!G54</f>
        <v>30407103.127044711</v>
      </c>
      <c r="S59" s="41"/>
      <c r="T59" s="56">
        <f>'High SIPA income'!J54</f>
        <v>116264194.24157555</v>
      </c>
      <c r="U59" s="9"/>
      <c r="V59" s="56">
        <f>'High SIPA income'!F54</f>
        <v>149419.54345712901</v>
      </c>
      <c r="W59" s="41"/>
      <c r="X59" s="56">
        <f>'High SIPA income'!M54</f>
        <v>375298.81431457301</v>
      </c>
      <c r="Y59" s="9"/>
      <c r="Z59" s="9">
        <f t="shared" si="23"/>
        <v>4701007.7815543823</v>
      </c>
      <c r="AA59" s="9"/>
      <c r="AB59" s="9">
        <f t="shared" si="24"/>
        <v>-25156209.519086272</v>
      </c>
      <c r="AC59" s="23"/>
      <c r="AD59" s="9"/>
      <c r="AE59" s="9"/>
      <c r="AF59" s="9"/>
      <c r="AG59" s="9">
        <f t="shared" si="20"/>
        <v>6396677196.2816477</v>
      </c>
      <c r="AH59" s="42">
        <f t="shared" si="30"/>
        <v>1.3341725786281247E-2</v>
      </c>
      <c r="AI59" s="42"/>
      <c r="AJ59" s="42">
        <f t="shared" si="25"/>
        <v>-3.9326995480887224E-3</v>
      </c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>
        <f>workers_and_wage_high!C47</f>
        <v>12740133</v>
      </c>
      <c r="AX59" s="7"/>
      <c r="AY59" s="42">
        <f t="shared" si="26"/>
        <v>3.4858560775281613E-3</v>
      </c>
      <c r="AZ59" s="12">
        <f>workers_and_wage_high!B47</f>
        <v>7751.2509993671101</v>
      </c>
      <c r="BA59" s="42">
        <f t="shared" si="27"/>
        <v>9.8216329099827422E-3</v>
      </c>
      <c r="BB59" s="47"/>
      <c r="BC59" s="47"/>
      <c r="BD59" s="47"/>
      <c r="BE59" s="47"/>
      <c r="BF59" s="7">
        <f t="shared" si="21"/>
        <v>121.81502167976767</v>
      </c>
      <c r="BG59" s="7"/>
      <c r="BH59" s="7"/>
      <c r="BI59" s="42">
        <f t="shared" si="22"/>
        <v>1.5980906403207592E-2</v>
      </c>
      <c r="BJ59" s="7"/>
      <c r="BK59" s="7"/>
      <c r="BL59" s="7"/>
      <c r="BM59" s="7"/>
      <c r="BN59" s="7"/>
      <c r="BO59" s="7"/>
      <c r="BP59" s="7"/>
    </row>
    <row r="60" spans="1:68" x14ac:dyDescent="0.2">
      <c r="A60" s="7">
        <f t="shared" si="28"/>
        <v>2026</v>
      </c>
      <c r="B60" s="7">
        <f t="shared" si="29"/>
        <v>3</v>
      </c>
      <c r="C60" s="9"/>
      <c r="D60" s="56">
        <f>'High pensions'!Q60</f>
        <v>122730827.97985615</v>
      </c>
      <c r="E60" s="9"/>
      <c r="F60" s="56">
        <f>'High pensions'!I60</f>
        <v>22307780.777765673</v>
      </c>
      <c r="G60" s="56">
        <f>'High pensions'!K60</f>
        <v>1270695.3896508301</v>
      </c>
      <c r="H60" s="56">
        <f>'High pensions'!V60</f>
        <v>6990991.1181067498</v>
      </c>
      <c r="I60" s="56">
        <f>'High pensions'!M60</f>
        <v>39299.857411889825</v>
      </c>
      <c r="J60" s="56">
        <f>'High pensions'!W60</f>
        <v>216216.2201476781</v>
      </c>
      <c r="K60" s="9"/>
      <c r="L60" s="56">
        <f>'High pensions'!N60</f>
        <v>2603688.9685215363</v>
      </c>
      <c r="M60" s="41"/>
      <c r="N60" s="56">
        <f>'High pensions'!L60</f>
        <v>997542.98194710538</v>
      </c>
      <c r="O60" s="9"/>
      <c r="P60" s="56">
        <f>'High pensions'!X60</f>
        <v>18998741.598985367</v>
      </c>
      <c r="Q60" s="41"/>
      <c r="R60" s="56">
        <f>'High SIPA income'!G55</f>
        <v>26757235.320102897</v>
      </c>
      <c r="S60" s="41"/>
      <c r="T60" s="56">
        <f>'High SIPA income'!J55</f>
        <v>102308608.34148592</v>
      </c>
      <c r="U60" s="9"/>
      <c r="V60" s="56">
        <f>'High SIPA income'!F55</f>
        <v>153646.98223771801</v>
      </c>
      <c r="W60" s="41"/>
      <c r="X60" s="56">
        <f>'High SIPA income'!M55</f>
        <v>385916.92172699264</v>
      </c>
      <c r="Y60" s="9"/>
      <c r="Z60" s="9">
        <f t="shared" si="23"/>
        <v>1001869.5741063021</v>
      </c>
      <c r="AA60" s="9"/>
      <c r="AB60" s="9">
        <f t="shared" si="24"/>
        <v>-39420961.237355605</v>
      </c>
      <c r="AC60" s="23"/>
      <c r="AD60" s="9"/>
      <c r="AE60" s="9"/>
      <c r="AF60" s="9"/>
      <c r="AG60" s="9">
        <f t="shared" si="20"/>
        <v>6432410262.6572447</v>
      </c>
      <c r="AH60" s="42">
        <f t="shared" si="30"/>
        <v>5.5861919054424744E-3</v>
      </c>
      <c r="AI60" s="42"/>
      <c r="AJ60" s="42">
        <f t="shared" si="25"/>
        <v>-6.1284898860090292E-3</v>
      </c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9"/>
      <c r="AV60" s="7"/>
      <c r="AW60" s="7">
        <f>workers_and_wage_high!C48</f>
        <v>12815758</v>
      </c>
      <c r="AX60" s="7"/>
      <c r="AY60" s="42">
        <f t="shared" si="26"/>
        <v>5.9359662885779922E-3</v>
      </c>
      <c r="AZ60" s="12">
        <f>workers_and_wage_high!B48</f>
        <v>7748.5558088900898</v>
      </c>
      <c r="BA60" s="42">
        <f t="shared" si="27"/>
        <v>-3.4771038600612923E-4</v>
      </c>
      <c r="BB60" s="47"/>
      <c r="BC60" s="47"/>
      <c r="BD60" s="47"/>
      <c r="BE60" s="47"/>
      <c r="BF60" s="7">
        <f t="shared" si="21"/>
        <v>122.49550376783648</v>
      </c>
      <c r="BG60" s="7"/>
      <c r="BH60" s="7"/>
      <c r="BI60" s="42">
        <f t="shared" si="22"/>
        <v>1.8311502825828132E-2</v>
      </c>
      <c r="BJ60" s="7"/>
      <c r="BK60" s="7"/>
      <c r="BL60" s="7"/>
      <c r="BM60" s="7"/>
      <c r="BN60" s="7"/>
      <c r="BO60" s="7"/>
      <c r="BP60" s="7"/>
    </row>
    <row r="61" spans="1:68" x14ac:dyDescent="0.2">
      <c r="A61" s="7">
        <f t="shared" si="28"/>
        <v>2026</v>
      </c>
      <c r="B61" s="7">
        <f t="shared" si="29"/>
        <v>4</v>
      </c>
      <c r="C61" s="9"/>
      <c r="D61" s="56">
        <f>'High pensions'!Q61</f>
        <v>123478158.45246828</v>
      </c>
      <c r="E61" s="9"/>
      <c r="F61" s="56">
        <f>'High pensions'!I61</f>
        <v>22443616.937481891</v>
      </c>
      <c r="G61" s="56">
        <f>'High pensions'!K61</f>
        <v>1311012.0191466101</v>
      </c>
      <c r="H61" s="56">
        <f>'High pensions'!V61</f>
        <v>7212801.3182637272</v>
      </c>
      <c r="I61" s="56">
        <f>'High pensions'!M61</f>
        <v>40546.763478759909</v>
      </c>
      <c r="J61" s="56">
        <f>'High pensions'!W61</f>
        <v>223076.32943083017</v>
      </c>
      <c r="K61" s="9"/>
      <c r="L61" s="56">
        <f>'High pensions'!N61</f>
        <v>2586301.5255955132</v>
      </c>
      <c r="M61" s="41"/>
      <c r="N61" s="56">
        <f>'High pensions'!L61</f>
        <v>1006261.8119292371</v>
      </c>
      <c r="O61" s="9"/>
      <c r="P61" s="56">
        <f>'High pensions'!X61</f>
        <v>18956486.505076766</v>
      </c>
      <c r="Q61" s="41"/>
      <c r="R61" s="56">
        <f>'High SIPA income'!G56</f>
        <v>31167082.475393672</v>
      </c>
      <c r="S61" s="41"/>
      <c r="T61" s="56">
        <f>'High SIPA income'!J56</f>
        <v>119170041.1486899</v>
      </c>
      <c r="U61" s="9"/>
      <c r="V61" s="56">
        <f>'High SIPA income'!F56</f>
        <v>152616.39447532699</v>
      </c>
      <c r="W61" s="41"/>
      <c r="X61" s="56">
        <f>'High SIPA income'!M56</f>
        <v>383328.382394563</v>
      </c>
      <c r="Y61" s="9"/>
      <c r="Z61" s="9">
        <f t="shared" si="23"/>
        <v>5283518.5948623568</v>
      </c>
      <c r="AA61" s="9"/>
      <c r="AB61" s="9">
        <f t="shared" si="24"/>
        <v>-23264603.808855146</v>
      </c>
      <c r="AC61" s="23"/>
      <c r="AD61" s="9"/>
      <c r="AE61" s="9"/>
      <c r="AF61" s="9"/>
      <c r="AG61" s="9">
        <f t="shared" si="20"/>
        <v>6501904004.2530966</v>
      </c>
      <c r="AH61" s="42">
        <f t="shared" si="30"/>
        <v>1.0803686139127553E-2</v>
      </c>
      <c r="AI61" s="42">
        <f>(AG61-AG57)/AG57</f>
        <v>3.6471308787207952E-2</v>
      </c>
      <c r="AJ61" s="42">
        <f t="shared" si="25"/>
        <v>-3.5781216999877341E-3</v>
      </c>
      <c r="AK61" s="7"/>
      <c r="AL61" s="7"/>
      <c r="AM61" s="7"/>
      <c r="AN61" s="7"/>
      <c r="AO61" s="7"/>
      <c r="AP61" s="7"/>
      <c r="AQ61" s="7"/>
      <c r="AR61" s="7"/>
      <c r="AS61" s="7"/>
      <c r="AT61" s="7"/>
      <c r="AV61" s="7"/>
      <c r="AW61" s="7">
        <f>workers_and_wage_high!C49</f>
        <v>12827521</v>
      </c>
      <c r="AX61" s="7"/>
      <c r="AY61" s="42">
        <f t="shared" si="26"/>
        <v>9.1785441017222709E-4</v>
      </c>
      <c r="AZ61" s="12">
        <f>workers_and_wage_high!B49</f>
        <v>7825.0864837417703</v>
      </c>
      <c r="BA61" s="42">
        <f t="shared" si="27"/>
        <v>9.8767662954527789E-3</v>
      </c>
      <c r="BB61" s="47"/>
      <c r="BC61" s="47"/>
      <c r="BD61" s="47"/>
      <c r="BE61" s="47"/>
      <c r="BF61" s="7">
        <f t="shared" si="21"/>
        <v>123.81890674399851</v>
      </c>
      <c r="BG61" s="7"/>
      <c r="BH61" s="7"/>
      <c r="BI61" s="42">
        <f t="shared" si="22"/>
        <v>1.6049660907113013E-2</v>
      </c>
      <c r="BJ61" s="7"/>
      <c r="BK61" s="7"/>
      <c r="BL61" s="7"/>
      <c r="BM61" s="7"/>
      <c r="BN61" s="7"/>
      <c r="BO61" s="7"/>
      <c r="BP61" s="7"/>
    </row>
    <row r="62" spans="1:68" x14ac:dyDescent="0.2">
      <c r="A62" s="5">
        <f t="shared" si="28"/>
        <v>2027</v>
      </c>
      <c r="B62" s="5">
        <f t="shared" si="29"/>
        <v>1</v>
      </c>
      <c r="C62" s="6"/>
      <c r="D62" s="55">
        <f>'High pensions'!Q62</f>
        <v>124067452.55354904</v>
      </c>
      <c r="E62" s="6"/>
      <c r="F62" s="55">
        <f>'High pensions'!I62</f>
        <v>22550728.115960192</v>
      </c>
      <c r="G62" s="55">
        <f>'High pensions'!K62</f>
        <v>1362404.8057208101</v>
      </c>
      <c r="H62" s="55">
        <f>'High pensions'!V62</f>
        <v>7495549.2666715002</v>
      </c>
      <c r="I62" s="55">
        <f>'High pensions'!M62</f>
        <v>42136.231104769977</v>
      </c>
      <c r="J62" s="55">
        <f>'High pensions'!W62</f>
        <v>231821.11134037029</v>
      </c>
      <c r="K62" s="6"/>
      <c r="L62" s="55">
        <f>'High pensions'!N62</f>
        <v>3153535.4336789423</v>
      </c>
      <c r="M62" s="8"/>
      <c r="N62" s="55">
        <f>'High pensions'!L62</f>
        <v>1012841.9968551286</v>
      </c>
      <c r="O62" s="6"/>
      <c r="P62" s="55">
        <f>'High pensions'!X62</f>
        <v>21936068.18663206</v>
      </c>
      <c r="Q62" s="8"/>
      <c r="R62" s="55">
        <f>'High SIPA income'!G57</f>
        <v>27398485.514409199</v>
      </c>
      <c r="S62" s="8"/>
      <c r="T62" s="55">
        <f>'High SIPA income'!J57</f>
        <v>104760484.03766054</v>
      </c>
      <c r="U62" s="6"/>
      <c r="V62" s="55">
        <f>'High SIPA income'!F57</f>
        <v>155412.748528856</v>
      </c>
      <c r="W62" s="8"/>
      <c r="X62" s="55">
        <f>'High SIPA income'!M57</f>
        <v>390352.0175657834</v>
      </c>
      <c r="Y62" s="6"/>
      <c r="Z62" s="6">
        <f t="shared" si="23"/>
        <v>836792.71644379199</v>
      </c>
      <c r="AA62" s="6"/>
      <c r="AB62" s="6">
        <f t="shared" si="24"/>
        <v>-41243036.702520564</v>
      </c>
      <c r="AC62" s="23"/>
      <c r="AD62" s="6"/>
      <c r="AE62" s="6"/>
      <c r="AF62" s="6"/>
      <c r="AG62" s="6">
        <f t="shared" si="20"/>
        <v>6550061525.2811117</v>
      </c>
      <c r="AH62" s="35">
        <f t="shared" si="30"/>
        <v>7.4066797966432316E-3</v>
      </c>
      <c r="AI62" s="35"/>
      <c r="AJ62" s="35">
        <f t="shared" si="25"/>
        <v>-6.2965876798768729E-3</v>
      </c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35">
        <f>AVERAGE(AH62:AH65)</f>
        <v>9.7807895504386094E-3</v>
      </c>
      <c r="AV62" s="5"/>
      <c r="AW62" s="5">
        <f>workers_and_wage_high!C50</f>
        <v>12833086</v>
      </c>
      <c r="AX62" s="5"/>
      <c r="AY62" s="35">
        <f t="shared" si="26"/>
        <v>4.3383285047828024E-4</v>
      </c>
      <c r="AZ62" s="11">
        <f>workers_and_wage_high!B50</f>
        <v>7879.6259531199403</v>
      </c>
      <c r="BA62" s="35">
        <f t="shared" si="27"/>
        <v>6.9698232078951438E-3</v>
      </c>
      <c r="BB62" s="40"/>
      <c r="BC62" s="40"/>
      <c r="BD62" s="40"/>
      <c r="BE62" s="40"/>
      <c r="BF62" s="5">
        <f t="shared" si="21"/>
        <v>124.73599373902172</v>
      </c>
      <c r="BG62" s="5"/>
      <c r="BH62" s="5"/>
      <c r="BI62" s="35">
        <f t="shared" si="22"/>
        <v>1.8427914056263414E-2</v>
      </c>
      <c r="BJ62" s="5"/>
      <c r="BK62" s="5"/>
      <c r="BL62" s="5"/>
      <c r="BM62" s="5"/>
      <c r="BN62" s="5"/>
      <c r="BO62" s="5"/>
      <c r="BP62" s="5"/>
    </row>
    <row r="63" spans="1:68" x14ac:dyDescent="0.2">
      <c r="A63" s="7">
        <f t="shared" si="28"/>
        <v>2027</v>
      </c>
      <c r="B63" s="7">
        <f t="shared" si="29"/>
        <v>2</v>
      </c>
      <c r="C63" s="9"/>
      <c r="D63" s="56">
        <f>'High pensions'!Q63</f>
        <v>124105816.17566116</v>
      </c>
      <c r="E63" s="9"/>
      <c r="F63" s="56">
        <f>'High pensions'!I63</f>
        <v>22557701.158397898</v>
      </c>
      <c r="G63" s="56">
        <f>'High pensions'!K63</f>
        <v>1410162.5743434001</v>
      </c>
      <c r="H63" s="56">
        <f>'High pensions'!V63</f>
        <v>7758298.4188132007</v>
      </c>
      <c r="I63" s="56">
        <f>'High pensions'!M63</f>
        <v>43613.275495159905</v>
      </c>
      <c r="J63" s="56">
        <f>'High pensions'!W63</f>
        <v>239947.3737777455</v>
      </c>
      <c r="K63" s="9"/>
      <c r="L63" s="56">
        <f>'High pensions'!N63</f>
        <v>2570221.5937337708</v>
      </c>
      <c r="M63" s="41"/>
      <c r="N63" s="56">
        <f>'High pensions'!L63</f>
        <v>1013991.3403114416</v>
      </c>
      <c r="O63" s="9"/>
      <c r="P63" s="56">
        <f>'High pensions'!X63</f>
        <v>18915573.246784721</v>
      </c>
      <c r="Q63" s="41"/>
      <c r="R63" s="56">
        <f>'High SIPA income'!G58</f>
        <v>31790408.313235093</v>
      </c>
      <c r="S63" s="41"/>
      <c r="T63" s="56">
        <f>'High SIPA income'!J58</f>
        <v>121553381.51438659</v>
      </c>
      <c r="U63" s="9"/>
      <c r="V63" s="56">
        <f>'High SIPA income'!F58</f>
        <v>155255.488579011</v>
      </c>
      <c r="W63" s="41"/>
      <c r="X63" s="56">
        <f>'High SIPA income'!M58</f>
        <v>389957.02591107436</v>
      </c>
      <c r="Y63" s="9"/>
      <c r="Z63" s="9">
        <f t="shared" si="23"/>
        <v>5803749.7093709931</v>
      </c>
      <c r="AA63" s="9"/>
      <c r="AB63" s="9">
        <f t="shared" si="24"/>
        <v>-21468007.908059284</v>
      </c>
      <c r="AC63" s="23"/>
      <c r="AD63" s="9"/>
      <c r="AE63" s="9"/>
      <c r="AF63" s="9"/>
      <c r="AG63" s="9">
        <f t="shared" si="20"/>
        <v>6606937702.9689512</v>
      </c>
      <c r="AH63" s="42">
        <f t="shared" si="30"/>
        <v>8.6833043427631817E-3</v>
      </c>
      <c r="AI63" s="42"/>
      <c r="AJ63" s="42">
        <f t="shared" si="25"/>
        <v>-3.2493129000463004E-3</v>
      </c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>
        <f>workers_and_wage_high!C51</f>
        <v>12900554</v>
      </c>
      <c r="AX63" s="7"/>
      <c r="AY63" s="42">
        <f t="shared" si="26"/>
        <v>5.2573480766824133E-3</v>
      </c>
      <c r="AZ63" s="12">
        <f>workers_and_wage_high!B51</f>
        <v>7906.4800258209398</v>
      </c>
      <c r="BA63" s="42">
        <f t="shared" si="27"/>
        <v>3.4080390187007058E-3</v>
      </c>
      <c r="BB63" s="47"/>
      <c r="BC63" s="47"/>
      <c r="BD63" s="47"/>
      <c r="BE63" s="47"/>
      <c r="BF63" s="7">
        <f t="shared" si="21"/>
        <v>125.81911433515468</v>
      </c>
      <c r="BG63" s="7"/>
      <c r="BH63" s="7"/>
      <c r="BI63" s="42">
        <f t="shared" si="22"/>
        <v>1.607946435310198E-2</v>
      </c>
      <c r="BJ63" s="7"/>
      <c r="BK63" s="7"/>
      <c r="BL63" s="7"/>
      <c r="BM63" s="7"/>
      <c r="BN63" s="7"/>
      <c r="BO63" s="7"/>
      <c r="BP63" s="7"/>
    </row>
    <row r="64" spans="1:68" x14ac:dyDescent="0.2">
      <c r="A64" s="7">
        <f t="shared" si="28"/>
        <v>2027</v>
      </c>
      <c r="B64" s="7">
        <f t="shared" si="29"/>
        <v>3</v>
      </c>
      <c r="C64" s="9"/>
      <c r="D64" s="56">
        <f>'High pensions'!Q64</f>
        <v>124256755.98339511</v>
      </c>
      <c r="E64" s="9"/>
      <c r="F64" s="56">
        <f>'High pensions'!I64</f>
        <v>22585136.255162012</v>
      </c>
      <c r="G64" s="56">
        <f>'High pensions'!K64</f>
        <v>1470004.85272829</v>
      </c>
      <c r="H64" s="56">
        <f>'High pensions'!V64</f>
        <v>8087532.9781602649</v>
      </c>
      <c r="I64" s="56">
        <f>'High pensions'!M64</f>
        <v>45464.06761014997</v>
      </c>
      <c r="J64" s="56">
        <f>'High pensions'!W64</f>
        <v>250129.88592246411</v>
      </c>
      <c r="K64" s="9"/>
      <c r="L64" s="56">
        <f>'High pensions'!N64</f>
        <v>2598820.8515206766</v>
      </c>
      <c r="M64" s="41"/>
      <c r="N64" s="56">
        <f>'High pensions'!L64</f>
        <v>1016322.7976439483</v>
      </c>
      <c r="O64" s="9"/>
      <c r="P64" s="56">
        <f>'High pensions'!X64</f>
        <v>19076801.921748456</v>
      </c>
      <c r="Q64" s="41"/>
      <c r="R64" s="56">
        <f>'High SIPA income'!G59</f>
        <v>27919646.837787211</v>
      </c>
      <c r="S64" s="41"/>
      <c r="T64" s="56">
        <f>'High SIPA income'!J59</f>
        <v>106753189.52753423</v>
      </c>
      <c r="U64" s="9"/>
      <c r="V64" s="56">
        <f>'High SIPA income'!F59</f>
        <v>155024.94463541001</v>
      </c>
      <c r="W64" s="41"/>
      <c r="X64" s="56">
        <f>'High SIPA income'!M59</f>
        <v>389377.96599241201</v>
      </c>
      <c r="Y64" s="9"/>
      <c r="Z64" s="9">
        <f t="shared" si="23"/>
        <v>1874391.8780959845</v>
      </c>
      <c r="AA64" s="9"/>
      <c r="AB64" s="9">
        <f t="shared" si="24"/>
        <v>-36580368.377609342</v>
      </c>
      <c r="AC64" s="23"/>
      <c r="AD64" s="9"/>
      <c r="AE64" s="9"/>
      <c r="AF64" s="9"/>
      <c r="AG64" s="9">
        <f t="shared" si="20"/>
        <v>6710272499.6818295</v>
      </c>
      <c r="AH64" s="42">
        <f t="shared" si="30"/>
        <v>1.5640346762531572E-2</v>
      </c>
      <c r="AI64" s="42"/>
      <c r="AJ64" s="42">
        <f t="shared" si="25"/>
        <v>-5.4513983417728293E-3</v>
      </c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9"/>
      <c r="AV64" s="7"/>
      <c r="AW64" s="7">
        <f>workers_and_wage_high!C52</f>
        <v>12946194</v>
      </c>
      <c r="AX64" s="7"/>
      <c r="AY64" s="42">
        <f t="shared" si="26"/>
        <v>3.5378325612993055E-3</v>
      </c>
      <c r="AZ64" s="12">
        <f>workers_and_wage_high!B52</f>
        <v>8001.8309769156604</v>
      </c>
      <c r="BA64" s="42">
        <f t="shared" si="27"/>
        <v>1.2059848476607031E-2</v>
      </c>
      <c r="BB64" s="47"/>
      <c r="BC64" s="47"/>
      <c r="BD64" s="47"/>
      <c r="BE64" s="47"/>
      <c r="BF64" s="7">
        <f t="shared" si="21"/>
        <v>127.78696891271107</v>
      </c>
      <c r="BG64" s="7"/>
      <c r="BH64" s="7"/>
      <c r="BI64" s="42">
        <f t="shared" si="22"/>
        <v>1.8700973049664529E-2</v>
      </c>
      <c r="BJ64" s="7"/>
      <c r="BK64" s="7"/>
      <c r="BL64" s="7"/>
      <c r="BM64" s="7"/>
      <c r="BN64" s="7"/>
      <c r="BO64" s="7"/>
      <c r="BP64" s="7"/>
    </row>
    <row r="65" spans="1:68" x14ac:dyDescent="0.2">
      <c r="A65" s="7">
        <f t="shared" si="28"/>
        <v>2027</v>
      </c>
      <c r="B65" s="7">
        <f t="shared" si="29"/>
        <v>4</v>
      </c>
      <c r="C65" s="9"/>
      <c r="D65" s="56">
        <f>'High pensions'!Q65</f>
        <v>124495208.67500834</v>
      </c>
      <c r="E65" s="9"/>
      <c r="F65" s="56">
        <f>'High pensions'!I65</f>
        <v>22628477.854480881</v>
      </c>
      <c r="G65" s="56">
        <f>'High pensions'!K65</f>
        <v>1545684.05178902</v>
      </c>
      <c r="H65" s="56">
        <f>'High pensions'!V65</f>
        <v>8503897.6024187803</v>
      </c>
      <c r="I65" s="56">
        <f>'High pensions'!M65</f>
        <v>47804.661395529984</v>
      </c>
      <c r="J65" s="56">
        <f>'High pensions'!W65</f>
        <v>263007.14234281192</v>
      </c>
      <c r="K65" s="9"/>
      <c r="L65" s="56">
        <f>'High pensions'!N65</f>
        <v>2529044.4827263779</v>
      </c>
      <c r="M65" s="41"/>
      <c r="N65" s="56">
        <f>'High pensions'!L65</f>
        <v>1019698.6824614666</v>
      </c>
      <c r="O65" s="9"/>
      <c r="P65" s="56">
        <f>'High pensions'!X65</f>
        <v>18733305.134590872</v>
      </c>
      <c r="Q65" s="41"/>
      <c r="R65" s="56">
        <f>'High SIPA income'!G60</f>
        <v>32621689.204592686</v>
      </c>
      <c r="S65" s="41"/>
      <c r="T65" s="56">
        <f>'High SIPA income'!J60</f>
        <v>124731856.05102037</v>
      </c>
      <c r="U65" s="9"/>
      <c r="V65" s="56">
        <f>'High SIPA income'!F60</f>
        <v>152127.54269902399</v>
      </c>
      <c r="W65" s="41"/>
      <c r="X65" s="56">
        <f>'High SIPA income'!M60</f>
        <v>382100.52767236781</v>
      </c>
      <c r="Y65" s="9"/>
      <c r="Z65" s="9">
        <f t="shared" si="23"/>
        <v>6596595.7276229858</v>
      </c>
      <c r="AA65" s="9"/>
      <c r="AB65" s="9">
        <f t="shared" si="24"/>
        <v>-18496657.758578852</v>
      </c>
      <c r="AC65" s="23"/>
      <c r="AD65" s="9"/>
      <c r="AE65" s="9"/>
      <c r="AF65" s="9"/>
      <c r="AG65" s="9">
        <f t="shared" si="20"/>
        <v>6759880385.4066849</v>
      </c>
      <c r="AH65" s="42">
        <f t="shared" si="30"/>
        <v>7.3928272998164532E-3</v>
      </c>
      <c r="AI65" s="42">
        <f>(AG65-AG61)/AG61</f>
        <v>3.967705167360791E-2</v>
      </c>
      <c r="AJ65" s="42">
        <f t="shared" si="25"/>
        <v>-2.7362403924350008E-3</v>
      </c>
      <c r="AK65" s="7"/>
      <c r="AL65" s="7"/>
      <c r="AM65" s="7"/>
      <c r="AN65" s="7"/>
      <c r="AO65" s="7"/>
      <c r="AP65" s="7"/>
      <c r="AQ65" s="7"/>
      <c r="AR65" s="7"/>
      <c r="AS65" s="7"/>
      <c r="AT65" s="7"/>
      <c r="AV65" s="7"/>
      <c r="AW65" s="7">
        <f>workers_and_wage_high!C53</f>
        <v>12960410</v>
      </c>
      <c r="AX65" s="7"/>
      <c r="AY65" s="42">
        <f t="shared" si="26"/>
        <v>1.0980833440314582E-3</v>
      </c>
      <c r="AZ65" s="12">
        <f>workers_and_wage_high!B53</f>
        <v>8052.1452048771198</v>
      </c>
      <c r="BA65" s="42">
        <f t="shared" si="27"/>
        <v>6.2878393840872238E-3</v>
      </c>
      <c r="BB65" s="47"/>
      <c r="BC65" s="47"/>
      <c r="BD65" s="47"/>
      <c r="BE65" s="47"/>
      <c r="BF65" s="7">
        <f t="shared" si="21"/>
        <v>128.73167590504977</v>
      </c>
      <c r="BG65" s="7"/>
      <c r="BH65" s="7"/>
      <c r="BI65" s="42">
        <f t="shared" si="22"/>
        <v>1.6219177490171061E-2</v>
      </c>
      <c r="BJ65" s="7"/>
      <c r="BK65" s="7"/>
      <c r="BL65" s="7"/>
      <c r="BM65" s="7"/>
      <c r="BN65" s="7"/>
      <c r="BO65" s="7"/>
      <c r="BP65" s="7"/>
    </row>
    <row r="66" spans="1:68" x14ac:dyDescent="0.2">
      <c r="A66" s="5">
        <f t="shared" si="28"/>
        <v>2028</v>
      </c>
      <c r="B66" s="5">
        <f t="shared" si="29"/>
        <v>1</v>
      </c>
      <c r="C66" s="6"/>
      <c r="D66" s="55">
        <f>'High pensions'!Q66</f>
        <v>125587715.92107266</v>
      </c>
      <c r="E66" s="6"/>
      <c r="F66" s="55">
        <f>'High pensions'!I66</f>
        <v>22827053.978707172</v>
      </c>
      <c r="G66" s="55">
        <f>'High pensions'!K66</f>
        <v>1624751.4425538301</v>
      </c>
      <c r="H66" s="55">
        <f>'High pensions'!V66</f>
        <v>8938903.0577549767</v>
      </c>
      <c r="I66" s="55">
        <f>'High pensions'!M66</f>
        <v>50250.044615059858</v>
      </c>
      <c r="J66" s="55">
        <f>'High pensions'!W66</f>
        <v>276460.91931197076</v>
      </c>
      <c r="K66" s="6"/>
      <c r="L66" s="55">
        <f>'High pensions'!N66</f>
        <v>3048727.7366823573</v>
      </c>
      <c r="M66" s="8"/>
      <c r="N66" s="55">
        <f>'High pensions'!L66</f>
        <v>1031635.1410690397</v>
      </c>
      <c r="O66" s="6"/>
      <c r="P66" s="55">
        <f>'High pensions'!X66</f>
        <v>21495614.883272912</v>
      </c>
      <c r="Q66" s="8"/>
      <c r="R66" s="55">
        <f>'High SIPA income'!G61</f>
        <v>28646053.27898727</v>
      </c>
      <c r="S66" s="8"/>
      <c r="T66" s="55">
        <f>'High SIPA income'!J61</f>
        <v>109530667.51434381</v>
      </c>
      <c r="U66" s="6"/>
      <c r="V66" s="55">
        <f>'High SIPA income'!F61</f>
        <v>156771.33205447401</v>
      </c>
      <c r="W66" s="8"/>
      <c r="X66" s="55">
        <f>'High SIPA income'!M61</f>
        <v>393764.38769163674</v>
      </c>
      <c r="Y66" s="6"/>
      <c r="Z66" s="6">
        <f t="shared" si="23"/>
        <v>1895407.7545831725</v>
      </c>
      <c r="AA66" s="6"/>
      <c r="AB66" s="6">
        <f t="shared" si="24"/>
        <v>-37552663.290001765</v>
      </c>
      <c r="AC66" s="23"/>
      <c r="AD66" s="6"/>
      <c r="AE66" s="6"/>
      <c r="AF66" s="6"/>
      <c r="AG66" s="6">
        <f t="shared" si="20"/>
        <v>6853845755.1043205</v>
      </c>
      <c r="AH66" s="35">
        <f t="shared" si="30"/>
        <v>1.3900448579014693E-2</v>
      </c>
      <c r="AI66" s="35"/>
      <c r="AJ66" s="35">
        <f t="shared" si="25"/>
        <v>-5.4790645473798217E-3</v>
      </c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35">
        <f>AVERAGE(AH66:AH69)</f>
        <v>1.0315184311395531E-2</v>
      </c>
      <c r="AV66" s="5"/>
      <c r="AW66" s="5">
        <f>workers_and_wage_high!C54</f>
        <v>13039599</v>
      </c>
      <c r="AX66" s="5"/>
      <c r="AY66" s="35">
        <f t="shared" si="26"/>
        <v>6.1100690487415135E-3</v>
      </c>
      <c r="AZ66" s="11">
        <f>workers_and_wage_high!B54</f>
        <v>8114.4935195482703</v>
      </c>
      <c r="BA66" s="35">
        <f t="shared" si="27"/>
        <v>7.7430688449814187E-3</v>
      </c>
      <c r="BB66" s="40"/>
      <c r="BC66" s="40"/>
      <c r="BD66" s="40"/>
      <c r="BE66" s="40"/>
      <c r="BF66" s="5">
        <f t="shared" si="21"/>
        <v>130.52110394645831</v>
      </c>
      <c r="BG66" s="5"/>
      <c r="BH66" s="5"/>
      <c r="BI66" s="35">
        <f t="shared" si="22"/>
        <v>1.8696394787399123E-2</v>
      </c>
      <c r="BJ66" s="5"/>
      <c r="BK66" s="5"/>
      <c r="BL66" s="5"/>
      <c r="BM66" s="5"/>
      <c r="BN66" s="5"/>
      <c r="BO66" s="5"/>
      <c r="BP66" s="5"/>
    </row>
    <row r="67" spans="1:68" x14ac:dyDescent="0.2">
      <c r="A67" s="7">
        <f t="shared" si="28"/>
        <v>2028</v>
      </c>
      <c r="B67" s="7">
        <f t="shared" si="29"/>
        <v>2</v>
      </c>
      <c r="C67" s="9"/>
      <c r="D67" s="56">
        <f>'High pensions'!Q67</f>
        <v>126141984.19581053</v>
      </c>
      <c r="E67" s="9"/>
      <c r="F67" s="56">
        <f>'High pensions'!I67</f>
        <v>22927798.798639063</v>
      </c>
      <c r="G67" s="56">
        <f>'High pensions'!K67</f>
        <v>1691213.34772914</v>
      </c>
      <c r="H67" s="56">
        <f>'High pensions'!V67</f>
        <v>9304556.8505972717</v>
      </c>
      <c r="I67" s="56">
        <f>'High pensions'!M67</f>
        <v>52305.567455539946</v>
      </c>
      <c r="J67" s="56">
        <f>'High pensions'!W67</f>
        <v>287769.79950300581</v>
      </c>
      <c r="K67" s="9"/>
      <c r="L67" s="56">
        <f>'High pensions'!N67</f>
        <v>2526945.4211142706</v>
      </c>
      <c r="M67" s="41"/>
      <c r="N67" s="56">
        <f>'High pensions'!L67</f>
        <v>1038560.5122395568</v>
      </c>
      <c r="O67" s="9"/>
      <c r="P67" s="56">
        <f>'High pensions'!X67</f>
        <v>18826185.316206686</v>
      </c>
      <c r="Q67" s="41"/>
      <c r="R67" s="56">
        <f>'High SIPA income'!G62</f>
        <v>33102089.559098013</v>
      </c>
      <c r="S67" s="41"/>
      <c r="T67" s="56">
        <f>'High SIPA income'!J62</f>
        <v>126568708.4435869</v>
      </c>
      <c r="U67" s="9"/>
      <c r="V67" s="56">
        <f>'High SIPA income'!F62</f>
        <v>162194.16599941201</v>
      </c>
      <c r="W67" s="41"/>
      <c r="X67" s="56">
        <f>'High SIPA income'!M62</f>
        <v>407384.983114912</v>
      </c>
      <c r="Y67" s="9"/>
      <c r="Z67" s="9">
        <f t="shared" si="23"/>
        <v>6770978.9931045361</v>
      </c>
      <c r="AA67" s="9"/>
      <c r="AB67" s="9">
        <f t="shared" si="24"/>
        <v>-18399461.068430305</v>
      </c>
      <c r="AC67" s="23"/>
      <c r="AD67" s="9"/>
      <c r="AE67" s="9"/>
      <c r="AF67" s="9"/>
      <c r="AG67" s="9">
        <f t="shared" si="20"/>
        <v>6911978205.5825262</v>
      </c>
      <c r="AH67" s="42">
        <f t="shared" si="30"/>
        <v>8.4817272747803266E-3</v>
      </c>
      <c r="AI67" s="42"/>
      <c r="AJ67" s="42">
        <f t="shared" si="25"/>
        <v>-2.6619674601360581E-3</v>
      </c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>
        <f>workers_and_wage_high!C55</f>
        <v>13067302</v>
      </c>
      <c r="AX67" s="7"/>
      <c r="AY67" s="42">
        <f t="shared" si="26"/>
        <v>2.1245285226946012E-3</v>
      </c>
      <c r="AZ67" s="12">
        <f>workers_and_wage_high!B55</f>
        <v>8165.9696052123199</v>
      </c>
      <c r="BA67" s="42">
        <f t="shared" si="27"/>
        <v>6.3437213351690809E-3</v>
      </c>
      <c r="BB67" s="47"/>
      <c r="BC67" s="47"/>
      <c r="BD67" s="47"/>
      <c r="BE67" s="47"/>
      <c r="BF67" s="7">
        <f t="shared" si="21"/>
        <v>131.62814835373541</v>
      </c>
      <c r="BG67" s="7"/>
      <c r="BH67" s="7"/>
      <c r="BI67" s="42">
        <f t="shared" si="22"/>
        <v>1.6114971486038809E-2</v>
      </c>
      <c r="BJ67" s="7"/>
      <c r="BK67" s="7"/>
      <c r="BL67" s="7"/>
      <c r="BM67" s="7"/>
      <c r="BN67" s="7"/>
      <c r="BO67" s="7"/>
      <c r="BP67" s="7"/>
    </row>
    <row r="68" spans="1:68" x14ac:dyDescent="0.2">
      <c r="A68" s="7">
        <f t="shared" si="28"/>
        <v>2028</v>
      </c>
      <c r="B68" s="7">
        <f t="shared" si="29"/>
        <v>3</v>
      </c>
      <c r="C68" s="9"/>
      <c r="D68" s="56">
        <f>'High pensions'!Q68</f>
        <v>126490597.4571889</v>
      </c>
      <c r="E68" s="9"/>
      <c r="F68" s="56">
        <f>'High pensions'!I68</f>
        <v>22991163.385508202</v>
      </c>
      <c r="G68" s="56">
        <f>'High pensions'!K68</f>
        <v>1771930.3843425999</v>
      </c>
      <c r="H68" s="56">
        <f>'High pensions'!V68</f>
        <v>9748638.1706685238</v>
      </c>
      <c r="I68" s="56">
        <f>'High pensions'!M68</f>
        <v>54801.970649769995</v>
      </c>
      <c r="J68" s="56">
        <f>'High pensions'!W68</f>
        <v>301504.2733196388</v>
      </c>
      <c r="K68" s="9"/>
      <c r="L68" s="56">
        <f>'High pensions'!N68</f>
        <v>2454043.5069508315</v>
      </c>
      <c r="M68" s="41"/>
      <c r="N68" s="56">
        <f>'High pensions'!L68</f>
        <v>1044265.6654675268</v>
      </c>
      <c r="O68" s="9"/>
      <c r="P68" s="56">
        <f>'High pensions'!X68</f>
        <v>18479285.006819434</v>
      </c>
      <c r="Q68" s="41"/>
      <c r="R68" s="56">
        <f>'High SIPA income'!G63</f>
        <v>29203624.69527743</v>
      </c>
      <c r="S68" s="41"/>
      <c r="T68" s="56">
        <f>'High SIPA income'!J63</f>
        <v>111662590.15019177</v>
      </c>
      <c r="U68" s="9"/>
      <c r="V68" s="56">
        <f>'High SIPA income'!F63</f>
        <v>162918.23667881201</v>
      </c>
      <c r="W68" s="41"/>
      <c r="X68" s="56">
        <f>'High SIPA income'!M63</f>
        <v>409203.6399061954</v>
      </c>
      <c r="Y68" s="9"/>
      <c r="Z68" s="9">
        <f t="shared" si="23"/>
        <v>2877070.3740296811</v>
      </c>
      <c r="AA68" s="9"/>
      <c r="AB68" s="9">
        <f t="shared" si="24"/>
        <v>-33307292.313816577</v>
      </c>
      <c r="AC68" s="23"/>
      <c r="AD68" s="9"/>
      <c r="AE68" s="9"/>
      <c r="AF68" s="9"/>
      <c r="AG68" s="9">
        <f t="shared" si="20"/>
        <v>6957317715.0866957</v>
      </c>
      <c r="AH68" s="42">
        <f t="shared" si="30"/>
        <v>6.5595562016602669E-3</v>
      </c>
      <c r="AI68" s="42"/>
      <c r="AJ68" s="42">
        <f t="shared" si="25"/>
        <v>-4.7873754912170965E-3</v>
      </c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9"/>
      <c r="AV68" s="7"/>
      <c r="AW68" s="7">
        <f>workers_and_wage_high!C56</f>
        <v>13106158</v>
      </c>
      <c r="AX68" s="7"/>
      <c r="AY68" s="42">
        <f t="shared" si="26"/>
        <v>2.973528889131054E-3</v>
      </c>
      <c r="AZ68" s="12">
        <f>workers_and_wage_high!B56</f>
        <v>8195.1661783960699</v>
      </c>
      <c r="BA68" s="42">
        <f t="shared" si="27"/>
        <v>3.5753957699173684E-3</v>
      </c>
      <c r="BB68" s="47"/>
      <c r="BC68" s="47"/>
      <c r="BD68" s="47"/>
      <c r="BE68" s="47"/>
      <c r="BF68" s="7">
        <f t="shared" si="21"/>
        <v>132.49157059058223</v>
      </c>
      <c r="BG68" s="7"/>
      <c r="BH68" s="7"/>
      <c r="BI68" s="42">
        <f t="shared" si="22"/>
        <v>1.864196714923708E-2</v>
      </c>
      <c r="BJ68" s="7"/>
      <c r="BK68" s="7"/>
      <c r="BL68" s="7"/>
      <c r="BM68" s="7"/>
      <c r="BN68" s="7"/>
      <c r="BO68" s="7"/>
      <c r="BP68" s="7"/>
    </row>
    <row r="69" spans="1:68" x14ac:dyDescent="0.2">
      <c r="A69" s="7">
        <f t="shared" si="28"/>
        <v>2028</v>
      </c>
      <c r="B69" s="7">
        <f t="shared" si="29"/>
        <v>4</v>
      </c>
      <c r="C69" s="9"/>
      <c r="D69" s="56">
        <f>'High pensions'!Q69</f>
        <v>126895002.90980184</v>
      </c>
      <c r="E69" s="9"/>
      <c r="F69" s="56">
        <f>'High pensions'!I69</f>
        <v>23064668.863558941</v>
      </c>
      <c r="G69" s="56">
        <f>'High pensions'!K69</f>
        <v>1862745.72074696</v>
      </c>
      <c r="H69" s="56">
        <f>'High pensions'!V69</f>
        <v>10248277.356709182</v>
      </c>
      <c r="I69" s="56">
        <f>'High pensions'!M69</f>
        <v>57610.692394240061</v>
      </c>
      <c r="J69" s="56">
        <f>'High pensions'!W69</f>
        <v>316957.03165082249</v>
      </c>
      <c r="K69" s="9"/>
      <c r="L69" s="56">
        <f>'High pensions'!N69</f>
        <v>2477930.2086858531</v>
      </c>
      <c r="M69" s="41"/>
      <c r="N69" s="56">
        <f>'High pensions'!L69</f>
        <v>1049966.6497395597</v>
      </c>
      <c r="O69" s="9"/>
      <c r="P69" s="56">
        <f>'High pensions'!X69</f>
        <v>18634598.349077493</v>
      </c>
      <c r="Q69" s="41"/>
      <c r="R69" s="56">
        <f>'High SIPA income'!G64</f>
        <v>33944113.102193847</v>
      </c>
      <c r="S69" s="41"/>
      <c r="T69" s="56">
        <f>'High SIPA income'!J64</f>
        <v>129788258.44022574</v>
      </c>
      <c r="U69" s="9"/>
      <c r="V69" s="56">
        <f>'High SIPA income'!F64</f>
        <v>160621.24116093101</v>
      </c>
      <c r="W69" s="41"/>
      <c r="X69" s="56">
        <f>'High SIPA income'!M64</f>
        <v>403434.24940746208</v>
      </c>
      <c r="Y69" s="9"/>
      <c r="Z69" s="9">
        <f t="shared" si="23"/>
        <v>7512168.6213704236</v>
      </c>
      <c r="AA69" s="9"/>
      <c r="AB69" s="9">
        <f t="shared" si="24"/>
        <v>-15741342.818653598</v>
      </c>
      <c r="AC69" s="23"/>
      <c r="AD69" s="9"/>
      <c r="AE69" s="9"/>
      <c r="AF69" s="9"/>
      <c r="AG69" s="9">
        <f t="shared" si="20"/>
        <v>7043024948.1282101</v>
      </c>
      <c r="AH69" s="42">
        <f t="shared" si="30"/>
        <v>1.2319005190126837E-2</v>
      </c>
      <c r="AI69" s="42">
        <f>(AG69-AG65)/AG65</f>
        <v>4.1886031494400587E-2</v>
      </c>
      <c r="AJ69" s="42">
        <f t="shared" si="25"/>
        <v>-2.2350258496297245E-3</v>
      </c>
      <c r="AK69" s="7"/>
      <c r="AL69" s="7"/>
      <c r="AM69" s="7"/>
      <c r="AN69" s="7"/>
      <c r="AO69" s="7"/>
      <c r="AP69" s="7"/>
      <c r="AQ69" s="7"/>
      <c r="AR69" s="7"/>
      <c r="AS69" s="7"/>
      <c r="AT69" s="7"/>
      <c r="AV69" s="7"/>
      <c r="AW69" s="7">
        <f>workers_and_wage_high!C57</f>
        <v>13145527</v>
      </c>
      <c r="AX69" s="7"/>
      <c r="AY69" s="42">
        <f t="shared" si="26"/>
        <v>3.0038551343574524E-3</v>
      </c>
      <c r="AZ69" s="12">
        <f>workers_and_wage_high!B57</f>
        <v>8271.2767559306903</v>
      </c>
      <c r="BA69" s="42">
        <f t="shared" si="27"/>
        <v>9.2872524946793159E-3</v>
      </c>
      <c r="BB69" s="47"/>
      <c r="BC69" s="47"/>
      <c r="BD69" s="47"/>
      <c r="BE69" s="47"/>
      <c r="BF69" s="7">
        <f t="shared" si="21"/>
        <v>134.12373493633567</v>
      </c>
      <c r="BG69" s="7"/>
      <c r="BH69" s="7"/>
      <c r="BI69" s="42">
        <f t="shared" si="22"/>
        <v>1.6200224143464267E-2</v>
      </c>
      <c r="BJ69" s="7"/>
      <c r="BK69" s="7"/>
      <c r="BL69" s="7"/>
      <c r="BM69" s="7"/>
      <c r="BN69" s="7"/>
      <c r="BO69" s="7"/>
      <c r="BP69" s="7"/>
    </row>
    <row r="70" spans="1:68" x14ac:dyDescent="0.2">
      <c r="A70" s="5">
        <f t="shared" si="28"/>
        <v>2029</v>
      </c>
      <c r="B70" s="5">
        <f t="shared" si="29"/>
        <v>1</v>
      </c>
      <c r="C70" s="6"/>
      <c r="D70" s="55">
        <f>'High pensions'!Q70</f>
        <v>127758050.44841179</v>
      </c>
      <c r="E70" s="6"/>
      <c r="F70" s="55">
        <f>'High pensions'!I70</f>
        <v>23221537.969789211</v>
      </c>
      <c r="G70" s="55">
        <f>'High pensions'!K70</f>
        <v>1919679.2549480901</v>
      </c>
      <c r="H70" s="55">
        <f>'High pensions'!V70</f>
        <v>10561508.863775481</v>
      </c>
      <c r="I70" s="55">
        <f>'High pensions'!M70</f>
        <v>59371.523348910036</v>
      </c>
      <c r="J70" s="55">
        <f>'High pensions'!W70</f>
        <v>326644.60403429344</v>
      </c>
      <c r="K70" s="6"/>
      <c r="L70" s="55">
        <f>'High pensions'!N70</f>
        <v>2998611.8586421097</v>
      </c>
      <c r="M70" s="8"/>
      <c r="N70" s="55">
        <f>'High pensions'!L70</f>
        <v>1059021.9603766911</v>
      </c>
      <c r="O70" s="6"/>
      <c r="P70" s="55">
        <f>'High pensions'!X70</f>
        <v>21386237.553293854</v>
      </c>
      <c r="Q70" s="8"/>
      <c r="R70" s="55">
        <f>'High SIPA income'!G65</f>
        <v>29899480.657927081</v>
      </c>
      <c r="S70" s="8"/>
      <c r="T70" s="55">
        <f>'High SIPA income'!J65</f>
        <v>114323255.73440194</v>
      </c>
      <c r="U70" s="6"/>
      <c r="V70" s="55">
        <f>'High SIPA income'!F65</f>
        <v>165654.539890883</v>
      </c>
      <c r="W70" s="8"/>
      <c r="X70" s="55">
        <f>'High SIPA income'!M65</f>
        <v>416076.44467681122</v>
      </c>
      <c r="Y70" s="6"/>
      <c r="Z70" s="6">
        <f t="shared" si="23"/>
        <v>2785963.4090099521</v>
      </c>
      <c r="AA70" s="6"/>
      <c r="AB70" s="6">
        <f t="shared" si="24"/>
        <v>-34821032.267303705</v>
      </c>
      <c r="AC70" s="23"/>
      <c r="AD70" s="6"/>
      <c r="AE70" s="6"/>
      <c r="AF70" s="6"/>
      <c r="AG70" s="6">
        <f t="shared" ref="AG70:AG101" si="31">BF70/100*$AG$37</f>
        <v>7109892047.638217</v>
      </c>
      <c r="AH70" s="35">
        <f t="shared" si="30"/>
        <v>9.4940881229986056E-3</v>
      </c>
      <c r="AI70" s="35"/>
      <c r="AJ70" s="35">
        <f t="shared" si="25"/>
        <v>-4.8975472530374984E-3</v>
      </c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35">
        <f>AVERAGE(AH70:AH73)</f>
        <v>9.4522495829014071E-3</v>
      </c>
      <c r="AV70" s="5"/>
      <c r="AW70" s="5">
        <f>workers_and_wage_high!C58</f>
        <v>13217008</v>
      </c>
      <c r="AX70" s="5"/>
      <c r="AY70" s="35">
        <f t="shared" si="26"/>
        <v>5.4376671243381875E-3</v>
      </c>
      <c r="AZ70" s="11">
        <f>workers_and_wage_high!B58</f>
        <v>8304.6470799354101</v>
      </c>
      <c r="BA70" s="35">
        <f t="shared" si="27"/>
        <v>4.0344828240443699E-3</v>
      </c>
      <c r="BB70" s="40"/>
      <c r="BC70" s="40"/>
      <c r="BD70" s="40"/>
      <c r="BE70" s="40"/>
      <c r="BF70" s="5">
        <f t="shared" ref="BF70:BF101" si="32">BF69*(1+AY70)*(1+BA70)*(1-BE70)</f>
        <v>135.39711749520694</v>
      </c>
      <c r="BG70" s="5"/>
      <c r="BH70" s="5"/>
      <c r="BI70" s="35">
        <f t="shared" si="22"/>
        <v>1.8768521356853297E-2</v>
      </c>
      <c r="BJ70" s="5"/>
      <c r="BK70" s="5"/>
      <c r="BL70" s="5"/>
      <c r="BM70" s="5"/>
      <c r="BN70" s="5"/>
      <c r="BO70" s="5"/>
      <c r="BP70" s="5"/>
    </row>
    <row r="71" spans="1:68" x14ac:dyDescent="0.2">
      <c r="A71" s="7">
        <f t="shared" si="28"/>
        <v>2029</v>
      </c>
      <c r="B71" s="7">
        <f t="shared" si="29"/>
        <v>2</v>
      </c>
      <c r="C71" s="9"/>
      <c r="D71" s="56">
        <f>'High pensions'!Q71</f>
        <v>128262118.77214624</v>
      </c>
      <c r="E71" s="9"/>
      <c r="F71" s="56">
        <f>'High pensions'!I71</f>
        <v>23313158.354398116</v>
      </c>
      <c r="G71" s="56">
        <f>'High pensions'!K71</f>
        <v>1979473.3863496799</v>
      </c>
      <c r="H71" s="56">
        <f>'High pensions'!V71</f>
        <v>10890478.532626085</v>
      </c>
      <c r="I71" s="56">
        <f>'High pensions'!M71</f>
        <v>61220.826381950174</v>
      </c>
      <c r="J71" s="56">
        <f>'High pensions'!W71</f>
        <v>336818.92368947377</v>
      </c>
      <c r="K71" s="9"/>
      <c r="L71" s="56">
        <f>'High pensions'!N71</f>
        <v>2480059.9435704527</v>
      </c>
      <c r="M71" s="41"/>
      <c r="N71" s="56">
        <f>'High pensions'!L71</f>
        <v>1063882.2314487547</v>
      </c>
      <c r="O71" s="9"/>
      <c r="P71" s="56">
        <f>'High pensions'!X71</f>
        <v>18722208.978321627</v>
      </c>
      <c r="Q71" s="41"/>
      <c r="R71" s="56">
        <f>'High SIPA income'!G66</f>
        <v>35068929.731884405</v>
      </c>
      <c r="S71" s="41"/>
      <c r="T71" s="56">
        <f>'High SIPA income'!J66</f>
        <v>134089092.31361708</v>
      </c>
      <c r="U71" s="9"/>
      <c r="V71" s="56">
        <f>'High SIPA income'!F66</f>
        <v>162834.05304041901</v>
      </c>
      <c r="W71" s="41"/>
      <c r="X71" s="56">
        <f>'High SIPA income'!M66</f>
        <v>408992.19487736857</v>
      </c>
      <c r="Y71" s="9"/>
      <c r="Z71" s="9">
        <f t="shared" si="23"/>
        <v>8374663.2555075027</v>
      </c>
      <c r="AA71" s="9"/>
      <c r="AB71" s="9">
        <f t="shared" si="24"/>
        <v>-12895235.436850786</v>
      </c>
      <c r="AC71" s="23"/>
      <c r="AD71" s="9"/>
      <c r="AE71" s="9"/>
      <c r="AF71" s="9"/>
      <c r="AG71" s="9">
        <f t="shared" si="31"/>
        <v>7170166598.1504879</v>
      </c>
      <c r="AH71" s="42">
        <f t="shared" si="30"/>
        <v>8.4775619810279809E-3</v>
      </c>
      <c r="AI71" s="42"/>
      <c r="AJ71" s="42">
        <f t="shared" si="25"/>
        <v>-1.798456878279098E-3</v>
      </c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>
        <f>workers_and_wage_high!C59</f>
        <v>13253558</v>
      </c>
      <c r="AX71" s="7"/>
      <c r="AY71" s="42">
        <f t="shared" si="26"/>
        <v>2.7653762485427866E-3</v>
      </c>
      <c r="AZ71" s="12">
        <f>workers_and_wage_high!B59</f>
        <v>8351.9539452170993</v>
      </c>
      <c r="BA71" s="42">
        <f t="shared" si="27"/>
        <v>5.6964329520980805E-3</v>
      </c>
      <c r="BB71" s="47"/>
      <c r="BC71" s="47"/>
      <c r="BD71" s="47"/>
      <c r="BE71" s="47"/>
      <c r="BF71" s="7">
        <f t="shared" si="32"/>
        <v>136.54495495082509</v>
      </c>
      <c r="BG71" s="7"/>
      <c r="BH71" s="7"/>
      <c r="BI71" s="42">
        <f t="shared" ref="BI71:BI102" si="33">T78/AG78</f>
        <v>1.6413543099532534E-2</v>
      </c>
      <c r="BJ71" s="7"/>
      <c r="BK71" s="7"/>
      <c r="BL71" s="7"/>
      <c r="BM71" s="7"/>
      <c r="BN71" s="7"/>
      <c r="BO71" s="7"/>
      <c r="BP71" s="7"/>
    </row>
    <row r="72" spans="1:68" x14ac:dyDescent="0.2">
      <c r="A72" s="7">
        <f t="shared" si="28"/>
        <v>2029</v>
      </c>
      <c r="B72" s="7">
        <f t="shared" si="29"/>
        <v>3</v>
      </c>
      <c r="C72" s="9"/>
      <c r="D72" s="56">
        <f>'High pensions'!Q72</f>
        <v>129099359.13589846</v>
      </c>
      <c r="E72" s="9"/>
      <c r="F72" s="56">
        <f>'High pensions'!I72</f>
        <v>23465336.701112658</v>
      </c>
      <c r="G72" s="56">
        <f>'High pensions'!K72</f>
        <v>2048695.7718498399</v>
      </c>
      <c r="H72" s="56">
        <f>'High pensions'!V72</f>
        <v>11271319.673742335</v>
      </c>
      <c r="I72" s="56">
        <f>'High pensions'!M72</f>
        <v>63361.724902580027</v>
      </c>
      <c r="J72" s="56">
        <f>'High pensions'!W72</f>
        <v>348597.51568279474</v>
      </c>
      <c r="K72" s="9"/>
      <c r="L72" s="56">
        <f>'High pensions'!N72</f>
        <v>2435456.0665464508</v>
      </c>
      <c r="M72" s="41"/>
      <c r="N72" s="56">
        <f>'High pensions'!L72</f>
        <v>1072614.7038274221</v>
      </c>
      <c r="O72" s="9"/>
      <c r="P72" s="56">
        <f>'High pensions'!X72</f>
        <v>18538802.734937709</v>
      </c>
      <c r="Q72" s="41"/>
      <c r="R72" s="56">
        <f>'High SIPA income'!G67</f>
        <v>30773536.342408434</v>
      </c>
      <c r="S72" s="41"/>
      <c r="T72" s="56">
        <f>'High SIPA income'!J67</f>
        <v>117665283.39990847</v>
      </c>
      <c r="U72" s="9"/>
      <c r="V72" s="56">
        <f>'High SIPA income'!F67</f>
        <v>167137.334175383</v>
      </c>
      <c r="W72" s="41"/>
      <c r="X72" s="56">
        <f>'High SIPA income'!M67</f>
        <v>419800.79641802068</v>
      </c>
      <c r="Y72" s="9"/>
      <c r="Z72" s="9">
        <f t="shared" si="23"/>
        <v>3967266.2050972842</v>
      </c>
      <c r="AA72" s="9"/>
      <c r="AB72" s="9">
        <f t="shared" si="24"/>
        <v>-29972878.4709277</v>
      </c>
      <c r="AC72" s="23"/>
      <c r="AD72" s="9"/>
      <c r="AE72" s="9"/>
      <c r="AF72" s="9"/>
      <c r="AG72" s="9">
        <f t="shared" si="31"/>
        <v>7254701014.9691296</v>
      </c>
      <c r="AH72" s="42">
        <f t="shared" si="30"/>
        <v>1.1789742352771403E-2</v>
      </c>
      <c r="AI72" s="42"/>
      <c r="AJ72" s="42">
        <f t="shared" si="25"/>
        <v>-4.1315111965444995E-3</v>
      </c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9"/>
      <c r="AV72" s="7"/>
      <c r="AW72" s="7">
        <f>workers_and_wage_high!C60</f>
        <v>13307093</v>
      </c>
      <c r="AX72" s="7"/>
      <c r="AY72" s="42">
        <f t="shared" si="26"/>
        <v>4.0392926940826003E-3</v>
      </c>
      <c r="AZ72" s="12">
        <f>workers_and_wage_high!B60</f>
        <v>8416.4249266568804</v>
      </c>
      <c r="BA72" s="42">
        <f t="shared" si="27"/>
        <v>7.7192692707197695E-3</v>
      </c>
      <c r="BB72" s="47"/>
      <c r="BC72" s="47"/>
      <c r="BD72" s="47"/>
      <c r="BE72" s="47"/>
      <c r="BF72" s="7">
        <f t="shared" si="32"/>
        <v>138.15478478926607</v>
      </c>
      <c r="BG72" s="7"/>
      <c r="BH72" s="7"/>
      <c r="BI72" s="42">
        <f t="shared" si="33"/>
        <v>1.8828885118082259E-2</v>
      </c>
      <c r="BJ72" s="7"/>
      <c r="BK72" s="7"/>
      <c r="BL72" s="7"/>
      <c r="BM72" s="7"/>
      <c r="BN72" s="7"/>
      <c r="BO72" s="7"/>
      <c r="BP72" s="7"/>
    </row>
    <row r="73" spans="1:68" x14ac:dyDescent="0.2">
      <c r="A73" s="7">
        <f t="shared" si="28"/>
        <v>2029</v>
      </c>
      <c r="B73" s="7">
        <f t="shared" si="29"/>
        <v>4</v>
      </c>
      <c r="C73" s="9"/>
      <c r="D73" s="56">
        <f>'High pensions'!Q73</f>
        <v>129301620.28433783</v>
      </c>
      <c r="E73" s="9"/>
      <c r="F73" s="56">
        <f>'High pensions'!I73</f>
        <v>23502100.05905224</v>
      </c>
      <c r="G73" s="56">
        <f>'High pensions'!K73</f>
        <v>2115027.8772066599</v>
      </c>
      <c r="H73" s="56">
        <f>'High pensions'!V73</f>
        <v>11636259.346280437</v>
      </c>
      <c r="I73" s="56">
        <f>'High pensions'!M73</f>
        <v>65413.233315669931</v>
      </c>
      <c r="J73" s="56">
        <f>'High pensions'!W73</f>
        <v>359884.3096787766</v>
      </c>
      <c r="K73" s="9"/>
      <c r="L73" s="56">
        <f>'High pensions'!N73</f>
        <v>2407096.4222641508</v>
      </c>
      <c r="M73" s="41"/>
      <c r="N73" s="56">
        <f>'High pensions'!L73</f>
        <v>1076299.3835643306</v>
      </c>
      <c r="O73" s="9"/>
      <c r="P73" s="56">
        <f>'High pensions'!X73</f>
        <v>18411916.426696964</v>
      </c>
      <c r="Q73" s="41"/>
      <c r="R73" s="56">
        <f>'High SIPA income'!G68</f>
        <v>35759175.120223522</v>
      </c>
      <c r="S73" s="41"/>
      <c r="T73" s="56">
        <f>'High SIPA income'!J68</f>
        <v>136728305.3806729</v>
      </c>
      <c r="U73" s="9"/>
      <c r="V73" s="56">
        <f>'High SIPA income'!F68</f>
        <v>164648.70943682501</v>
      </c>
      <c r="W73" s="41"/>
      <c r="X73" s="56">
        <f>'High SIPA income'!M68</f>
        <v>413550.08856518409</v>
      </c>
      <c r="Y73" s="9"/>
      <c r="Z73" s="9">
        <f t="shared" si="23"/>
        <v>8938327.9647796266</v>
      </c>
      <c r="AA73" s="9"/>
      <c r="AB73" s="9">
        <f t="shared" si="24"/>
        <v>-10985231.330361888</v>
      </c>
      <c r="AC73" s="23"/>
      <c r="AD73" s="9"/>
      <c r="AE73" s="9"/>
      <c r="AF73" s="9"/>
      <c r="AG73" s="9">
        <f t="shared" si="31"/>
        <v>7313083989.4771681</v>
      </c>
      <c r="AH73" s="42">
        <f t="shared" si="30"/>
        <v>8.0476058748076406E-3</v>
      </c>
      <c r="AI73" s="42">
        <f>(AG73-AG69)/AG69</f>
        <v>3.8344183548679647E-2</v>
      </c>
      <c r="AJ73" s="42">
        <f t="shared" si="25"/>
        <v>-1.502133894013605E-3</v>
      </c>
      <c r="AK73" s="7"/>
      <c r="AL73" s="7"/>
      <c r="AM73" s="7"/>
      <c r="AN73" s="7"/>
      <c r="AO73" s="7"/>
      <c r="AP73" s="7"/>
      <c r="AQ73" s="7"/>
      <c r="AR73" s="7"/>
      <c r="AS73" s="7"/>
      <c r="AT73" s="7"/>
      <c r="AV73" s="7"/>
      <c r="AW73" s="7">
        <f>workers_and_wage_high!C61</f>
        <v>13332925</v>
      </c>
      <c r="AX73" s="7"/>
      <c r="AY73" s="42">
        <f t="shared" si="26"/>
        <v>1.9412203702191004E-3</v>
      </c>
      <c r="AZ73" s="12">
        <f>workers_and_wage_high!B61</f>
        <v>8467.7192881700303</v>
      </c>
      <c r="BA73" s="42">
        <f t="shared" si="27"/>
        <v>6.094554630991603E-3</v>
      </c>
      <c r="BB73" s="47"/>
      <c r="BC73" s="47"/>
      <c r="BD73" s="47"/>
      <c r="BE73" s="47"/>
      <c r="BF73" s="7">
        <f t="shared" si="32"/>
        <v>139.26660004696899</v>
      </c>
      <c r="BG73" s="7"/>
      <c r="BH73" s="7"/>
      <c r="BI73" s="42">
        <f t="shared" si="33"/>
        <v>1.6404086995477359E-2</v>
      </c>
      <c r="BJ73" s="7"/>
      <c r="BK73" s="7"/>
      <c r="BL73" s="7"/>
      <c r="BM73" s="7"/>
      <c r="BN73" s="7"/>
      <c r="BO73" s="7"/>
      <c r="BP73" s="7"/>
    </row>
    <row r="74" spans="1:68" x14ac:dyDescent="0.2">
      <c r="A74" s="5">
        <f t="shared" si="28"/>
        <v>2030</v>
      </c>
      <c r="B74" s="5">
        <f t="shared" si="29"/>
        <v>1</v>
      </c>
      <c r="C74" s="6"/>
      <c r="D74" s="55">
        <f>'High pensions'!Q74</f>
        <v>129643253.40234013</v>
      </c>
      <c r="E74" s="6"/>
      <c r="F74" s="55">
        <f>'High pensions'!I74</f>
        <v>23564195.922237247</v>
      </c>
      <c r="G74" s="55">
        <f>'High pensions'!K74</f>
        <v>2221160.6358235502</v>
      </c>
      <c r="H74" s="55">
        <f>'High pensions'!V74</f>
        <v>12220170.469964242</v>
      </c>
      <c r="I74" s="55">
        <f>'High pensions'!M74</f>
        <v>68695.689767739736</v>
      </c>
      <c r="J74" s="55">
        <f>'High pensions'!W74</f>
        <v>377943.41659683816</v>
      </c>
      <c r="K74" s="6"/>
      <c r="L74" s="55">
        <f>'High pensions'!N74</f>
        <v>2976169.0432300139</v>
      </c>
      <c r="M74" s="8"/>
      <c r="N74" s="55">
        <f>'High pensions'!L74</f>
        <v>1081485.4294150658</v>
      </c>
      <c r="O74" s="6"/>
      <c r="P74" s="55">
        <f>'High pensions'!X74</f>
        <v>21393369.056286097</v>
      </c>
      <c r="Q74" s="8"/>
      <c r="R74" s="55">
        <f>'High SIPA income'!G69</f>
        <v>31224868.01422039</v>
      </c>
      <c r="S74" s="8"/>
      <c r="T74" s="55">
        <f>'High SIPA income'!J69</f>
        <v>119390989.16476473</v>
      </c>
      <c r="U74" s="6"/>
      <c r="V74" s="55">
        <f>'High SIPA income'!F69</f>
        <v>176385.55643687499</v>
      </c>
      <c r="W74" s="8"/>
      <c r="X74" s="55">
        <f>'High SIPA income'!M69</f>
        <v>443029.66440242477</v>
      </c>
      <c r="Y74" s="6"/>
      <c r="Z74" s="6">
        <f t="shared" si="23"/>
        <v>3779403.1757749394</v>
      </c>
      <c r="AA74" s="6"/>
      <c r="AB74" s="6">
        <f t="shared" si="24"/>
        <v>-31645633.293861493</v>
      </c>
      <c r="AC74" s="23"/>
      <c r="AD74" s="6"/>
      <c r="AE74" s="6"/>
      <c r="AF74" s="6"/>
      <c r="AG74" s="6">
        <f t="shared" si="31"/>
        <v>7408699994.7967033</v>
      </c>
      <c r="AH74" s="35">
        <f t="shared" si="30"/>
        <v>1.3074648870041365E-2</v>
      </c>
      <c r="AI74" s="35"/>
      <c r="AJ74" s="35">
        <f t="shared" si="25"/>
        <v>-4.2714151357305507E-3</v>
      </c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35">
        <f>AVERAGE(AH74:AH77)</f>
        <v>8.765270451168013E-3</v>
      </c>
      <c r="AV74" s="5"/>
      <c r="AW74" s="5">
        <f>workers_and_wage_high!C62</f>
        <v>13378880</v>
      </c>
      <c r="AX74" s="5"/>
      <c r="AY74" s="35">
        <f t="shared" si="26"/>
        <v>3.4467305561232814E-3</v>
      </c>
      <c r="AZ74" s="11">
        <f>workers_and_wage_high!B62</f>
        <v>8548.9657630740894</v>
      </c>
      <c r="BA74" s="35">
        <f t="shared" si="27"/>
        <v>9.5948474599962114E-3</v>
      </c>
      <c r="BB74" s="40"/>
      <c r="BC74" s="40"/>
      <c r="BD74" s="40"/>
      <c r="BE74" s="40"/>
      <c r="BF74" s="5">
        <f t="shared" si="32"/>
        <v>141.08746194190758</v>
      </c>
      <c r="BG74" s="5"/>
      <c r="BH74" s="5"/>
      <c r="BI74" s="35">
        <f t="shared" si="33"/>
        <v>1.8880906879262267E-2</v>
      </c>
      <c r="BJ74" s="5"/>
      <c r="BK74" s="5"/>
      <c r="BL74" s="5"/>
      <c r="BM74" s="5"/>
      <c r="BN74" s="5"/>
      <c r="BO74" s="5"/>
      <c r="BP74" s="5"/>
    </row>
    <row r="75" spans="1:68" x14ac:dyDescent="0.2">
      <c r="A75" s="7">
        <f t="shared" si="28"/>
        <v>2030</v>
      </c>
      <c r="B75" s="7">
        <f t="shared" si="29"/>
        <v>2</v>
      </c>
      <c r="C75" s="9"/>
      <c r="D75" s="56">
        <f>'High pensions'!Q75</f>
        <v>130337167.46706441</v>
      </c>
      <c r="E75" s="9"/>
      <c r="F75" s="56">
        <f>'High pensions'!I75</f>
        <v>23690323.017517809</v>
      </c>
      <c r="G75" s="56">
        <f>'High pensions'!K75</f>
        <v>2280638.6731029898</v>
      </c>
      <c r="H75" s="56">
        <f>'High pensions'!V75</f>
        <v>12547401.082217619</v>
      </c>
      <c r="I75" s="56">
        <f>'High pensions'!M75</f>
        <v>70535.216693910304</v>
      </c>
      <c r="J75" s="56">
        <f>'High pensions'!W75</f>
        <v>388063.95099643996</v>
      </c>
      <c r="K75" s="9"/>
      <c r="L75" s="56">
        <f>'High pensions'!N75</f>
        <v>2395590.1500293151</v>
      </c>
      <c r="M75" s="41"/>
      <c r="N75" s="56">
        <f>'High pensions'!L75</f>
        <v>1089942.5200717896</v>
      </c>
      <c r="O75" s="9"/>
      <c r="P75" s="56">
        <f>'High pensions'!X75</f>
        <v>18427270.837059878</v>
      </c>
      <c r="Q75" s="41"/>
      <c r="R75" s="56">
        <f>'High SIPA income'!G70</f>
        <v>36328670.00604111</v>
      </c>
      <c r="S75" s="41"/>
      <c r="T75" s="56">
        <f>'High SIPA income'!J70</f>
        <v>138905818.43568635</v>
      </c>
      <c r="U75" s="9"/>
      <c r="V75" s="56">
        <f>'High SIPA income'!F70</f>
        <v>170828.78746726699</v>
      </c>
      <c r="W75" s="41"/>
      <c r="X75" s="56">
        <f>'High SIPA income'!M70</f>
        <v>429072.66281171754</v>
      </c>
      <c r="Y75" s="9"/>
      <c r="Z75" s="9">
        <f t="shared" si="23"/>
        <v>9323643.1058894582</v>
      </c>
      <c r="AA75" s="9"/>
      <c r="AB75" s="9">
        <f t="shared" si="24"/>
        <v>-9858619.8684379458</v>
      </c>
      <c r="AC75" s="23"/>
      <c r="AD75" s="9"/>
      <c r="AE75" s="9"/>
      <c r="AF75" s="9"/>
      <c r="AG75" s="9">
        <f t="shared" si="31"/>
        <v>7451242528.4136953</v>
      </c>
      <c r="AH75" s="42">
        <f t="shared" si="30"/>
        <v>5.742240021443786E-3</v>
      </c>
      <c r="AI75" s="42"/>
      <c r="AJ75" s="42">
        <f t="shared" si="25"/>
        <v>-1.3230840132829175E-3</v>
      </c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>
        <f>workers_and_wage_high!C63</f>
        <v>13429551</v>
      </c>
      <c r="AX75" s="7"/>
      <c r="AY75" s="42">
        <f t="shared" si="26"/>
        <v>3.7873872850343227E-3</v>
      </c>
      <c r="AZ75" s="12">
        <f>workers_and_wage_high!B63</f>
        <v>8565.6146763072193</v>
      </c>
      <c r="BA75" s="42">
        <f t="shared" si="27"/>
        <v>1.9474768872092363E-3</v>
      </c>
      <c r="BB75" s="47"/>
      <c r="BC75" s="47"/>
      <c r="BD75" s="47"/>
      <c r="BE75" s="47"/>
      <c r="BF75" s="7">
        <f t="shared" si="32"/>
        <v>141.89762001239433</v>
      </c>
      <c r="BG75" s="7"/>
      <c r="BH75" s="7"/>
      <c r="BI75" s="42">
        <f t="shared" si="33"/>
        <v>1.6454401499390509E-2</v>
      </c>
      <c r="BJ75" s="7"/>
      <c r="BK75" s="7"/>
      <c r="BL75" s="7"/>
      <c r="BM75" s="7"/>
      <c r="BN75" s="7"/>
      <c r="BO75" s="7"/>
      <c r="BP75" s="7"/>
    </row>
    <row r="76" spans="1:68" x14ac:dyDescent="0.2">
      <c r="A76" s="7">
        <f t="shared" si="28"/>
        <v>2030</v>
      </c>
      <c r="B76" s="7">
        <f t="shared" si="29"/>
        <v>3</v>
      </c>
      <c r="C76" s="9"/>
      <c r="D76" s="56">
        <f>'High pensions'!Q76</f>
        <v>131269757.78769495</v>
      </c>
      <c r="E76" s="9"/>
      <c r="F76" s="56">
        <f>'High pensions'!I76</f>
        <v>23859832.34757388</v>
      </c>
      <c r="G76" s="56">
        <f>'High pensions'!K76</f>
        <v>2346878.0753386202</v>
      </c>
      <c r="H76" s="56">
        <f>'High pensions'!V76</f>
        <v>12911830.729534779</v>
      </c>
      <c r="I76" s="56">
        <f>'High pensions'!M76</f>
        <v>72583.858000169974</v>
      </c>
      <c r="J76" s="56">
        <f>'High pensions'!W76</f>
        <v>399334.97101657512</v>
      </c>
      <c r="K76" s="9"/>
      <c r="L76" s="56">
        <f>'High pensions'!N76</f>
        <v>2360462.3042038474</v>
      </c>
      <c r="M76" s="41"/>
      <c r="N76" s="56">
        <f>'High pensions'!L76</f>
        <v>1100849.5279105306</v>
      </c>
      <c r="O76" s="9"/>
      <c r="P76" s="56">
        <f>'High pensions'!X76</f>
        <v>18304999.417121947</v>
      </c>
      <c r="Q76" s="41"/>
      <c r="R76" s="56">
        <f>'High SIPA income'!G71</f>
        <v>31736151.776251622</v>
      </c>
      <c r="S76" s="41"/>
      <c r="T76" s="56">
        <f>'High SIPA income'!J71</f>
        <v>121345926.94272399</v>
      </c>
      <c r="U76" s="9"/>
      <c r="V76" s="56">
        <f>'High SIPA income'!F71</f>
        <v>170736.93107454001</v>
      </c>
      <c r="W76" s="41"/>
      <c r="X76" s="56">
        <f>'High SIPA income'!M71</f>
        <v>428841.94603612029</v>
      </c>
      <c r="Y76" s="9"/>
      <c r="Z76" s="9">
        <f t="shared" si="23"/>
        <v>4585744.5276379026</v>
      </c>
      <c r="AA76" s="9"/>
      <c r="AB76" s="9">
        <f t="shared" si="24"/>
        <v>-28228830.262092903</v>
      </c>
      <c r="AC76" s="23"/>
      <c r="AD76" s="9"/>
      <c r="AE76" s="9"/>
      <c r="AF76" s="9"/>
      <c r="AG76" s="9">
        <f t="shared" si="31"/>
        <v>7490385680.3536348</v>
      </c>
      <c r="AH76" s="42">
        <f t="shared" si="30"/>
        <v>5.2532382070071652E-3</v>
      </c>
      <c r="AI76" s="42"/>
      <c r="AJ76" s="42">
        <f t="shared" si="25"/>
        <v>-3.768675134597364E-3</v>
      </c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9"/>
      <c r="AV76" s="7"/>
      <c r="AW76" s="7">
        <f>workers_and_wage_high!C64</f>
        <v>13431829</v>
      </c>
      <c r="AX76" s="7"/>
      <c r="AY76" s="42">
        <f t="shared" si="26"/>
        <v>1.6962592420252919E-4</v>
      </c>
      <c r="AZ76" s="12">
        <f>workers_and_wage_high!B64</f>
        <v>8609.1515553021309</v>
      </c>
      <c r="BA76" s="42">
        <f t="shared" si="27"/>
        <v>5.0827501166187273E-3</v>
      </c>
      <c r="BB76" s="47"/>
      <c r="BC76" s="47"/>
      <c r="BD76" s="47"/>
      <c r="BE76" s="47"/>
      <c r="BF76" s="7">
        <f t="shared" si="32"/>
        <v>142.64304201132683</v>
      </c>
      <c r="BG76" s="7"/>
      <c r="BH76" s="7"/>
      <c r="BI76" s="42">
        <f t="shared" si="33"/>
        <v>1.8902426141837118E-2</v>
      </c>
      <c r="BJ76" s="7"/>
      <c r="BK76" s="7"/>
      <c r="BL76" s="7"/>
      <c r="BM76" s="7"/>
      <c r="BN76" s="7"/>
      <c r="BO76" s="7"/>
      <c r="BP76" s="7"/>
    </row>
    <row r="77" spans="1:68" x14ac:dyDescent="0.2">
      <c r="A77" s="7">
        <f t="shared" si="28"/>
        <v>2030</v>
      </c>
      <c r="B77" s="7">
        <f t="shared" si="29"/>
        <v>4</v>
      </c>
      <c r="C77" s="9"/>
      <c r="D77" s="56">
        <f>'High pensions'!Q77</f>
        <v>131850348.26512201</v>
      </c>
      <c r="E77" s="9"/>
      <c r="F77" s="56">
        <f>'High pensions'!I77</f>
        <v>23965361.539426371</v>
      </c>
      <c r="G77" s="56">
        <f>'High pensions'!K77</f>
        <v>2376223.7181427302</v>
      </c>
      <c r="H77" s="56">
        <f>'High pensions'!V77</f>
        <v>13073281.797878578</v>
      </c>
      <c r="I77" s="56">
        <f>'High pensions'!M77</f>
        <v>73491.455200289842</v>
      </c>
      <c r="J77" s="56">
        <f>'High pensions'!W77</f>
        <v>404328.30302716821</v>
      </c>
      <c r="K77" s="9"/>
      <c r="L77" s="56">
        <f>'High pensions'!N77</f>
        <v>2315970.0049912897</v>
      </c>
      <c r="M77" s="41"/>
      <c r="N77" s="56">
        <f>'High pensions'!L77</f>
        <v>1107245.865617007</v>
      </c>
      <c r="O77" s="9"/>
      <c r="P77" s="56">
        <f>'High pensions'!X77</f>
        <v>18109319.427836798</v>
      </c>
      <c r="Q77" s="41"/>
      <c r="R77" s="56">
        <f>'High SIPA income'!G72</f>
        <v>37171541.355593145</v>
      </c>
      <c r="S77" s="41"/>
      <c r="T77" s="56">
        <f>'High SIPA income'!J72</f>
        <v>142128610.09379131</v>
      </c>
      <c r="U77" s="9"/>
      <c r="V77" s="56">
        <f>'High SIPA income'!F72</f>
        <v>171031.74089179901</v>
      </c>
      <c r="W77" s="41"/>
      <c r="X77" s="56">
        <f>'High SIPA income'!M72</f>
        <v>429582.42330104607</v>
      </c>
      <c r="Y77" s="9"/>
      <c r="Z77" s="9">
        <f t="shared" si="23"/>
        <v>9953995.6864502728</v>
      </c>
      <c r="AA77" s="9"/>
      <c r="AB77" s="9">
        <f t="shared" si="24"/>
        <v>-7831057.5991675109</v>
      </c>
      <c r="AC77" s="23"/>
      <c r="AD77" s="9"/>
      <c r="AE77" s="9"/>
      <c r="AF77" s="9"/>
      <c r="AG77" s="9">
        <f t="shared" si="31"/>
        <v>7572712170.0982189</v>
      </c>
      <c r="AH77" s="42">
        <f t="shared" si="30"/>
        <v>1.0990954706179735E-2</v>
      </c>
      <c r="AI77" s="42">
        <f>(AG77-AG73)/AG73</f>
        <v>3.5501873217185946E-2</v>
      </c>
      <c r="AJ77" s="42">
        <f t="shared" si="25"/>
        <v>-1.034115310771932E-3</v>
      </c>
      <c r="AK77" s="7"/>
      <c r="AL77" s="7"/>
      <c r="AM77" s="7"/>
      <c r="AN77" s="7"/>
      <c r="AO77" s="7"/>
      <c r="AP77" s="7"/>
      <c r="AQ77" s="7"/>
      <c r="AR77" s="7"/>
      <c r="AS77" s="7"/>
      <c r="AT77" s="7"/>
      <c r="AV77" s="7"/>
      <c r="AW77" s="7">
        <f>workers_and_wage_high!C65</f>
        <v>13488648</v>
      </c>
      <c r="AX77" s="7"/>
      <c r="AY77" s="42">
        <f t="shared" si="26"/>
        <v>4.230175949976731E-3</v>
      </c>
      <c r="AZ77" s="12">
        <f>workers_and_wage_high!B65</f>
        <v>8667.1109458262799</v>
      </c>
      <c r="BA77" s="42">
        <f t="shared" si="27"/>
        <v>6.7322999428966399E-3</v>
      </c>
      <c r="BB77" s="47"/>
      <c r="BC77" s="47"/>
      <c r="BD77" s="47"/>
      <c r="BE77" s="47"/>
      <c r="BF77" s="7">
        <f t="shared" si="32"/>
        <v>144.21082522522502</v>
      </c>
      <c r="BG77" s="7"/>
      <c r="BH77" s="7"/>
      <c r="BI77" s="42">
        <f t="shared" si="33"/>
        <v>1.6434661284178531E-2</v>
      </c>
      <c r="BJ77" s="7"/>
      <c r="BK77" s="7"/>
      <c r="BL77" s="7"/>
      <c r="BM77" s="7"/>
      <c r="BN77" s="7"/>
      <c r="BO77" s="7"/>
      <c r="BP77" s="7"/>
    </row>
    <row r="78" spans="1:68" x14ac:dyDescent="0.2">
      <c r="A78" s="5">
        <f t="shared" si="28"/>
        <v>2031</v>
      </c>
      <c r="B78" s="5">
        <f t="shared" si="29"/>
        <v>1</v>
      </c>
      <c r="C78" s="6"/>
      <c r="D78" s="55">
        <f>'High pensions'!Q78</f>
        <v>132681977.81287973</v>
      </c>
      <c r="E78" s="6"/>
      <c r="F78" s="55">
        <f>'High pensions'!I78</f>
        <v>24116520.053917419</v>
      </c>
      <c r="G78" s="55">
        <f>'High pensions'!K78</f>
        <v>2463545.6691475799</v>
      </c>
      <c r="H78" s="55">
        <f>'High pensions'!V78</f>
        <v>13553701.408166457</v>
      </c>
      <c r="I78" s="55">
        <f>'High pensions'!M78</f>
        <v>76192.134097350296</v>
      </c>
      <c r="J78" s="55">
        <f>'High pensions'!W78</f>
        <v>419186.64148969779</v>
      </c>
      <c r="K78" s="6"/>
      <c r="L78" s="55">
        <f>'High pensions'!N78</f>
        <v>2874415.0965813952</v>
      </c>
      <c r="M78" s="8"/>
      <c r="N78" s="55">
        <f>'High pensions'!L78</f>
        <v>1116776.2042708509</v>
      </c>
      <c r="O78" s="6"/>
      <c r="P78" s="55">
        <f>'High pensions'!X78</f>
        <v>21059526.774203081</v>
      </c>
      <c r="Q78" s="8"/>
      <c r="R78" s="55">
        <f>'High SIPA income'!G73</f>
        <v>32820529.946155254</v>
      </c>
      <c r="S78" s="8"/>
      <c r="T78" s="55">
        <f>'High SIPA income'!J73</f>
        <v>125492140.86024995</v>
      </c>
      <c r="U78" s="6"/>
      <c r="V78" s="55">
        <f>'High SIPA income'!F73</f>
        <v>175971.55934178</v>
      </c>
      <c r="W78" s="8"/>
      <c r="X78" s="55">
        <f>'High SIPA income'!M73</f>
        <v>441989.82305822062</v>
      </c>
      <c r="Y78" s="6"/>
      <c r="Z78" s="6">
        <f t="shared" ref="Z78:Z109" si="34">R78+V78-N78-L78-F78</f>
        <v>4888790.1507273689</v>
      </c>
      <c r="AA78" s="6"/>
      <c r="AB78" s="6">
        <f t="shared" ref="AB78:AB109" si="35">T78-P78-D78</f>
        <v>-28249363.726832852</v>
      </c>
      <c r="AC78" s="23"/>
      <c r="AD78" s="6"/>
      <c r="AE78" s="6"/>
      <c r="AF78" s="6"/>
      <c r="AG78" s="6">
        <f t="shared" si="31"/>
        <v>7645646043.5909195</v>
      </c>
      <c r="AH78" s="35">
        <f t="shared" si="30"/>
        <v>9.631142958356308E-3</v>
      </c>
      <c r="AI78" s="35"/>
      <c r="AJ78" s="35">
        <f t="shared" ref="AJ78:AJ109" si="36">AB78/AG78</f>
        <v>-3.6948301773024553E-3</v>
      </c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35">
        <f>AVERAGE(AH78:AH81)</f>
        <v>1.016500379954639E-2</v>
      </c>
      <c r="AV78" s="5"/>
      <c r="AW78" s="5">
        <f>workers_and_wage_high!C66</f>
        <v>13537212</v>
      </c>
      <c r="AX78" s="5"/>
      <c r="AY78" s="35">
        <f t="shared" si="26"/>
        <v>3.6003608367569532E-3</v>
      </c>
      <c r="AZ78" s="11">
        <f>workers_and_wage_high!B66</f>
        <v>8719.1928897729995</v>
      </c>
      <c r="BA78" s="35">
        <f t="shared" si="27"/>
        <v>6.0091470239918929E-3</v>
      </c>
      <c r="BB78" s="40"/>
      <c r="BC78" s="40"/>
      <c r="BD78" s="40"/>
      <c r="BE78" s="40"/>
      <c r="BF78" s="5">
        <f t="shared" si="32"/>
        <v>145.59974029911169</v>
      </c>
      <c r="BG78" s="5"/>
      <c r="BH78" s="5"/>
      <c r="BI78" s="35">
        <f t="shared" si="33"/>
        <v>1.8915078504327703E-2</v>
      </c>
      <c r="BJ78" s="5"/>
      <c r="BK78" s="5"/>
      <c r="BL78" s="5"/>
      <c r="BM78" s="5"/>
      <c r="BN78" s="5"/>
      <c r="BO78" s="5"/>
      <c r="BP78" s="5"/>
    </row>
    <row r="79" spans="1:68" x14ac:dyDescent="0.2">
      <c r="A79" s="7">
        <f t="shared" si="28"/>
        <v>2031</v>
      </c>
      <c r="B79" s="7">
        <f t="shared" si="29"/>
        <v>2</v>
      </c>
      <c r="C79" s="9"/>
      <c r="D79" s="56">
        <f>'High pensions'!Q79</f>
        <v>133357091.3832912</v>
      </c>
      <c r="E79" s="9"/>
      <c r="F79" s="56">
        <f>'High pensions'!I79</f>
        <v>24239229.936810948</v>
      </c>
      <c r="G79" s="56">
        <f>'High pensions'!K79</f>
        <v>2503157.2251759502</v>
      </c>
      <c r="H79" s="56">
        <f>'High pensions'!V79</f>
        <v>13771632.502136052</v>
      </c>
      <c r="I79" s="56">
        <f>'High pensions'!M79</f>
        <v>77417.233768329956</v>
      </c>
      <c r="J79" s="56">
        <f>'High pensions'!W79</f>
        <v>425926.77841658768</v>
      </c>
      <c r="K79" s="9"/>
      <c r="L79" s="56">
        <f>'High pensions'!N79</f>
        <v>2280239.7349033225</v>
      </c>
      <c r="M79" s="41"/>
      <c r="N79" s="56">
        <f>'High pensions'!L79</f>
        <v>1124057.1260533705</v>
      </c>
      <c r="O79" s="9"/>
      <c r="P79" s="56">
        <f>'High pensions'!X79</f>
        <v>18016405.481292926</v>
      </c>
      <c r="Q79" s="41"/>
      <c r="R79" s="56">
        <f>'High SIPA income'!G74</f>
        <v>38166833.944780298</v>
      </c>
      <c r="S79" s="41"/>
      <c r="T79" s="56">
        <f>'High SIPA income'!J74</f>
        <v>145934197.57224908</v>
      </c>
      <c r="U79" s="9"/>
      <c r="V79" s="56">
        <f>'High SIPA income'!F74</f>
        <v>172233.36328186499</v>
      </c>
      <c r="W79" s="41"/>
      <c r="X79" s="56">
        <f>'High SIPA income'!M74</f>
        <v>432600.55230754381</v>
      </c>
      <c r="Y79" s="9"/>
      <c r="Z79" s="9">
        <f t="shared" si="34"/>
        <v>10695540.510294527</v>
      </c>
      <c r="AA79" s="9"/>
      <c r="AB79" s="9">
        <f t="shared" si="35"/>
        <v>-5439299.2923350483</v>
      </c>
      <c r="AC79" s="23"/>
      <c r="AD79" s="9"/>
      <c r="AE79" s="9"/>
      <c r="AF79" s="9"/>
      <c r="AG79" s="9">
        <f t="shared" si="31"/>
        <v>7750549045.0999489</v>
      </c>
      <c r="AH79" s="42">
        <f t="shared" si="30"/>
        <v>1.3720619671762852E-2</v>
      </c>
      <c r="AI79" s="42"/>
      <c r="AJ79" s="42">
        <f t="shared" si="36"/>
        <v>-7.0179535161755816E-4</v>
      </c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>
        <f>workers_and_wage_high!C67</f>
        <v>13590068</v>
      </c>
      <c r="AX79" s="7"/>
      <c r="AY79" s="42">
        <f t="shared" ref="AY79:AY110" si="37">(AW79-AW78)/AW78</f>
        <v>3.9044967309369168E-3</v>
      </c>
      <c r="AZ79" s="12">
        <f>workers_and_wage_high!B67</f>
        <v>8804.44867817667</v>
      </c>
      <c r="BA79" s="42">
        <f t="shared" ref="BA79:BA110" si="38">(AZ79-AZ78)/AZ78</f>
        <v>9.7779449865903947E-3</v>
      </c>
      <c r="BB79" s="47"/>
      <c r="BC79" s="47"/>
      <c r="BD79" s="47"/>
      <c r="BE79" s="47"/>
      <c r="BF79" s="7">
        <f t="shared" si="32"/>
        <v>147.59745896006325</v>
      </c>
      <c r="BG79" s="7"/>
      <c r="BH79" s="7"/>
      <c r="BI79" s="42">
        <f t="shared" si="33"/>
        <v>1.6462708352696271E-2</v>
      </c>
      <c r="BJ79" s="7"/>
      <c r="BK79" s="7"/>
      <c r="BL79" s="7"/>
      <c r="BM79" s="7"/>
      <c r="BN79" s="7"/>
      <c r="BO79" s="7"/>
      <c r="BP79" s="7"/>
    </row>
    <row r="80" spans="1:68" x14ac:dyDescent="0.2">
      <c r="A80" s="7">
        <f t="shared" si="28"/>
        <v>2031</v>
      </c>
      <c r="B80" s="7">
        <f t="shared" si="29"/>
        <v>3</v>
      </c>
      <c r="C80" s="9"/>
      <c r="D80" s="56">
        <f>'High pensions'!Q80</f>
        <v>133995511.62926315</v>
      </c>
      <c r="E80" s="9"/>
      <c r="F80" s="56">
        <f>'High pensions'!I80</f>
        <v>24355270.373640452</v>
      </c>
      <c r="G80" s="56">
        <f>'High pensions'!K80</f>
        <v>2563938.0932376501</v>
      </c>
      <c r="H80" s="56">
        <f>'High pensions'!V80</f>
        <v>14106030.904956199</v>
      </c>
      <c r="I80" s="56">
        <f>'High pensions'!M80</f>
        <v>79297.054430029821</v>
      </c>
      <c r="J80" s="56">
        <f>'High pensions'!W80</f>
        <v>436268.9970604977</v>
      </c>
      <c r="K80" s="9"/>
      <c r="L80" s="56">
        <f>'High pensions'!N80</f>
        <v>2306401.2375954511</v>
      </c>
      <c r="M80" s="41"/>
      <c r="N80" s="56">
        <f>'High pensions'!L80</f>
        <v>1131729.4869963676</v>
      </c>
      <c r="O80" s="9"/>
      <c r="P80" s="56">
        <f>'High pensions'!X80</f>
        <v>18194368.709324852</v>
      </c>
      <c r="Q80" s="41"/>
      <c r="R80" s="56">
        <f>'High SIPA income'!G75</f>
        <v>33596368.089395978</v>
      </c>
      <c r="S80" s="41"/>
      <c r="T80" s="56">
        <f>'High SIPA income'!J75</f>
        <v>128458625.24414167</v>
      </c>
      <c r="U80" s="9"/>
      <c r="V80" s="56">
        <f>'High SIPA income'!F75</f>
        <v>177346.759570742</v>
      </c>
      <c r="W80" s="41"/>
      <c r="X80" s="56">
        <f>'High SIPA income'!M75</f>
        <v>445443.92955214559</v>
      </c>
      <c r="Y80" s="9"/>
      <c r="Z80" s="9">
        <f t="shared" si="34"/>
        <v>5980313.7507344484</v>
      </c>
      <c r="AA80" s="9"/>
      <c r="AB80" s="9">
        <f t="shared" si="35"/>
        <v>-23731255.094446331</v>
      </c>
      <c r="AC80" s="23"/>
      <c r="AD80" s="9"/>
      <c r="AE80" s="9"/>
      <c r="AF80" s="9"/>
      <c r="AG80" s="9">
        <f t="shared" si="31"/>
        <v>7830891489.3927345</v>
      </c>
      <c r="AH80" s="42">
        <f t="shared" si="30"/>
        <v>1.0366032628821275E-2</v>
      </c>
      <c r="AI80" s="42"/>
      <c r="AJ80" s="42">
        <f t="shared" si="36"/>
        <v>-3.0304665984187489E-3</v>
      </c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9"/>
      <c r="AV80" s="7"/>
      <c r="AW80" s="7">
        <f>workers_and_wage_high!C68</f>
        <v>13628841</v>
      </c>
      <c r="AX80" s="7"/>
      <c r="AY80" s="42">
        <f t="shared" si="37"/>
        <v>2.8530394402735879E-3</v>
      </c>
      <c r="AZ80" s="12">
        <f>workers_and_wage_high!B68</f>
        <v>8870.4082558481696</v>
      </c>
      <c r="BA80" s="42">
        <f t="shared" si="38"/>
        <v>7.49161930320426E-3</v>
      </c>
      <c r="BB80" s="47"/>
      <c r="BC80" s="47"/>
      <c r="BD80" s="47"/>
      <c r="BE80" s="47"/>
      <c r="BF80" s="7">
        <f t="shared" si="32"/>
        <v>149.12745903557436</v>
      </c>
      <c r="BG80" s="7"/>
      <c r="BH80" s="7"/>
      <c r="BI80" s="42">
        <f t="shared" si="33"/>
        <v>1.8947453522958683E-2</v>
      </c>
      <c r="BJ80" s="7"/>
      <c r="BK80" s="7"/>
      <c r="BL80" s="7"/>
      <c r="BM80" s="7"/>
      <c r="BN80" s="7"/>
      <c r="BO80" s="7"/>
      <c r="BP80" s="7"/>
    </row>
    <row r="81" spans="1:68" x14ac:dyDescent="0.2">
      <c r="A81" s="7">
        <f t="shared" si="28"/>
        <v>2031</v>
      </c>
      <c r="B81" s="7">
        <f t="shared" si="29"/>
        <v>4</v>
      </c>
      <c r="C81" s="9"/>
      <c r="D81" s="56">
        <f>'High pensions'!Q81</f>
        <v>134742438.50252315</v>
      </c>
      <c r="E81" s="9"/>
      <c r="F81" s="56">
        <f>'High pensions'!I81</f>
        <v>24491033.174396928</v>
      </c>
      <c r="G81" s="56">
        <f>'High pensions'!K81</f>
        <v>2617527.7344678701</v>
      </c>
      <c r="H81" s="56">
        <f>'High pensions'!V81</f>
        <v>14400865.299504479</v>
      </c>
      <c r="I81" s="56">
        <f>'High pensions'!M81</f>
        <v>80954.466014469974</v>
      </c>
      <c r="J81" s="56">
        <f>'High pensions'!W81</f>
        <v>445387.58658261149</v>
      </c>
      <c r="K81" s="9"/>
      <c r="L81" s="56">
        <f>'High pensions'!N81</f>
        <v>2242302.3139876109</v>
      </c>
      <c r="M81" s="41"/>
      <c r="N81" s="56">
        <f>'High pensions'!L81</f>
        <v>1139316.2621090338</v>
      </c>
      <c r="O81" s="9"/>
      <c r="P81" s="56">
        <f>'High pensions'!X81</f>
        <v>17903499.288219649</v>
      </c>
      <c r="Q81" s="41"/>
      <c r="R81" s="56">
        <f>'High SIPA income'!G76</f>
        <v>38937464.499855198</v>
      </c>
      <c r="S81" s="41"/>
      <c r="T81" s="56">
        <f>'High SIPA income'!J76</f>
        <v>148880770.29143825</v>
      </c>
      <c r="U81" s="9"/>
      <c r="V81" s="56">
        <f>'High SIPA income'!F76</f>
        <v>176520.87223628501</v>
      </c>
      <c r="W81" s="41"/>
      <c r="X81" s="56">
        <f>'High SIPA income'!M76</f>
        <v>443369.53867791523</v>
      </c>
      <c r="Y81" s="9"/>
      <c r="Z81" s="9">
        <f t="shared" si="34"/>
        <v>11241333.621597905</v>
      </c>
      <c r="AA81" s="9"/>
      <c r="AB81" s="9">
        <f t="shared" si="35"/>
        <v>-3765167.4993045479</v>
      </c>
      <c r="AC81" s="23"/>
      <c r="AD81" s="9"/>
      <c r="AE81" s="9"/>
      <c r="AF81" s="9"/>
      <c r="AG81" s="9">
        <f t="shared" si="31"/>
        <v>7885255260.4324617</v>
      </c>
      <c r="AH81" s="42">
        <f t="shared" si="30"/>
        <v>6.9422199392451273E-3</v>
      </c>
      <c r="AI81" s="42">
        <f>(AG81-AG77)/AG77</f>
        <v>4.1272279113995308E-2</v>
      </c>
      <c r="AJ81" s="42">
        <f t="shared" si="36"/>
        <v>-4.7749468786354164E-4</v>
      </c>
      <c r="AK81" s="7"/>
      <c r="AL81" s="7"/>
      <c r="AM81" s="7"/>
      <c r="AN81" s="7"/>
      <c r="AO81" s="7"/>
      <c r="AP81" s="7"/>
      <c r="AQ81" s="7"/>
      <c r="AR81" s="7"/>
      <c r="AS81" s="7"/>
      <c r="AT81" s="7"/>
      <c r="AV81" s="7"/>
      <c r="AW81" s="7">
        <f>workers_and_wage_high!C69</f>
        <v>13698224</v>
      </c>
      <c r="AX81" s="7"/>
      <c r="AY81" s="42">
        <f t="shared" si="37"/>
        <v>5.0908951098629735E-3</v>
      </c>
      <c r="AZ81" s="12">
        <f>workers_and_wage_high!B69</f>
        <v>8886.74708364047</v>
      </c>
      <c r="BA81" s="42">
        <f t="shared" si="38"/>
        <v>1.8419476670116523E-3</v>
      </c>
      <c r="BB81" s="47"/>
      <c r="BC81" s="47"/>
      <c r="BD81" s="47"/>
      <c r="BE81" s="47"/>
      <c r="BF81" s="7">
        <f t="shared" si="32"/>
        <v>150.16273465518009</v>
      </c>
      <c r="BG81" s="7"/>
      <c r="BH81" s="7"/>
      <c r="BI81" s="42">
        <f t="shared" si="33"/>
        <v>1.644068073729596E-2</v>
      </c>
      <c r="BJ81" s="7"/>
      <c r="BK81" s="7"/>
      <c r="BL81" s="7"/>
      <c r="BM81" s="7"/>
      <c r="BN81" s="7"/>
      <c r="BO81" s="7"/>
      <c r="BP81" s="7"/>
    </row>
    <row r="82" spans="1:68" x14ac:dyDescent="0.2">
      <c r="A82" s="5">
        <f t="shared" ref="A82:A113" si="39">A78+1</f>
        <v>2032</v>
      </c>
      <c r="B82" s="5">
        <f t="shared" ref="B82:B113" si="40">B78</f>
        <v>1</v>
      </c>
      <c r="C82" s="6"/>
      <c r="D82" s="55">
        <f>'High pensions'!Q82</f>
        <v>135161367.81943989</v>
      </c>
      <c r="E82" s="6"/>
      <c r="F82" s="55">
        <f>'High pensions'!I82</f>
        <v>24567178.536707129</v>
      </c>
      <c r="G82" s="55">
        <f>'High pensions'!K82</f>
        <v>2677902.2250189702</v>
      </c>
      <c r="H82" s="55">
        <f>'High pensions'!V82</f>
        <v>14733027.933162058</v>
      </c>
      <c r="I82" s="55">
        <f>'High pensions'!M82</f>
        <v>82821.718299550004</v>
      </c>
      <c r="J82" s="55">
        <f>'High pensions'!W82</f>
        <v>455660.65772662981</v>
      </c>
      <c r="K82" s="6"/>
      <c r="L82" s="55">
        <f>'High pensions'!N82</f>
        <v>2710450.6971321921</v>
      </c>
      <c r="M82" s="8"/>
      <c r="N82" s="55">
        <f>'High pensions'!L82</f>
        <v>1144513.7766316496</v>
      </c>
      <c r="O82" s="6"/>
      <c r="P82" s="55">
        <f>'High pensions'!X82</f>
        <v>20361318.665229391</v>
      </c>
      <c r="Q82" s="8"/>
      <c r="R82" s="55">
        <f>'High SIPA income'!G77</f>
        <v>34155685.494274005</v>
      </c>
      <c r="S82" s="8"/>
      <c r="T82" s="55">
        <f>'High SIPA income'!J77</f>
        <v>130597223.81868312</v>
      </c>
      <c r="U82" s="6"/>
      <c r="V82" s="55">
        <f>'High SIPA income'!F77</f>
        <v>180661.35593085201</v>
      </c>
      <c r="W82" s="8"/>
      <c r="X82" s="55">
        <f>'High SIPA income'!M77</f>
        <v>453769.23998409451</v>
      </c>
      <c r="Y82" s="6"/>
      <c r="Z82" s="6">
        <f t="shared" si="34"/>
        <v>5914203.8397338837</v>
      </c>
      <c r="AA82" s="6"/>
      <c r="AB82" s="6">
        <f t="shared" si="35"/>
        <v>-24925462.665986165</v>
      </c>
      <c r="AC82" s="23"/>
      <c r="AD82" s="6"/>
      <c r="AE82" s="6"/>
      <c r="AF82" s="6"/>
      <c r="AG82" s="6">
        <f t="shared" si="31"/>
        <v>7936917293.7417755</v>
      </c>
      <c r="AH82" s="35">
        <f t="shared" si="30"/>
        <v>6.5517261779145502E-3</v>
      </c>
      <c r="AI82" s="35"/>
      <c r="AJ82" s="35">
        <f t="shared" si="36"/>
        <v>-3.1404463147977845E-3</v>
      </c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35">
        <f>AVERAGE(AH82:AH85)</f>
        <v>8.3939287048086942E-3</v>
      </c>
      <c r="AV82" s="5"/>
      <c r="AW82" s="5">
        <f>workers_and_wage_high!C70</f>
        <v>13698120</v>
      </c>
      <c r="AX82" s="5"/>
      <c r="AY82" s="35">
        <f t="shared" si="37"/>
        <v>-7.5922250942895952E-6</v>
      </c>
      <c r="AZ82" s="11">
        <f>workers_and_wage_high!B70</f>
        <v>8945.0385298908604</v>
      </c>
      <c r="BA82" s="35">
        <f t="shared" si="38"/>
        <v>6.5593682032088676E-3</v>
      </c>
      <c r="BB82" s="40"/>
      <c r="BC82" s="40"/>
      <c r="BD82" s="40"/>
      <c r="BE82" s="40"/>
      <c r="BF82" s="5">
        <f t="shared" si="32"/>
        <v>151.14655977476767</v>
      </c>
      <c r="BG82" s="5"/>
      <c r="BH82" s="5"/>
      <c r="BI82" s="35">
        <f t="shared" si="33"/>
        <v>1.8865334822370444E-2</v>
      </c>
      <c r="BJ82" s="5"/>
      <c r="BK82" s="5"/>
      <c r="BL82" s="5"/>
      <c r="BM82" s="5"/>
      <c r="BN82" s="5"/>
      <c r="BO82" s="5"/>
      <c r="BP82" s="5"/>
    </row>
    <row r="83" spans="1:68" x14ac:dyDescent="0.2">
      <c r="A83" s="7">
        <f t="shared" si="39"/>
        <v>2032</v>
      </c>
      <c r="B83" s="7">
        <f t="shared" si="40"/>
        <v>2</v>
      </c>
      <c r="C83" s="9"/>
      <c r="D83" s="56">
        <f>'High pensions'!Q83</f>
        <v>135689920.04382804</v>
      </c>
      <c r="E83" s="9"/>
      <c r="F83" s="56">
        <f>'High pensions'!I83</f>
        <v>24663249.16008129</v>
      </c>
      <c r="G83" s="56">
        <f>'High pensions'!K83</f>
        <v>2726437.36191261</v>
      </c>
      <c r="H83" s="56">
        <f>'High pensions'!V83</f>
        <v>15000053.936170354</v>
      </c>
      <c r="I83" s="56">
        <f>'High pensions'!M83</f>
        <v>84322.805007610004</v>
      </c>
      <c r="J83" s="56">
        <f>'High pensions'!W83</f>
        <v>463919.1939021952</v>
      </c>
      <c r="K83" s="9"/>
      <c r="L83" s="56">
        <f>'High pensions'!N83</f>
        <v>2187645.3829100365</v>
      </c>
      <c r="M83" s="41"/>
      <c r="N83" s="56">
        <f>'High pensions'!L83</f>
        <v>1151778.6194726899</v>
      </c>
      <c r="O83" s="9"/>
      <c r="P83" s="56">
        <f>'High pensions'!X83</f>
        <v>17688448.426254954</v>
      </c>
      <c r="Q83" s="41"/>
      <c r="R83" s="56">
        <f>'High SIPA income'!G78</f>
        <v>39599204.610160321</v>
      </c>
      <c r="S83" s="41"/>
      <c r="T83" s="56">
        <f>'High SIPA income'!J78</f>
        <v>151410990.9573302</v>
      </c>
      <c r="U83" s="9"/>
      <c r="V83" s="56">
        <f>'High SIPA income'!F78</f>
        <v>181588.703141834</v>
      </c>
      <c r="W83" s="41"/>
      <c r="X83" s="56">
        <f>'High SIPA income'!M78</f>
        <v>456098.46881646162</v>
      </c>
      <c r="Y83" s="9"/>
      <c r="Z83" s="9">
        <f t="shared" si="34"/>
        <v>11778120.150838137</v>
      </c>
      <c r="AA83" s="9"/>
      <c r="AB83" s="9">
        <f t="shared" si="35"/>
        <v>-1967377.5127528012</v>
      </c>
      <c r="AC83" s="23"/>
      <c r="AD83" s="9"/>
      <c r="AE83" s="9"/>
      <c r="AF83" s="9"/>
      <c r="AG83" s="9">
        <f t="shared" si="31"/>
        <v>8010135303.330677</v>
      </c>
      <c r="AH83" s="42">
        <f t="shared" si="30"/>
        <v>9.224993392161665E-3</v>
      </c>
      <c r="AI83" s="42"/>
      <c r="AJ83" s="42">
        <f t="shared" si="36"/>
        <v>-2.4561102131879722E-4</v>
      </c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>
        <f>workers_and_wage_high!C71</f>
        <v>13752482</v>
      </c>
      <c r="AX83" s="7"/>
      <c r="AY83" s="42">
        <f t="shared" si="37"/>
        <v>3.9685737896879283E-3</v>
      </c>
      <c r="AZ83" s="12">
        <f>workers_and_wage_high!B71</f>
        <v>8991.8715454860794</v>
      </c>
      <c r="BA83" s="42">
        <f t="shared" si="38"/>
        <v>5.2356415725568015E-3</v>
      </c>
      <c r="BB83" s="47"/>
      <c r="BC83" s="47"/>
      <c r="BD83" s="47"/>
      <c r="BE83" s="47"/>
      <c r="BF83" s="7">
        <f t="shared" si="32"/>
        <v>152.54088578993787</v>
      </c>
      <c r="BG83" s="7"/>
      <c r="BH83" s="7"/>
      <c r="BI83" s="42">
        <f t="shared" si="33"/>
        <v>1.644244549936685E-2</v>
      </c>
      <c r="BJ83" s="7"/>
      <c r="BK83" s="7"/>
      <c r="BL83" s="7"/>
      <c r="BM83" s="7"/>
      <c r="BN83" s="7"/>
      <c r="BO83" s="7"/>
      <c r="BP83" s="7"/>
    </row>
    <row r="84" spans="1:68" x14ac:dyDescent="0.2">
      <c r="A84" s="7">
        <f t="shared" si="39"/>
        <v>2032</v>
      </c>
      <c r="B84" s="7">
        <f t="shared" si="40"/>
        <v>3</v>
      </c>
      <c r="C84" s="9"/>
      <c r="D84" s="56">
        <f>'High pensions'!Q84</f>
        <v>136587812.44734442</v>
      </c>
      <c r="E84" s="9"/>
      <c r="F84" s="56">
        <f>'High pensions'!I84</f>
        <v>24826451.732974809</v>
      </c>
      <c r="G84" s="56">
        <f>'High pensions'!K84</f>
        <v>2857356.9347723899</v>
      </c>
      <c r="H84" s="56">
        <f>'High pensions'!V84</f>
        <v>15720334.798526006</v>
      </c>
      <c r="I84" s="56">
        <f>'High pensions'!M84</f>
        <v>88371.863962030038</v>
      </c>
      <c r="J84" s="56">
        <f>'High pensions'!W84</f>
        <v>486195.92160388257</v>
      </c>
      <c r="K84" s="9"/>
      <c r="L84" s="56">
        <f>'High pensions'!N84</f>
        <v>2219177.3963719024</v>
      </c>
      <c r="M84" s="41"/>
      <c r="N84" s="56">
        <f>'High pensions'!L84</f>
        <v>1163476.4972971715</v>
      </c>
      <c r="O84" s="9"/>
      <c r="P84" s="56">
        <f>'High pensions'!X84</f>
        <v>17916426.466363814</v>
      </c>
      <c r="Q84" s="41"/>
      <c r="R84" s="56">
        <f>'High SIPA income'!G79</f>
        <v>34829553.952120647</v>
      </c>
      <c r="S84" s="41"/>
      <c r="T84" s="56">
        <f>'High SIPA income'!J79</f>
        <v>133173818.27258457</v>
      </c>
      <c r="U84" s="9"/>
      <c r="V84" s="56">
        <f>'High SIPA income'!F79</f>
        <v>177581.53556536799</v>
      </c>
      <c r="W84" s="41"/>
      <c r="X84" s="56">
        <f>'High SIPA income'!M79</f>
        <v>446033.61916284863</v>
      </c>
      <c r="Y84" s="9"/>
      <c r="Z84" s="9">
        <f t="shared" si="34"/>
        <v>6798029.8610421307</v>
      </c>
      <c r="AA84" s="9"/>
      <c r="AB84" s="9">
        <f t="shared" si="35"/>
        <v>-21330420.641123667</v>
      </c>
      <c r="AC84" s="23"/>
      <c r="AD84" s="9"/>
      <c r="AE84" s="9"/>
      <c r="AF84" s="9"/>
      <c r="AG84" s="9">
        <f t="shared" si="31"/>
        <v>8103228656.1810408</v>
      </c>
      <c r="AH84" s="42">
        <f t="shared" si="30"/>
        <v>1.1621945113917712E-2</v>
      </c>
      <c r="AI84" s="42"/>
      <c r="AJ84" s="42">
        <f t="shared" si="36"/>
        <v>-2.6323360164411864E-3</v>
      </c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9"/>
      <c r="AV84" s="7"/>
      <c r="AW84" s="7">
        <f>workers_and_wage_high!C72</f>
        <v>13807786</v>
      </c>
      <c r="AX84" s="7"/>
      <c r="AY84" s="42">
        <f t="shared" si="37"/>
        <v>4.0213831946844213E-3</v>
      </c>
      <c r="AZ84" s="12">
        <f>workers_and_wage_high!B72</f>
        <v>9059.9410882221091</v>
      </c>
      <c r="BA84" s="42">
        <f t="shared" si="38"/>
        <v>7.5701195676222272E-3</v>
      </c>
      <c r="BB84" s="47"/>
      <c r="BC84" s="47"/>
      <c r="BD84" s="47"/>
      <c r="BE84" s="47"/>
      <c r="BF84" s="7">
        <f t="shared" si="32"/>
        <v>154.31370759221693</v>
      </c>
      <c r="BG84" s="7"/>
      <c r="BH84" s="7"/>
      <c r="BI84" s="42">
        <f t="shared" si="33"/>
        <v>1.888960202012864E-2</v>
      </c>
      <c r="BJ84" s="7"/>
      <c r="BK84" s="7"/>
      <c r="BL84" s="7"/>
      <c r="BM84" s="7"/>
      <c r="BN84" s="7"/>
      <c r="BO84" s="7"/>
      <c r="BP84" s="7"/>
    </row>
    <row r="85" spans="1:68" x14ac:dyDescent="0.2">
      <c r="A85" s="7">
        <f t="shared" si="39"/>
        <v>2032</v>
      </c>
      <c r="B85" s="7">
        <f t="shared" si="40"/>
        <v>4</v>
      </c>
      <c r="C85" s="9"/>
      <c r="D85" s="56">
        <f>'High pensions'!Q85</f>
        <v>136968410.70126754</v>
      </c>
      <c r="E85" s="9"/>
      <c r="F85" s="56">
        <f>'High pensions'!I85</f>
        <v>24895629.970852509</v>
      </c>
      <c r="G85" s="56">
        <f>'High pensions'!K85</f>
        <v>2920185.19605699</v>
      </c>
      <c r="H85" s="56">
        <f>'High pensions'!V85</f>
        <v>16065997.354779888</v>
      </c>
      <c r="I85" s="56">
        <f>'High pensions'!M85</f>
        <v>90315.006063620094</v>
      </c>
      <c r="J85" s="56">
        <f>'High pensions'!W85</f>
        <v>496886.51612722321</v>
      </c>
      <c r="K85" s="9"/>
      <c r="L85" s="56">
        <f>'High pensions'!N85</f>
        <v>2221963.0567566757</v>
      </c>
      <c r="M85" s="41"/>
      <c r="N85" s="56">
        <f>'High pensions'!L85</f>
        <v>1168392.5390759818</v>
      </c>
      <c r="O85" s="9"/>
      <c r="P85" s="56">
        <f>'High pensions'!X85</f>
        <v>17957927.882743068</v>
      </c>
      <c r="Q85" s="41"/>
      <c r="R85" s="56">
        <f>'High SIPA income'!G80</f>
        <v>40333852.921533756</v>
      </c>
      <c r="S85" s="41"/>
      <c r="T85" s="56">
        <f>'High SIPA income'!J80</f>
        <v>154219982.44908458</v>
      </c>
      <c r="U85" s="9"/>
      <c r="V85" s="56">
        <f>'High SIPA income'!F80</f>
        <v>180696.780793921</v>
      </c>
      <c r="W85" s="41"/>
      <c r="X85" s="56">
        <f>'High SIPA income'!M80</f>
        <v>453858.21702685242</v>
      </c>
      <c r="Y85" s="9"/>
      <c r="Z85" s="9">
        <f t="shared" si="34"/>
        <v>12228564.135642514</v>
      </c>
      <c r="AA85" s="9"/>
      <c r="AB85" s="9">
        <f t="shared" si="35"/>
        <v>-706356.1349260211</v>
      </c>
      <c r="AC85" s="23"/>
      <c r="AD85" s="9"/>
      <c r="AE85" s="9"/>
      <c r="AF85" s="9"/>
      <c r="AG85" s="9">
        <f t="shared" si="31"/>
        <v>8153282705.8475914</v>
      </c>
      <c r="AH85" s="42">
        <f t="shared" si="30"/>
        <v>6.1770501352408505E-3</v>
      </c>
      <c r="AI85" s="42">
        <f>(AG85-AG81)/AG81</f>
        <v>3.3990966248114825E-2</v>
      </c>
      <c r="AJ85" s="42">
        <f t="shared" si="36"/>
        <v>-8.6634569217061192E-5</v>
      </c>
      <c r="AK85" s="7"/>
      <c r="AL85" s="7"/>
      <c r="AM85" s="7"/>
      <c r="AN85" s="7"/>
      <c r="AO85" s="7"/>
      <c r="AP85" s="7"/>
      <c r="AQ85" s="7"/>
      <c r="AR85" s="7"/>
      <c r="AS85" s="7"/>
      <c r="AT85" s="7"/>
      <c r="AV85" s="7"/>
      <c r="AW85" s="7">
        <f>workers_and_wage_high!C73</f>
        <v>13811200</v>
      </c>
      <c r="AX85" s="7"/>
      <c r="AY85" s="42">
        <f t="shared" si="37"/>
        <v>2.4725180416324531E-4</v>
      </c>
      <c r="AZ85" s="12">
        <f>workers_and_wage_high!B73</f>
        <v>9113.6514317873607</v>
      </c>
      <c r="BA85" s="42">
        <f t="shared" si="38"/>
        <v>5.9283325401613103E-3</v>
      </c>
      <c r="BB85" s="47"/>
      <c r="BC85" s="47"/>
      <c r="BD85" s="47"/>
      <c r="BE85" s="47"/>
      <c r="BF85" s="7">
        <f t="shared" si="32"/>
        <v>155.26691110056893</v>
      </c>
      <c r="BG85" s="7"/>
      <c r="BH85" s="7"/>
      <c r="BI85" s="42">
        <f t="shared" si="33"/>
        <v>1.633802879517918E-2</v>
      </c>
      <c r="BJ85" s="7"/>
      <c r="BK85" s="7"/>
      <c r="BL85" s="7"/>
      <c r="BM85" s="7"/>
      <c r="BN85" s="7"/>
      <c r="BO85" s="7"/>
      <c r="BP85" s="7"/>
    </row>
    <row r="86" spans="1:68" x14ac:dyDescent="0.2">
      <c r="A86" s="5">
        <f t="shared" si="39"/>
        <v>2033</v>
      </c>
      <c r="B86" s="5">
        <f t="shared" si="40"/>
        <v>1</v>
      </c>
      <c r="C86" s="6"/>
      <c r="D86" s="55">
        <f>'High pensions'!Q86</f>
        <v>138113126.47776344</v>
      </c>
      <c r="E86" s="6"/>
      <c r="F86" s="55">
        <f>'High pensions'!I86</f>
        <v>25103695.61348886</v>
      </c>
      <c r="G86" s="55">
        <f>'High pensions'!K86</f>
        <v>2960653.1407234399</v>
      </c>
      <c r="H86" s="55">
        <f>'High pensions'!V86</f>
        <v>16288640.046360698</v>
      </c>
      <c r="I86" s="55">
        <f>'High pensions'!M86</f>
        <v>91566.591981139965</v>
      </c>
      <c r="J86" s="55">
        <f>'High pensions'!W86</f>
        <v>503772.37256787118</v>
      </c>
      <c r="K86" s="6"/>
      <c r="L86" s="55">
        <f>'High pensions'!N86</f>
        <v>2725916.8524241354</v>
      </c>
      <c r="M86" s="8"/>
      <c r="N86" s="55">
        <f>'High pensions'!L86</f>
        <v>1179057.8620300591</v>
      </c>
      <c r="O86" s="6"/>
      <c r="P86" s="55">
        <f>'High pensions'!X86</f>
        <v>20631623.9842714</v>
      </c>
      <c r="Q86" s="8"/>
      <c r="R86" s="55">
        <f>'High SIPA income'!G81</f>
        <v>35423091.308126643</v>
      </c>
      <c r="S86" s="8"/>
      <c r="T86" s="55">
        <f>'High SIPA income'!J81</f>
        <v>135443259.79616517</v>
      </c>
      <c r="U86" s="6"/>
      <c r="V86" s="55">
        <f>'High SIPA income'!F81</f>
        <v>184524.85321207301</v>
      </c>
      <c r="W86" s="8"/>
      <c r="X86" s="55">
        <f>'High SIPA income'!M81</f>
        <v>463473.23127734754</v>
      </c>
      <c r="Y86" s="6"/>
      <c r="Z86" s="6">
        <f t="shared" si="34"/>
        <v>6598945.8333956599</v>
      </c>
      <c r="AA86" s="6"/>
      <c r="AB86" s="6">
        <f t="shared" si="35"/>
        <v>-23301490.665869683</v>
      </c>
      <c r="AC86" s="23"/>
      <c r="AD86" s="6"/>
      <c r="AE86" s="6"/>
      <c r="AF86" s="6"/>
      <c r="AG86" s="6">
        <f t="shared" si="31"/>
        <v>8227276879.0186453</v>
      </c>
      <c r="AH86" s="35">
        <f t="shared" si="30"/>
        <v>9.0753842152418857E-3</v>
      </c>
      <c r="AI86" s="35"/>
      <c r="AJ86" s="35">
        <f t="shared" si="36"/>
        <v>-2.8322239555707159E-3</v>
      </c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35">
        <f>AVERAGE(AH86:AH89)</f>
        <v>1.0971281319775036E-2</v>
      </c>
      <c r="AV86" s="5"/>
      <c r="AW86" s="5">
        <f>workers_and_wage_high!C74</f>
        <v>13854606</v>
      </c>
      <c r="AX86" s="5"/>
      <c r="AY86" s="35">
        <f t="shared" si="37"/>
        <v>3.1428116311399443E-3</v>
      </c>
      <c r="AZ86" s="11">
        <f>workers_and_wage_high!B74</f>
        <v>9167.5494391282791</v>
      </c>
      <c r="BA86" s="35">
        <f t="shared" si="38"/>
        <v>5.9139860399892415E-3</v>
      </c>
      <c r="BB86" s="40"/>
      <c r="BC86" s="40"/>
      <c r="BD86" s="40"/>
      <c r="BE86" s="40"/>
      <c r="BF86" s="5">
        <f t="shared" si="32"/>
        <v>156.67601797472042</v>
      </c>
      <c r="BG86" s="5"/>
      <c r="BH86" s="5"/>
      <c r="BI86" s="35">
        <f t="shared" si="33"/>
        <v>1.8960902804907389E-2</v>
      </c>
      <c r="BJ86" s="5"/>
      <c r="BK86" s="5"/>
      <c r="BL86" s="5"/>
      <c r="BM86" s="5"/>
      <c r="BN86" s="5"/>
      <c r="BO86" s="5"/>
      <c r="BP86" s="5"/>
    </row>
    <row r="87" spans="1:68" x14ac:dyDescent="0.2">
      <c r="A87" s="7">
        <f t="shared" si="39"/>
        <v>2033</v>
      </c>
      <c r="B87" s="7">
        <f t="shared" si="40"/>
        <v>2</v>
      </c>
      <c r="C87" s="9"/>
      <c r="D87" s="56">
        <f>'High pensions'!Q87</f>
        <v>138502191.52187696</v>
      </c>
      <c r="E87" s="9"/>
      <c r="F87" s="56">
        <f>'High pensions'!I87</f>
        <v>25174412.790706962</v>
      </c>
      <c r="G87" s="56">
        <f>'High pensions'!K87</f>
        <v>3008876.2567606401</v>
      </c>
      <c r="H87" s="56">
        <f>'High pensions'!V87</f>
        <v>16553949.402677899</v>
      </c>
      <c r="I87" s="56">
        <f>'High pensions'!M87</f>
        <v>93058.028559609782</v>
      </c>
      <c r="J87" s="56">
        <f>'High pensions'!W87</f>
        <v>511977.81657767994</v>
      </c>
      <c r="K87" s="9"/>
      <c r="L87" s="56">
        <f>'High pensions'!N87</f>
        <v>2199559.4880854683</v>
      </c>
      <c r="M87" s="41"/>
      <c r="N87" s="56">
        <f>'High pensions'!L87</f>
        <v>1183670.8766839877</v>
      </c>
      <c r="O87" s="9"/>
      <c r="P87" s="56">
        <f>'High pensions'!X87</f>
        <v>17925732.564086966</v>
      </c>
      <c r="Q87" s="41"/>
      <c r="R87" s="56">
        <f>'High SIPA income'!G82</f>
        <v>41159892.717993163</v>
      </c>
      <c r="S87" s="41"/>
      <c r="T87" s="56">
        <f>'High SIPA income'!J82</f>
        <v>157378417.20512056</v>
      </c>
      <c r="U87" s="9"/>
      <c r="V87" s="56">
        <f>'High SIPA income'!F82</f>
        <v>176657.72454248299</v>
      </c>
      <c r="W87" s="41"/>
      <c r="X87" s="56">
        <f>'High SIPA income'!M82</f>
        <v>443713.27221546986</v>
      </c>
      <c r="Y87" s="9"/>
      <c r="Z87" s="9">
        <f t="shared" si="34"/>
        <v>12778907.287059225</v>
      </c>
      <c r="AA87" s="9"/>
      <c r="AB87" s="9">
        <f t="shared" si="35"/>
        <v>950493.11915662885</v>
      </c>
      <c r="AC87" s="23"/>
      <c r="AD87" s="9"/>
      <c r="AE87" s="9"/>
      <c r="AF87" s="9"/>
      <c r="AG87" s="9">
        <f t="shared" si="31"/>
        <v>8306045823.7527637</v>
      </c>
      <c r="AH87" s="42">
        <f t="shared" si="30"/>
        <v>9.5741210478763016E-3</v>
      </c>
      <c r="AI87" s="42"/>
      <c r="AJ87" s="42">
        <f t="shared" si="36"/>
        <v>1.144338881972584E-4</v>
      </c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>
        <f>workers_and_wage_high!C75</f>
        <v>13929570</v>
      </c>
      <c r="AX87" s="7"/>
      <c r="AY87" s="42">
        <f t="shared" si="37"/>
        <v>5.4107637561111449E-3</v>
      </c>
      <c r="AZ87" s="12">
        <f>workers_and_wage_high!B75</f>
        <v>9205.5118174724503</v>
      </c>
      <c r="BA87" s="42">
        <f t="shared" si="38"/>
        <v>4.1409515810346053E-3</v>
      </c>
      <c r="BB87" s="47"/>
      <c r="BC87" s="47"/>
      <c r="BD87" s="47"/>
      <c r="BE87" s="47"/>
      <c r="BF87" s="7">
        <f t="shared" si="32"/>
        <v>158.17605313610963</v>
      </c>
      <c r="BG87" s="7"/>
      <c r="BH87" s="7"/>
      <c r="BI87" s="42">
        <f t="shared" si="33"/>
        <v>1.6597483187490169E-2</v>
      </c>
      <c r="BJ87" s="7"/>
      <c r="BK87" s="7"/>
      <c r="BL87" s="7"/>
      <c r="BM87" s="7"/>
      <c r="BN87" s="7"/>
      <c r="BO87" s="7"/>
      <c r="BP87" s="7"/>
    </row>
    <row r="88" spans="1:68" x14ac:dyDescent="0.2">
      <c r="A88" s="7">
        <f t="shared" si="39"/>
        <v>2033</v>
      </c>
      <c r="B88" s="7">
        <f t="shared" si="40"/>
        <v>3</v>
      </c>
      <c r="C88" s="9"/>
      <c r="D88" s="56">
        <f>'High pensions'!Q88</f>
        <v>139264593.05754358</v>
      </c>
      <c r="E88" s="9"/>
      <c r="F88" s="56">
        <f>'High pensions'!I88</f>
        <v>25312988.294532899</v>
      </c>
      <c r="G88" s="56">
        <f>'High pensions'!K88</f>
        <v>3036300.9748529</v>
      </c>
      <c r="H88" s="56">
        <f>'High pensions'!V88</f>
        <v>16704832.110021517</v>
      </c>
      <c r="I88" s="56">
        <f>'High pensions'!M88</f>
        <v>93906.215717100073</v>
      </c>
      <c r="J88" s="56">
        <f>'High pensions'!W88</f>
        <v>516644.29206252156</v>
      </c>
      <c r="K88" s="9"/>
      <c r="L88" s="56">
        <f>'High pensions'!N88</f>
        <v>2221050.5959248617</v>
      </c>
      <c r="M88" s="41"/>
      <c r="N88" s="56">
        <f>'High pensions'!L88</f>
        <v>1191423.8968799002</v>
      </c>
      <c r="O88" s="9"/>
      <c r="P88" s="56">
        <f>'High pensions'!X88</f>
        <v>18079904.854437143</v>
      </c>
      <c r="Q88" s="41"/>
      <c r="R88" s="56">
        <f>'High SIPA income'!G83</f>
        <v>36091166.945837274</v>
      </c>
      <c r="S88" s="41"/>
      <c r="T88" s="56">
        <f>'High SIPA income'!J83</f>
        <v>137997704.90020302</v>
      </c>
      <c r="U88" s="9"/>
      <c r="V88" s="56">
        <f>'High SIPA income'!F83</f>
        <v>187348.111546751</v>
      </c>
      <c r="W88" s="41"/>
      <c r="X88" s="56">
        <f>'High SIPA income'!M83</f>
        <v>470564.4422460947</v>
      </c>
      <c r="Y88" s="9"/>
      <c r="Z88" s="9">
        <f t="shared" si="34"/>
        <v>7553052.2700463571</v>
      </c>
      <c r="AA88" s="9"/>
      <c r="AB88" s="9">
        <f t="shared" si="35"/>
        <v>-19346793.011777699</v>
      </c>
      <c r="AC88" s="23"/>
      <c r="AD88" s="9"/>
      <c r="AE88" s="9"/>
      <c r="AF88" s="9"/>
      <c r="AG88" s="9">
        <f t="shared" si="31"/>
        <v>8393673419.3221645</v>
      </c>
      <c r="AH88" s="42">
        <f t="shared" si="30"/>
        <v>1.0549856987161391E-2</v>
      </c>
      <c r="AI88" s="42"/>
      <c r="AJ88" s="42">
        <f t="shared" si="36"/>
        <v>-2.3049256321125799E-3</v>
      </c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9"/>
      <c r="AV88" s="7"/>
      <c r="AW88" s="7">
        <f>workers_and_wage_high!C76</f>
        <v>13924466</v>
      </c>
      <c r="AX88" s="7"/>
      <c r="AY88" s="42">
        <f t="shared" si="37"/>
        <v>-3.6641475652155809E-4</v>
      </c>
      <c r="AZ88" s="12">
        <f>workers_and_wage_high!B76</f>
        <v>9306.0385204790691</v>
      </c>
      <c r="BA88" s="42">
        <f t="shared" si="38"/>
        <v>1.0920273092889296E-2</v>
      </c>
      <c r="BB88" s="47"/>
      <c r="BC88" s="47"/>
      <c r="BD88" s="47"/>
      <c r="BE88" s="47"/>
      <c r="BF88" s="7">
        <f t="shared" si="32"/>
        <v>159.8447878754892</v>
      </c>
      <c r="BG88" s="7"/>
      <c r="BH88" s="7"/>
      <c r="BI88" s="42">
        <f t="shared" si="33"/>
        <v>1.9095807679598408E-2</v>
      </c>
      <c r="BJ88" s="7"/>
      <c r="BK88" s="7"/>
      <c r="BL88" s="7"/>
      <c r="BM88" s="7"/>
      <c r="BN88" s="7"/>
      <c r="BO88" s="7"/>
      <c r="BP88" s="7"/>
    </row>
    <row r="89" spans="1:68" x14ac:dyDescent="0.2">
      <c r="A89" s="7">
        <f t="shared" si="39"/>
        <v>2033</v>
      </c>
      <c r="B89" s="7">
        <f t="shared" si="40"/>
        <v>4</v>
      </c>
      <c r="C89" s="9"/>
      <c r="D89" s="56">
        <f>'High pensions'!Q89</f>
        <v>140228815.789103</v>
      </c>
      <c r="E89" s="9"/>
      <c r="F89" s="56">
        <f>'High pensions'!I89</f>
        <v>25488247.189715259</v>
      </c>
      <c r="G89" s="56">
        <f>'High pensions'!K89</f>
        <v>3083191.4086726401</v>
      </c>
      <c r="H89" s="56">
        <f>'High pensions'!V89</f>
        <v>16962809.441983078</v>
      </c>
      <c r="I89" s="56">
        <f>'High pensions'!M89</f>
        <v>95356.435319770128</v>
      </c>
      <c r="J89" s="56">
        <f>'High pensions'!W89</f>
        <v>524622.97243245388</v>
      </c>
      <c r="K89" s="9"/>
      <c r="L89" s="56">
        <f>'High pensions'!N89</f>
        <v>2196024.304269277</v>
      </c>
      <c r="M89" s="41"/>
      <c r="N89" s="56">
        <f>'High pensions'!L89</f>
        <v>1201410.4441638291</v>
      </c>
      <c r="O89" s="9"/>
      <c r="P89" s="56">
        <f>'High pensions'!X89</f>
        <v>18004986.344714697</v>
      </c>
      <c r="Q89" s="41"/>
      <c r="R89" s="56">
        <f>'High SIPA income'!G84</f>
        <v>42022047.851437703</v>
      </c>
      <c r="S89" s="41"/>
      <c r="T89" s="56">
        <f>'High SIPA income'!J84</f>
        <v>160674942.08229682</v>
      </c>
      <c r="U89" s="9"/>
      <c r="V89" s="56">
        <f>'High SIPA income'!F84</f>
        <v>192738.54791428099</v>
      </c>
      <c r="W89" s="41"/>
      <c r="X89" s="56">
        <f>'High SIPA income'!M84</f>
        <v>484103.66429540177</v>
      </c>
      <c r="Y89" s="9"/>
      <c r="Z89" s="9">
        <f t="shared" si="34"/>
        <v>13329104.46120362</v>
      </c>
      <c r="AA89" s="9"/>
      <c r="AB89" s="9">
        <f t="shared" si="35"/>
        <v>2441139.948479116</v>
      </c>
      <c r="AC89" s="23"/>
      <c r="AD89" s="9"/>
      <c r="AE89" s="9"/>
      <c r="AF89" s="9"/>
      <c r="AG89" s="9">
        <f t="shared" si="31"/>
        <v>8516940918.0996399</v>
      </c>
      <c r="AH89" s="42">
        <f t="shared" si="30"/>
        <v>1.4685763028820567E-2</v>
      </c>
      <c r="AI89" s="42">
        <f>(AG89-AG85)/AG85</f>
        <v>4.4602674207682054E-2</v>
      </c>
      <c r="AJ89" s="42">
        <f t="shared" si="36"/>
        <v>2.8662168400057426E-4</v>
      </c>
      <c r="AK89" s="7"/>
      <c r="AL89" s="7"/>
      <c r="AM89" s="7"/>
      <c r="AN89" s="7"/>
      <c r="AO89" s="7"/>
      <c r="AP89" s="7"/>
      <c r="AQ89" s="7"/>
      <c r="AR89" s="7"/>
      <c r="AS89" s="7"/>
      <c r="AT89" s="7"/>
      <c r="AV89" s="7"/>
      <c r="AW89" s="7">
        <f>workers_and_wage_high!C77</f>
        <v>14004148</v>
      </c>
      <c r="AX89" s="7"/>
      <c r="AY89" s="42">
        <f t="shared" si="37"/>
        <v>5.7224456578801658E-3</v>
      </c>
      <c r="AZ89" s="12">
        <f>workers_and_wage_high!B77</f>
        <v>9388.9768869094696</v>
      </c>
      <c r="BA89" s="42">
        <f t="shared" si="38"/>
        <v>8.9123171205324949E-3</v>
      </c>
      <c r="BB89" s="47"/>
      <c r="BC89" s="47"/>
      <c r="BD89" s="47"/>
      <c r="BE89" s="47"/>
      <c r="BF89" s="7">
        <f t="shared" si="32"/>
        <v>162.19223055162075</v>
      </c>
      <c r="BG89" s="7"/>
      <c r="BH89" s="7"/>
      <c r="BI89" s="42">
        <f t="shared" si="33"/>
        <v>1.66709107836998E-2</v>
      </c>
      <c r="BJ89" s="7"/>
      <c r="BK89" s="7"/>
      <c r="BL89" s="7"/>
      <c r="BM89" s="7"/>
      <c r="BN89" s="7"/>
      <c r="BO89" s="7"/>
      <c r="BP89" s="7"/>
    </row>
    <row r="90" spans="1:68" x14ac:dyDescent="0.2">
      <c r="A90" s="5">
        <f t="shared" si="39"/>
        <v>2034</v>
      </c>
      <c r="B90" s="5">
        <f t="shared" si="40"/>
        <v>1</v>
      </c>
      <c r="C90" s="6"/>
      <c r="D90" s="55">
        <f>'High pensions'!Q90</f>
        <v>140650997.13815337</v>
      </c>
      <c r="E90" s="6"/>
      <c r="F90" s="55">
        <f>'High pensions'!I90</f>
        <v>25564983.647360791</v>
      </c>
      <c r="G90" s="55">
        <f>'High pensions'!K90</f>
        <v>3136882.7580119101</v>
      </c>
      <c r="H90" s="55">
        <f>'High pensions'!V90</f>
        <v>17258203.404538609</v>
      </c>
      <c r="I90" s="55">
        <f>'High pensions'!M90</f>
        <v>97016.992515829857</v>
      </c>
      <c r="J90" s="55">
        <f>'High pensions'!W90</f>
        <v>533758.86818159313</v>
      </c>
      <c r="K90" s="6"/>
      <c r="L90" s="55">
        <f>'High pensions'!N90</f>
        <v>2659381.3341765529</v>
      </c>
      <c r="M90" s="8"/>
      <c r="N90" s="55">
        <f>'High pensions'!L90</f>
        <v>1205933.7740781717</v>
      </c>
      <c r="O90" s="6"/>
      <c r="P90" s="55">
        <f>'High pensions'!X90</f>
        <v>20434234.202200826</v>
      </c>
      <c r="Q90" s="8"/>
      <c r="R90" s="55">
        <f>'High SIPA income'!G85</f>
        <v>36812198.916832462</v>
      </c>
      <c r="S90" s="8"/>
      <c r="T90" s="55">
        <f>'High SIPA income'!J85</f>
        <v>140754633.13436979</v>
      </c>
      <c r="U90" s="6"/>
      <c r="V90" s="55">
        <f>'High SIPA income'!F85</f>
        <v>187124.017678206</v>
      </c>
      <c r="W90" s="8"/>
      <c r="X90" s="55">
        <f>'High SIPA income'!M85</f>
        <v>470001.58305636473</v>
      </c>
      <c r="Y90" s="6"/>
      <c r="Z90" s="6">
        <f t="shared" si="34"/>
        <v>7569024.1788951606</v>
      </c>
      <c r="AA90" s="6"/>
      <c r="AB90" s="6">
        <f t="shared" si="35"/>
        <v>-20330598.205984414</v>
      </c>
      <c r="AC90" s="23"/>
      <c r="AD90" s="6"/>
      <c r="AE90" s="6"/>
      <c r="AF90" s="6"/>
      <c r="AG90" s="6">
        <f t="shared" si="31"/>
        <v>8560443952.1961517</v>
      </c>
      <c r="AH90" s="35">
        <f t="shared" ref="AH90:AH117" si="41">(AG90-AG89)/AG89</f>
        <v>5.1078238671424933E-3</v>
      </c>
      <c r="AI90" s="35"/>
      <c r="AJ90" s="35">
        <f t="shared" si="36"/>
        <v>-2.3749467106514576E-3</v>
      </c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35">
        <f>AVERAGE(AH90:AH93)</f>
        <v>7.5662179611655968E-3</v>
      </c>
      <c r="AV90" s="5"/>
      <c r="AW90" s="5">
        <f>workers_and_wage_high!C78</f>
        <v>14003020</v>
      </c>
      <c r="AX90" s="5"/>
      <c r="AY90" s="35">
        <f t="shared" si="37"/>
        <v>-8.0547563479049214E-5</v>
      </c>
      <c r="AZ90" s="11">
        <f>workers_and_wage_high!B78</f>
        <v>9437.6943104220409</v>
      </c>
      <c r="BA90" s="35">
        <f t="shared" si="38"/>
        <v>5.1887893749632359E-3</v>
      </c>
      <c r="BB90" s="40"/>
      <c r="BC90" s="40"/>
      <c r="BD90" s="40"/>
      <c r="BE90" s="40"/>
      <c r="BF90" s="5">
        <f t="shared" si="32"/>
        <v>163.02067989789739</v>
      </c>
      <c r="BG90" s="5"/>
      <c r="BH90" s="5"/>
      <c r="BI90" s="35">
        <f t="shared" si="33"/>
        <v>1.9094703261782562E-2</v>
      </c>
      <c r="BJ90" s="5"/>
      <c r="BK90" s="5"/>
      <c r="BL90" s="5"/>
      <c r="BM90" s="5"/>
      <c r="BN90" s="5"/>
      <c r="BO90" s="5"/>
      <c r="BP90" s="5"/>
    </row>
    <row r="91" spans="1:68" x14ac:dyDescent="0.2">
      <c r="A91" s="7">
        <f t="shared" si="39"/>
        <v>2034</v>
      </c>
      <c r="B91" s="7">
        <f t="shared" si="40"/>
        <v>2</v>
      </c>
      <c r="C91" s="9"/>
      <c r="D91" s="56">
        <f>'High pensions'!Q91</f>
        <v>141304810.90047431</v>
      </c>
      <c r="E91" s="9"/>
      <c r="F91" s="56">
        <f>'High pensions'!I91</f>
        <v>25683822.03800324</v>
      </c>
      <c r="G91" s="56">
        <f>'High pensions'!K91</f>
        <v>3212580.52179706</v>
      </c>
      <c r="H91" s="56">
        <f>'High pensions'!V91</f>
        <v>17674670.166433401</v>
      </c>
      <c r="I91" s="56">
        <f>'High pensions'!M91</f>
        <v>99358.16046795994</v>
      </c>
      <c r="J91" s="56">
        <f>'High pensions'!W91</f>
        <v>546639.28349799325</v>
      </c>
      <c r="K91" s="9"/>
      <c r="L91" s="56">
        <f>'High pensions'!N91</f>
        <v>2184574.3033763096</v>
      </c>
      <c r="M91" s="41"/>
      <c r="N91" s="56">
        <f>'High pensions'!L91</f>
        <v>1213285.6005219407</v>
      </c>
      <c r="O91" s="9"/>
      <c r="P91" s="56">
        <f>'High pensions'!X91</f>
        <v>18010905.842194833</v>
      </c>
      <c r="Q91" s="41"/>
      <c r="R91" s="56">
        <f>'High SIPA income'!G86</f>
        <v>42542660.348491885</v>
      </c>
      <c r="S91" s="41"/>
      <c r="T91" s="56">
        <f>'High SIPA income'!J86</f>
        <v>162665549.08715364</v>
      </c>
      <c r="U91" s="9"/>
      <c r="V91" s="56">
        <f>'High SIPA income'!F86</f>
        <v>189843.562178027</v>
      </c>
      <c r="W91" s="41"/>
      <c r="X91" s="56">
        <f>'High SIPA income'!M86</f>
        <v>476832.2947734794</v>
      </c>
      <c r="Y91" s="9"/>
      <c r="Z91" s="9">
        <f t="shared" si="34"/>
        <v>13650821.968768422</v>
      </c>
      <c r="AA91" s="9"/>
      <c r="AB91" s="9">
        <f t="shared" si="35"/>
        <v>3349832.344484508</v>
      </c>
      <c r="AC91" s="23"/>
      <c r="AD91" s="9"/>
      <c r="AE91" s="9"/>
      <c r="AF91" s="9"/>
      <c r="AG91" s="9">
        <f t="shared" si="31"/>
        <v>8611380425.7928925</v>
      </c>
      <c r="AH91" s="42">
        <f t="shared" si="41"/>
        <v>5.9502140170747978E-3</v>
      </c>
      <c r="AI91" s="42"/>
      <c r="AJ91" s="42">
        <f t="shared" si="36"/>
        <v>3.8900062229872657E-4</v>
      </c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>
        <f>workers_and_wage_high!C79</f>
        <v>13981838</v>
      </c>
      <c r="AX91" s="7"/>
      <c r="AY91" s="42">
        <f t="shared" si="37"/>
        <v>-1.5126736946744345E-3</v>
      </c>
      <c r="AZ91" s="12">
        <f>workers_and_wage_high!B79</f>
        <v>9508.23346604369</v>
      </c>
      <c r="BA91" s="42">
        <f t="shared" si="38"/>
        <v>7.4741937279906136E-3</v>
      </c>
      <c r="BB91" s="47"/>
      <c r="BC91" s="47"/>
      <c r="BD91" s="47"/>
      <c r="BE91" s="47"/>
      <c r="BF91" s="7">
        <f t="shared" si="32"/>
        <v>163.99068783249893</v>
      </c>
      <c r="BG91" s="7"/>
      <c r="BH91" s="7"/>
      <c r="BI91" s="42">
        <f t="shared" si="33"/>
        <v>1.6681332786931371E-2</v>
      </c>
      <c r="BJ91" s="7"/>
      <c r="BK91" s="7"/>
      <c r="BL91" s="7"/>
      <c r="BM91" s="7"/>
      <c r="BN91" s="7"/>
      <c r="BO91" s="7"/>
      <c r="BP91" s="7"/>
    </row>
    <row r="92" spans="1:68" x14ac:dyDescent="0.2">
      <c r="A92" s="7">
        <f t="shared" si="39"/>
        <v>2034</v>
      </c>
      <c r="B92" s="7">
        <f t="shared" si="40"/>
        <v>3</v>
      </c>
      <c r="C92" s="9"/>
      <c r="D92" s="56">
        <f>'High pensions'!Q92</f>
        <v>141705997.582939</v>
      </c>
      <c r="E92" s="9"/>
      <c r="F92" s="56">
        <f>'High pensions'!I92</f>
        <v>25756742.466478229</v>
      </c>
      <c r="G92" s="56">
        <f>'High pensions'!K92</f>
        <v>3286291.9853314701</v>
      </c>
      <c r="H92" s="56">
        <f>'High pensions'!V92</f>
        <v>18080208.890401948</v>
      </c>
      <c r="I92" s="56">
        <f>'High pensions'!M92</f>
        <v>101637.89645355009</v>
      </c>
      <c r="J92" s="56">
        <f>'High pensions'!W92</f>
        <v>559181.7182598511</v>
      </c>
      <c r="K92" s="9"/>
      <c r="L92" s="56">
        <f>'High pensions'!N92</f>
        <v>2116652.116710227</v>
      </c>
      <c r="M92" s="41"/>
      <c r="N92" s="56">
        <f>'High pensions'!L92</f>
        <v>1217879.4833599515</v>
      </c>
      <c r="O92" s="9"/>
      <c r="P92" s="56">
        <f>'High pensions'!X92</f>
        <v>17683731.48065621</v>
      </c>
      <c r="Q92" s="41"/>
      <c r="R92" s="56">
        <f>'High SIPA income'!G87</f>
        <v>37288866.116307817</v>
      </c>
      <c r="S92" s="41"/>
      <c r="T92" s="56">
        <f>'High SIPA income'!J87</f>
        <v>142577211.48512033</v>
      </c>
      <c r="U92" s="9"/>
      <c r="V92" s="56">
        <f>'High SIPA income'!F87</f>
        <v>194671.87189126</v>
      </c>
      <c r="W92" s="41"/>
      <c r="X92" s="56">
        <f>'High SIPA income'!M87</f>
        <v>488959.61673280387</v>
      </c>
      <c r="Y92" s="9"/>
      <c r="Z92" s="9">
        <f t="shared" si="34"/>
        <v>8392263.921650663</v>
      </c>
      <c r="AA92" s="9"/>
      <c r="AB92" s="9">
        <f t="shared" si="35"/>
        <v>-16812517.578474879</v>
      </c>
      <c r="AC92" s="23"/>
      <c r="AD92" s="9"/>
      <c r="AE92" s="9"/>
      <c r="AF92" s="9"/>
      <c r="AG92" s="9">
        <f t="shared" si="31"/>
        <v>8726708299.5465279</v>
      </c>
      <c r="AH92" s="42">
        <f t="shared" si="41"/>
        <v>1.339249551769937E-2</v>
      </c>
      <c r="AI92" s="42"/>
      <c r="AJ92" s="42">
        <f t="shared" si="36"/>
        <v>-1.926558904157312E-3</v>
      </c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9"/>
      <c r="AV92" s="7"/>
      <c r="AW92" s="7">
        <f>workers_and_wage_high!C80</f>
        <v>14082843</v>
      </c>
      <c r="AX92" s="7"/>
      <c r="AY92" s="42">
        <f t="shared" si="37"/>
        <v>7.2240144679118724E-3</v>
      </c>
      <c r="AZ92" s="12">
        <f>workers_and_wage_high!B80</f>
        <v>9566.4641645871798</v>
      </c>
      <c r="BA92" s="42">
        <f t="shared" si="38"/>
        <v>6.1242394553569128E-3</v>
      </c>
      <c r="BB92" s="47"/>
      <c r="BC92" s="47"/>
      <c r="BD92" s="47"/>
      <c r="BE92" s="47"/>
      <c r="BF92" s="7">
        <f t="shared" si="32"/>
        <v>166.18693238424009</v>
      </c>
      <c r="BG92" s="7"/>
      <c r="BH92" s="7"/>
      <c r="BI92" s="42">
        <f t="shared" si="33"/>
        <v>1.924078577430384E-2</v>
      </c>
      <c r="BJ92" s="7"/>
      <c r="BK92" s="7"/>
      <c r="BL92" s="7"/>
      <c r="BM92" s="7"/>
      <c r="BN92" s="7"/>
      <c r="BO92" s="7"/>
      <c r="BP92" s="7"/>
    </row>
    <row r="93" spans="1:68" x14ac:dyDescent="0.2">
      <c r="A93" s="7">
        <f t="shared" si="39"/>
        <v>2034</v>
      </c>
      <c r="B93" s="7">
        <f t="shared" si="40"/>
        <v>4</v>
      </c>
      <c r="C93" s="9"/>
      <c r="D93" s="56">
        <f>'High pensions'!Q93</f>
        <v>142161320.51498339</v>
      </c>
      <c r="E93" s="9"/>
      <c r="F93" s="56">
        <f>'High pensions'!I93</f>
        <v>25839502.799137298</v>
      </c>
      <c r="G93" s="56">
        <f>'High pensions'!K93</f>
        <v>3343998.6066337</v>
      </c>
      <c r="H93" s="56">
        <f>'High pensions'!V93</f>
        <v>18397693.694600925</v>
      </c>
      <c r="I93" s="56">
        <f>'High pensions'!M93</f>
        <v>103422.63731857017</v>
      </c>
      <c r="J93" s="56">
        <f>'High pensions'!W93</f>
        <v>569000.83591550426</v>
      </c>
      <c r="K93" s="9"/>
      <c r="L93" s="56">
        <f>'High pensions'!N93</f>
        <v>2115410.0312137841</v>
      </c>
      <c r="M93" s="41"/>
      <c r="N93" s="56">
        <f>'High pensions'!L93</f>
        <v>1223892.2392707318</v>
      </c>
      <c r="O93" s="9"/>
      <c r="P93" s="56">
        <f>'High pensions'!X93</f>
        <v>17710366.702081852</v>
      </c>
      <c r="Q93" s="41"/>
      <c r="R93" s="56">
        <f>'High SIPA income'!G88</f>
        <v>43526761.401426554</v>
      </c>
      <c r="S93" s="41"/>
      <c r="T93" s="56">
        <f>'High SIPA income'!J88</f>
        <v>166428344.7567606</v>
      </c>
      <c r="U93" s="9"/>
      <c r="V93" s="56">
        <f>'High SIPA income'!F88</f>
        <v>190534.24090163899</v>
      </c>
      <c r="W93" s="41"/>
      <c r="X93" s="56">
        <f>'High SIPA income'!M88</f>
        <v>478567.08059899125</v>
      </c>
      <c r="Y93" s="9"/>
      <c r="Z93" s="9">
        <f t="shared" si="34"/>
        <v>14538490.572706383</v>
      </c>
      <c r="AA93" s="9"/>
      <c r="AB93" s="9">
        <f t="shared" si="35"/>
        <v>6556657.5396953523</v>
      </c>
      <c r="AC93" s="23"/>
      <c r="AD93" s="9"/>
      <c r="AE93" s="9"/>
      <c r="AF93" s="9"/>
      <c r="AG93" s="9">
        <f t="shared" si="31"/>
        <v>8777448335.0912094</v>
      </c>
      <c r="AH93" s="42">
        <f t="shared" si="41"/>
        <v>5.8143384427457243E-3</v>
      </c>
      <c r="AI93" s="42">
        <f>(AG93-AG89)/AG89</f>
        <v>3.0586970074895831E-2</v>
      </c>
      <c r="AJ93" s="42">
        <f t="shared" si="36"/>
        <v>7.4698902111250312E-4</v>
      </c>
      <c r="AK93" s="7"/>
      <c r="AL93" s="7"/>
      <c r="AM93" s="7"/>
      <c r="AN93" s="7"/>
      <c r="AO93" s="7"/>
      <c r="AP93" s="7"/>
      <c r="AQ93" s="7"/>
      <c r="AR93" s="7"/>
      <c r="AS93" s="7"/>
      <c r="AT93" s="7"/>
      <c r="AV93" s="7"/>
      <c r="AW93" s="7">
        <f>workers_and_wage_high!C81</f>
        <v>14110346</v>
      </c>
      <c r="AX93" s="7"/>
      <c r="AY93" s="42">
        <f t="shared" si="37"/>
        <v>1.9529437344433932E-3</v>
      </c>
      <c r="AZ93" s="12">
        <f>workers_and_wage_high!B81</f>
        <v>9603.3320577684899</v>
      </c>
      <c r="BA93" s="42">
        <f t="shared" si="38"/>
        <v>3.8538683203127948E-3</v>
      </c>
      <c r="BB93" s="47"/>
      <c r="BC93" s="47"/>
      <c r="BD93" s="47"/>
      <c r="BE93" s="47"/>
      <c r="BF93" s="7">
        <f t="shared" si="32"/>
        <v>167.15319945388379</v>
      </c>
      <c r="BG93" s="7"/>
      <c r="BH93" s="7"/>
      <c r="BI93" s="42">
        <f t="shared" si="33"/>
        <v>1.6698423649585559E-2</v>
      </c>
      <c r="BJ93" s="7"/>
      <c r="BK93" s="7"/>
      <c r="BL93" s="7"/>
      <c r="BM93" s="7"/>
      <c r="BN93" s="7"/>
      <c r="BO93" s="7"/>
      <c r="BP93" s="7"/>
    </row>
    <row r="94" spans="1:68" x14ac:dyDescent="0.2">
      <c r="A94" s="5">
        <f t="shared" si="39"/>
        <v>2035</v>
      </c>
      <c r="B94" s="5">
        <f t="shared" si="40"/>
        <v>1</v>
      </c>
      <c r="C94" s="6"/>
      <c r="D94" s="55">
        <f>'High pensions'!Q94</f>
        <v>142755339.50093871</v>
      </c>
      <c r="E94" s="6"/>
      <c r="F94" s="55">
        <f>'High pensions'!I94</f>
        <v>25947472.781371079</v>
      </c>
      <c r="G94" s="55">
        <f>'High pensions'!K94</f>
        <v>3422499.77302342</v>
      </c>
      <c r="H94" s="55">
        <f>'High pensions'!V94</f>
        <v>18829583.950488575</v>
      </c>
      <c r="I94" s="55">
        <f>'High pensions'!M94</f>
        <v>105850.50844402006</v>
      </c>
      <c r="J94" s="55">
        <f>'High pensions'!W94</f>
        <v>582358.26650993817</v>
      </c>
      <c r="K94" s="6"/>
      <c r="L94" s="55">
        <f>'High pensions'!N94</f>
        <v>2572566.616835427</v>
      </c>
      <c r="M94" s="8"/>
      <c r="N94" s="55">
        <f>'High pensions'!L94</f>
        <v>1230600.2575078793</v>
      </c>
      <c r="O94" s="6"/>
      <c r="P94" s="55">
        <f>'High pensions'!X94</f>
        <v>20119459.93525897</v>
      </c>
      <c r="Q94" s="8"/>
      <c r="R94" s="55">
        <f>'High SIPA income'!G89</f>
        <v>38203590.040409029</v>
      </c>
      <c r="S94" s="8"/>
      <c r="T94" s="55">
        <f>'High SIPA income'!J89</f>
        <v>146074737.68959883</v>
      </c>
      <c r="U94" s="6"/>
      <c r="V94" s="55">
        <f>'High SIPA income'!F89</f>
        <v>188297.33041996701</v>
      </c>
      <c r="W94" s="8"/>
      <c r="X94" s="55">
        <f>'High SIPA income'!M89</f>
        <v>472948.60638821841</v>
      </c>
      <c r="Y94" s="6"/>
      <c r="Z94" s="6">
        <f t="shared" si="34"/>
        <v>8641247.715114601</v>
      </c>
      <c r="AA94" s="6"/>
      <c r="AB94" s="6">
        <f t="shared" si="35"/>
        <v>-16800061.746598855</v>
      </c>
      <c r="AC94" s="23"/>
      <c r="AD94" s="6"/>
      <c r="AE94" s="6"/>
      <c r="AF94" s="6"/>
      <c r="AG94" s="6">
        <f t="shared" si="31"/>
        <v>8801017361.4574337</v>
      </c>
      <c r="AH94" s="35">
        <f t="shared" si="41"/>
        <v>2.685179731790398E-3</v>
      </c>
      <c r="AI94" s="35"/>
      <c r="AJ94" s="35">
        <f t="shared" si="36"/>
        <v>-1.9088772418711366E-3</v>
      </c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35">
        <f>AVERAGE(AH94:AH97)</f>
        <v>6.4536055603333009E-3</v>
      </c>
      <c r="AV94" s="5"/>
      <c r="AW94" s="5">
        <f>workers_and_wage_high!C82</f>
        <v>14140172</v>
      </c>
      <c r="AX94" s="5"/>
      <c r="AY94" s="35">
        <f t="shared" si="37"/>
        <v>2.1137681528149628E-3</v>
      </c>
      <c r="AZ94" s="11">
        <f>workers_and_wage_high!B82</f>
        <v>9608.8079381614607</v>
      </c>
      <c r="BA94" s="35">
        <f t="shared" si="38"/>
        <v>5.7020629506829886E-4</v>
      </c>
      <c r="BB94" s="40"/>
      <c r="BC94" s="40"/>
      <c r="BD94" s="40"/>
      <c r="BE94" s="40"/>
      <c r="BF94" s="5">
        <f t="shared" si="32"/>
        <v>167.60203583716125</v>
      </c>
      <c r="BG94" s="5"/>
      <c r="BH94" s="5"/>
      <c r="BI94" s="35">
        <f t="shared" si="33"/>
        <v>1.9117843312684506E-2</v>
      </c>
      <c r="BJ94" s="5"/>
      <c r="BK94" s="5"/>
      <c r="BL94" s="5"/>
      <c r="BM94" s="5"/>
      <c r="BN94" s="5"/>
      <c r="BO94" s="5"/>
      <c r="BP94" s="5"/>
    </row>
    <row r="95" spans="1:68" x14ac:dyDescent="0.2">
      <c r="A95" s="7">
        <f t="shared" si="39"/>
        <v>2035</v>
      </c>
      <c r="B95" s="7">
        <f t="shared" si="40"/>
        <v>2</v>
      </c>
      <c r="C95" s="9"/>
      <c r="D95" s="56">
        <f>'High pensions'!Q95</f>
        <v>142879252.40245527</v>
      </c>
      <c r="E95" s="9"/>
      <c r="F95" s="56">
        <f>'High pensions'!I95</f>
        <v>25969995.41800661</v>
      </c>
      <c r="G95" s="56">
        <f>'High pensions'!K95</f>
        <v>3489644.5894030901</v>
      </c>
      <c r="H95" s="56">
        <f>'High pensions'!V95</f>
        <v>19198994.919285879</v>
      </c>
      <c r="I95" s="56">
        <f>'High pensions'!M95</f>
        <v>107927.15224957978</v>
      </c>
      <c r="J95" s="56">
        <f>'High pensions'!W95</f>
        <v>593783.34801914915</v>
      </c>
      <c r="K95" s="9"/>
      <c r="L95" s="56">
        <f>'High pensions'!N95</f>
        <v>2054620.9096391983</v>
      </c>
      <c r="M95" s="41"/>
      <c r="N95" s="56">
        <f>'High pensions'!L95</f>
        <v>1234270.7430790178</v>
      </c>
      <c r="O95" s="9"/>
      <c r="P95" s="56">
        <f>'High pensions'!X95</f>
        <v>17452031.127051514</v>
      </c>
      <c r="Q95" s="41"/>
      <c r="R95" s="56">
        <f>'High SIPA income'!G90</f>
        <v>44191143.123562053</v>
      </c>
      <c r="S95" s="41"/>
      <c r="T95" s="56">
        <f>'High SIPA income'!J90</f>
        <v>168968665.85443899</v>
      </c>
      <c r="U95" s="9"/>
      <c r="V95" s="56">
        <f>'High SIPA income'!F90</f>
        <v>194028.23503377999</v>
      </c>
      <c r="W95" s="41"/>
      <c r="X95" s="56">
        <f>'High SIPA income'!M90</f>
        <v>487342.98651246919</v>
      </c>
      <c r="Y95" s="9"/>
      <c r="Z95" s="9">
        <f t="shared" si="34"/>
        <v>15126284.287871007</v>
      </c>
      <c r="AA95" s="9"/>
      <c r="AB95" s="9">
        <f t="shared" si="35"/>
        <v>8637382.3249322176</v>
      </c>
      <c r="AC95" s="23"/>
      <c r="AD95" s="9"/>
      <c r="AE95" s="9"/>
      <c r="AF95" s="9"/>
      <c r="AG95" s="9">
        <f t="shared" si="31"/>
        <v>8848469187.0332279</v>
      </c>
      <c r="AH95" s="42">
        <f t="shared" si="41"/>
        <v>5.391629584052573E-3</v>
      </c>
      <c r="AI95" s="42"/>
      <c r="AJ95" s="42">
        <f t="shared" si="36"/>
        <v>9.7614425075804722E-4</v>
      </c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>
        <f>workers_and_wage_high!C83</f>
        <v>14185262</v>
      </c>
      <c r="AX95" s="7"/>
      <c r="AY95" s="42">
        <f t="shared" si="37"/>
        <v>3.1887872368172041E-3</v>
      </c>
      <c r="AZ95" s="12">
        <f>workers_and_wage_high!B83</f>
        <v>9629.9073456727201</v>
      </c>
      <c r="BA95" s="42">
        <f t="shared" si="38"/>
        <v>2.1958402797773637E-3</v>
      </c>
      <c r="BB95" s="47"/>
      <c r="BC95" s="47"/>
      <c r="BD95" s="47"/>
      <c r="BE95" s="47"/>
      <c r="BF95" s="7">
        <f t="shared" si="32"/>
        <v>168.50568393192836</v>
      </c>
      <c r="BG95" s="7"/>
      <c r="BH95" s="7"/>
      <c r="BI95" s="42">
        <f t="shared" si="33"/>
        <v>1.6743916607350674E-2</v>
      </c>
      <c r="BJ95" s="7"/>
      <c r="BK95" s="7"/>
      <c r="BL95" s="7"/>
      <c r="BM95" s="7"/>
      <c r="BN95" s="7"/>
      <c r="BO95" s="7"/>
      <c r="BP95" s="7"/>
    </row>
    <row r="96" spans="1:68" x14ac:dyDescent="0.2">
      <c r="A96" s="7">
        <f t="shared" si="39"/>
        <v>2035</v>
      </c>
      <c r="B96" s="7">
        <f t="shared" si="40"/>
        <v>3</v>
      </c>
      <c r="C96" s="9"/>
      <c r="D96" s="56">
        <f>'High pensions'!Q96</f>
        <v>143607326.83541098</v>
      </c>
      <c r="E96" s="9"/>
      <c r="F96" s="56">
        <f>'High pensions'!I96</f>
        <v>26102331.5645772</v>
      </c>
      <c r="G96" s="56">
        <f>'High pensions'!K96</f>
        <v>3531158.1054448001</v>
      </c>
      <c r="H96" s="56">
        <f>'High pensions'!V96</f>
        <v>19427390.036079943</v>
      </c>
      <c r="I96" s="56">
        <f>'High pensions'!M96</f>
        <v>109211.07542611985</v>
      </c>
      <c r="J96" s="56">
        <f>'High pensions'!W96</f>
        <v>600847.11451789236</v>
      </c>
      <c r="K96" s="9"/>
      <c r="L96" s="56">
        <f>'High pensions'!N96</f>
        <v>2030149.6318440461</v>
      </c>
      <c r="M96" s="41"/>
      <c r="N96" s="56">
        <f>'High pensions'!L96</f>
        <v>1242434.7787305787</v>
      </c>
      <c r="O96" s="9"/>
      <c r="P96" s="56">
        <f>'High pensions'!X96</f>
        <v>17369965.665615853</v>
      </c>
      <c r="Q96" s="41"/>
      <c r="R96" s="56">
        <f>'High SIPA income'!G91</f>
        <v>38854830.910648949</v>
      </c>
      <c r="S96" s="41"/>
      <c r="T96" s="56">
        <f>'High SIPA income'!J91</f>
        <v>148564813.60111451</v>
      </c>
      <c r="U96" s="9"/>
      <c r="V96" s="56">
        <f>'High SIPA income'!F91</f>
        <v>195117.69910764901</v>
      </c>
      <c r="W96" s="41"/>
      <c r="X96" s="56">
        <f>'High SIPA income'!M91</f>
        <v>490079.40616481996</v>
      </c>
      <c r="Y96" s="9"/>
      <c r="Z96" s="9">
        <f t="shared" si="34"/>
        <v>9675032.6346047744</v>
      </c>
      <c r="AA96" s="9"/>
      <c r="AB96" s="9">
        <f t="shared" si="35"/>
        <v>-12412478.899912328</v>
      </c>
      <c r="AC96" s="23"/>
      <c r="AD96" s="9"/>
      <c r="AE96" s="9"/>
      <c r="AF96" s="9"/>
      <c r="AG96" s="9">
        <f t="shared" si="31"/>
        <v>8911619498.7004356</v>
      </c>
      <c r="AH96" s="42">
        <f t="shared" si="41"/>
        <v>7.136862923108756E-3</v>
      </c>
      <c r="AI96" s="42"/>
      <c r="AJ96" s="42">
        <f t="shared" si="36"/>
        <v>-1.3928421093071148E-3</v>
      </c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9"/>
      <c r="AV96" s="7"/>
      <c r="AW96" s="7">
        <f>workers_and_wage_high!C84</f>
        <v>14210911</v>
      </c>
      <c r="AX96" s="7"/>
      <c r="AY96" s="42">
        <f t="shared" si="37"/>
        <v>1.8081442556365896E-3</v>
      </c>
      <c r="AZ96" s="12">
        <f>workers_and_wage_high!B84</f>
        <v>9681.1297951338802</v>
      </c>
      <c r="BA96" s="42">
        <f t="shared" si="38"/>
        <v>5.3191009656159676E-3</v>
      </c>
      <c r="BB96" s="47"/>
      <c r="BC96" s="47"/>
      <c r="BD96" s="47"/>
      <c r="BE96" s="47"/>
      <c r="BF96" s="7">
        <f t="shared" si="32"/>
        <v>169.70828589991521</v>
      </c>
      <c r="BG96" s="7"/>
      <c r="BH96" s="7"/>
      <c r="BI96" s="42">
        <f t="shared" si="33"/>
        <v>1.9333856231439118E-2</v>
      </c>
      <c r="BJ96" s="7"/>
      <c r="BK96" s="7"/>
      <c r="BL96" s="7"/>
      <c r="BM96" s="7"/>
      <c r="BN96" s="7"/>
      <c r="BO96" s="7"/>
      <c r="BP96" s="7"/>
    </row>
    <row r="97" spans="1:68" x14ac:dyDescent="0.2">
      <c r="A97" s="7">
        <f t="shared" si="39"/>
        <v>2035</v>
      </c>
      <c r="B97" s="7">
        <f t="shared" si="40"/>
        <v>4</v>
      </c>
      <c r="C97" s="9"/>
      <c r="D97" s="56">
        <f>'High pensions'!Q97</f>
        <v>143109628.33876243</v>
      </c>
      <c r="E97" s="9"/>
      <c r="F97" s="56">
        <f>'High pensions'!I97</f>
        <v>26011868.97144223</v>
      </c>
      <c r="G97" s="56">
        <f>'High pensions'!K97</f>
        <v>3597304.5763529702</v>
      </c>
      <c r="H97" s="56">
        <f>'High pensions'!V97</f>
        <v>19791308.402652588</v>
      </c>
      <c r="I97" s="56">
        <f>'High pensions'!M97</f>
        <v>111256.84256760962</v>
      </c>
      <c r="J97" s="56">
        <f>'High pensions'!W97</f>
        <v>612102.32173147926</v>
      </c>
      <c r="K97" s="9"/>
      <c r="L97" s="56">
        <f>'High pensions'!N97</f>
        <v>2056480.8832589076</v>
      </c>
      <c r="M97" s="41"/>
      <c r="N97" s="56">
        <f>'High pensions'!L97</f>
        <v>1238522.7315411903</v>
      </c>
      <c r="O97" s="9"/>
      <c r="P97" s="56">
        <f>'High pensions'!X97</f>
        <v>17485075.724985585</v>
      </c>
      <c r="Q97" s="41"/>
      <c r="R97" s="56">
        <f>'High SIPA income'!G92</f>
        <v>44975730.494984694</v>
      </c>
      <c r="S97" s="41"/>
      <c r="T97" s="56">
        <f>'High SIPA income'!J92</f>
        <v>171968603.67059472</v>
      </c>
      <c r="U97" s="9"/>
      <c r="V97" s="56">
        <f>'High SIPA income'!F92</f>
        <v>196357.17603001199</v>
      </c>
      <c r="W97" s="41"/>
      <c r="X97" s="56">
        <f>'High SIPA income'!M92</f>
        <v>493192.61484268325</v>
      </c>
      <c r="Y97" s="9"/>
      <c r="Z97" s="9">
        <f t="shared" si="34"/>
        <v>15865215.084772371</v>
      </c>
      <c r="AA97" s="9"/>
      <c r="AB97" s="9">
        <f t="shared" si="35"/>
        <v>11373899.60684672</v>
      </c>
      <c r="AC97" s="23"/>
      <c r="AD97" s="9"/>
      <c r="AE97" s="9"/>
      <c r="AF97" s="9"/>
      <c r="AG97" s="9">
        <f t="shared" si="31"/>
        <v>9006089349.1225071</v>
      </c>
      <c r="AH97" s="42">
        <f t="shared" si="41"/>
        <v>1.0600750002381476E-2</v>
      </c>
      <c r="AI97" s="42">
        <f>(AG97-AG93)/AG93</f>
        <v>2.6048688104174617E-2</v>
      </c>
      <c r="AJ97" s="42">
        <f t="shared" si="36"/>
        <v>1.2629121437658084E-3</v>
      </c>
      <c r="AK97" s="7"/>
      <c r="AL97" s="7"/>
      <c r="AM97" s="7"/>
      <c r="AN97" s="7"/>
      <c r="AO97" s="7"/>
      <c r="AP97" s="7"/>
      <c r="AQ97" s="7"/>
      <c r="AR97" s="7"/>
      <c r="AS97" s="7"/>
      <c r="AT97" s="7"/>
      <c r="AV97" s="7"/>
      <c r="AW97" s="7">
        <f>workers_and_wage_high!C85</f>
        <v>14234975</v>
      </c>
      <c r="AX97" s="7"/>
      <c r="AY97" s="42">
        <f t="shared" si="37"/>
        <v>1.6933467530688216E-3</v>
      </c>
      <c r="AZ97" s="12">
        <f>workers_and_wage_high!B85</f>
        <v>9767.2177453770491</v>
      </c>
      <c r="BA97" s="42">
        <f t="shared" si="38"/>
        <v>8.8923454250598079E-3</v>
      </c>
      <c r="BB97" s="47"/>
      <c r="BC97" s="47"/>
      <c r="BD97" s="47"/>
      <c r="BE97" s="47"/>
      <c r="BF97" s="7">
        <f t="shared" si="32"/>
        <v>171.50732101207288</v>
      </c>
      <c r="BG97" s="7"/>
      <c r="BH97" s="7"/>
      <c r="BI97" s="42">
        <f t="shared" si="33"/>
        <v>1.690344400907625E-2</v>
      </c>
      <c r="BJ97" s="7"/>
      <c r="BK97" s="7"/>
      <c r="BL97" s="7"/>
      <c r="BM97" s="7"/>
      <c r="BN97" s="7"/>
      <c r="BO97" s="7"/>
      <c r="BP97" s="7"/>
    </row>
    <row r="98" spans="1:68" x14ac:dyDescent="0.2">
      <c r="A98" s="5">
        <f t="shared" si="39"/>
        <v>2036</v>
      </c>
      <c r="B98" s="5">
        <f t="shared" si="40"/>
        <v>1</v>
      </c>
      <c r="C98" s="6"/>
      <c r="D98" s="55">
        <f>'High pensions'!Q98</f>
        <v>144039428.19017118</v>
      </c>
      <c r="E98" s="6"/>
      <c r="F98" s="55">
        <f>'High pensions'!I98</f>
        <v>26180871.100685831</v>
      </c>
      <c r="G98" s="55">
        <f>'High pensions'!K98</f>
        <v>3676904.21878437</v>
      </c>
      <c r="H98" s="55">
        <f>'High pensions'!V98</f>
        <v>20229242.14961873</v>
      </c>
      <c r="I98" s="55">
        <f>'High pensions'!M98</f>
        <v>113718.6871789</v>
      </c>
      <c r="J98" s="55">
        <f>'High pensions'!W98</f>
        <v>625646.66442120867</v>
      </c>
      <c r="K98" s="6"/>
      <c r="L98" s="55">
        <f>'High pensions'!N98</f>
        <v>2517686.5267896964</v>
      </c>
      <c r="M98" s="8"/>
      <c r="N98" s="55">
        <f>'High pensions'!L98</f>
        <v>1248286.1885066964</v>
      </c>
      <c r="O98" s="6"/>
      <c r="P98" s="55">
        <f>'High pensions'!X98</f>
        <v>19931989.661284927</v>
      </c>
      <c r="Q98" s="8"/>
      <c r="R98" s="55">
        <f>'High SIPA income'!G93</f>
        <v>39286647.709356293</v>
      </c>
      <c r="S98" s="8"/>
      <c r="T98" s="55">
        <f>'High SIPA income'!J93</f>
        <v>150215902.55726805</v>
      </c>
      <c r="U98" s="6"/>
      <c r="V98" s="55">
        <f>'High SIPA income'!F93</f>
        <v>197228.29636285899</v>
      </c>
      <c r="W98" s="8"/>
      <c r="X98" s="55">
        <f>'High SIPA income'!M93</f>
        <v>495380.617967834</v>
      </c>
      <c r="Y98" s="6"/>
      <c r="Z98" s="6">
        <f t="shared" si="34"/>
        <v>9537032.1897369362</v>
      </c>
      <c r="AA98" s="6"/>
      <c r="AB98" s="6">
        <f t="shared" si="35"/>
        <v>-13755515.294188052</v>
      </c>
      <c r="AC98" s="23"/>
      <c r="AD98" s="6"/>
      <c r="AE98" s="6"/>
      <c r="AF98" s="6"/>
      <c r="AG98" s="6">
        <f t="shared" si="31"/>
        <v>9005030022.2384777</v>
      </c>
      <c r="AH98" s="35">
        <f t="shared" si="41"/>
        <v>-1.1762340378430757E-4</v>
      </c>
      <c r="AI98" s="35"/>
      <c r="AJ98" s="35">
        <f t="shared" si="36"/>
        <v>-1.5275368610896307E-3</v>
      </c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35">
        <f>AVERAGE(AH98:AH101)</f>
        <v>7.5290221477325083E-3</v>
      </c>
      <c r="AV98" s="5"/>
      <c r="AW98" s="5">
        <f>workers_and_wage_high!C86</f>
        <v>14206041</v>
      </c>
      <c r="AX98" s="5"/>
      <c r="AY98" s="35">
        <f t="shared" si="37"/>
        <v>-2.0325992845087542E-3</v>
      </c>
      <c r="AZ98" s="11">
        <f>workers_and_wage_high!B86</f>
        <v>9785.9598269227699</v>
      </c>
      <c r="BA98" s="35">
        <f t="shared" si="38"/>
        <v>1.9188761870893749E-3</v>
      </c>
      <c r="BB98" s="40"/>
      <c r="BC98" s="40"/>
      <c r="BD98" s="40"/>
      <c r="BE98" s="40"/>
      <c r="BF98" s="5">
        <f t="shared" si="32"/>
        <v>171.48714773720152</v>
      </c>
      <c r="BG98" s="5"/>
      <c r="BH98" s="5"/>
      <c r="BI98" s="35">
        <f t="shared" si="33"/>
        <v>1.948965655953001E-2</v>
      </c>
      <c r="BJ98" s="5"/>
      <c r="BK98" s="5"/>
      <c r="BL98" s="5"/>
      <c r="BM98" s="5"/>
      <c r="BN98" s="5"/>
      <c r="BO98" s="5"/>
      <c r="BP98" s="5"/>
    </row>
    <row r="99" spans="1:68" x14ac:dyDescent="0.2">
      <c r="A99" s="7">
        <f t="shared" si="39"/>
        <v>2036</v>
      </c>
      <c r="B99" s="7">
        <f t="shared" si="40"/>
        <v>2</v>
      </c>
      <c r="C99" s="9"/>
      <c r="D99" s="56">
        <f>'High pensions'!Q99</f>
        <v>144308009.10942832</v>
      </c>
      <c r="E99" s="9"/>
      <c r="F99" s="56">
        <f>'High pensions'!I99</f>
        <v>26229688.86201359</v>
      </c>
      <c r="G99" s="56">
        <f>'High pensions'!K99</f>
        <v>3750989.44095121</v>
      </c>
      <c r="H99" s="56">
        <f>'High pensions'!V99</f>
        <v>20636837.183306281</v>
      </c>
      <c r="I99" s="56">
        <f>'High pensions'!M99</f>
        <v>116009.98270983016</v>
      </c>
      <c r="J99" s="56">
        <f>'High pensions'!W99</f>
        <v>638252.69639090996</v>
      </c>
      <c r="K99" s="9"/>
      <c r="L99" s="56">
        <f>'High pensions'!N99</f>
        <v>1990215.9538716266</v>
      </c>
      <c r="M99" s="41"/>
      <c r="N99" s="56">
        <f>'High pensions'!L99</f>
        <v>1251160.5558439679</v>
      </c>
      <c r="O99" s="9"/>
      <c r="P99" s="56">
        <f>'High pensions'!X99</f>
        <v>17210756.27193765</v>
      </c>
      <c r="Q99" s="41"/>
      <c r="R99" s="56">
        <f>'High SIPA income'!G94</f>
        <v>45808319.31431023</v>
      </c>
      <c r="S99" s="41"/>
      <c r="T99" s="56">
        <f>'High SIPA income'!J94</f>
        <v>175152079.18317428</v>
      </c>
      <c r="U99" s="9"/>
      <c r="V99" s="56">
        <f>'High SIPA income'!F94</f>
        <v>197130.421885663</v>
      </c>
      <c r="W99" s="41"/>
      <c r="X99" s="56">
        <f>'High SIPA income'!M94</f>
        <v>495134.78549911245</v>
      </c>
      <c r="Y99" s="9"/>
      <c r="Z99" s="9">
        <f t="shared" si="34"/>
        <v>16534384.364466708</v>
      </c>
      <c r="AA99" s="9"/>
      <c r="AB99" s="9">
        <f t="shared" si="35"/>
        <v>13633313.801808327</v>
      </c>
      <c r="AC99" s="23"/>
      <c r="AD99" s="9"/>
      <c r="AE99" s="9"/>
      <c r="AF99" s="9"/>
      <c r="AG99" s="9">
        <f t="shared" si="31"/>
        <v>9103166639.7476711</v>
      </c>
      <c r="AH99" s="42">
        <f t="shared" si="41"/>
        <v>1.0897977826485751E-2</v>
      </c>
      <c r="AI99" s="42"/>
      <c r="AJ99" s="42">
        <f t="shared" si="36"/>
        <v>1.4976451976920228E-3</v>
      </c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>
        <f>workers_and_wage_high!C87</f>
        <v>14256384</v>
      </c>
      <c r="AX99" s="7"/>
      <c r="AY99" s="42">
        <f t="shared" si="37"/>
        <v>3.5437740887837785E-3</v>
      </c>
      <c r="AZ99" s="12">
        <f>workers_and_wage_high!B87</f>
        <v>9857.6736317356208</v>
      </c>
      <c r="BA99" s="42">
        <f t="shared" si="38"/>
        <v>7.3282341314701198E-3</v>
      </c>
      <c r="BB99" s="47"/>
      <c r="BC99" s="47"/>
      <c r="BD99" s="47"/>
      <c r="BE99" s="47"/>
      <c r="BF99" s="7">
        <f t="shared" si="32"/>
        <v>173.35601087076881</v>
      </c>
      <c r="BG99" s="7"/>
      <c r="BH99" s="7"/>
      <c r="BI99" s="42">
        <f t="shared" si="33"/>
        <v>1.6902498062488551E-2</v>
      </c>
      <c r="BJ99" s="7"/>
      <c r="BK99" s="7"/>
      <c r="BL99" s="7"/>
      <c r="BM99" s="7"/>
      <c r="BN99" s="7"/>
      <c r="BO99" s="7"/>
      <c r="BP99" s="7"/>
    </row>
    <row r="100" spans="1:68" x14ac:dyDescent="0.2">
      <c r="A100" s="7">
        <f t="shared" si="39"/>
        <v>2036</v>
      </c>
      <c r="B100" s="7">
        <f t="shared" si="40"/>
        <v>3</v>
      </c>
      <c r="C100" s="9"/>
      <c r="D100" s="56">
        <f>'High pensions'!Q100</f>
        <v>145021093.68808344</v>
      </c>
      <c r="E100" s="9"/>
      <c r="F100" s="56">
        <f>'High pensions'!I100</f>
        <v>26359300.425126769</v>
      </c>
      <c r="G100" s="56">
        <f>'High pensions'!K100</f>
        <v>3813195.1443143301</v>
      </c>
      <c r="H100" s="56">
        <f>'High pensions'!V100</f>
        <v>20979074.609560464</v>
      </c>
      <c r="I100" s="56">
        <f>'High pensions'!M100</f>
        <v>117933.87044270989</v>
      </c>
      <c r="J100" s="56">
        <f>'High pensions'!W100</f>
        <v>648837.3590585636</v>
      </c>
      <c r="K100" s="9"/>
      <c r="L100" s="56">
        <f>'High pensions'!N100</f>
        <v>1966083.4375601956</v>
      </c>
      <c r="M100" s="41"/>
      <c r="N100" s="56">
        <f>'High pensions'!L100</f>
        <v>1258910.4730083905</v>
      </c>
      <c r="O100" s="9"/>
      <c r="P100" s="56">
        <f>'High pensions'!X100</f>
        <v>17128170.287719898</v>
      </c>
      <c r="Q100" s="41"/>
      <c r="R100" s="56">
        <f>'High SIPA income'!G95</f>
        <v>40064901.803817213</v>
      </c>
      <c r="S100" s="41"/>
      <c r="T100" s="56">
        <f>'High SIPA income'!J95</f>
        <v>153191624.54004478</v>
      </c>
      <c r="U100" s="9"/>
      <c r="V100" s="56">
        <f>'High SIPA income'!F95</f>
        <v>198812.123668407</v>
      </c>
      <c r="W100" s="41"/>
      <c r="X100" s="56">
        <f>'High SIPA income'!M95</f>
        <v>499358.73552928778</v>
      </c>
      <c r="Y100" s="9"/>
      <c r="Z100" s="9">
        <f t="shared" si="34"/>
        <v>10679419.591790274</v>
      </c>
      <c r="AA100" s="9"/>
      <c r="AB100" s="9">
        <f t="shared" si="35"/>
        <v>-8957639.4357585609</v>
      </c>
      <c r="AC100" s="23"/>
      <c r="AD100" s="9"/>
      <c r="AE100" s="9"/>
      <c r="AF100" s="9"/>
      <c r="AG100" s="9">
        <f t="shared" si="31"/>
        <v>9174017126.0924301</v>
      </c>
      <c r="AH100" s="42">
        <f t="shared" si="41"/>
        <v>7.7830593625959239E-3</v>
      </c>
      <c r="AI100" s="42"/>
      <c r="AJ100" s="42">
        <f t="shared" si="36"/>
        <v>-9.7641407386100736E-4</v>
      </c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9"/>
      <c r="AV100" s="7"/>
      <c r="AW100" s="7">
        <f>workers_and_wage_high!C88</f>
        <v>14264986</v>
      </c>
      <c r="AX100" s="7"/>
      <c r="AY100" s="42">
        <f t="shared" si="37"/>
        <v>6.0337880910054048E-4</v>
      </c>
      <c r="AZ100" s="12">
        <f>workers_and_wage_high!B88</f>
        <v>9928.4059010596702</v>
      </c>
      <c r="BA100" s="42">
        <f t="shared" si="38"/>
        <v>7.1753510986948474E-3</v>
      </c>
      <c r="BB100" s="47"/>
      <c r="BC100" s="47"/>
      <c r="BD100" s="47"/>
      <c r="BE100" s="47"/>
      <c r="BF100" s="7">
        <f t="shared" si="32"/>
        <v>174.70525099423887</v>
      </c>
      <c r="BG100" s="7"/>
      <c r="BH100" s="7"/>
      <c r="BI100" s="42">
        <f t="shared" si="33"/>
        <v>1.9456627996781353E-2</v>
      </c>
      <c r="BJ100" s="7"/>
      <c r="BK100" s="7"/>
      <c r="BL100" s="7"/>
      <c r="BM100" s="7"/>
      <c r="BN100" s="7"/>
      <c r="BO100" s="7"/>
      <c r="BP100" s="7"/>
    </row>
    <row r="101" spans="1:68" x14ac:dyDescent="0.2">
      <c r="A101" s="7">
        <f t="shared" si="39"/>
        <v>2036</v>
      </c>
      <c r="B101" s="7">
        <f t="shared" si="40"/>
        <v>4</v>
      </c>
      <c r="C101" s="9"/>
      <c r="D101" s="56">
        <f>'High pensions'!Q101</f>
        <v>145793346.36749995</v>
      </c>
      <c r="E101" s="9"/>
      <c r="F101" s="56">
        <f>'High pensions'!I101</f>
        <v>26499666.490939453</v>
      </c>
      <c r="G101" s="56">
        <f>'High pensions'!K101</f>
        <v>3904959.1481716498</v>
      </c>
      <c r="H101" s="56">
        <f>'High pensions'!V101</f>
        <v>21483933.084025156</v>
      </c>
      <c r="I101" s="56">
        <f>'High pensions'!M101</f>
        <v>120771.93241768004</v>
      </c>
      <c r="J101" s="56">
        <f>'High pensions'!W101</f>
        <v>664451.53868119116</v>
      </c>
      <c r="K101" s="9"/>
      <c r="L101" s="56">
        <f>'High pensions'!N101</f>
        <v>1954352.4549121235</v>
      </c>
      <c r="M101" s="41"/>
      <c r="N101" s="56">
        <f>'High pensions'!L101</f>
        <v>1268284.7288095206</v>
      </c>
      <c r="O101" s="9"/>
      <c r="P101" s="56">
        <f>'High pensions'!X101</f>
        <v>17118872.552557513</v>
      </c>
      <c r="Q101" s="41"/>
      <c r="R101" s="56">
        <f>'High SIPA income'!G96</f>
        <v>46399789.268172652</v>
      </c>
      <c r="S101" s="41"/>
      <c r="T101" s="56">
        <f>'High SIPA income'!J96</f>
        <v>177413615.81547365</v>
      </c>
      <c r="U101" s="9"/>
      <c r="V101" s="56">
        <f>'High SIPA income'!F96</f>
        <v>203995.82863706301</v>
      </c>
      <c r="W101" s="41"/>
      <c r="X101" s="56">
        <f>'High SIPA income'!M96</f>
        <v>512378.70790693955</v>
      </c>
      <c r="Y101" s="9"/>
      <c r="Z101" s="9">
        <f t="shared" si="34"/>
        <v>16881481.422148615</v>
      </c>
      <c r="AA101" s="9"/>
      <c r="AB101" s="9">
        <f t="shared" si="35"/>
        <v>14501396.8954162</v>
      </c>
      <c r="AC101" s="23"/>
      <c r="AD101" s="9"/>
      <c r="AE101" s="9"/>
      <c r="AF101" s="9"/>
      <c r="AG101" s="9">
        <f t="shared" si="31"/>
        <v>9280001562.6114807</v>
      </c>
      <c r="AH101" s="42">
        <f t="shared" si="41"/>
        <v>1.1552674805632664E-2</v>
      </c>
      <c r="AI101" s="42">
        <f>(AG101-AG97)/AG97</f>
        <v>3.0414112371166046E-2</v>
      </c>
      <c r="AJ101" s="42">
        <f t="shared" si="36"/>
        <v>1.5626502643966548E-3</v>
      </c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V101" s="7"/>
      <c r="AW101" s="7">
        <f>workers_and_wage_high!C89</f>
        <v>14329481</v>
      </c>
      <c r="AX101" s="7"/>
      <c r="AY101" s="42">
        <f t="shared" si="37"/>
        <v>4.5212101855550369E-3</v>
      </c>
      <c r="AZ101" s="12">
        <f>workers_and_wage_high!B89</f>
        <v>9997.9029252331802</v>
      </c>
      <c r="BA101" s="42">
        <f t="shared" si="38"/>
        <v>6.9998169762673082E-3</v>
      </c>
      <c r="BB101" s="47"/>
      <c r="BC101" s="47"/>
      <c r="BD101" s="47"/>
      <c r="BE101" s="47"/>
      <c r="BF101" s="7">
        <f t="shared" si="32"/>
        <v>176.72356394581169</v>
      </c>
      <c r="BG101" s="7"/>
      <c r="BH101" s="7"/>
      <c r="BI101" s="42">
        <f t="shared" si="33"/>
        <v>1.6954315393914447E-2</v>
      </c>
      <c r="BJ101" s="7"/>
      <c r="BK101" s="7"/>
      <c r="BL101" s="7"/>
      <c r="BM101" s="7"/>
      <c r="BN101" s="7"/>
      <c r="BO101" s="7"/>
      <c r="BP101" s="7"/>
    </row>
    <row r="102" spans="1:68" x14ac:dyDescent="0.2">
      <c r="A102" s="5">
        <f t="shared" si="39"/>
        <v>2037</v>
      </c>
      <c r="B102" s="5">
        <f t="shared" si="40"/>
        <v>1</v>
      </c>
      <c r="C102" s="6"/>
      <c r="D102" s="55">
        <f>'High pensions'!Q102</f>
        <v>146486286.69269955</v>
      </c>
      <c r="E102" s="6"/>
      <c r="F102" s="55">
        <f>'High pensions'!I102</f>
        <v>26625616.597535029</v>
      </c>
      <c r="G102" s="55">
        <f>'High pensions'!K102</f>
        <v>3970862.4856642699</v>
      </c>
      <c r="H102" s="55">
        <f>'High pensions'!V102</f>
        <v>21846513.802281402</v>
      </c>
      <c r="I102" s="55">
        <f>'High pensions'!M102</f>
        <v>122810.17996898992</v>
      </c>
      <c r="J102" s="55">
        <f>'High pensions'!W102</f>
        <v>675665.37532824604</v>
      </c>
      <c r="K102" s="6"/>
      <c r="L102" s="55">
        <f>'High pensions'!N102</f>
        <v>2414920.8071132866</v>
      </c>
      <c r="M102" s="8"/>
      <c r="N102" s="55">
        <f>'High pensions'!L102</f>
        <v>1275843.6850329116</v>
      </c>
      <c r="O102" s="6"/>
      <c r="P102" s="55">
        <f>'High pensions'!X102</f>
        <v>19550351.068467628</v>
      </c>
      <c r="Q102" s="8"/>
      <c r="R102" s="55">
        <f>'High SIPA income'!G97</f>
        <v>40782218.781192683</v>
      </c>
      <c r="S102" s="8"/>
      <c r="T102" s="55">
        <f>'High SIPA income'!J97</f>
        <v>155934348.17412177</v>
      </c>
      <c r="U102" s="6"/>
      <c r="V102" s="55">
        <f>'High SIPA income'!F97</f>
        <v>210183.53528531201</v>
      </c>
      <c r="W102" s="8"/>
      <c r="X102" s="55">
        <f>'High SIPA income'!M97</f>
        <v>527920.44304201275</v>
      </c>
      <c r="Y102" s="6"/>
      <c r="Z102" s="6">
        <f t="shared" si="34"/>
        <v>10676021.226796761</v>
      </c>
      <c r="AA102" s="6"/>
      <c r="AB102" s="6">
        <f t="shared" si="35"/>
        <v>-10102289.587045401</v>
      </c>
      <c r="AC102" s="23"/>
      <c r="AD102" s="6"/>
      <c r="AE102" s="6"/>
      <c r="AF102" s="6"/>
      <c r="AG102" s="6">
        <f t="shared" ref="AG102:AG117" si="42">BF102/100*$AG$37</f>
        <v>9312895652.2433777</v>
      </c>
      <c r="AH102" s="35">
        <f t="shared" si="41"/>
        <v>3.5446211307145798E-3</v>
      </c>
      <c r="AI102" s="35"/>
      <c r="AJ102" s="35">
        <f t="shared" si="36"/>
        <v>-1.0847635326625684E-3</v>
      </c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35">
        <f>AVERAGE(AH102:AH105)</f>
        <v>6.374451451671528E-3</v>
      </c>
      <c r="AV102" s="5"/>
      <c r="AW102" s="5">
        <f>workers_and_wage_high!C90</f>
        <v>14356970</v>
      </c>
      <c r="AX102" s="5"/>
      <c r="AY102" s="35">
        <f t="shared" si="37"/>
        <v>1.9183528000769881E-3</v>
      </c>
      <c r="AZ102" s="11">
        <f>workers_and_wage_high!B90</f>
        <v>10014.1310668324</v>
      </c>
      <c r="BA102" s="35">
        <f t="shared" si="38"/>
        <v>1.623154547566453E-3</v>
      </c>
      <c r="BB102" s="40"/>
      <c r="BC102" s="40"/>
      <c r="BD102" s="40"/>
      <c r="BE102" s="40"/>
      <c r="BF102" s="5">
        <f t="shared" ref="BF102:BF117" si="43">BF101*(1+AY102)*(1+BA102)*(1-BE102)</f>
        <v>177.34998202486923</v>
      </c>
      <c r="BG102" s="5"/>
      <c r="BH102" s="5"/>
      <c r="BI102" s="35">
        <f t="shared" si="33"/>
        <v>1.942974293013525E-2</v>
      </c>
      <c r="BJ102" s="5"/>
      <c r="BK102" s="5"/>
      <c r="BL102" s="5"/>
      <c r="BM102" s="5"/>
      <c r="BN102" s="5"/>
      <c r="BO102" s="5"/>
      <c r="BP102" s="5"/>
    </row>
    <row r="103" spans="1:68" x14ac:dyDescent="0.2">
      <c r="A103" s="7">
        <f t="shared" si="39"/>
        <v>2037</v>
      </c>
      <c r="B103" s="7">
        <f t="shared" si="40"/>
        <v>2</v>
      </c>
      <c r="C103" s="9"/>
      <c r="D103" s="56">
        <f>'High pensions'!Q103</f>
        <v>147584246.22608331</v>
      </c>
      <c r="E103" s="9"/>
      <c r="F103" s="56">
        <f>'High pensions'!I103</f>
        <v>26825183.739521578</v>
      </c>
      <c r="G103" s="56">
        <f>'High pensions'!K103</f>
        <v>4064291.6616770201</v>
      </c>
      <c r="H103" s="56">
        <f>'High pensions'!V103</f>
        <v>22360533.562640056</v>
      </c>
      <c r="I103" s="56">
        <f>'High pensions'!M103</f>
        <v>125699.74211371969</v>
      </c>
      <c r="J103" s="56">
        <f>'High pensions'!W103</f>
        <v>691562.89368988445</v>
      </c>
      <c r="K103" s="9"/>
      <c r="L103" s="56">
        <f>'High pensions'!N103</f>
        <v>1918701.566473298</v>
      </c>
      <c r="M103" s="41"/>
      <c r="N103" s="56">
        <f>'High pensions'!L103</f>
        <v>1286987.326826185</v>
      </c>
      <c r="O103" s="9"/>
      <c r="P103" s="56">
        <f>'High pensions'!X103</f>
        <v>17036776.099100411</v>
      </c>
      <c r="Q103" s="41"/>
      <c r="R103" s="56">
        <f>'High SIPA income'!G98</f>
        <v>47395345.496546865</v>
      </c>
      <c r="S103" s="41"/>
      <c r="T103" s="56">
        <f>'High SIPA income'!J98</f>
        <v>181220211.34121323</v>
      </c>
      <c r="U103" s="9"/>
      <c r="V103" s="56">
        <f>'High SIPA income'!F98</f>
        <v>203989.81396891599</v>
      </c>
      <c r="W103" s="41"/>
      <c r="X103" s="56">
        <f>'High SIPA income'!M98</f>
        <v>512363.60079463123</v>
      </c>
      <c r="Y103" s="9"/>
      <c r="Z103" s="9">
        <f t="shared" si="34"/>
        <v>17568462.677694723</v>
      </c>
      <c r="AA103" s="9"/>
      <c r="AB103" s="9">
        <f t="shared" si="35"/>
        <v>16599189.016029507</v>
      </c>
      <c r="AC103" s="23"/>
      <c r="AD103" s="9"/>
      <c r="AE103" s="9"/>
      <c r="AF103" s="9"/>
      <c r="AG103" s="9">
        <f t="shared" si="42"/>
        <v>9373205695.3298283</v>
      </c>
      <c r="AH103" s="42">
        <f t="shared" si="41"/>
        <v>6.4759710984115372E-3</v>
      </c>
      <c r="AI103" s="42"/>
      <c r="AJ103" s="42">
        <f t="shared" si="36"/>
        <v>1.7709191023408356E-3</v>
      </c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>
        <f>workers_and_wage_high!C91</f>
        <v>14371680</v>
      </c>
      <c r="AX103" s="7"/>
      <c r="AY103" s="42">
        <f t="shared" si="37"/>
        <v>1.0245894502809436E-3</v>
      </c>
      <c r="AZ103" s="12">
        <f>workers_and_wage_high!B91</f>
        <v>10068.666041192701</v>
      </c>
      <c r="BA103" s="42">
        <f t="shared" si="38"/>
        <v>5.445801936917352E-3</v>
      </c>
      <c r="BB103" s="47"/>
      <c r="BC103" s="47"/>
      <c r="BD103" s="47"/>
      <c r="BE103" s="47"/>
      <c r="BF103" s="7">
        <f t="shared" si="43"/>
        <v>178.49849538276607</v>
      </c>
      <c r="BG103" s="7"/>
      <c r="BH103" s="7"/>
      <c r="BI103" s="42">
        <f t="shared" ref="BI103:BI117" si="44">T110/AG110</f>
        <v>1.698775768376562E-2</v>
      </c>
      <c r="BJ103" s="7"/>
      <c r="BK103" s="7"/>
      <c r="BL103" s="7"/>
      <c r="BM103" s="7"/>
      <c r="BN103" s="7"/>
      <c r="BO103" s="7"/>
      <c r="BP103" s="7"/>
    </row>
    <row r="104" spans="1:68" x14ac:dyDescent="0.2">
      <c r="A104" s="7">
        <f t="shared" si="39"/>
        <v>2037</v>
      </c>
      <c r="B104" s="7">
        <f t="shared" si="40"/>
        <v>3</v>
      </c>
      <c r="C104" s="9"/>
      <c r="D104" s="56">
        <f>'High pensions'!Q104</f>
        <v>148033919.07193866</v>
      </c>
      <c r="E104" s="9"/>
      <c r="F104" s="56">
        <f>'High pensions'!I104</f>
        <v>26906917.102134448</v>
      </c>
      <c r="G104" s="56">
        <f>'High pensions'!K104</f>
        <v>4174759.7419400499</v>
      </c>
      <c r="H104" s="56">
        <f>'High pensions'!V104</f>
        <v>22968296.346894242</v>
      </c>
      <c r="I104" s="56">
        <f>'High pensions'!M104</f>
        <v>129116.28067856049</v>
      </c>
      <c r="J104" s="56">
        <f>'High pensions'!W104</f>
        <v>710359.680831793</v>
      </c>
      <c r="K104" s="9"/>
      <c r="L104" s="56">
        <f>'High pensions'!N104</f>
        <v>1923040.7880678063</v>
      </c>
      <c r="M104" s="41"/>
      <c r="N104" s="56">
        <f>'High pensions'!L104</f>
        <v>1292639.4721029438</v>
      </c>
      <c r="O104" s="9"/>
      <c r="P104" s="56">
        <f>'High pensions'!X104</f>
        <v>17090388.776242368</v>
      </c>
      <c r="Q104" s="41"/>
      <c r="R104" s="56">
        <f>'High SIPA income'!G99</f>
        <v>41622452.4750259</v>
      </c>
      <c r="S104" s="41"/>
      <c r="T104" s="56">
        <f>'High SIPA income'!J99</f>
        <v>159147054.52697572</v>
      </c>
      <c r="U104" s="9"/>
      <c r="V104" s="56">
        <f>'High SIPA income'!F99</f>
        <v>201311.16866900399</v>
      </c>
      <c r="W104" s="41"/>
      <c r="X104" s="56">
        <f>'High SIPA income'!M99</f>
        <v>505635.6160761214</v>
      </c>
      <c r="Y104" s="9"/>
      <c r="Z104" s="9">
        <f t="shared" si="34"/>
        <v>11701166.281389717</v>
      </c>
      <c r="AA104" s="9"/>
      <c r="AB104" s="9">
        <f t="shared" si="35"/>
        <v>-5977253.321205318</v>
      </c>
      <c r="AC104" s="23"/>
      <c r="AD104" s="9"/>
      <c r="AE104" s="9"/>
      <c r="AF104" s="9"/>
      <c r="AG104" s="9">
        <f t="shared" si="42"/>
        <v>9415066801.8613377</v>
      </c>
      <c r="AH104" s="42">
        <f t="shared" si="41"/>
        <v>4.4660394631440307E-3</v>
      </c>
      <c r="AI104" s="42"/>
      <c r="AJ104" s="42">
        <f t="shared" si="36"/>
        <v>-6.3486042605917872E-4</v>
      </c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9"/>
      <c r="AV104" s="7"/>
      <c r="AW104" s="7">
        <f>workers_and_wage_high!C92</f>
        <v>14360905</v>
      </c>
      <c r="AX104" s="7"/>
      <c r="AY104" s="42">
        <f t="shared" si="37"/>
        <v>-7.4973837435846047E-4</v>
      </c>
      <c r="AZ104" s="12">
        <f>workers_and_wage_high!B92</f>
        <v>10121.2213691297</v>
      </c>
      <c r="BA104" s="42">
        <f t="shared" si="38"/>
        <v>5.2196912403278143E-3</v>
      </c>
      <c r="BB104" s="47"/>
      <c r="BC104" s="47"/>
      <c r="BD104" s="47"/>
      <c r="BE104" s="47"/>
      <c r="BF104" s="7">
        <f t="shared" si="43"/>
        <v>179.29567670725734</v>
      </c>
      <c r="BG104" s="7"/>
      <c r="BH104" s="7"/>
      <c r="BI104" s="42">
        <f t="shared" si="44"/>
        <v>1.9585935949411125E-2</v>
      </c>
      <c r="BJ104" s="7"/>
      <c r="BK104" s="7"/>
      <c r="BL104" s="7"/>
      <c r="BM104" s="7"/>
      <c r="BN104" s="7"/>
      <c r="BO104" s="7"/>
      <c r="BP104" s="7"/>
    </row>
    <row r="105" spans="1:68" x14ac:dyDescent="0.2">
      <c r="A105" s="7">
        <f t="shared" si="39"/>
        <v>2037</v>
      </c>
      <c r="B105" s="7">
        <f t="shared" si="40"/>
        <v>4</v>
      </c>
      <c r="C105" s="9"/>
      <c r="D105" s="56">
        <f>'High pensions'!Q105</f>
        <v>148966730.48941997</v>
      </c>
      <c r="E105" s="9"/>
      <c r="F105" s="56">
        <f>'High pensions'!I105</f>
        <v>27076466.619160321</v>
      </c>
      <c r="G105" s="56">
        <f>'High pensions'!K105</f>
        <v>4233447.7483569803</v>
      </c>
      <c r="H105" s="56">
        <f>'High pensions'!V105</f>
        <v>23291180.442438882</v>
      </c>
      <c r="I105" s="56">
        <f>'High pensions'!M105</f>
        <v>130931.37366052996</v>
      </c>
      <c r="J105" s="56">
        <f>'High pensions'!W105</f>
        <v>720345.78687957942</v>
      </c>
      <c r="K105" s="9"/>
      <c r="L105" s="56">
        <f>'High pensions'!N105</f>
        <v>1842542.2688988671</v>
      </c>
      <c r="M105" s="41"/>
      <c r="N105" s="56">
        <f>'High pensions'!L105</f>
        <v>1301330.4520195685</v>
      </c>
      <c r="O105" s="9"/>
      <c r="P105" s="56">
        <f>'High pensions'!X105</f>
        <v>16720496.784848517</v>
      </c>
      <c r="Q105" s="41"/>
      <c r="R105" s="56">
        <f>'High SIPA income'!G100</f>
        <v>48519085.715870209</v>
      </c>
      <c r="S105" s="41"/>
      <c r="T105" s="56">
        <f>'High SIPA income'!J100</f>
        <v>185516929.46627119</v>
      </c>
      <c r="U105" s="9"/>
      <c r="V105" s="56">
        <f>'High SIPA income'!F100</f>
        <v>195424.67233670101</v>
      </c>
      <c r="W105" s="41"/>
      <c r="X105" s="56">
        <f>'High SIPA income'!M100</f>
        <v>490850.4344133609</v>
      </c>
      <c r="Y105" s="9"/>
      <c r="Z105" s="9">
        <f t="shared" si="34"/>
        <v>18494171.048128154</v>
      </c>
      <c r="AA105" s="9"/>
      <c r="AB105" s="9">
        <f t="shared" si="35"/>
        <v>19829702.192002714</v>
      </c>
      <c r="AC105" s="23"/>
      <c r="AD105" s="9"/>
      <c r="AE105" s="9"/>
      <c r="AF105" s="9"/>
      <c r="AG105" s="9">
        <f t="shared" si="42"/>
        <v>9518737741.7154903</v>
      </c>
      <c r="AH105" s="42">
        <f t="shared" si="41"/>
        <v>1.1011174114415967E-2</v>
      </c>
      <c r="AI105" s="42">
        <f>(AG105-AG101)/AG101</f>
        <v>2.5725877037118407E-2</v>
      </c>
      <c r="AJ105" s="42">
        <f t="shared" si="36"/>
        <v>2.0832281264667931E-3</v>
      </c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V105" s="7"/>
      <c r="AW105" s="7">
        <f>workers_and_wage_high!C93</f>
        <v>14453711</v>
      </c>
      <c r="AX105" s="7"/>
      <c r="AY105" s="42">
        <f t="shared" si="37"/>
        <v>6.462406094880511E-3</v>
      </c>
      <c r="AZ105" s="12">
        <f>workers_and_wage_high!B93</f>
        <v>10166.9648442995</v>
      </c>
      <c r="BA105" s="42">
        <f t="shared" si="38"/>
        <v>4.5195607823894004E-3</v>
      </c>
      <c r="BB105" s="47"/>
      <c r="BC105" s="47"/>
      <c r="BD105" s="47"/>
      <c r="BE105" s="47"/>
      <c r="BF105" s="7">
        <f t="shared" si="43"/>
        <v>181.26993262144302</v>
      </c>
      <c r="BG105" s="7"/>
      <c r="BH105" s="7"/>
      <c r="BI105" s="42">
        <f t="shared" si="44"/>
        <v>1.7050386187487315E-2</v>
      </c>
      <c r="BJ105" s="7"/>
      <c r="BK105" s="7"/>
      <c r="BL105" s="7"/>
      <c r="BM105" s="7"/>
      <c r="BN105" s="7"/>
      <c r="BO105" s="7"/>
      <c r="BP105" s="7"/>
    </row>
    <row r="106" spans="1:68" x14ac:dyDescent="0.2">
      <c r="A106" s="5">
        <f t="shared" si="39"/>
        <v>2038</v>
      </c>
      <c r="B106" s="5">
        <f t="shared" si="40"/>
        <v>1</v>
      </c>
      <c r="C106" s="6"/>
      <c r="D106" s="55">
        <f>'High pensions'!Q106</f>
        <v>149417224.33128664</v>
      </c>
      <c r="E106" s="6"/>
      <c r="F106" s="55">
        <f>'High pensions'!I106</f>
        <v>27158349.207516558</v>
      </c>
      <c r="G106" s="55">
        <f>'High pensions'!K106</f>
        <v>4300563.38095464</v>
      </c>
      <c r="H106" s="55">
        <f>'High pensions'!V106</f>
        <v>23660430.850678176</v>
      </c>
      <c r="I106" s="55">
        <f>'High pensions'!M106</f>
        <v>133007.11487489007</v>
      </c>
      <c r="J106" s="55">
        <f>'High pensions'!W106</f>
        <v>731765.90259831771</v>
      </c>
      <c r="K106" s="6"/>
      <c r="L106" s="55">
        <f>'High pensions'!N106</f>
        <v>2301799.65251006</v>
      </c>
      <c r="M106" s="8"/>
      <c r="N106" s="55">
        <f>'High pensions'!L106</f>
        <v>1306748.3275220096</v>
      </c>
      <c r="O106" s="6"/>
      <c r="P106" s="55">
        <f>'High pensions'!X106</f>
        <v>19133393.084107473</v>
      </c>
      <c r="Q106" s="8"/>
      <c r="R106" s="55">
        <f>'High SIPA income'!G101</f>
        <v>42525708.576951474</v>
      </c>
      <c r="S106" s="8"/>
      <c r="T106" s="55">
        <f>'High SIPA income'!J101</f>
        <v>162600732.51943004</v>
      </c>
      <c r="U106" s="6"/>
      <c r="V106" s="55">
        <f>'High SIPA income'!F101</f>
        <v>199872.495001893</v>
      </c>
      <c r="W106" s="8"/>
      <c r="X106" s="55">
        <f>'High SIPA income'!M101</f>
        <v>502022.08260546619</v>
      </c>
      <c r="Y106" s="6"/>
      <c r="Z106" s="6">
        <f t="shared" si="34"/>
        <v>11958683.884404734</v>
      </c>
      <c r="AA106" s="6"/>
      <c r="AB106" s="6">
        <f t="shared" si="35"/>
        <v>-5949884.8959640563</v>
      </c>
      <c r="AC106" s="23"/>
      <c r="AD106" s="6"/>
      <c r="AE106" s="6"/>
      <c r="AF106" s="6"/>
      <c r="AG106" s="6">
        <f t="shared" si="42"/>
        <v>9619923156.8194828</v>
      </c>
      <c r="AH106" s="35">
        <f t="shared" si="41"/>
        <v>1.0630129524480057E-2</v>
      </c>
      <c r="AI106" s="35"/>
      <c r="AJ106" s="35">
        <f t="shared" si="36"/>
        <v>-6.1849609388472428E-4</v>
      </c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35">
        <f>AVERAGE(AH106:AH109)</f>
        <v>7.1417619514769874E-3</v>
      </c>
      <c r="AV106" s="5"/>
      <c r="AW106" s="5">
        <f>workers_and_wage_high!C94</f>
        <v>14472293</v>
      </c>
      <c r="AX106" s="5"/>
      <c r="AY106" s="35">
        <f t="shared" si="37"/>
        <v>1.2856213881680628E-3</v>
      </c>
      <c r="AZ106" s="11">
        <f>workers_and_wage_high!B94</f>
        <v>10261.8481460066</v>
      </c>
      <c r="BA106" s="35">
        <f t="shared" si="38"/>
        <v>9.3325100617712084E-3</v>
      </c>
      <c r="BB106" s="40"/>
      <c r="BC106" s="40"/>
      <c r="BD106" s="40"/>
      <c r="BE106" s="40"/>
      <c r="BF106" s="5">
        <f t="shared" si="43"/>
        <v>183.19685548410271</v>
      </c>
      <c r="BG106" s="5"/>
      <c r="BH106" s="5"/>
      <c r="BI106" s="35">
        <f t="shared" si="44"/>
        <v>1.9519414846711519E-2</v>
      </c>
      <c r="BJ106" s="5"/>
      <c r="BK106" s="5"/>
      <c r="BL106" s="5"/>
      <c r="BM106" s="5"/>
      <c r="BN106" s="5"/>
      <c r="BO106" s="5"/>
      <c r="BP106" s="5"/>
    </row>
    <row r="107" spans="1:68" x14ac:dyDescent="0.2">
      <c r="A107" s="7">
        <f t="shared" si="39"/>
        <v>2038</v>
      </c>
      <c r="B107" s="7">
        <f t="shared" si="40"/>
        <v>2</v>
      </c>
      <c r="C107" s="9"/>
      <c r="D107" s="56">
        <f>'High pensions'!Q107</f>
        <v>150078864.54689837</v>
      </c>
      <c r="E107" s="9"/>
      <c r="F107" s="56">
        <f>'High pensions'!I107</f>
        <v>27278610.1486881</v>
      </c>
      <c r="G107" s="56">
        <f>'High pensions'!K107</f>
        <v>4377116.4511607001</v>
      </c>
      <c r="H107" s="56">
        <f>'High pensions'!V107</f>
        <v>24081603.256144624</v>
      </c>
      <c r="I107" s="56">
        <f>'High pensions'!M107</f>
        <v>135374.73560290039</v>
      </c>
      <c r="J107" s="56">
        <f>'High pensions'!W107</f>
        <v>744791.85328278015</v>
      </c>
      <c r="K107" s="9"/>
      <c r="L107" s="56">
        <f>'High pensions'!N107</f>
        <v>1845229.7712411226</v>
      </c>
      <c r="M107" s="41"/>
      <c r="N107" s="56">
        <f>'High pensions'!L107</f>
        <v>1314123.8080856986</v>
      </c>
      <c r="O107" s="9"/>
      <c r="P107" s="56">
        <f>'High pensions'!X107</f>
        <v>16804827.517703895</v>
      </c>
      <c r="Q107" s="41"/>
      <c r="R107" s="56">
        <f>'High SIPA income'!G102</f>
        <v>49306386.835103594</v>
      </c>
      <c r="S107" s="41"/>
      <c r="T107" s="56">
        <f>'High SIPA income'!J102</f>
        <v>188527243.53238645</v>
      </c>
      <c r="U107" s="9"/>
      <c r="V107" s="56">
        <f>'High SIPA income'!F102</f>
        <v>199462.141232155</v>
      </c>
      <c r="W107" s="41"/>
      <c r="X107" s="56">
        <f>'High SIPA income'!M102</f>
        <v>500991.39224415901</v>
      </c>
      <c r="Y107" s="9"/>
      <c r="Z107" s="9">
        <f t="shared" si="34"/>
        <v>19067885.248320833</v>
      </c>
      <c r="AA107" s="9"/>
      <c r="AB107" s="9">
        <f t="shared" si="35"/>
        <v>21643551.467784196</v>
      </c>
      <c r="AC107" s="23"/>
      <c r="AD107" s="9"/>
      <c r="AE107" s="9"/>
      <c r="AF107" s="9"/>
      <c r="AG107" s="9">
        <f t="shared" si="42"/>
        <v>9689615464.8983326</v>
      </c>
      <c r="AH107" s="42">
        <f t="shared" si="41"/>
        <v>7.2445805379895891E-3</v>
      </c>
      <c r="AI107" s="42"/>
      <c r="AJ107" s="42">
        <f t="shared" si="36"/>
        <v>2.2336852836100951E-3</v>
      </c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>
        <f>workers_and_wage_high!C95</f>
        <v>14478934</v>
      </c>
      <c r="AX107" s="7"/>
      <c r="AY107" s="42">
        <f t="shared" si="37"/>
        <v>4.5887683451406076E-4</v>
      </c>
      <c r="AZ107" s="12">
        <f>workers_and_wage_high!B95</f>
        <v>10331.4500682657</v>
      </c>
      <c r="BA107" s="42">
        <f t="shared" si="38"/>
        <v>6.7825913294366881E-3</v>
      </c>
      <c r="BB107" s="47"/>
      <c r="BC107" s="47"/>
      <c r="BD107" s="47"/>
      <c r="BE107" s="47"/>
      <c r="BF107" s="7">
        <f t="shared" si="43"/>
        <v>184.52403985796374</v>
      </c>
      <c r="BG107" s="7"/>
      <c r="BH107" s="7"/>
      <c r="BI107" s="42">
        <f t="shared" si="44"/>
        <v>1.7070579769225297E-2</v>
      </c>
      <c r="BJ107" s="7"/>
      <c r="BK107" s="7"/>
      <c r="BL107" s="7"/>
      <c r="BM107" s="7"/>
      <c r="BN107" s="7"/>
      <c r="BO107" s="7"/>
      <c r="BP107" s="7"/>
    </row>
    <row r="108" spans="1:68" x14ac:dyDescent="0.2">
      <c r="A108" s="7">
        <f t="shared" si="39"/>
        <v>2038</v>
      </c>
      <c r="B108" s="7">
        <f t="shared" si="40"/>
        <v>3</v>
      </c>
      <c r="C108" s="9"/>
      <c r="D108" s="56">
        <f>'High pensions'!Q108</f>
        <v>151331218.42991954</v>
      </c>
      <c r="E108" s="9"/>
      <c r="F108" s="56">
        <f>'High pensions'!I108</f>
        <v>27506240.291321911</v>
      </c>
      <c r="G108" s="56">
        <f>'High pensions'!K108</f>
        <v>4448418.80862159</v>
      </c>
      <c r="H108" s="56">
        <f>'High pensions'!V108</f>
        <v>24473887.789297868</v>
      </c>
      <c r="I108" s="56">
        <f>'High pensions'!M108</f>
        <v>137579.96315324958</v>
      </c>
      <c r="J108" s="56">
        <f>'High pensions'!W108</f>
        <v>756924.36461748474</v>
      </c>
      <c r="K108" s="9"/>
      <c r="L108" s="56">
        <f>'High pensions'!N108</f>
        <v>1805615.4736878588</v>
      </c>
      <c r="M108" s="41"/>
      <c r="N108" s="56">
        <f>'High pensions'!L108</f>
        <v>1327184.5989198498</v>
      </c>
      <c r="O108" s="9"/>
      <c r="P108" s="56">
        <f>'High pensions'!X108</f>
        <v>16671125.356994765</v>
      </c>
      <c r="Q108" s="41"/>
      <c r="R108" s="56">
        <f>'High SIPA income'!G103</f>
        <v>43178529.385592915</v>
      </c>
      <c r="S108" s="41"/>
      <c r="T108" s="56">
        <f>'High SIPA income'!J103</f>
        <v>165096849.46235988</v>
      </c>
      <c r="U108" s="9"/>
      <c r="V108" s="56">
        <f>'High SIPA income'!F103</f>
        <v>200970.718580838</v>
      </c>
      <c r="W108" s="41"/>
      <c r="X108" s="56">
        <f>'High SIPA income'!M103</f>
        <v>504780.50360913243</v>
      </c>
      <c r="Y108" s="9"/>
      <c r="Z108" s="9">
        <f t="shared" si="34"/>
        <v>12740459.740244128</v>
      </c>
      <c r="AA108" s="9"/>
      <c r="AB108" s="9">
        <f t="shared" si="35"/>
        <v>-2905494.3245544434</v>
      </c>
      <c r="AC108" s="23"/>
      <c r="AD108" s="9"/>
      <c r="AE108" s="9"/>
      <c r="AF108" s="9"/>
      <c r="AG108" s="9">
        <f t="shared" si="42"/>
        <v>9737747920.0144787</v>
      </c>
      <c r="AH108" s="42">
        <f t="shared" si="41"/>
        <v>4.9674267560473424E-3</v>
      </c>
      <c r="AI108" s="42"/>
      <c r="AJ108" s="42">
        <f t="shared" si="36"/>
        <v>-2.9837436216464751E-4</v>
      </c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9"/>
      <c r="AV108" s="7"/>
      <c r="AW108" s="7">
        <f>workers_and_wage_high!C96</f>
        <v>14516354</v>
      </c>
      <c r="AX108" s="7"/>
      <c r="AY108" s="42">
        <f t="shared" si="37"/>
        <v>2.5844444073023607E-3</v>
      </c>
      <c r="AZ108" s="12">
        <f>workers_and_wage_high!B96</f>
        <v>10356.0062672841</v>
      </c>
      <c r="BA108" s="42">
        <f t="shared" si="38"/>
        <v>2.3768395390911272E-3</v>
      </c>
      <c r="BB108" s="47"/>
      <c r="BC108" s="47"/>
      <c r="BD108" s="47"/>
      <c r="BE108" s="47"/>
      <c r="BF108" s="7">
        <f t="shared" si="43"/>
        <v>185.44064951068813</v>
      </c>
      <c r="BG108" s="7"/>
      <c r="BH108" s="7"/>
      <c r="BI108" s="42">
        <f t="shared" si="44"/>
        <v>1.9568201775823871E-2</v>
      </c>
      <c r="BJ108" s="7"/>
      <c r="BK108" s="7"/>
      <c r="BL108" s="7"/>
      <c r="BM108" s="7"/>
      <c r="BN108" s="7"/>
      <c r="BO108" s="7"/>
      <c r="BP108" s="7"/>
    </row>
    <row r="109" spans="1:68" x14ac:dyDescent="0.2">
      <c r="A109" s="7">
        <f t="shared" si="39"/>
        <v>2038</v>
      </c>
      <c r="B109" s="7">
        <f t="shared" si="40"/>
        <v>4</v>
      </c>
      <c r="C109" s="9"/>
      <c r="D109" s="56">
        <f>'High pensions'!Q109</f>
        <v>151407387.96017873</v>
      </c>
      <c r="E109" s="9"/>
      <c r="F109" s="56">
        <f>'High pensions'!I109</f>
        <v>27520085.005082384</v>
      </c>
      <c r="G109" s="56">
        <f>'High pensions'!K109</f>
        <v>4488553.1379180197</v>
      </c>
      <c r="H109" s="56">
        <f>'High pensions'!V109</f>
        <v>24694695.027545273</v>
      </c>
      <c r="I109" s="56">
        <f>'High pensions'!M109</f>
        <v>138821.23106963001</v>
      </c>
      <c r="J109" s="56">
        <f>'High pensions'!W109</f>
        <v>763753.45446016605</v>
      </c>
      <c r="K109" s="9"/>
      <c r="L109" s="56">
        <f>'High pensions'!N109</f>
        <v>1854875.7651893373</v>
      </c>
      <c r="M109" s="41"/>
      <c r="N109" s="56">
        <f>'High pensions'!L109</f>
        <v>1328002.8684009649</v>
      </c>
      <c r="O109" s="9"/>
      <c r="P109" s="56">
        <f>'High pensions'!X109</f>
        <v>16931239.121026076</v>
      </c>
      <c r="Q109" s="41"/>
      <c r="R109" s="56">
        <f>'High SIPA income'!G104</f>
        <v>49766127.827314228</v>
      </c>
      <c r="S109" s="41"/>
      <c r="T109" s="56">
        <f>'High SIPA income'!J104</f>
        <v>190285103.06263718</v>
      </c>
      <c r="U109" s="9"/>
      <c r="V109" s="56">
        <f>'High SIPA income'!F104</f>
        <v>207978.74973124801</v>
      </c>
      <c r="W109" s="41"/>
      <c r="X109" s="56">
        <f>'High SIPA income'!M104</f>
        <v>522382.65738751751</v>
      </c>
      <c r="Y109" s="9"/>
      <c r="Z109" s="9">
        <f t="shared" si="34"/>
        <v>19271142.938372791</v>
      </c>
      <c r="AA109" s="9"/>
      <c r="AB109" s="9">
        <f t="shared" si="35"/>
        <v>21946475.981432378</v>
      </c>
      <c r="AC109" s="23"/>
      <c r="AD109" s="9"/>
      <c r="AE109" s="9"/>
      <c r="AF109" s="9"/>
      <c r="AG109" s="9">
        <f t="shared" si="42"/>
        <v>9793495660.074213</v>
      </c>
      <c r="AH109" s="42">
        <f t="shared" si="41"/>
        <v>5.7249109873909586E-3</v>
      </c>
      <c r="AI109" s="42">
        <f>(AG109-AG105)/AG105</f>
        <v>2.8864953086647931E-2</v>
      </c>
      <c r="AJ109" s="42">
        <f t="shared" si="36"/>
        <v>2.2409236439347208E-3</v>
      </c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V109" s="7"/>
      <c r="AW109" s="7">
        <f>workers_and_wage_high!C97</f>
        <v>14557818</v>
      </c>
      <c r="AX109" s="7"/>
      <c r="AY109" s="42">
        <f t="shared" si="37"/>
        <v>2.8563646215847313E-3</v>
      </c>
      <c r="AZ109" s="12">
        <f>workers_and_wage_high!B97</f>
        <v>10385.6283399859</v>
      </c>
      <c r="BA109" s="42">
        <f t="shared" si="38"/>
        <v>2.8603760887419092E-3</v>
      </c>
      <c r="BB109" s="47"/>
      <c r="BC109" s="47"/>
      <c r="BD109" s="47"/>
      <c r="BE109" s="47"/>
      <c r="BF109" s="7">
        <f t="shared" si="43"/>
        <v>186.50228072258079</v>
      </c>
      <c r="BG109" s="7"/>
      <c r="BH109" s="7"/>
      <c r="BI109" s="42">
        <f t="shared" si="44"/>
        <v>1.7020527314352378E-2</v>
      </c>
      <c r="BJ109" s="7"/>
      <c r="BK109" s="7"/>
      <c r="BL109" s="7"/>
      <c r="BM109" s="7"/>
      <c r="BN109" s="7"/>
      <c r="BO109" s="7"/>
      <c r="BP109" s="7"/>
    </row>
    <row r="110" spans="1:68" x14ac:dyDescent="0.2">
      <c r="A110" s="5">
        <f t="shared" si="39"/>
        <v>2039</v>
      </c>
      <c r="B110" s="5">
        <f t="shared" si="40"/>
        <v>1</v>
      </c>
      <c r="C110" s="6"/>
      <c r="D110" s="55">
        <f>'High pensions'!Q110</f>
        <v>152472958.77701229</v>
      </c>
      <c r="E110" s="6"/>
      <c r="F110" s="55">
        <f>'High pensions'!I110</f>
        <v>27713765.11444341</v>
      </c>
      <c r="G110" s="55">
        <f>'High pensions'!K110</f>
        <v>4596837.8761642901</v>
      </c>
      <c r="H110" s="55">
        <f>'High pensions'!V110</f>
        <v>25290445.708213288</v>
      </c>
      <c r="I110" s="55">
        <f>'High pensions'!M110</f>
        <v>142170.24359271023</v>
      </c>
      <c r="J110" s="55">
        <f>'High pensions'!W110</f>
        <v>782178.73324371118</v>
      </c>
      <c r="K110" s="6"/>
      <c r="L110" s="55">
        <f>'High pensions'!N110</f>
        <v>2335899.1699523828</v>
      </c>
      <c r="M110" s="8"/>
      <c r="N110" s="55">
        <f>'High pensions'!L110</f>
        <v>1340530.1355232894</v>
      </c>
      <c r="O110" s="6"/>
      <c r="P110" s="55">
        <f>'High pensions'!X110</f>
        <v>19496193.182596259</v>
      </c>
      <c r="Q110" s="8"/>
      <c r="R110" s="55">
        <f>'High SIPA income'!G105</f>
        <v>43833576.046247542</v>
      </c>
      <c r="S110" s="8"/>
      <c r="T110" s="55">
        <f>'High SIPA income'!J105</f>
        <v>167601477.14338049</v>
      </c>
      <c r="U110" s="6"/>
      <c r="V110" s="55">
        <f>'High SIPA income'!F105</f>
        <v>204358.96339279201</v>
      </c>
      <c r="W110" s="8"/>
      <c r="X110" s="55">
        <f>'High SIPA income'!M105</f>
        <v>513290.79771867569</v>
      </c>
      <c r="Y110" s="6"/>
      <c r="Z110" s="6">
        <f t="shared" ref="Z110:Z117" si="45">R110+V110-N110-L110-F110</f>
        <v>12647740.589721251</v>
      </c>
      <c r="AA110" s="6"/>
      <c r="AB110" s="6">
        <f t="shared" ref="AB110:AB117" si="46">T110-P110-D110</f>
        <v>-4367674.8162280619</v>
      </c>
      <c r="AC110" s="23"/>
      <c r="AD110" s="6"/>
      <c r="AE110" s="6"/>
      <c r="AF110" s="6"/>
      <c r="AG110" s="6">
        <f t="shared" si="42"/>
        <v>9866015295.447094</v>
      </c>
      <c r="AH110" s="35">
        <f t="shared" si="41"/>
        <v>7.4048774707203367E-3</v>
      </c>
      <c r="AI110" s="35"/>
      <c r="AJ110" s="35">
        <f t="shared" ref="AJ110:AJ117" si="47">AB110/AG110</f>
        <v>-4.4269897070234917E-4</v>
      </c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35">
        <f>AVERAGE(AH110:AH113)</f>
        <v>7.9221308374321717E-3</v>
      </c>
      <c r="AV110" s="5"/>
      <c r="AW110" s="5">
        <f>workers_and_wage_high!C98</f>
        <v>14593138</v>
      </c>
      <c r="AX110" s="5"/>
      <c r="AY110" s="35">
        <f t="shared" si="37"/>
        <v>2.4261877707222332E-3</v>
      </c>
      <c r="AZ110" s="11">
        <f>workers_and_wage_high!B98</f>
        <v>10437.2100140035</v>
      </c>
      <c r="BA110" s="35">
        <f t="shared" si="38"/>
        <v>4.9666396994974384E-3</v>
      </c>
      <c r="BB110" s="40"/>
      <c r="BC110" s="40"/>
      <c r="BD110" s="40"/>
      <c r="BE110" s="40"/>
      <c r="BF110" s="5">
        <f t="shared" si="43"/>
        <v>187.88330725934136</v>
      </c>
      <c r="BG110" s="5"/>
      <c r="BH110" s="5"/>
      <c r="BI110" s="35">
        <f t="shared" si="44"/>
        <v>1.9540903388241566E-2</v>
      </c>
      <c r="BJ110" s="5"/>
      <c r="BK110" s="5"/>
      <c r="BL110" s="5"/>
      <c r="BM110" s="5"/>
      <c r="BN110" s="5"/>
      <c r="BO110" s="5"/>
      <c r="BP110" s="5"/>
    </row>
    <row r="111" spans="1:68" x14ac:dyDescent="0.2">
      <c r="A111" s="7">
        <f t="shared" si="39"/>
        <v>2039</v>
      </c>
      <c r="B111" s="7">
        <f t="shared" si="40"/>
        <v>2</v>
      </c>
      <c r="C111" s="9"/>
      <c r="D111" s="56">
        <f>'High pensions'!Q111</f>
        <v>152769106.17542627</v>
      </c>
      <c r="E111" s="9"/>
      <c r="F111" s="56">
        <f>'High pensions'!I111</f>
        <v>27767593.409668542</v>
      </c>
      <c r="G111" s="56">
        <f>'High pensions'!K111</f>
        <v>4722621.7253644597</v>
      </c>
      <c r="H111" s="56">
        <f>'High pensions'!V111</f>
        <v>25982471.334277216</v>
      </c>
      <c r="I111" s="56">
        <f>'High pensions'!M111</f>
        <v>146060.46573291998</v>
      </c>
      <c r="J111" s="56">
        <f>'High pensions'!W111</f>
        <v>803581.58765805035</v>
      </c>
      <c r="K111" s="9"/>
      <c r="L111" s="56">
        <f>'High pensions'!N111</f>
        <v>1890479.3083649608</v>
      </c>
      <c r="M111" s="41"/>
      <c r="N111" s="56">
        <f>'High pensions'!L111</f>
        <v>1344128.1614164785</v>
      </c>
      <c r="O111" s="9"/>
      <c r="P111" s="56">
        <f>'High pensions'!X111</f>
        <v>17204702.680257253</v>
      </c>
      <c r="Q111" s="41"/>
      <c r="R111" s="56">
        <f>'High SIPA income'!G106</f>
        <v>50771305.868081212</v>
      </c>
      <c r="S111" s="41"/>
      <c r="T111" s="56">
        <f>'High SIPA income'!J106</f>
        <v>194128488.42199934</v>
      </c>
      <c r="U111" s="9"/>
      <c r="V111" s="56">
        <f>'High SIPA income'!F106</f>
        <v>202941.06372598</v>
      </c>
      <c r="W111" s="41"/>
      <c r="X111" s="56">
        <f>'High SIPA income'!M106</f>
        <v>509729.44254746102</v>
      </c>
      <c r="Y111" s="9"/>
      <c r="Z111" s="9">
        <f t="shared" si="45"/>
        <v>19972046.052357212</v>
      </c>
      <c r="AA111" s="9"/>
      <c r="AB111" s="9">
        <f t="shared" si="46"/>
        <v>24154679.5663158</v>
      </c>
      <c r="AC111" s="23"/>
      <c r="AD111" s="9"/>
      <c r="AE111" s="9"/>
      <c r="AF111" s="9"/>
      <c r="AG111" s="9">
        <f t="shared" si="42"/>
        <v>9911626838.9428711</v>
      </c>
      <c r="AH111" s="42">
        <f t="shared" si="41"/>
        <v>4.6230967751312588E-3</v>
      </c>
      <c r="AI111" s="42"/>
      <c r="AJ111" s="42">
        <f t="shared" si="47"/>
        <v>2.437004536067868E-3</v>
      </c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>
        <f>workers_and_wage_high!C99</f>
        <v>14547803</v>
      </c>
      <c r="AX111" s="7"/>
      <c r="AY111" s="42">
        <f t="shared" ref="AY111:AY117" si="48">(AW111-AW110)/AW110</f>
        <v>-3.1065970869322279E-3</v>
      </c>
      <c r="AZ111" s="12">
        <f>workers_and_wage_high!B99</f>
        <v>10518.137862403901</v>
      </c>
      <c r="BA111" s="42">
        <f t="shared" ref="BA111:BA117" si="49">(AZ111-AZ110)/AZ110</f>
        <v>7.7537817378227208E-3</v>
      </c>
      <c r="BB111" s="47"/>
      <c r="BC111" s="47"/>
      <c r="BD111" s="47"/>
      <c r="BE111" s="47"/>
      <c r="BF111" s="7">
        <f t="shared" si="43"/>
        <v>188.75190997123303</v>
      </c>
      <c r="BG111" s="7"/>
      <c r="BH111" s="7"/>
      <c r="BI111" s="42" t="e">
        <f t="shared" si="44"/>
        <v>#DIV/0!</v>
      </c>
      <c r="BJ111" s="7"/>
      <c r="BK111" s="7"/>
      <c r="BL111" s="7"/>
      <c r="BM111" s="7"/>
      <c r="BN111" s="7"/>
      <c r="BO111" s="7"/>
      <c r="BP111" s="7"/>
    </row>
    <row r="112" spans="1:68" x14ac:dyDescent="0.2">
      <c r="A112" s="7">
        <f t="shared" si="39"/>
        <v>2039</v>
      </c>
      <c r="B112" s="7">
        <f t="shared" si="40"/>
        <v>3</v>
      </c>
      <c r="C112" s="9"/>
      <c r="D112" s="56">
        <f>'High pensions'!Q112</f>
        <v>153709780.19278234</v>
      </c>
      <c r="E112" s="9"/>
      <c r="F112" s="56">
        <f>'High pensions'!I112</f>
        <v>27938572.047293019</v>
      </c>
      <c r="G112" s="56">
        <f>'High pensions'!K112</f>
        <v>4778704.7287240801</v>
      </c>
      <c r="H112" s="56">
        <f>'High pensions'!V112</f>
        <v>26291023.4716007</v>
      </c>
      <c r="I112" s="56">
        <f>'High pensions'!M112</f>
        <v>147794.99161001947</v>
      </c>
      <c r="J112" s="56">
        <f>'High pensions'!W112</f>
        <v>813124.43726598099</v>
      </c>
      <c r="K112" s="9"/>
      <c r="L112" s="56">
        <f>'High pensions'!N112</f>
        <v>1825884.5030722159</v>
      </c>
      <c r="M112" s="41"/>
      <c r="N112" s="56">
        <f>'High pensions'!L112</f>
        <v>1353473.0760434829</v>
      </c>
      <c r="O112" s="9"/>
      <c r="P112" s="56">
        <f>'High pensions'!X112</f>
        <v>16920932.891604625</v>
      </c>
      <c r="Q112" s="41"/>
      <c r="R112" s="56">
        <f>'High SIPA income'!G107</f>
        <v>44646323.619787939</v>
      </c>
      <c r="S112" s="41"/>
      <c r="T112" s="56">
        <f>'High SIPA income'!J107</f>
        <v>170709087.93302608</v>
      </c>
      <c r="U112" s="9"/>
      <c r="V112" s="56">
        <f>'High SIPA income'!F107</f>
        <v>199355.40526823601</v>
      </c>
      <c r="W112" s="41"/>
      <c r="X112" s="56">
        <f>'High SIPA income'!M107</f>
        <v>500723.30227562675</v>
      </c>
      <c r="Y112" s="9"/>
      <c r="Z112" s="9">
        <f t="shared" si="45"/>
        <v>13727749.398647461</v>
      </c>
      <c r="AA112" s="9"/>
      <c r="AB112" s="9">
        <f t="shared" si="46"/>
        <v>78374.84863910079</v>
      </c>
      <c r="AC112" s="23"/>
      <c r="AD112" s="9"/>
      <c r="AE112" s="9"/>
      <c r="AF112" s="9"/>
      <c r="AG112" s="9">
        <f t="shared" si="42"/>
        <v>10012036446.324221</v>
      </c>
      <c r="AH112" s="42">
        <f t="shared" si="41"/>
        <v>1.0130487054540765E-2</v>
      </c>
      <c r="AI112" s="42"/>
      <c r="AJ112" s="42">
        <f t="shared" si="47"/>
        <v>7.8280626583091411E-6</v>
      </c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9"/>
      <c r="AV112" s="7"/>
      <c r="AW112" s="7">
        <f>workers_and_wage_high!C100</f>
        <v>14654401</v>
      </c>
      <c r="AX112" s="7"/>
      <c r="AY112" s="42">
        <f t="shared" si="48"/>
        <v>7.327429440720362E-3</v>
      </c>
      <c r="AZ112" s="12">
        <f>workers_and_wage_high!B100</f>
        <v>10547.4063460734</v>
      </c>
      <c r="BA112" s="42">
        <f t="shared" si="49"/>
        <v>2.782667811772685E-3</v>
      </c>
      <c r="BB112" s="47"/>
      <c r="BC112" s="47"/>
      <c r="BD112" s="47"/>
      <c r="BE112" s="47"/>
      <c r="BF112" s="7">
        <f t="shared" si="43"/>
        <v>190.66405875171645</v>
      </c>
      <c r="BG112" s="7"/>
      <c r="BH112" s="7"/>
      <c r="BI112" s="42" t="e">
        <f t="shared" si="44"/>
        <v>#DIV/0!</v>
      </c>
      <c r="BJ112" s="7"/>
      <c r="BK112" s="7"/>
      <c r="BL112" s="7"/>
      <c r="BM112" s="7"/>
      <c r="BN112" s="7"/>
      <c r="BO112" s="7"/>
      <c r="BP112" s="7"/>
    </row>
    <row r="113" spans="1:68" x14ac:dyDescent="0.2">
      <c r="A113" s="7">
        <f t="shared" si="39"/>
        <v>2039</v>
      </c>
      <c r="B113" s="7">
        <f t="shared" si="40"/>
        <v>4</v>
      </c>
      <c r="C113" s="9"/>
      <c r="D113" s="56">
        <f>'High pensions'!Q113</f>
        <v>154880869.96577212</v>
      </c>
      <c r="E113" s="9"/>
      <c r="F113" s="56">
        <f>'High pensions'!I113</f>
        <v>28151431.475987062</v>
      </c>
      <c r="G113" s="56">
        <f>'High pensions'!K113</f>
        <v>4834135.7599317404</v>
      </c>
      <c r="H113" s="56">
        <f>'High pensions'!V113</f>
        <v>26595988.650506981</v>
      </c>
      <c r="I113" s="56">
        <f>'High pensions'!M113</f>
        <v>149509.35339995008</v>
      </c>
      <c r="J113" s="56">
        <f>'High pensions'!W113</f>
        <v>822556.35001567623</v>
      </c>
      <c r="K113" s="9"/>
      <c r="L113" s="56">
        <f>'High pensions'!N113</f>
        <v>1815446.3268464841</v>
      </c>
      <c r="M113" s="41"/>
      <c r="N113" s="56">
        <f>'High pensions'!L113</f>
        <v>1366043.5854825452</v>
      </c>
      <c r="O113" s="9"/>
      <c r="P113" s="56">
        <f>'High pensions'!X113</f>
        <v>16935928.379582122</v>
      </c>
      <c r="Q113" s="41"/>
      <c r="R113" s="56">
        <f>'High SIPA income'!G108</f>
        <v>51598554.231188729</v>
      </c>
      <c r="S113" s="41"/>
      <c r="T113" s="56">
        <f>'High SIPA income'!J108</f>
        <v>197291544.23736289</v>
      </c>
      <c r="U113" s="9"/>
      <c r="V113" s="56">
        <f>'High SIPA income'!F108</f>
        <v>213276.92684095999</v>
      </c>
      <c r="W113" s="41"/>
      <c r="X113" s="56">
        <f>'High SIPA income'!M108</f>
        <v>535690.15078026778</v>
      </c>
      <c r="Y113" s="9"/>
      <c r="Z113" s="9">
        <f t="shared" si="45"/>
        <v>20478909.769713596</v>
      </c>
      <c r="AA113" s="9"/>
      <c r="AB113" s="9">
        <f t="shared" si="46"/>
        <v>25474745.892008632</v>
      </c>
      <c r="AC113" s="23"/>
      <c r="AD113" s="9"/>
      <c r="AE113" s="9"/>
      <c r="AF113" s="9"/>
      <c r="AG113" s="9">
        <f t="shared" si="42"/>
        <v>10107451774.897907</v>
      </c>
      <c r="AH113" s="42">
        <f t="shared" si="41"/>
        <v>9.5300620493363273E-3</v>
      </c>
      <c r="AI113" s="42">
        <f>(AG113-AG109)/AG109</f>
        <v>3.2057615147941476E-2</v>
      </c>
      <c r="AJ113" s="42">
        <f t="shared" si="47"/>
        <v>2.5203925241845584E-3</v>
      </c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V113" s="7"/>
      <c r="AW113" s="7">
        <f>workers_and_wage_high!C101</f>
        <v>14708379</v>
      </c>
      <c r="AX113" s="7"/>
      <c r="AY113" s="42">
        <f t="shared" si="48"/>
        <v>3.6833985913173797E-3</v>
      </c>
      <c r="AZ113" s="12">
        <f>workers_and_wage_high!B101</f>
        <v>10608.8471702885</v>
      </c>
      <c r="BA113" s="42">
        <f t="shared" si="49"/>
        <v>5.8252068991324632E-3</v>
      </c>
      <c r="BB113" s="47"/>
      <c r="BC113" s="47"/>
      <c r="BD113" s="47"/>
      <c r="BE113" s="47"/>
      <c r="BF113" s="7">
        <f t="shared" si="43"/>
        <v>192.48109906219861</v>
      </c>
      <c r="BG113" s="7"/>
      <c r="BH113" s="7"/>
      <c r="BI113" s="42" t="e">
        <f t="shared" si="44"/>
        <v>#DIV/0!</v>
      </c>
      <c r="BJ113" s="7"/>
      <c r="BK113" s="7"/>
      <c r="BL113" s="7"/>
      <c r="BM113" s="7"/>
      <c r="BN113" s="7"/>
      <c r="BO113" s="7"/>
      <c r="BP113" s="7"/>
    </row>
    <row r="114" spans="1:68" x14ac:dyDescent="0.2">
      <c r="A114" s="5">
        <f t="shared" ref="A114:A117" si="50">A110+1</f>
        <v>2040</v>
      </c>
      <c r="B114" s="5">
        <f t="shared" ref="B114:B117" si="51">B110</f>
        <v>1</v>
      </c>
      <c r="C114" s="6"/>
      <c r="D114" s="55">
        <f>'High pensions'!Q114</f>
        <v>155147897.59746298</v>
      </c>
      <c r="E114" s="6"/>
      <c r="F114" s="55">
        <f>'High pensions'!I114</f>
        <v>28199966.908913039</v>
      </c>
      <c r="G114" s="55">
        <f>'High pensions'!K114</f>
        <v>4881993.4698728602</v>
      </c>
      <c r="H114" s="55">
        <f>'High pensions'!V114</f>
        <v>26859287.650295775</v>
      </c>
      <c r="I114" s="55">
        <f>'High pensions'!M114</f>
        <v>150989.48875894956</v>
      </c>
      <c r="J114" s="55">
        <f>'High pensions'!W114</f>
        <v>830699.61805035803</v>
      </c>
      <c r="K114" s="6"/>
      <c r="L114" s="55">
        <f>'High pensions'!N114</f>
        <v>2283646.4739974984</v>
      </c>
      <c r="M114" s="8"/>
      <c r="N114" s="55">
        <f>'High pensions'!L114</f>
        <v>1369395.7619360499</v>
      </c>
      <c r="O114" s="6"/>
      <c r="P114" s="55">
        <f>'High pensions'!X114</f>
        <v>19383863.854673825</v>
      </c>
      <c r="Q114" s="8"/>
      <c r="R114" s="55">
        <f>'High SIPA income'!G109</f>
        <v>45344518.335970327</v>
      </c>
      <c r="S114" s="8"/>
      <c r="T114" s="55">
        <f>'High SIPA income'!J109</f>
        <v>173378695.94407243</v>
      </c>
      <c r="U114" s="6"/>
      <c r="V114" s="55">
        <f>'High SIPA income'!F109</f>
        <v>204820.66397223799</v>
      </c>
      <c r="W114" s="8"/>
      <c r="X114" s="55">
        <f>'High SIPA income'!M109</f>
        <v>514450.45646227332</v>
      </c>
      <c r="Y114" s="6"/>
      <c r="Z114" s="6">
        <f t="shared" si="45"/>
        <v>13696329.855095983</v>
      </c>
      <c r="AA114" s="6"/>
      <c r="AB114" s="6">
        <f t="shared" si="46"/>
        <v>-1153065.5080643892</v>
      </c>
      <c r="AC114" s="23"/>
      <c r="AD114" s="6"/>
      <c r="AE114" s="6"/>
      <c r="AF114" s="6"/>
      <c r="AG114" s="6">
        <f t="shared" si="42"/>
        <v>10156579230.931461</v>
      </c>
      <c r="AH114" s="35">
        <f t="shared" si="41"/>
        <v>4.8605184697060105E-3</v>
      </c>
      <c r="AI114" s="35"/>
      <c r="AJ114" s="35">
        <f t="shared" si="47"/>
        <v>-1.1352892365106292E-4</v>
      </c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35">
        <f>AVERAGE(AH114:AH117)</f>
        <v>5.9862405115492408E-3</v>
      </c>
      <c r="AV114" s="5"/>
      <c r="AW114" s="5">
        <f>workers_and_wage_high!C102</f>
        <v>14723116</v>
      </c>
      <c r="AX114" s="5"/>
      <c r="AY114" s="35">
        <f t="shared" si="48"/>
        <v>1.0019458976410656E-3</v>
      </c>
      <c r="AZ114" s="11">
        <f>workers_and_wage_high!B102</f>
        <v>10649.741203392299</v>
      </c>
      <c r="BA114" s="35">
        <f t="shared" si="49"/>
        <v>3.8547103608324693E-3</v>
      </c>
      <c r="BB114" s="40"/>
      <c r="BC114" s="40"/>
      <c r="BD114" s="40"/>
      <c r="BE114" s="40"/>
      <c r="BF114" s="5">
        <f t="shared" si="43"/>
        <v>193.41665699925977</v>
      </c>
      <c r="BG114" s="5"/>
      <c r="BH114" s="5"/>
      <c r="BI114" s="35" t="e">
        <f t="shared" si="44"/>
        <v>#DIV/0!</v>
      </c>
      <c r="BJ114" s="5"/>
      <c r="BK114" s="5"/>
      <c r="BL114" s="5"/>
      <c r="BM114" s="5"/>
      <c r="BN114" s="5"/>
      <c r="BO114" s="5"/>
      <c r="BP114" s="5"/>
    </row>
    <row r="115" spans="1:68" x14ac:dyDescent="0.2">
      <c r="A115" s="7">
        <f t="shared" si="50"/>
        <v>2040</v>
      </c>
      <c r="B115" s="7">
        <f t="shared" si="51"/>
        <v>2</v>
      </c>
      <c r="C115" s="9"/>
      <c r="D115" s="56">
        <f>'High pensions'!Q115</f>
        <v>155410001.18166485</v>
      </c>
      <c r="E115" s="9"/>
      <c r="F115" s="56">
        <f>'High pensions'!I115</f>
        <v>28247607.33792083</v>
      </c>
      <c r="G115" s="56">
        <f>'High pensions'!K115</f>
        <v>4956484.6480495697</v>
      </c>
      <c r="H115" s="56">
        <f>'High pensions'!V115</f>
        <v>27269116.134173241</v>
      </c>
      <c r="I115" s="56">
        <f>'High pensions'!M115</f>
        <v>153293.33963040076</v>
      </c>
      <c r="J115" s="56">
        <f>'High pensions'!W115</f>
        <v>843374.72579918173</v>
      </c>
      <c r="K115" s="9"/>
      <c r="L115" s="56">
        <f>'High pensions'!N115</f>
        <v>1834833.0811551542</v>
      </c>
      <c r="M115" s="41"/>
      <c r="N115" s="56">
        <f>'High pensions'!L115</f>
        <v>1373184.6159278043</v>
      </c>
      <c r="O115" s="9"/>
      <c r="P115" s="56">
        <f>'High pensions'!X115</f>
        <v>17075814.182415769</v>
      </c>
      <c r="Q115" s="41"/>
      <c r="R115" s="56">
        <f>'High SIPA income'!G110</f>
        <v>52331205.068688184</v>
      </c>
      <c r="S115" s="41"/>
      <c r="T115" s="56">
        <f>'High SIPA income'!J110</f>
        <v>200092898.21463564</v>
      </c>
      <c r="U115" s="9"/>
      <c r="V115" s="56">
        <f>'High SIPA income'!F110</f>
        <v>221267.24781930001</v>
      </c>
      <c r="W115" s="41"/>
      <c r="X115" s="56">
        <f>'High SIPA income'!M110</f>
        <v>555759.53340439731</v>
      </c>
      <c r="Y115" s="9"/>
      <c r="Z115" s="9">
        <f t="shared" si="45"/>
        <v>21096847.281503692</v>
      </c>
      <c r="AA115" s="9"/>
      <c r="AB115" s="9">
        <f t="shared" si="46"/>
        <v>27607082.850555032</v>
      </c>
      <c r="AC115" s="23"/>
      <c r="AD115" s="9"/>
      <c r="AE115" s="9"/>
      <c r="AF115" s="9"/>
      <c r="AG115" s="9">
        <f t="shared" si="42"/>
        <v>10225410618.049047</v>
      </c>
      <c r="AH115" s="42">
        <f t="shared" si="41"/>
        <v>6.7770245820524752E-3</v>
      </c>
      <c r="AI115" s="42"/>
      <c r="AJ115" s="42">
        <f t="shared" si="47"/>
        <v>2.6998507817207161E-3</v>
      </c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>
        <f>workers_and_wage_high!C103</f>
        <v>14753801</v>
      </c>
      <c r="AX115" s="7"/>
      <c r="AY115" s="42">
        <f t="shared" si="48"/>
        <v>2.0841376241279358E-3</v>
      </c>
      <c r="AZ115" s="12">
        <f>workers_and_wage_high!B103</f>
        <v>10699.6152905295</v>
      </c>
      <c r="BA115" s="42">
        <f t="shared" si="49"/>
        <v>4.6831266774177097E-3</v>
      </c>
      <c r="BB115" s="47"/>
      <c r="BC115" s="47"/>
      <c r="BD115" s="47"/>
      <c r="BE115" s="47"/>
      <c r="BF115" s="7">
        <f t="shared" si="43"/>
        <v>194.72744643832215</v>
      </c>
      <c r="BG115" s="7"/>
      <c r="BH115" s="7"/>
      <c r="BI115" s="42" t="e">
        <f t="shared" si="44"/>
        <v>#DIV/0!</v>
      </c>
      <c r="BJ115" s="7"/>
      <c r="BK115" s="7"/>
      <c r="BL115" s="7"/>
      <c r="BM115" s="7"/>
      <c r="BN115" s="7"/>
      <c r="BO115" s="7"/>
      <c r="BP115" s="7"/>
    </row>
    <row r="116" spans="1:68" x14ac:dyDescent="0.2">
      <c r="A116" s="7">
        <f t="shared" si="50"/>
        <v>2040</v>
      </c>
      <c r="B116" s="7">
        <f t="shared" si="51"/>
        <v>3</v>
      </c>
      <c r="C116" s="9"/>
      <c r="D116" s="56">
        <f>'High pensions'!Q116</f>
        <v>155743678.35788852</v>
      </c>
      <c r="E116" s="9"/>
      <c r="F116" s="56">
        <f>'High pensions'!I116</f>
        <v>28308257.1145113</v>
      </c>
      <c r="G116" s="56">
        <f>'High pensions'!K116</f>
        <v>5031406.1511065001</v>
      </c>
      <c r="H116" s="56">
        <f>'High pensions'!V116</f>
        <v>27681312.138575312</v>
      </c>
      <c r="I116" s="56">
        <f>'High pensions'!M116</f>
        <v>155610.49951875955</v>
      </c>
      <c r="J116" s="56">
        <f>'High pensions'!W116</f>
        <v>856123.05583223619</v>
      </c>
      <c r="K116" s="9"/>
      <c r="L116" s="56">
        <f>'High pensions'!N116</f>
        <v>1724295.7489902978</v>
      </c>
      <c r="M116" s="41"/>
      <c r="N116" s="56">
        <f>'High pensions'!L116</f>
        <v>1378062.6513886414</v>
      </c>
      <c r="O116" s="9"/>
      <c r="P116" s="56">
        <f>'High pensions'!X116</f>
        <v>16529072.952192344</v>
      </c>
      <c r="Q116" s="41"/>
      <c r="R116" s="56">
        <f>'High SIPA income'!G111</f>
        <v>45843626.093098037</v>
      </c>
      <c r="S116" s="41"/>
      <c r="T116" s="56">
        <f>'High SIPA income'!J111</f>
        <v>175287077.711968</v>
      </c>
      <c r="U116" s="9"/>
      <c r="V116" s="56">
        <f>'High SIPA income'!F111</f>
        <v>218385.06309038101</v>
      </c>
      <c r="W116" s="41"/>
      <c r="X116" s="56">
        <f>'High SIPA income'!M111</f>
        <v>548520.31632226764</v>
      </c>
      <c r="Y116" s="9"/>
      <c r="Z116" s="9">
        <f t="shared" si="45"/>
        <v>14651395.641298186</v>
      </c>
      <c r="AA116" s="9"/>
      <c r="AB116" s="9">
        <f t="shared" si="46"/>
        <v>3014326.4018871486</v>
      </c>
      <c r="AC116" s="23"/>
      <c r="AD116" s="9"/>
      <c r="AE116" s="9"/>
      <c r="AF116" s="9"/>
      <c r="AG116" s="9">
        <f t="shared" si="42"/>
        <v>10298569161.494724</v>
      </c>
      <c r="AH116" s="42">
        <f t="shared" si="41"/>
        <v>7.1545824591673027E-3</v>
      </c>
      <c r="AI116" s="42"/>
      <c r="AJ116" s="42">
        <f t="shared" si="47"/>
        <v>2.9269370867143378E-4</v>
      </c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9"/>
      <c r="AV116" s="7"/>
      <c r="AW116" s="7">
        <f>workers_and_wage_high!C104</f>
        <v>14765763</v>
      </c>
      <c r="AX116" s="7"/>
      <c r="AY116" s="42">
        <f t="shared" si="48"/>
        <v>8.1077411847970565E-4</v>
      </c>
      <c r="AZ116" s="12">
        <f>workers_and_wage_high!B104</f>
        <v>10767.43661148</v>
      </c>
      <c r="BA116" s="42">
        <f t="shared" si="49"/>
        <v>6.3386691118258853E-3</v>
      </c>
      <c r="BB116" s="47"/>
      <c r="BC116" s="47"/>
      <c r="BD116" s="47"/>
      <c r="BE116" s="47"/>
      <c r="BF116" s="7">
        <f t="shared" si="43"/>
        <v>196.12064001092818</v>
      </c>
      <c r="BG116" s="7"/>
      <c r="BH116" s="7"/>
      <c r="BI116" s="42" t="e">
        <f t="shared" si="44"/>
        <v>#DIV/0!</v>
      </c>
      <c r="BJ116" s="7"/>
      <c r="BK116" s="7"/>
      <c r="BL116" s="7"/>
      <c r="BM116" s="7"/>
      <c r="BN116" s="7"/>
      <c r="BO116" s="7"/>
      <c r="BP116" s="7"/>
    </row>
    <row r="117" spans="1:68" x14ac:dyDescent="0.2">
      <c r="A117" s="7">
        <f t="shared" si="50"/>
        <v>2040</v>
      </c>
      <c r="B117" s="7">
        <f t="shared" si="51"/>
        <v>4</v>
      </c>
      <c r="C117" s="9"/>
      <c r="D117" s="56">
        <f>'High pensions'!Q117</f>
        <v>157682568.4043538</v>
      </c>
      <c r="E117" s="9"/>
      <c r="F117" s="56">
        <f>'High pensions'!I117</f>
        <v>28660673.331534121</v>
      </c>
      <c r="G117" s="56">
        <f>'High pensions'!K117</f>
        <v>5076325.6355774803</v>
      </c>
      <c r="H117" s="56">
        <f>'High pensions'!V117</f>
        <v>27928445.888744067</v>
      </c>
      <c r="I117" s="56">
        <f>'High pensions'!M117</f>
        <v>156999.76192507986</v>
      </c>
      <c r="J117" s="56">
        <f>'High pensions'!W117</f>
        <v>863766.36769313284</v>
      </c>
      <c r="K117" s="9"/>
      <c r="L117" s="56">
        <f>'High pensions'!N117</f>
        <v>1716655.742499297</v>
      </c>
      <c r="M117" s="41"/>
      <c r="N117" s="56">
        <f>'High pensions'!L117</f>
        <v>1398874.4206217155</v>
      </c>
      <c r="O117" s="9"/>
      <c r="P117" s="56">
        <f>'High pensions'!X117</f>
        <v>16603929.136047207</v>
      </c>
      <c r="Q117" s="41"/>
      <c r="R117" s="56">
        <f>'High SIPA income'!G112</f>
        <v>52903291.189857021</v>
      </c>
      <c r="S117" s="41"/>
      <c r="T117" s="56">
        <f>'High SIPA income'!J112</f>
        <v>202280319.08260134</v>
      </c>
      <c r="U117" s="9"/>
      <c r="V117" s="56">
        <f>'High SIPA income'!F112</f>
        <v>226587.24127840201</v>
      </c>
      <c r="W117" s="41"/>
      <c r="X117" s="56">
        <f>'High SIPA income'!M112</f>
        <v>569121.82317698735</v>
      </c>
      <c r="Y117" s="9"/>
      <c r="Z117" s="9">
        <f t="shared" si="45"/>
        <v>21353674.936480287</v>
      </c>
      <c r="AA117" s="9"/>
      <c r="AB117" s="9">
        <f t="shared" si="46"/>
        <v>27993821.542200327</v>
      </c>
      <c r="AC117" s="23"/>
      <c r="AD117" s="9"/>
      <c r="AE117" s="9"/>
      <c r="AF117" s="9"/>
      <c r="AG117" s="9">
        <f t="shared" si="42"/>
        <v>10351636004.931091</v>
      </c>
      <c r="AH117" s="42">
        <f t="shared" si="41"/>
        <v>5.1528365352711738E-3</v>
      </c>
      <c r="AI117" s="42">
        <f>(AG117-AG113)/AG113</f>
        <v>2.4158832064835697E-2</v>
      </c>
      <c r="AJ117" s="42">
        <f t="shared" si="47"/>
        <v>2.7042895952741411E-3</v>
      </c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V117" s="7"/>
      <c r="AW117" s="7">
        <f>workers_and_wage_high!C105</f>
        <v>14769297</v>
      </c>
      <c r="AX117" s="7"/>
      <c r="AY117" s="42">
        <f t="shared" si="48"/>
        <v>2.3933744568431717E-4</v>
      </c>
      <c r="AZ117" s="12">
        <f>workers_and_wage_high!B105</f>
        <v>10820.3297421609</v>
      </c>
      <c r="BA117" s="42">
        <f t="shared" si="49"/>
        <v>4.9123233866552232E-3</v>
      </c>
      <c r="BB117" s="47"/>
      <c r="BC117" s="47"/>
      <c r="BD117" s="47"/>
      <c r="BE117" s="47"/>
      <c r="BF117" s="7">
        <f t="shared" si="43"/>
        <v>197.13121761009728</v>
      </c>
      <c r="BG117" s="7"/>
      <c r="BH117" s="7"/>
      <c r="BI117" s="42" t="e">
        <f t="shared" si="44"/>
        <v>#DIV/0!</v>
      </c>
      <c r="BJ117" s="7"/>
      <c r="BK117" s="7"/>
      <c r="BL117" s="7"/>
      <c r="BM117" s="7"/>
      <c r="BN117" s="7"/>
      <c r="BO117" s="7"/>
      <c r="BP117" s="7"/>
    </row>
    <row r="118" spans="1:68" x14ac:dyDescent="0.2">
      <c r="AZ118">
        <f>AZ117/AZ14*100</f>
        <v>168.67787331571174</v>
      </c>
    </row>
    <row r="119" spans="1:68" x14ac:dyDescent="0.2">
      <c r="AI119" s="26">
        <f>AVERAGE(AI29:AI117)</f>
        <v>3.456253184425722E-2</v>
      </c>
      <c r="BF119" t="s">
        <v>63</v>
      </c>
    </row>
    <row r="120" spans="1:68" x14ac:dyDescent="0.2">
      <c r="AI120" s="26">
        <f>'Central scenario'!AI119</f>
        <v>2.588467459564613E-2</v>
      </c>
      <c r="AJ120" s="26">
        <f>AI119-AI120</f>
        <v>8.6778572486110907E-3</v>
      </c>
    </row>
    <row r="121" spans="1:68" x14ac:dyDescent="0.2">
      <c r="AI121" s="26">
        <f>'Low scenario'!AI119</f>
        <v>1.5539054578492972E-2</v>
      </c>
      <c r="AJ121" s="26">
        <f>AI120-AI121</f>
        <v>1.0345620017153157E-2</v>
      </c>
    </row>
  </sheetData>
  <mergeCells count="3">
    <mergeCell ref="AM1:AN1"/>
    <mergeCell ref="AQ1:AR1"/>
    <mergeCell ref="AS1:AT1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7"/>
  <sheetViews>
    <sheetView zoomScale="75" zoomScaleNormal="75" workbookViewId="0">
      <selection activeCell="D13" sqref="D13"/>
    </sheetView>
  </sheetViews>
  <sheetFormatPr baseColWidth="10" defaultColWidth="9" defaultRowHeight="12.75" x14ac:dyDescent="0.2"/>
  <sheetData>
    <row r="1" spans="1:7" x14ac:dyDescent="0.2">
      <c r="B1" t="s">
        <v>64</v>
      </c>
      <c r="E1" t="s">
        <v>65</v>
      </c>
      <c r="G1" t="s">
        <v>66</v>
      </c>
    </row>
    <row r="3" spans="1:7" ht="58.7" customHeight="1" x14ac:dyDescent="0.2">
      <c r="B3" s="18" t="s">
        <v>67</v>
      </c>
      <c r="C3" s="18" t="s">
        <v>68</v>
      </c>
      <c r="D3" s="18" t="s">
        <v>69</v>
      </c>
      <c r="E3" s="18" t="s">
        <v>70</v>
      </c>
      <c r="F3" s="18" t="s">
        <v>71</v>
      </c>
      <c r="G3" s="18" t="s">
        <v>72</v>
      </c>
    </row>
    <row r="4" spans="1:7" x14ac:dyDescent="0.2">
      <c r="A4" s="20"/>
      <c r="B4" s="20"/>
      <c r="C4" s="20"/>
    </row>
    <row r="5" spans="1:7" x14ac:dyDescent="0.2">
      <c r="A5" s="20">
        <v>2014</v>
      </c>
      <c r="B5" s="25">
        <f>'Central scenario'!AL3</f>
        <v>-1.9692504721512523E-2</v>
      </c>
      <c r="C5" s="25">
        <f>'Central scenario'!BO3</f>
        <v>-1.9692504721512523E-2</v>
      </c>
      <c r="D5" s="26">
        <f>'Low scenario'!AL3</f>
        <v>-1.9692504721512523E-2</v>
      </c>
      <c r="E5" s="26">
        <f>'Low scenario'!BO3</f>
        <v>-1.9692504721512523E-2</v>
      </c>
      <c r="F5" s="26">
        <f>'High scenario'!AL3</f>
        <v>-1.9692504721512523E-2</v>
      </c>
      <c r="G5" s="26">
        <f>'High scenario'!BO3</f>
        <v>-1.9692504721512523E-2</v>
      </c>
    </row>
    <row r="6" spans="1:7" x14ac:dyDescent="0.2">
      <c r="A6" s="20">
        <v>2015</v>
      </c>
      <c r="B6" s="25">
        <f>'Central scenario'!AL4</f>
        <v>-3.2874367663992966E-2</v>
      </c>
      <c r="C6" s="25">
        <f>'Central scenario'!BO4</f>
        <v>-3.2874367663992966E-2</v>
      </c>
      <c r="D6" s="26">
        <f>'Low scenario'!AL4</f>
        <v>-3.2867566498381316E-2</v>
      </c>
      <c r="E6" s="26">
        <f>'Low scenario'!BO4</f>
        <v>-3.2867566498381316E-2</v>
      </c>
      <c r="F6" s="26">
        <f>'High scenario'!AL4</f>
        <v>-3.2867428942015789E-2</v>
      </c>
      <c r="G6" s="26">
        <f>'High scenario'!BO4</f>
        <v>-3.2867428942015789E-2</v>
      </c>
    </row>
    <row r="7" spans="1:7" x14ac:dyDescent="0.2">
      <c r="A7" s="20">
        <v>2016</v>
      </c>
      <c r="B7" s="25">
        <f>'Central scenario'!AL5</f>
        <v>-3.2769767104184076E-2</v>
      </c>
      <c r="C7" s="25">
        <f>'Central scenario'!BO5</f>
        <v>-3.2809735076633359E-2</v>
      </c>
      <c r="D7" s="26">
        <f>'Low scenario'!AL5</f>
        <v>-3.276929305522492E-2</v>
      </c>
      <c r="E7" s="26">
        <f>'Low scenario'!BO5</f>
        <v>-3.2809261027674202E-2</v>
      </c>
      <c r="F7" s="26">
        <f>'High scenario'!AL5</f>
        <v>-3.2768031474307693E-2</v>
      </c>
      <c r="G7" s="26">
        <f>'High scenario'!BO5</f>
        <v>-3.2807999446756976E-2</v>
      </c>
    </row>
    <row r="8" spans="1:7" x14ac:dyDescent="0.2">
      <c r="A8" s="20">
        <v>2017</v>
      </c>
      <c r="B8" s="25">
        <f>'Central scenario'!AL6</f>
        <v>-3.657028727940486E-2</v>
      </c>
      <c r="C8" s="25">
        <f>'Central scenario'!BO6</f>
        <v>-3.7113901938517706E-2</v>
      </c>
      <c r="D8" s="26">
        <f>'Low scenario'!AL6</f>
        <v>-3.6563964922451557E-2</v>
      </c>
      <c r="E8" s="26">
        <f>'Low scenario'!BO6</f>
        <v>-3.7107579581564402E-2</v>
      </c>
      <c r="F8" s="26">
        <f>'High scenario'!AL6</f>
        <v>-3.6559160254587511E-2</v>
      </c>
      <c r="G8" s="26">
        <f>'High scenario'!BO6</f>
        <v>-3.7102774913700357E-2</v>
      </c>
    </row>
    <row r="9" spans="1:7" x14ac:dyDescent="0.2">
      <c r="A9" s="20">
        <f t="shared" ref="A9:A31" si="0">A8+1</f>
        <v>2018</v>
      </c>
      <c r="B9" s="25">
        <f>'Central scenario'!AL7</f>
        <v>-3.6128299721158844E-2</v>
      </c>
      <c r="C9" s="25">
        <f>'Central scenario'!BO7</f>
        <v>-3.7080046459942104E-2</v>
      </c>
      <c r="D9" s="26">
        <f>'Low scenario'!AL7</f>
        <v>-3.6082251208706832E-2</v>
      </c>
      <c r="E9" s="26">
        <f>'Low scenario'!BO7</f>
        <v>-3.7033997947490092E-2</v>
      </c>
      <c r="F9" s="26">
        <f>'High scenario'!AL7</f>
        <v>-3.6935377871097748E-2</v>
      </c>
      <c r="G9" s="26">
        <f>'High scenario'!BO7</f>
        <v>-3.7887124609881008E-2</v>
      </c>
    </row>
    <row r="10" spans="1:7" x14ac:dyDescent="0.2">
      <c r="A10" s="20">
        <f t="shared" si="0"/>
        <v>2019</v>
      </c>
      <c r="B10" s="25">
        <f>'Central scenario'!AL8</f>
        <v>-3.702863314835745E-2</v>
      </c>
      <c r="C10" s="25">
        <f>'Central scenario'!BO8</f>
        <v>-3.7886901160571959E-2</v>
      </c>
      <c r="D10" s="26">
        <f>'Low scenario'!AL8</f>
        <v>-3.6959709762769091E-2</v>
      </c>
      <c r="E10" s="26">
        <f>'Low scenario'!BO8</f>
        <v>-3.7817977774983601E-2</v>
      </c>
      <c r="F10" s="26">
        <f>'High scenario'!AL8</f>
        <v>-3.7570961536689318E-2</v>
      </c>
      <c r="G10" s="26">
        <f>'High scenario'!BO8</f>
        <v>-3.8422430941969461E-2</v>
      </c>
    </row>
    <row r="11" spans="1:7" x14ac:dyDescent="0.2">
      <c r="A11" s="20">
        <f t="shared" si="0"/>
        <v>2020</v>
      </c>
      <c r="B11" s="25">
        <f>'Central scenario'!AL9</f>
        <v>-3.4924575866021303E-2</v>
      </c>
      <c r="C11" s="25">
        <f>'Central scenario'!BO9</f>
        <v>-3.6046273529294105E-2</v>
      </c>
      <c r="D11" s="26">
        <f>'Low scenario'!AL9</f>
        <v>-3.5360577800789592E-2</v>
      </c>
      <c r="E11" s="26">
        <f>'Low scenario'!BO9</f>
        <v>-3.6481827746020642E-2</v>
      </c>
      <c r="F11" s="26">
        <f>'High scenario'!AL9</f>
        <v>-3.2800543627865109E-2</v>
      </c>
      <c r="G11" s="26">
        <f>'High scenario'!BO9</f>
        <v>-3.3905941460582623E-2</v>
      </c>
    </row>
    <row r="12" spans="1:7" x14ac:dyDescent="0.2">
      <c r="A12" s="20">
        <f t="shared" si="0"/>
        <v>2021</v>
      </c>
      <c r="B12" s="25">
        <f>'Central scenario'!AL10</f>
        <v>-3.288330693205848E-2</v>
      </c>
      <c r="C12" s="25">
        <f>'Central scenario'!BO10</f>
        <v>-3.4433691394260814E-2</v>
      </c>
      <c r="D12" s="26">
        <f>'Low scenario'!AL10</f>
        <v>-3.4935344075168066E-2</v>
      </c>
      <c r="E12" s="26">
        <f>'Low scenario'!BO10</f>
        <v>-3.647004207287316E-2</v>
      </c>
      <c r="F12" s="26">
        <f>'High scenario'!AL10</f>
        <v>-2.8141138623761022E-2</v>
      </c>
      <c r="G12" s="26">
        <f>'High scenario'!BO10</f>
        <v>-2.9697993972140249E-2</v>
      </c>
    </row>
    <row r="13" spans="1:7" x14ac:dyDescent="0.2">
      <c r="A13" s="20">
        <f t="shared" si="0"/>
        <v>2022</v>
      </c>
      <c r="B13" s="25">
        <f>'Central scenario'!AL11</f>
        <v>-3.223316884102987E-2</v>
      </c>
      <c r="C13" s="25">
        <f>'Central scenario'!BO11</f>
        <v>-3.4199075310982693E-2</v>
      </c>
      <c r="D13" s="26">
        <f>'Low scenario'!AL11</f>
        <v>-3.5700095099385452E-2</v>
      </c>
      <c r="E13" s="26">
        <f>'Low scenario'!BO11</f>
        <v>-3.7640097728357046E-2</v>
      </c>
      <c r="F13" s="26">
        <f>'High scenario'!AL11</f>
        <v>-2.7758031888344064E-2</v>
      </c>
      <c r="G13" s="26">
        <f>'High scenario'!BO11</f>
        <v>-2.9740677646189942E-2</v>
      </c>
    </row>
    <row r="14" spans="1:7" x14ac:dyDescent="0.2">
      <c r="A14" s="20">
        <f t="shared" si="0"/>
        <v>2023</v>
      </c>
      <c r="B14" s="25">
        <f>'Central scenario'!AL12</f>
        <v>-3.1238802403607668E-2</v>
      </c>
      <c r="C14" s="25">
        <f>'Central scenario'!BO12</f>
        <v>-3.3532821913051986E-2</v>
      </c>
      <c r="D14" s="26">
        <f>'Low scenario'!AL12</f>
        <v>-3.5870790177635926E-2</v>
      </c>
      <c r="E14" s="26">
        <f>'Low scenario'!BO12</f>
        <v>-3.811116926405992E-2</v>
      </c>
      <c r="F14" s="26">
        <f>'High scenario'!AL12</f>
        <v>-2.7158206306906803E-2</v>
      </c>
      <c r="G14" s="26">
        <f>'High scenario'!BO12</f>
        <v>-2.9356388502072728E-2</v>
      </c>
    </row>
    <row r="15" spans="1:7" x14ac:dyDescent="0.2">
      <c r="A15" s="32">
        <f t="shared" si="0"/>
        <v>2024</v>
      </c>
      <c r="B15" s="33">
        <f>'Central scenario'!AL13</f>
        <v>-2.9956679353725556E-2</v>
      </c>
      <c r="C15" s="33">
        <f>'Central scenario'!BO13</f>
        <v>-3.2509909262887111E-2</v>
      </c>
      <c r="D15" s="26">
        <f>'Low scenario'!AL13</f>
        <v>-3.6560327530100578E-2</v>
      </c>
      <c r="E15" s="26">
        <f>'Low scenario'!BO13</f>
        <v>-3.9161004052621767E-2</v>
      </c>
      <c r="F15" s="26">
        <f>'High scenario'!AL13</f>
        <v>-2.5425116287734615E-2</v>
      </c>
      <c r="G15" s="26">
        <f>'High scenario'!BO13</f>
        <v>-2.7930927429747406E-2</v>
      </c>
    </row>
    <row r="16" spans="1:7" x14ac:dyDescent="0.2">
      <c r="A16" s="36">
        <f t="shared" si="0"/>
        <v>2025</v>
      </c>
      <c r="B16" s="37">
        <f>'Central scenario'!AL14</f>
        <v>-2.9300901743958066E-2</v>
      </c>
      <c r="C16" s="37">
        <f>'Central scenario'!BO14</f>
        <v>-3.282116111996166E-2</v>
      </c>
      <c r="D16" s="26">
        <f>'Low scenario'!AL14</f>
        <v>-3.7131348783478874E-2</v>
      </c>
      <c r="E16" s="26">
        <f>'Low scenario'!BO14</f>
        <v>-4.0676113156491986E-2</v>
      </c>
      <c r="F16" s="26">
        <f>'High scenario'!AL14</f>
        <v>-2.2906259960261351E-2</v>
      </c>
      <c r="G16" s="26">
        <f>'High scenario'!BO14</f>
        <v>-2.6265723744712782E-2</v>
      </c>
    </row>
    <row r="17" spans="1:9" x14ac:dyDescent="0.2">
      <c r="A17" s="43">
        <f t="shared" si="0"/>
        <v>2026</v>
      </c>
      <c r="B17" s="44">
        <f>'Central scenario'!AL15</f>
        <v>-2.7072431344146369E-2</v>
      </c>
      <c r="C17" s="44">
        <f>'Central scenario'!BO15</f>
        <v>-3.1703789539046054E-2</v>
      </c>
      <c r="D17" s="26">
        <f>'Low scenario'!AL15</f>
        <v>-3.5047143539884987E-2</v>
      </c>
      <c r="E17" s="26">
        <f>'Low scenario'!BO15</f>
        <v>-3.9649294126746268E-2</v>
      </c>
      <c r="F17" s="26">
        <f>'High scenario'!AL15</f>
        <v>-2.0476877959928735E-2</v>
      </c>
      <c r="G17" s="26">
        <f>'High scenario'!BO15</f>
        <v>-2.4849070947865586E-2</v>
      </c>
    </row>
    <row r="18" spans="1:9" x14ac:dyDescent="0.2">
      <c r="A18" s="43">
        <f t="shared" si="0"/>
        <v>2027</v>
      </c>
      <c r="B18" s="44">
        <f>'Central scenario'!AL16</f>
        <v>-2.5361670924052122E-2</v>
      </c>
      <c r="C18" s="44">
        <f>'Central scenario'!BO16</f>
        <v>-3.07597171560101E-2</v>
      </c>
      <c r="D18" s="26">
        <f>'Low scenario'!AL16</f>
        <v>-3.3381340130824506E-2</v>
      </c>
      <c r="E18" s="26">
        <f>'Low scenario'!BO16</f>
        <v>-3.8925349821705042E-2</v>
      </c>
      <c r="F18" s="26">
        <f>'High scenario'!AL16</f>
        <v>-1.7694430143396885E-2</v>
      </c>
      <c r="G18" s="26">
        <f>'High scenario'!BO16</f>
        <v>-2.2626265683255646E-2</v>
      </c>
    </row>
    <row r="19" spans="1:9" x14ac:dyDescent="0.2">
      <c r="A19" s="43">
        <f t="shared" si="0"/>
        <v>2028</v>
      </c>
      <c r="B19" s="44">
        <f>'Central scenario'!AL17</f>
        <v>-2.3323469568539798E-2</v>
      </c>
      <c r="C19" s="44">
        <f>'Central scenario'!BO17</f>
        <v>-2.9576104722891853E-2</v>
      </c>
      <c r="D19" s="26">
        <f>'Low scenario'!AL17</f>
        <v>-3.127555790366366E-2</v>
      </c>
      <c r="E19" s="26">
        <f>'Low scenario'!BO17</f>
        <v>-3.7774206448495273E-2</v>
      </c>
      <c r="F19" s="26">
        <f>'High scenario'!AL17</f>
        <v>-1.5126432238653379E-2</v>
      </c>
      <c r="G19" s="26">
        <f>'High scenario'!BO17</f>
        <v>-2.0805727907156513E-2</v>
      </c>
    </row>
    <row r="20" spans="1:9" x14ac:dyDescent="0.2">
      <c r="A20" s="36">
        <f t="shared" si="0"/>
        <v>2029</v>
      </c>
      <c r="B20" s="37">
        <f>'Central scenario'!AL18</f>
        <v>-2.0724055387641535E-2</v>
      </c>
      <c r="C20" s="37">
        <f>'Central scenario'!BO18</f>
        <v>-2.7841728304600341E-2</v>
      </c>
      <c r="D20" s="26">
        <f>'Low scenario'!AL18</f>
        <v>-3.0862807376122674E-2</v>
      </c>
      <c r="E20" s="26">
        <f>'Low scenario'!BO18</f>
        <v>-3.8166853555446655E-2</v>
      </c>
      <c r="F20" s="26">
        <f>'High scenario'!AL18</f>
        <v>-1.2295460080909265E-2</v>
      </c>
      <c r="G20" s="26">
        <f>'High scenario'!BO18</f>
        <v>-1.8636524920830101E-2</v>
      </c>
    </row>
    <row r="21" spans="1:9" x14ac:dyDescent="0.2">
      <c r="A21" s="43">
        <f t="shared" si="0"/>
        <v>2030</v>
      </c>
      <c r="B21" s="44">
        <f>'Central scenario'!AL19</f>
        <v>-1.8849895463106676E-2</v>
      </c>
      <c r="C21" s="44">
        <f>'Central scenario'!BO19</f>
        <v>-2.679753484565749E-2</v>
      </c>
      <c r="D21" s="26">
        <f>'Low scenario'!AL19</f>
        <v>-2.9550569413448018E-2</v>
      </c>
      <c r="E21" s="26">
        <f>'Low scenario'!BO19</f>
        <v>-3.7495087634763356E-2</v>
      </c>
      <c r="F21" s="26">
        <f>'High scenario'!AL19</f>
        <v>-1.0368483958178324E-2</v>
      </c>
      <c r="G21" s="26">
        <f>'High scenario'!BO19</f>
        <v>-1.7362740433170147E-2</v>
      </c>
    </row>
    <row r="22" spans="1:9" x14ac:dyDescent="0.2">
      <c r="A22" s="43">
        <f t="shared" si="0"/>
        <v>2031</v>
      </c>
      <c r="B22" s="44">
        <f>'Central scenario'!AL20</f>
        <v>-1.7116590132436403E-2</v>
      </c>
      <c r="C22" s="44">
        <f>'Central scenario'!BO20</f>
        <v>-2.573842636126103E-2</v>
      </c>
      <c r="D22" s="26">
        <f>'Low scenario'!AL20</f>
        <v>-2.9570183667920139E-2</v>
      </c>
      <c r="E22" s="26">
        <f>'Low scenario'!BO20</f>
        <v>-3.8081633514525114E-2</v>
      </c>
      <c r="F22" s="26">
        <f>'High scenario'!AL20</f>
        <v>-7.8663426791195298E-3</v>
      </c>
      <c r="G22" s="26">
        <f>'High scenario'!BO20</f>
        <v>-1.5266492808230857E-2</v>
      </c>
      <c r="H22" s="26">
        <f>B31-D31</f>
        <v>1.8088169489410902E-2</v>
      </c>
      <c r="I22" s="26">
        <f>C31-E31</f>
        <v>2.0401593713280156E-2</v>
      </c>
    </row>
    <row r="23" spans="1:9" x14ac:dyDescent="0.2">
      <c r="A23" s="43">
        <f t="shared" si="0"/>
        <v>2032</v>
      </c>
      <c r="B23" s="44">
        <f>'Central scenario'!AL21</f>
        <v>-1.6723440028358925E-2</v>
      </c>
      <c r="C23" s="44">
        <f>'Central scenario'!BO21</f>
        <v>-2.5576988897550768E-2</v>
      </c>
      <c r="D23" s="26">
        <f>'Low scenario'!AL21</f>
        <v>-2.944757985326377E-2</v>
      </c>
      <c r="E23" s="26">
        <f>'Low scenario'!BO21</f>
        <v>-3.896152794159459E-2</v>
      </c>
      <c r="F23" s="26">
        <f>'High scenario'!AL21</f>
        <v>-6.077540612204271E-3</v>
      </c>
      <c r="G23" s="26">
        <f>'High scenario'!BO21</f>
        <v>-1.3955187495331249E-2</v>
      </c>
      <c r="H23" s="26">
        <f>B31-F31</f>
        <v>-1.4082078025024841E-2</v>
      </c>
      <c r="I23" s="26">
        <f>C31-G31</f>
        <v>-1.605927302655763E-2</v>
      </c>
    </row>
    <row r="24" spans="1:9" x14ac:dyDescent="0.2">
      <c r="A24" s="36">
        <f t="shared" si="0"/>
        <v>2033</v>
      </c>
      <c r="B24" s="37">
        <f>'Central scenario'!AL22</f>
        <v>-1.4894216888064683E-2</v>
      </c>
      <c r="C24" s="37">
        <f>'Central scenario'!BO22</f>
        <v>-2.4273401895879995E-2</v>
      </c>
      <c r="D24" s="26">
        <f>'Low scenario'!AL22</f>
        <v>-2.8577002621147738E-2</v>
      </c>
      <c r="E24" s="26">
        <f>'Low scenario'!BO22</f>
        <v>-3.9165808055551241E-2</v>
      </c>
      <c r="F24" s="26">
        <f>'High scenario'!AL22</f>
        <v>-4.6952188150375541E-3</v>
      </c>
      <c r="G24" s="26">
        <f>'High scenario'!BO22</f>
        <v>-1.2896077269265475E-2</v>
      </c>
      <c r="H24" s="26">
        <f>H22-I22</f>
        <v>-2.3134242238692544E-3</v>
      </c>
    </row>
    <row r="25" spans="1:9" x14ac:dyDescent="0.2">
      <c r="A25" s="43">
        <f t="shared" si="0"/>
        <v>2034</v>
      </c>
      <c r="B25" s="44">
        <f>'Central scenario'!AL23</f>
        <v>-1.3705548078932313E-2</v>
      </c>
      <c r="C25" s="44">
        <f>'Central scenario'!BO23</f>
        <v>-2.368871199673768E-2</v>
      </c>
      <c r="D25" s="26">
        <f>'Low scenario'!AL23</f>
        <v>-2.8570831837772283E-2</v>
      </c>
      <c r="E25" s="26">
        <f>'Low scenario'!BO23</f>
        <v>-3.9847320973945957E-2</v>
      </c>
      <c r="F25" s="26">
        <f>'High scenario'!AL23</f>
        <v>-3.1418434437787456E-3</v>
      </c>
      <c r="G25" s="26">
        <f>'High scenario'!BO23</f>
        <v>-1.1634102893917714E-2</v>
      </c>
      <c r="H25" s="26">
        <f>H23-I23</f>
        <v>1.9771950015327888E-3</v>
      </c>
    </row>
    <row r="26" spans="1:9" x14ac:dyDescent="0.2">
      <c r="A26" s="43">
        <f t="shared" si="0"/>
        <v>2035</v>
      </c>
      <c r="B26" s="44">
        <f>'Central scenario'!AL24</f>
        <v>-1.3035000246651808E-2</v>
      </c>
      <c r="C26" s="44">
        <f>'Central scenario'!BO24</f>
        <v>-2.3473926651839117E-2</v>
      </c>
      <c r="D26" s="26">
        <f>'Low scenario'!AL24</f>
        <v>-2.871690688409648E-2</v>
      </c>
      <c r="E26" s="26">
        <f>'Low scenario'!BO24</f>
        <v>-4.0454287718779978E-2</v>
      </c>
      <c r="F26" s="26">
        <f>'High scenario'!AL24</f>
        <v>-1.0348028414617046E-3</v>
      </c>
      <c r="G26" s="26">
        <f>'High scenario'!BO24</f>
        <v>-9.990962299290581E-3</v>
      </c>
    </row>
    <row r="27" spans="1:9" x14ac:dyDescent="0.2">
      <c r="A27" s="43">
        <f t="shared" si="0"/>
        <v>2036</v>
      </c>
      <c r="B27" s="44">
        <f>'Central scenario'!AL25</f>
        <v>-1.1730608021064893E-2</v>
      </c>
      <c r="C27" s="44">
        <f>'Central scenario'!BO25</f>
        <v>-2.2575790728110785E-2</v>
      </c>
      <c r="D27" s="26">
        <f>'Low scenario'!AL25</f>
        <v>-2.7663437612180691E-2</v>
      </c>
      <c r="E27" s="26">
        <f>'Low scenario'!BO25</f>
        <v>-3.9969971355316644E-2</v>
      </c>
      <c r="F27" s="26">
        <f>'High scenario'!AL25</f>
        <v>5.931321081369419E-4</v>
      </c>
      <c r="G27" s="26">
        <f>'High scenario'!BO25</f>
        <v>-8.8052344253002745E-3</v>
      </c>
    </row>
    <row r="28" spans="1:9" x14ac:dyDescent="0.2">
      <c r="A28" s="36">
        <f t="shared" si="0"/>
        <v>2037</v>
      </c>
      <c r="B28" s="37">
        <f>'Central scenario'!AL26</f>
        <v>-1.1282430355684363E-2</v>
      </c>
      <c r="C28" s="37">
        <f>'Central scenario'!BO26</f>
        <v>-2.2707919648391115E-2</v>
      </c>
      <c r="D28" s="26">
        <f>'Low scenario'!AL26</f>
        <v>-2.7216951068335302E-2</v>
      </c>
      <c r="E28" s="26">
        <f>'Low scenario'!BO26</f>
        <v>-4.0321670725133582E-2</v>
      </c>
      <c r="F28" s="26">
        <f>'High scenario'!AL26</f>
        <v>2.1636788096876789E-3</v>
      </c>
      <c r="G28" s="26">
        <f>'High scenario'!BO26</f>
        <v>-7.7528221152042432E-3</v>
      </c>
    </row>
    <row r="29" spans="1:9" x14ac:dyDescent="0.2">
      <c r="A29" s="43">
        <f t="shared" si="0"/>
        <v>2038</v>
      </c>
      <c r="B29" s="44">
        <f>'Central scenario'!AL27</f>
        <v>-9.9878791509745036E-3</v>
      </c>
      <c r="C29" s="44">
        <f>'Central scenario'!BO27</f>
        <v>-2.1726216046043925E-2</v>
      </c>
      <c r="D29" s="26">
        <f>'Low scenario'!AL27</f>
        <v>-2.6164412322930545E-2</v>
      </c>
      <c r="E29" s="26">
        <f>'Low scenario'!BO27</f>
        <v>-4.0095847832240766E-2</v>
      </c>
      <c r="F29" s="26">
        <f>'High scenario'!AL27</f>
        <v>3.5771316909351584E-3</v>
      </c>
      <c r="G29" s="26">
        <f>'High scenario'!BO27</f>
        <v>-6.7118323139120882E-3</v>
      </c>
      <c r="I29" s="26">
        <f>C31-E31</f>
        <v>2.0401593713280156E-2</v>
      </c>
    </row>
    <row r="30" spans="1:9" x14ac:dyDescent="0.2">
      <c r="A30" s="43">
        <f t="shared" si="0"/>
        <v>2039</v>
      </c>
      <c r="B30" s="44">
        <f>'Central scenario'!AL28</f>
        <v>-9.3992574025878149E-3</v>
      </c>
      <c r="C30" s="44">
        <f>'Central scenario'!BO28</f>
        <v>-2.1775406550464008E-2</v>
      </c>
      <c r="D30" s="26">
        <f>'Low scenario'!AL28</f>
        <v>-2.6265909347726896E-2</v>
      </c>
      <c r="E30" s="26">
        <f>'Low scenario'!BO28</f>
        <v>-4.093189898063599E-2</v>
      </c>
      <c r="F30" s="26">
        <f>'High scenario'!AL28</f>
        <v>4.5457029201457586E-3</v>
      </c>
      <c r="G30" s="26">
        <f>'High scenario'!BO28</f>
        <v>-6.2201210191368227E-3</v>
      </c>
      <c r="I30" s="26">
        <f>C31-G31</f>
        <v>-1.605927302655763E-2</v>
      </c>
    </row>
    <row r="31" spans="1:9" x14ac:dyDescent="0.2">
      <c r="A31" s="43">
        <f t="shared" si="0"/>
        <v>2040</v>
      </c>
      <c r="B31" s="44">
        <f>'Central scenario'!AL29</f>
        <v>-8.4804117953724591E-3</v>
      </c>
      <c r="C31" s="44">
        <f>'Central scenario'!BO29</f>
        <v>-2.1486227180161434E-2</v>
      </c>
      <c r="D31" s="26">
        <f>'Low scenario'!AL29</f>
        <v>-2.6568581284783361E-2</v>
      </c>
      <c r="E31" s="26">
        <f>'Low scenario'!BO29</f>
        <v>-4.1887820893441591E-2</v>
      </c>
      <c r="F31" s="26">
        <f>'High scenario'!AL29</f>
        <v>5.601666229652383E-3</v>
      </c>
      <c r="G31" s="26">
        <f>'High scenario'!BO29</f>
        <v>-5.4269541536038053E-3</v>
      </c>
    </row>
    <row r="33" spans="1:8" ht="102" x14ac:dyDescent="0.2">
      <c r="B33" s="59" t="s">
        <v>73</v>
      </c>
      <c r="C33" s="18" t="s">
        <v>0</v>
      </c>
      <c r="D33" s="18" t="s">
        <v>74</v>
      </c>
      <c r="E33" s="18" t="s">
        <v>75</v>
      </c>
      <c r="F33" s="18" t="s">
        <v>76</v>
      </c>
      <c r="G33" s="18" t="s">
        <v>77</v>
      </c>
      <c r="H33" s="18" t="s">
        <v>78</v>
      </c>
    </row>
    <row r="34" spans="1:8" x14ac:dyDescent="0.2">
      <c r="B34" s="59"/>
    </row>
    <row r="35" spans="1:8" x14ac:dyDescent="0.2">
      <c r="A35">
        <v>1993</v>
      </c>
      <c r="B35" s="60">
        <v>-1.77E-2</v>
      </c>
    </row>
    <row r="36" spans="1:8" x14ac:dyDescent="0.2">
      <c r="A36">
        <f t="shared" ref="A36:A82" si="1">A35+1</f>
        <v>1994</v>
      </c>
      <c r="B36" s="61">
        <v>-2.6599999999999999E-2</v>
      </c>
    </row>
    <row r="37" spans="1:8" x14ac:dyDescent="0.2">
      <c r="A37">
        <f t="shared" si="1"/>
        <v>1995</v>
      </c>
      <c r="B37" s="60">
        <v>-2.23E-2</v>
      </c>
    </row>
    <row r="38" spans="1:8" x14ac:dyDescent="0.2">
      <c r="A38">
        <f t="shared" si="1"/>
        <v>1996</v>
      </c>
      <c r="B38" s="61">
        <v>-2.3300000000000001E-2</v>
      </c>
    </row>
    <row r="39" spans="1:8" x14ac:dyDescent="0.2">
      <c r="A39">
        <f t="shared" si="1"/>
        <v>1997</v>
      </c>
      <c r="B39" s="60">
        <v>-2.0799999999999999E-2</v>
      </c>
    </row>
    <row r="40" spans="1:8" x14ac:dyDescent="0.2">
      <c r="A40">
        <f t="shared" si="1"/>
        <v>1998</v>
      </c>
      <c r="B40" s="61">
        <v>-2.7099999999999999E-2</v>
      </c>
    </row>
    <row r="41" spans="1:8" x14ac:dyDescent="0.2">
      <c r="A41">
        <f t="shared" si="1"/>
        <v>1999</v>
      </c>
      <c r="B41" s="60">
        <v>-3.2199999999999999E-2</v>
      </c>
    </row>
    <row r="42" spans="1:8" x14ac:dyDescent="0.2">
      <c r="A42">
        <f t="shared" si="1"/>
        <v>2000</v>
      </c>
      <c r="B42" s="61">
        <v>-3.3799999999999997E-2</v>
      </c>
    </row>
    <row r="43" spans="1:8" x14ac:dyDescent="0.2">
      <c r="A43">
        <f t="shared" si="1"/>
        <v>2001</v>
      </c>
      <c r="B43" s="60">
        <v>-3.4299999999999997E-2</v>
      </c>
    </row>
    <row r="44" spans="1:8" x14ac:dyDescent="0.2">
      <c r="A44">
        <f t="shared" si="1"/>
        <v>2002</v>
      </c>
      <c r="B44" s="61">
        <v>-2.9700000000000001E-2</v>
      </c>
    </row>
    <row r="45" spans="1:8" x14ac:dyDescent="0.2">
      <c r="A45">
        <f t="shared" si="1"/>
        <v>2003</v>
      </c>
      <c r="B45" s="60">
        <v>-2.7799999999999998E-2</v>
      </c>
    </row>
    <row r="46" spans="1:8" x14ac:dyDescent="0.2">
      <c r="A46">
        <f t="shared" si="1"/>
        <v>2004</v>
      </c>
      <c r="B46" s="61">
        <v>-2.1899999999999999E-2</v>
      </c>
    </row>
    <row r="47" spans="1:8" x14ac:dyDescent="0.2">
      <c r="A47">
        <f t="shared" si="1"/>
        <v>2005</v>
      </c>
      <c r="B47" s="60">
        <v>-1.7899999999999999E-2</v>
      </c>
    </row>
    <row r="48" spans="1:8" x14ac:dyDescent="0.2">
      <c r="A48">
        <f t="shared" si="1"/>
        <v>2006</v>
      </c>
      <c r="B48" s="61">
        <v>-1.6500000000000001E-2</v>
      </c>
    </row>
    <row r="49" spans="1:8" x14ac:dyDescent="0.2">
      <c r="A49">
        <f t="shared" si="1"/>
        <v>2007</v>
      </c>
      <c r="B49" s="60">
        <v>-1.5900000000000001E-2</v>
      </c>
    </row>
    <row r="50" spans="1:8" x14ac:dyDescent="0.2">
      <c r="A50">
        <f t="shared" si="1"/>
        <v>2008</v>
      </c>
      <c r="B50" s="61">
        <v>-1.83E-2</v>
      </c>
    </row>
    <row r="51" spans="1:8" x14ac:dyDescent="0.2">
      <c r="A51">
        <f t="shared" si="1"/>
        <v>2009</v>
      </c>
      <c r="B51" s="60">
        <v>-1.5699999999999999E-2</v>
      </c>
    </row>
    <row r="52" spans="1:8" x14ac:dyDescent="0.2">
      <c r="A52">
        <f t="shared" si="1"/>
        <v>2010</v>
      </c>
      <c r="B52" s="61">
        <v>-1.5800000000000002E-2</v>
      </c>
    </row>
    <row r="53" spans="1:8" x14ac:dyDescent="0.2">
      <c r="A53">
        <f t="shared" si="1"/>
        <v>2011</v>
      </c>
      <c r="B53" s="60">
        <v>-1.6199999999999999E-2</v>
      </c>
    </row>
    <row r="54" spans="1:8" x14ac:dyDescent="0.2">
      <c r="A54">
        <f t="shared" si="1"/>
        <v>2012</v>
      </c>
      <c r="B54" s="61">
        <v>-1.95E-2</v>
      </c>
    </row>
    <row r="55" spans="1:8" x14ac:dyDescent="0.2">
      <c r="A55">
        <f t="shared" si="1"/>
        <v>2013</v>
      </c>
      <c r="B55" s="60">
        <v>-2.1100000000000001E-2</v>
      </c>
    </row>
    <row r="56" spans="1:8" x14ac:dyDescent="0.2">
      <c r="A56">
        <f t="shared" si="1"/>
        <v>2014</v>
      </c>
      <c r="B56" s="61">
        <v>-2.1700000000000001E-2</v>
      </c>
      <c r="C56" s="25">
        <v>-2.04610062724093E-2</v>
      </c>
      <c r="D56" s="25"/>
      <c r="E56" s="26"/>
      <c r="F56" s="26"/>
      <c r="G56" s="26"/>
      <c r="H56" s="26"/>
    </row>
    <row r="57" spans="1:8" x14ac:dyDescent="0.2">
      <c r="A57">
        <f t="shared" si="1"/>
        <v>2015</v>
      </c>
      <c r="B57" s="60">
        <v>-2.8799999999999999E-2</v>
      </c>
      <c r="C57" s="25">
        <v>-3.3044638260362802E-2</v>
      </c>
      <c r="D57" s="25"/>
      <c r="E57" s="26"/>
      <c r="F57" s="26"/>
      <c r="G57" s="26"/>
      <c r="H57" s="26"/>
    </row>
    <row r="58" spans="1:8" x14ac:dyDescent="0.2">
      <c r="A58">
        <f t="shared" si="1"/>
        <v>2016</v>
      </c>
      <c r="B58" s="61">
        <v>-3.3700000000000001E-2</v>
      </c>
      <c r="C58" s="25">
        <v>-3.2069998032844597E-2</v>
      </c>
      <c r="D58" s="25">
        <v>-3.2103225099647699E-2</v>
      </c>
      <c r="E58" s="26"/>
      <c r="F58" s="26"/>
      <c r="G58" s="26"/>
      <c r="H58" s="26"/>
    </row>
    <row r="59" spans="1:8" x14ac:dyDescent="0.2">
      <c r="A59">
        <f t="shared" si="1"/>
        <v>2017</v>
      </c>
      <c r="B59" s="60">
        <v>-4.0599999999999997E-2</v>
      </c>
      <c r="C59" s="25">
        <v>-3.7403852785620403E-2</v>
      </c>
      <c r="D59" s="25">
        <v>-3.7996113251991898E-2</v>
      </c>
      <c r="E59" s="26">
        <v>-3.7607778293913603E-2</v>
      </c>
      <c r="F59" s="26">
        <v>-3.8200038760285097E-2</v>
      </c>
      <c r="G59" s="26">
        <v>-3.7341522210877699E-2</v>
      </c>
      <c r="H59" s="26">
        <v>-3.79337826772492E-2</v>
      </c>
    </row>
    <row r="60" spans="1:8" x14ac:dyDescent="0.2">
      <c r="A60">
        <f t="shared" si="1"/>
        <v>2018</v>
      </c>
      <c r="C60" s="25">
        <v>-3.7392961324655402E-2</v>
      </c>
      <c r="D60" s="25">
        <v>-3.8452513671492702E-2</v>
      </c>
      <c r="E60" s="26">
        <v>-3.8640363964177603E-2</v>
      </c>
      <c r="F60" s="26">
        <v>-3.9705604129979297E-2</v>
      </c>
      <c r="G60" s="26">
        <v>-3.6307860308015701E-2</v>
      </c>
      <c r="H60" s="26">
        <v>-3.73615054714437E-2</v>
      </c>
    </row>
    <row r="61" spans="1:8" x14ac:dyDescent="0.2">
      <c r="A61">
        <f t="shared" si="1"/>
        <v>2019</v>
      </c>
      <c r="C61" s="25">
        <v>-4.0938359440306903E-2</v>
      </c>
      <c r="D61" s="25">
        <v>-4.2453692801659997E-2</v>
      </c>
      <c r="E61" s="26">
        <v>-4.3475443742129E-2</v>
      </c>
      <c r="F61" s="26">
        <v>-4.5010849715017502E-2</v>
      </c>
      <c r="G61" s="26">
        <v>-3.8766618125938401E-2</v>
      </c>
      <c r="H61" s="26">
        <v>-4.0261811345533902E-2</v>
      </c>
    </row>
    <row r="62" spans="1:8" x14ac:dyDescent="0.2">
      <c r="A62">
        <f t="shared" si="1"/>
        <v>2020</v>
      </c>
      <c r="C62" s="25">
        <v>-4.3828210534307202E-2</v>
      </c>
      <c r="D62" s="25">
        <v>-4.5850567138983098E-2</v>
      </c>
      <c r="E62" s="26">
        <v>-4.7445468422155503E-2</v>
      </c>
      <c r="F62" s="26">
        <v>-4.9510295071098102E-2</v>
      </c>
      <c r="G62" s="26">
        <v>-4.0698020630775399E-2</v>
      </c>
      <c r="H62" s="26">
        <v>-4.2682802503413102E-2</v>
      </c>
    </row>
    <row r="63" spans="1:8" x14ac:dyDescent="0.2">
      <c r="A63">
        <f t="shared" si="1"/>
        <v>2021</v>
      </c>
      <c r="C63" s="25">
        <v>-4.4841165018680698E-2</v>
      </c>
      <c r="D63" s="25">
        <v>-4.7327378669444101E-2</v>
      </c>
      <c r="E63" s="26">
        <v>-4.9176042337864399E-2</v>
      </c>
      <c r="F63" s="26">
        <v>-5.17191664308293E-2</v>
      </c>
      <c r="G63" s="26">
        <v>-4.0279793091458398E-2</v>
      </c>
      <c r="H63" s="26">
        <v>-4.2713745366851803E-2</v>
      </c>
    </row>
    <row r="64" spans="1:8" x14ac:dyDescent="0.2">
      <c r="A64">
        <f t="shared" si="1"/>
        <v>2022</v>
      </c>
      <c r="C64" s="25">
        <v>-4.4770865092027198E-2</v>
      </c>
      <c r="D64" s="25">
        <v>-4.7824349301039099E-2</v>
      </c>
      <c r="E64" s="26">
        <v>-5.0693558724237198E-2</v>
      </c>
      <c r="F64" s="26">
        <v>-5.3811352462557901E-2</v>
      </c>
      <c r="G64" s="26">
        <v>-3.9941396902823403E-2</v>
      </c>
      <c r="H64" s="26">
        <v>-4.2868603716032003E-2</v>
      </c>
    </row>
    <row r="65" spans="1:8" x14ac:dyDescent="0.2">
      <c r="A65">
        <f t="shared" si="1"/>
        <v>2023</v>
      </c>
      <c r="C65" s="25">
        <v>-4.32474424424217E-2</v>
      </c>
      <c r="D65" s="25">
        <v>-4.6803161722397298E-2</v>
      </c>
      <c r="E65" s="26">
        <v>-5.02813077901995E-2</v>
      </c>
      <c r="F65" s="26">
        <v>-5.3844567538501802E-2</v>
      </c>
      <c r="G65" s="26">
        <v>-3.6982389192176099E-2</v>
      </c>
      <c r="H65" s="26">
        <v>-4.0291364995348598E-2</v>
      </c>
    </row>
    <row r="66" spans="1:8" x14ac:dyDescent="0.2">
      <c r="A66">
        <f t="shared" si="1"/>
        <v>2024</v>
      </c>
      <c r="C66" s="33">
        <v>-4.07053581128047E-2</v>
      </c>
      <c r="D66" s="33">
        <v>-4.4873693049842699E-2</v>
      </c>
      <c r="E66" s="26">
        <v>-4.9197869066938398E-2</v>
      </c>
      <c r="F66" s="26">
        <v>-5.3350308368239702E-2</v>
      </c>
      <c r="G66" s="26">
        <v>-3.4357169997021E-2</v>
      </c>
      <c r="H66" s="26">
        <v>-3.8178193995478303E-2</v>
      </c>
    </row>
    <row r="67" spans="1:8" x14ac:dyDescent="0.2">
      <c r="A67">
        <f t="shared" si="1"/>
        <v>2025</v>
      </c>
      <c r="C67" s="37">
        <v>-3.8437388835727102E-2</v>
      </c>
      <c r="D67" s="37">
        <v>-4.3839013356570297E-2</v>
      </c>
      <c r="E67" s="26">
        <v>-4.8317161973534098E-2</v>
      </c>
      <c r="F67" s="26">
        <v>-5.3795669799487501E-2</v>
      </c>
      <c r="G67" s="26">
        <v>-3.1446462323119297E-2</v>
      </c>
      <c r="H67" s="26">
        <v>-3.6447809185915198E-2</v>
      </c>
    </row>
    <row r="68" spans="1:8" x14ac:dyDescent="0.2">
      <c r="A68">
        <f t="shared" si="1"/>
        <v>2026</v>
      </c>
      <c r="C68" s="44">
        <v>-3.5833361479703799E-2</v>
      </c>
      <c r="D68" s="44">
        <v>-4.2518915995942499E-2</v>
      </c>
      <c r="E68" s="26">
        <v>-4.71101721898914E-2</v>
      </c>
      <c r="F68" s="26">
        <v>-5.3922409349610102E-2</v>
      </c>
      <c r="G68" s="26">
        <v>-2.8543145589422999E-2</v>
      </c>
      <c r="H68" s="26">
        <v>-3.4705985466903698E-2</v>
      </c>
    </row>
    <row r="69" spans="1:8" x14ac:dyDescent="0.2">
      <c r="A69">
        <f t="shared" si="1"/>
        <v>2027</v>
      </c>
      <c r="C69" s="44">
        <v>-3.3555998572039503E-2</v>
      </c>
      <c r="D69" s="44">
        <v>-4.1671132818721299E-2</v>
      </c>
      <c r="E69" s="26">
        <v>-4.4499902277535197E-2</v>
      </c>
      <c r="F69" s="26">
        <v>-5.2930840326063502E-2</v>
      </c>
      <c r="G69" s="26">
        <v>-2.4635025821339401E-2</v>
      </c>
      <c r="H69" s="26">
        <v>-3.2064608567462301E-2</v>
      </c>
    </row>
    <row r="70" spans="1:8" x14ac:dyDescent="0.2">
      <c r="A70">
        <f t="shared" si="1"/>
        <v>2028</v>
      </c>
      <c r="B70" s="20"/>
      <c r="C70" s="44">
        <v>-3.1509858502588799E-2</v>
      </c>
      <c r="D70" s="44">
        <v>-4.10056250740558E-2</v>
      </c>
      <c r="E70" s="26">
        <v>-4.2756136471171102E-2</v>
      </c>
      <c r="F70" s="26">
        <v>-5.2662710349283097E-2</v>
      </c>
      <c r="G70" s="26">
        <v>-2.1507669501768901E-2</v>
      </c>
      <c r="H70" s="26">
        <v>-3.0161045341474998E-2</v>
      </c>
    </row>
    <row r="71" spans="1:8" x14ac:dyDescent="0.2">
      <c r="A71">
        <f t="shared" si="1"/>
        <v>2029</v>
      </c>
      <c r="B71" s="25"/>
      <c r="C71" s="37">
        <v>-2.93502546836776E-2</v>
      </c>
      <c r="D71" s="37">
        <v>-4.0027841799250799E-2</v>
      </c>
      <c r="E71" s="26">
        <v>-4.1926221131431303E-2</v>
      </c>
      <c r="F71" s="26">
        <v>-5.3205007466344503E-2</v>
      </c>
      <c r="G71" s="26">
        <v>-1.77299347081778E-2</v>
      </c>
      <c r="H71" s="26">
        <v>-2.74936711441096E-2</v>
      </c>
    </row>
    <row r="72" spans="1:8" x14ac:dyDescent="0.2">
      <c r="A72">
        <f t="shared" si="1"/>
        <v>2030</v>
      </c>
      <c r="B72" s="25"/>
      <c r="C72" s="44">
        <v>-2.7511044160048199E-2</v>
      </c>
      <c r="D72" s="44">
        <v>-3.9083075156626401E-2</v>
      </c>
      <c r="E72" s="26">
        <v>-4.1216007777218303E-2</v>
      </c>
      <c r="F72" s="26">
        <v>-5.3751999026860203E-2</v>
      </c>
      <c r="G72" s="26">
        <v>-1.5200961982201401E-2</v>
      </c>
      <c r="H72" s="26">
        <v>-2.5869920175587899E-2</v>
      </c>
    </row>
    <row r="73" spans="1:8" x14ac:dyDescent="0.2">
      <c r="A73">
        <f t="shared" si="1"/>
        <v>2031</v>
      </c>
      <c r="B73" s="25"/>
      <c r="C73" s="44">
        <v>-2.5023701151487901E-2</v>
      </c>
      <c r="D73" s="44">
        <v>-3.7636433861558599E-2</v>
      </c>
      <c r="E73" s="26">
        <v>-3.9004403869669302E-2</v>
      </c>
      <c r="F73" s="26">
        <v>-5.2743941824754698E-2</v>
      </c>
      <c r="G73" s="26">
        <v>-1.27195302993086E-2</v>
      </c>
      <c r="H73" s="26">
        <v>-2.4151208902882099E-2</v>
      </c>
    </row>
    <row r="74" spans="1:8" x14ac:dyDescent="0.2">
      <c r="A74">
        <f t="shared" si="1"/>
        <v>2032</v>
      </c>
      <c r="B74" s="25"/>
      <c r="C74" s="44">
        <v>-2.36624962419754E-2</v>
      </c>
      <c r="D74" s="44">
        <v>-3.7373955215556802E-2</v>
      </c>
      <c r="E74" s="26">
        <v>-3.7203827708453999E-2</v>
      </c>
      <c r="F74" s="26">
        <v>-5.2348145130919302E-2</v>
      </c>
      <c r="G74" s="26">
        <v>-9.9791289783957796E-3</v>
      </c>
      <c r="H74" s="26">
        <v>-2.24162026356837E-2</v>
      </c>
    </row>
    <row r="75" spans="1:8" x14ac:dyDescent="0.2">
      <c r="A75">
        <f t="shared" si="1"/>
        <v>2033</v>
      </c>
      <c r="B75" s="25"/>
      <c r="C75" s="37">
        <v>-2.1189228838124401E-2</v>
      </c>
      <c r="D75" s="37">
        <v>-3.5836712928319997E-2</v>
      </c>
      <c r="E75" s="26">
        <v>-3.5248206984766099E-2</v>
      </c>
      <c r="F75" s="26">
        <v>-5.1656829856433301E-2</v>
      </c>
      <c r="G75" s="26">
        <v>-7.1663302058344097E-3</v>
      </c>
      <c r="H75" s="26">
        <v>-2.03870041464871E-2</v>
      </c>
    </row>
    <row r="76" spans="1:8" x14ac:dyDescent="0.2">
      <c r="A76">
        <f t="shared" si="1"/>
        <v>2034</v>
      </c>
      <c r="B76" s="25"/>
      <c r="C76" s="44">
        <v>-1.97720290629055E-2</v>
      </c>
      <c r="D76" s="44">
        <v>-3.53918960189126E-2</v>
      </c>
      <c r="E76" s="26">
        <v>-3.4545826484088597E-2</v>
      </c>
      <c r="F76" s="26">
        <v>-5.2198398048414099E-2</v>
      </c>
      <c r="G76" s="26">
        <v>-5.2591328547971503E-3</v>
      </c>
      <c r="H76" s="26">
        <v>-1.92070127073764E-2</v>
      </c>
    </row>
    <row r="77" spans="1:8" x14ac:dyDescent="0.2">
      <c r="A77">
        <f t="shared" si="1"/>
        <v>2035</v>
      </c>
      <c r="B77" s="25"/>
      <c r="C77" s="44">
        <v>-1.8115084551335099E-2</v>
      </c>
      <c r="D77" s="44">
        <v>-3.4678921474199403E-2</v>
      </c>
      <c r="E77" s="26">
        <v>-3.3425845490203498E-2</v>
      </c>
      <c r="F77" s="26">
        <v>-5.2361931828119698E-2</v>
      </c>
      <c r="G77" s="26">
        <v>-3.5417840712152998E-3</v>
      </c>
      <c r="H77" s="26">
        <v>-1.82066664363193E-2</v>
      </c>
    </row>
    <row r="78" spans="1:8" x14ac:dyDescent="0.2">
      <c r="A78">
        <f t="shared" si="1"/>
        <v>2036</v>
      </c>
      <c r="B78" s="25"/>
      <c r="C78" s="44">
        <v>-1.6537977974959601E-2</v>
      </c>
      <c r="D78" s="44">
        <v>-3.4078461737139999E-2</v>
      </c>
      <c r="E78" s="26">
        <v>-3.2063325189905997E-2</v>
      </c>
      <c r="F78" s="26">
        <v>-5.2222104571685302E-2</v>
      </c>
      <c r="G78" s="26">
        <v>-1.8858359542348201E-3</v>
      </c>
      <c r="H78" s="26">
        <v>-1.7363874266380201E-2</v>
      </c>
    </row>
    <row r="79" spans="1:8" x14ac:dyDescent="0.2">
      <c r="A79">
        <f t="shared" si="1"/>
        <v>2037</v>
      </c>
      <c r="B79" s="25"/>
      <c r="C79" s="37">
        <v>-1.5550975233555499E-2</v>
      </c>
      <c r="D79" s="37">
        <v>-3.4099803431488003E-2</v>
      </c>
      <c r="E79" s="26">
        <v>-3.0606441824341302E-2</v>
      </c>
      <c r="F79" s="26">
        <v>-5.2168915722056799E-2</v>
      </c>
      <c r="G79" s="26">
        <v>1.7017956259121999E-4</v>
      </c>
      <c r="H79" s="26">
        <v>-1.5904150737630001E-2</v>
      </c>
    </row>
    <row r="80" spans="1:8" x14ac:dyDescent="0.2">
      <c r="A80">
        <f t="shared" si="1"/>
        <v>2038</v>
      </c>
      <c r="B80" s="25"/>
      <c r="C80" s="44">
        <v>-1.4501819211095701E-2</v>
      </c>
      <c r="D80" s="44">
        <v>-3.4087775701549999E-2</v>
      </c>
      <c r="E80" s="26">
        <v>-2.92541441802E-2</v>
      </c>
      <c r="F80" s="26">
        <v>-5.2167950957750502E-2</v>
      </c>
      <c r="G80" s="26">
        <v>1.42985621154989E-3</v>
      </c>
      <c r="H80" s="26">
        <v>-1.5320010741176299E-2</v>
      </c>
    </row>
    <row r="81" spans="1:8" x14ac:dyDescent="0.2">
      <c r="A81">
        <f t="shared" si="1"/>
        <v>2039</v>
      </c>
      <c r="B81" s="33"/>
      <c r="C81" s="44">
        <v>-1.34972399103032E-2</v>
      </c>
      <c r="D81" s="44">
        <v>-3.3968233178717201E-2</v>
      </c>
      <c r="E81" s="26">
        <v>-2.77373383666853E-2</v>
      </c>
      <c r="F81" s="26">
        <v>-5.2166505347925801E-2</v>
      </c>
      <c r="G81" s="26">
        <v>2.27289823088215E-3</v>
      </c>
      <c r="H81" s="26">
        <v>-1.5282599976068401E-2</v>
      </c>
    </row>
    <row r="82" spans="1:8" x14ac:dyDescent="0.2">
      <c r="A82">
        <f t="shared" si="1"/>
        <v>2040</v>
      </c>
      <c r="B82" s="37"/>
      <c r="C82" s="44">
        <v>-1.32561175472251E-2</v>
      </c>
      <c r="D82" s="44">
        <v>-3.4710996518229301E-2</v>
      </c>
      <c r="E82" s="26">
        <v>-2.7625773397559301E-2</v>
      </c>
      <c r="F82" s="26">
        <v>-5.3366897924475097E-2</v>
      </c>
      <c r="G82" s="26">
        <v>2.9590171445052801E-3</v>
      </c>
      <c r="H82" s="26">
        <v>-1.5430971079205401E-2</v>
      </c>
    </row>
    <row r="83" spans="1:8" x14ac:dyDescent="0.2">
      <c r="A83" s="43"/>
      <c r="B83" s="44"/>
      <c r="C83" s="44"/>
      <c r="D83" s="26"/>
      <c r="E83" s="26"/>
      <c r="F83" s="26"/>
      <c r="G83" s="26"/>
    </row>
    <row r="84" spans="1:8" x14ac:dyDescent="0.2">
      <c r="A84" s="43"/>
      <c r="B84" s="44"/>
      <c r="C84" s="44"/>
      <c r="D84" s="26"/>
      <c r="E84" s="26"/>
      <c r="F84" s="26"/>
      <c r="G84" s="26"/>
    </row>
    <row r="85" spans="1:8" x14ac:dyDescent="0.2">
      <c r="A85" s="43"/>
      <c r="B85" s="44"/>
      <c r="C85" s="44"/>
      <c r="D85" s="26"/>
      <c r="E85" s="26"/>
      <c r="F85" s="26"/>
      <c r="G85" s="26"/>
    </row>
    <row r="86" spans="1:8" x14ac:dyDescent="0.2">
      <c r="A86" s="36"/>
      <c r="B86" s="37"/>
      <c r="C86" s="37"/>
      <c r="D86" s="26"/>
      <c r="E86" s="26"/>
      <c r="F86" s="26"/>
      <c r="G86" s="26"/>
    </row>
    <row r="87" spans="1:8" x14ac:dyDescent="0.2">
      <c r="A87" s="43"/>
      <c r="B87" s="44"/>
      <c r="C87" s="44"/>
      <c r="D87" s="26"/>
      <c r="E87" s="26"/>
      <c r="F87" s="26"/>
      <c r="G87" s="26"/>
    </row>
    <row r="88" spans="1:8" x14ac:dyDescent="0.2">
      <c r="A88" s="43"/>
      <c r="B88" s="44"/>
      <c r="C88" s="44"/>
      <c r="D88" s="26"/>
      <c r="E88" s="26"/>
      <c r="F88" s="26"/>
      <c r="G88" s="26"/>
    </row>
    <row r="89" spans="1:8" x14ac:dyDescent="0.2">
      <c r="A89" s="43"/>
      <c r="B89" s="44"/>
      <c r="C89" s="44"/>
      <c r="D89" s="26"/>
      <c r="E89" s="26"/>
      <c r="F89" s="26"/>
      <c r="G89" s="26"/>
    </row>
    <row r="90" spans="1:8" x14ac:dyDescent="0.2">
      <c r="A90" s="36"/>
      <c r="B90" s="37"/>
      <c r="C90" s="37"/>
      <c r="D90" s="26"/>
      <c r="E90" s="26"/>
      <c r="F90" s="26"/>
      <c r="G90" s="26"/>
    </row>
    <row r="91" spans="1:8" x14ac:dyDescent="0.2">
      <c r="A91" s="43"/>
      <c r="B91" s="44"/>
      <c r="C91" s="44"/>
      <c r="D91" s="26"/>
      <c r="E91" s="26"/>
      <c r="F91" s="26"/>
      <c r="G91" s="26"/>
    </row>
    <row r="92" spans="1:8" x14ac:dyDescent="0.2">
      <c r="A92" s="43"/>
      <c r="B92" s="44"/>
      <c r="C92" s="44"/>
      <c r="D92" s="26"/>
      <c r="E92" s="26"/>
      <c r="F92" s="26"/>
      <c r="G92" s="26"/>
    </row>
    <row r="93" spans="1:8" x14ac:dyDescent="0.2">
      <c r="A93" s="43"/>
      <c r="B93" s="44"/>
      <c r="C93" s="44"/>
      <c r="D93" s="26"/>
      <c r="E93" s="26"/>
      <c r="F93" s="26"/>
      <c r="G93" s="26"/>
    </row>
    <row r="94" spans="1:8" x14ac:dyDescent="0.2">
      <c r="A94" s="36"/>
      <c r="B94" s="37"/>
      <c r="C94" s="37"/>
      <c r="D94" s="26"/>
      <c r="E94" s="26"/>
      <c r="F94" s="26"/>
      <c r="G94" s="26"/>
    </row>
    <row r="95" spans="1:8" x14ac:dyDescent="0.2">
      <c r="A95" s="43"/>
      <c r="B95" s="44"/>
      <c r="C95" s="44"/>
      <c r="D95" s="26"/>
      <c r="E95" s="26"/>
      <c r="F95" s="26"/>
      <c r="G95" s="26"/>
    </row>
    <row r="96" spans="1:8" x14ac:dyDescent="0.2">
      <c r="A96" s="43"/>
      <c r="B96" s="44"/>
      <c r="C96" s="44"/>
      <c r="D96" s="26"/>
      <c r="E96" s="26"/>
      <c r="F96" s="26"/>
      <c r="G96" s="26"/>
    </row>
    <row r="97" spans="1:7" x14ac:dyDescent="0.2">
      <c r="A97" s="43"/>
      <c r="B97" s="44"/>
      <c r="C97" s="44"/>
      <c r="D97" s="26"/>
      <c r="E97" s="26"/>
      <c r="F97" s="26"/>
      <c r="G97" s="26"/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"/>
  <sheetViews>
    <sheetView zoomScale="75" zoomScaleNormal="75" workbookViewId="0">
      <selection activeCell="E32" sqref="E32"/>
    </sheetView>
  </sheetViews>
  <sheetFormatPr baseColWidth="10" defaultColWidth="11.5703125" defaultRowHeight="12.75" x14ac:dyDescent="0.2"/>
  <sheetData>
    <row r="1" spans="1:8" ht="63.75" x14ac:dyDescent="0.2">
      <c r="A1" s="62"/>
      <c r="B1" s="63" t="s">
        <v>73</v>
      </c>
      <c r="C1" s="64" t="s">
        <v>0</v>
      </c>
      <c r="D1" s="64" t="s">
        <v>74</v>
      </c>
      <c r="E1" s="64" t="s">
        <v>75</v>
      </c>
      <c r="F1" s="64" t="s">
        <v>76</v>
      </c>
      <c r="G1" s="64" t="s">
        <v>77</v>
      </c>
      <c r="H1" s="64" t="s">
        <v>78</v>
      </c>
    </row>
    <row r="2" spans="1:8" x14ac:dyDescent="0.2">
      <c r="A2" s="62"/>
      <c r="B2" s="63"/>
      <c r="C2" s="62"/>
      <c r="D2" s="62"/>
      <c r="E2" s="62"/>
      <c r="F2" s="62"/>
      <c r="G2" s="62"/>
      <c r="H2" s="62"/>
    </row>
    <row r="3" spans="1:8" ht="15.75" x14ac:dyDescent="0.25">
      <c r="A3" s="65">
        <v>1993</v>
      </c>
      <c r="B3" s="66">
        <v>-1.7697577032705799E-2</v>
      </c>
      <c r="C3" s="62"/>
      <c r="D3" s="62"/>
      <c r="E3" s="62"/>
      <c r="F3" s="62"/>
      <c r="G3" s="62"/>
      <c r="H3" s="62"/>
    </row>
    <row r="4" spans="1:8" ht="15.75" x14ac:dyDescent="0.25">
      <c r="A4" s="65">
        <v>1994</v>
      </c>
      <c r="B4" s="67">
        <v>-2.6570673333472301E-2</v>
      </c>
      <c r="C4" s="62"/>
      <c r="D4" s="62"/>
      <c r="E4" s="62"/>
      <c r="F4" s="62"/>
      <c r="G4" s="62"/>
      <c r="H4" s="62"/>
    </row>
    <row r="5" spans="1:8" ht="15.75" x14ac:dyDescent="0.25">
      <c r="A5" s="65">
        <v>1995</v>
      </c>
      <c r="B5" s="66">
        <v>-2.2325678019504299E-2</v>
      </c>
      <c r="C5" s="62"/>
      <c r="D5" s="62"/>
      <c r="E5" s="62"/>
      <c r="F5" s="62"/>
      <c r="G5" s="62"/>
      <c r="H5" s="62"/>
    </row>
    <row r="6" spans="1:8" ht="15.75" x14ac:dyDescent="0.25">
      <c r="A6" s="65">
        <v>1996</v>
      </c>
      <c r="B6" s="67">
        <v>-2.32748001171907E-2</v>
      </c>
      <c r="C6" s="62"/>
      <c r="D6" s="62"/>
      <c r="E6" s="62"/>
      <c r="F6" s="62"/>
      <c r="G6" s="62"/>
      <c r="H6" s="62"/>
    </row>
    <row r="7" spans="1:8" ht="15.75" x14ac:dyDescent="0.25">
      <c r="A7" s="65">
        <v>1997</v>
      </c>
      <c r="B7" s="66">
        <v>-2.08020897656273E-2</v>
      </c>
      <c r="C7" s="62"/>
      <c r="D7" s="62"/>
      <c r="E7" s="62"/>
      <c r="F7" s="62"/>
      <c r="G7" s="62"/>
      <c r="H7" s="62"/>
    </row>
    <row r="8" spans="1:8" ht="15.75" x14ac:dyDescent="0.25">
      <c r="A8" s="65">
        <v>1998</v>
      </c>
      <c r="B8" s="67">
        <v>-2.7145082304134899E-2</v>
      </c>
      <c r="C8" s="62"/>
      <c r="D8" s="62"/>
      <c r="E8" s="62"/>
      <c r="F8" s="62"/>
      <c r="G8" s="62"/>
      <c r="H8" s="62"/>
    </row>
    <row r="9" spans="1:8" ht="15.75" x14ac:dyDescent="0.25">
      <c r="A9" s="65">
        <v>1999</v>
      </c>
      <c r="B9" s="66">
        <v>-3.2151636866645898E-2</v>
      </c>
      <c r="C9" s="62"/>
      <c r="D9" s="62"/>
      <c r="E9" s="62"/>
      <c r="F9" s="62"/>
      <c r="G9" s="62"/>
      <c r="H9" s="62"/>
    </row>
    <row r="10" spans="1:8" ht="15.75" x14ac:dyDescent="0.25">
      <c r="A10" s="65">
        <v>2000</v>
      </c>
      <c r="B10" s="67">
        <v>-3.3775496536600801E-2</v>
      </c>
      <c r="C10" s="62"/>
      <c r="D10" s="62"/>
      <c r="E10" s="62"/>
      <c r="F10" s="62"/>
      <c r="G10" s="62"/>
      <c r="H10" s="62"/>
    </row>
    <row r="11" spans="1:8" ht="15.75" x14ac:dyDescent="0.25">
      <c r="A11" s="65">
        <v>2001</v>
      </c>
      <c r="B11" s="66">
        <v>-3.4332497652917501E-2</v>
      </c>
      <c r="C11" s="62"/>
      <c r="D11" s="62"/>
      <c r="E11" s="62"/>
      <c r="F11" s="62"/>
      <c r="G11" s="62"/>
      <c r="H11" s="62"/>
    </row>
    <row r="12" spans="1:8" ht="15.75" x14ac:dyDescent="0.25">
      <c r="A12" s="65">
        <v>2002</v>
      </c>
      <c r="B12" s="67">
        <v>-2.9700339572263899E-2</v>
      </c>
      <c r="C12" s="62"/>
      <c r="D12" s="62"/>
      <c r="E12" s="62"/>
      <c r="F12" s="62"/>
      <c r="G12" s="62"/>
      <c r="H12" s="62"/>
    </row>
    <row r="13" spans="1:8" ht="15.75" x14ac:dyDescent="0.25">
      <c r="A13" s="65">
        <v>2003</v>
      </c>
      <c r="B13" s="66">
        <v>-2.7757938036131601E-2</v>
      </c>
      <c r="C13" s="62"/>
      <c r="D13" s="62"/>
      <c r="E13" s="62"/>
      <c r="F13" s="62"/>
      <c r="G13" s="62"/>
      <c r="H13" s="62"/>
    </row>
    <row r="14" spans="1:8" ht="15.75" x14ac:dyDescent="0.25">
      <c r="A14" s="65">
        <v>2004</v>
      </c>
      <c r="B14" s="67">
        <v>-2.1885368915817702E-2</v>
      </c>
      <c r="C14" s="62"/>
      <c r="D14" s="62"/>
      <c r="E14" s="62"/>
      <c r="F14" s="62"/>
      <c r="G14" s="62"/>
      <c r="H14" s="62"/>
    </row>
    <row r="15" spans="1:8" ht="15.75" x14ac:dyDescent="0.25">
      <c r="A15" s="65">
        <v>2005</v>
      </c>
      <c r="B15" s="66">
        <v>-1.7904057274325699E-2</v>
      </c>
      <c r="C15" s="62"/>
      <c r="D15" s="62"/>
      <c r="E15" s="62"/>
      <c r="F15" s="62"/>
      <c r="G15" s="62"/>
      <c r="H15" s="62"/>
    </row>
    <row r="16" spans="1:8" ht="15.75" x14ac:dyDescent="0.25">
      <c r="A16" s="65">
        <v>2006</v>
      </c>
      <c r="B16" s="67">
        <v>-1.65135934957867E-2</v>
      </c>
      <c r="C16" s="62"/>
      <c r="D16" s="62"/>
      <c r="E16" s="62"/>
      <c r="F16" s="62"/>
      <c r="G16" s="62"/>
      <c r="H16" s="62"/>
    </row>
    <row r="17" spans="1:8" ht="15.75" x14ac:dyDescent="0.25">
      <c r="A17" s="65">
        <v>2007</v>
      </c>
      <c r="B17" s="66">
        <v>-1.5865651263535299E-2</v>
      </c>
      <c r="C17" s="62"/>
      <c r="D17" s="62"/>
      <c r="E17" s="62"/>
      <c r="F17" s="62"/>
      <c r="G17" s="62"/>
      <c r="H17" s="62"/>
    </row>
    <row r="18" spans="1:8" ht="15.75" x14ac:dyDescent="0.25">
      <c r="A18" s="65">
        <v>2008</v>
      </c>
      <c r="B18" s="67">
        <v>-1.8301337163690701E-2</v>
      </c>
      <c r="C18" s="62"/>
      <c r="D18" s="62"/>
      <c r="E18" s="62"/>
      <c r="F18" s="62"/>
      <c r="G18" s="62"/>
      <c r="H18" s="62"/>
    </row>
    <row r="19" spans="1:8" ht="15.75" x14ac:dyDescent="0.25">
      <c r="A19" s="65">
        <v>2009</v>
      </c>
      <c r="B19" s="66">
        <v>-1.5671090903257801E-2</v>
      </c>
      <c r="C19" s="62"/>
      <c r="D19" s="62"/>
      <c r="E19" s="62"/>
      <c r="F19" s="62"/>
      <c r="G19" s="62"/>
      <c r="H19" s="62"/>
    </row>
    <row r="20" spans="1:8" ht="15.75" x14ac:dyDescent="0.25">
      <c r="A20" s="65">
        <v>2010</v>
      </c>
      <c r="B20" s="67">
        <v>-1.58039957303612E-2</v>
      </c>
      <c r="C20" s="62"/>
      <c r="D20" s="62"/>
      <c r="E20" s="62"/>
      <c r="F20" s="62"/>
      <c r="G20" s="62"/>
      <c r="H20" s="62"/>
    </row>
    <row r="21" spans="1:8" ht="15.75" x14ac:dyDescent="0.25">
      <c r="A21" s="65">
        <v>2011</v>
      </c>
      <c r="B21" s="66">
        <v>-1.58943271566621E-2</v>
      </c>
      <c r="C21" s="62"/>
      <c r="D21" s="62"/>
      <c r="E21" s="62"/>
      <c r="F21" s="62"/>
      <c r="G21" s="62"/>
      <c r="H21" s="62"/>
    </row>
    <row r="22" spans="1:8" ht="15.75" x14ac:dyDescent="0.25">
      <c r="A22" s="65">
        <v>2012</v>
      </c>
      <c r="B22" s="67">
        <v>-1.9533585931480201E-2</v>
      </c>
      <c r="C22" s="62"/>
      <c r="D22" s="62"/>
      <c r="E22" s="62"/>
      <c r="F22" s="62"/>
      <c r="G22" s="62"/>
      <c r="H22" s="62"/>
    </row>
    <row r="23" spans="1:8" ht="15.75" x14ac:dyDescent="0.25">
      <c r="A23" s="65">
        <v>2013</v>
      </c>
      <c r="B23" s="66">
        <v>-2.1099128494210001E-2</v>
      </c>
      <c r="C23" s="62"/>
      <c r="D23" s="62"/>
      <c r="E23" s="62"/>
      <c r="F23" s="62"/>
      <c r="G23" s="62"/>
      <c r="H23" s="62"/>
    </row>
    <row r="24" spans="1:8" ht="15.75" x14ac:dyDescent="0.25">
      <c r="A24" s="65">
        <v>2014</v>
      </c>
      <c r="B24" s="67">
        <v>-2.1741859491781399E-2</v>
      </c>
      <c r="C24" s="68">
        <f>'Central scenario'!AL3</f>
        <v>-1.9692504721512523E-2</v>
      </c>
      <c r="D24" s="69"/>
      <c r="E24" s="62"/>
      <c r="F24" s="62"/>
      <c r="G24" s="62"/>
      <c r="H24" s="62"/>
    </row>
    <row r="25" spans="1:8" ht="15.75" x14ac:dyDescent="0.25">
      <c r="A25" s="65">
        <v>2015</v>
      </c>
      <c r="B25" s="66">
        <v>-2.830905931782E-2</v>
      </c>
      <c r="C25" s="68">
        <f>'Central scenario'!AL4</f>
        <v>-3.2874367663992966E-2</v>
      </c>
      <c r="D25" s="69"/>
      <c r="E25" s="62"/>
      <c r="F25" s="62"/>
      <c r="G25" s="62"/>
      <c r="H25" s="62"/>
    </row>
    <row r="26" spans="1:8" ht="15.75" x14ac:dyDescent="0.25">
      <c r="A26" s="65">
        <v>2016</v>
      </c>
      <c r="B26" s="67">
        <v>-3.1163226932361E-2</v>
      </c>
      <c r="C26" s="68">
        <f>'Central scenario'!AL5</f>
        <v>-3.2769767104184076E-2</v>
      </c>
      <c r="D26" s="68">
        <f>'Central scenario'!BO5</f>
        <v>-3.2809735076633359E-2</v>
      </c>
      <c r="E26" s="62"/>
      <c r="F26" s="62"/>
      <c r="G26" s="62"/>
      <c r="H26" s="62"/>
    </row>
    <row r="27" spans="1:8" ht="15.75" x14ac:dyDescent="0.25">
      <c r="A27" s="65">
        <v>2017</v>
      </c>
      <c r="B27" s="66">
        <v>-3.1311152517781E-2</v>
      </c>
      <c r="C27" s="68">
        <f>'Central scenario'!AL6</f>
        <v>-3.657028727940486E-2</v>
      </c>
      <c r="D27" s="68">
        <f>'Central scenario'!BO6</f>
        <v>-3.7113901938517706E-2</v>
      </c>
      <c r="E27" s="70">
        <f>'Low scenario'!AL6</f>
        <v>-3.6563964922451557E-2</v>
      </c>
      <c r="F27" s="70">
        <f>'Low scenario'!BO6</f>
        <v>-3.7107579581564402E-2</v>
      </c>
      <c r="G27" s="70">
        <f>'High scenario'!AL6</f>
        <v>-3.6559160254587511E-2</v>
      </c>
      <c r="H27" s="70">
        <f>'High scenario'!BO6</f>
        <v>-3.7102774913700357E-2</v>
      </c>
    </row>
    <row r="28" spans="1:8" ht="15.75" x14ac:dyDescent="0.25">
      <c r="A28" s="65">
        <v>2018</v>
      </c>
      <c r="B28" s="67">
        <v>-3.3240002411513002E-2</v>
      </c>
      <c r="C28" s="68">
        <f>'Central scenario'!AL7</f>
        <v>-3.6128299721158844E-2</v>
      </c>
      <c r="D28" s="68">
        <f>'Central scenario'!BO7</f>
        <v>-3.7080046459942104E-2</v>
      </c>
      <c r="E28" s="70">
        <f>'Low scenario'!AL7</f>
        <v>-3.6082251208706832E-2</v>
      </c>
      <c r="F28" s="70">
        <f>'Low scenario'!BO7</f>
        <v>-3.7033997947490092E-2</v>
      </c>
      <c r="G28" s="70">
        <f>'High scenario'!AL7</f>
        <v>-3.6935377871097748E-2</v>
      </c>
      <c r="H28" s="70">
        <f>'High scenario'!BO7</f>
        <v>-3.7887124609881008E-2</v>
      </c>
    </row>
    <row r="29" spans="1:8" x14ac:dyDescent="0.2">
      <c r="A29" s="65">
        <v>2019</v>
      </c>
      <c r="B29" s="62"/>
      <c r="C29" s="68">
        <f>'Central scenario'!AL8</f>
        <v>-3.702863314835745E-2</v>
      </c>
      <c r="D29" s="68">
        <f>'Central scenario'!BO8</f>
        <v>-3.7886901160571959E-2</v>
      </c>
      <c r="E29" s="70">
        <f>'Low scenario'!AL8</f>
        <v>-3.6959709762769091E-2</v>
      </c>
      <c r="F29" s="70">
        <f>'Low scenario'!BO8</f>
        <v>-3.7817977774983601E-2</v>
      </c>
      <c r="G29" s="70">
        <f>'High scenario'!AL8</f>
        <v>-3.7570961536689318E-2</v>
      </c>
      <c r="H29" s="70">
        <f>'High scenario'!BO8</f>
        <v>-3.8422430941969461E-2</v>
      </c>
    </row>
    <row r="30" spans="1:8" x14ac:dyDescent="0.2">
      <c r="A30" s="65">
        <v>2020</v>
      </c>
      <c r="B30" s="62"/>
      <c r="C30" s="68">
        <f>'Central scenario'!AL9</f>
        <v>-3.4924575866021303E-2</v>
      </c>
      <c r="D30" s="68">
        <f>'Central scenario'!BO9</f>
        <v>-3.6046273529294105E-2</v>
      </c>
      <c r="E30" s="70">
        <f>'Low scenario'!AL9</f>
        <v>-3.5360577800789592E-2</v>
      </c>
      <c r="F30" s="70">
        <f>'Low scenario'!BO9</f>
        <v>-3.6481827746020642E-2</v>
      </c>
      <c r="G30" s="70">
        <f>'High scenario'!AL9</f>
        <v>-3.2800543627865109E-2</v>
      </c>
      <c r="H30" s="70">
        <f>'High scenario'!BO9</f>
        <v>-3.3905941460582623E-2</v>
      </c>
    </row>
    <row r="31" spans="1:8" x14ac:dyDescent="0.2">
      <c r="A31" s="65">
        <v>2021</v>
      </c>
      <c r="B31" s="62"/>
      <c r="C31" s="68">
        <f>'Central scenario'!AL10</f>
        <v>-3.288330693205848E-2</v>
      </c>
      <c r="D31" s="68">
        <f>'Central scenario'!BO10</f>
        <v>-3.4433691394260814E-2</v>
      </c>
      <c r="E31" s="70">
        <f>'Low scenario'!AL10</f>
        <v>-3.4935344075168066E-2</v>
      </c>
      <c r="F31" s="70">
        <f>'Low scenario'!BO10</f>
        <v>-3.647004207287316E-2</v>
      </c>
      <c r="G31" s="70">
        <f>'High scenario'!AL10</f>
        <v>-2.8141138623761022E-2</v>
      </c>
      <c r="H31" s="70">
        <f>'High scenario'!BO10</f>
        <v>-2.9697993972140249E-2</v>
      </c>
    </row>
    <row r="32" spans="1:8" x14ac:dyDescent="0.2">
      <c r="A32" s="65">
        <v>2022</v>
      </c>
      <c r="B32" s="62"/>
      <c r="C32" s="68">
        <f>'Central scenario'!AL11</f>
        <v>-3.223316884102987E-2</v>
      </c>
      <c r="D32" s="68">
        <f>'Central scenario'!BO11</f>
        <v>-3.4199075310982693E-2</v>
      </c>
      <c r="E32" s="70">
        <f>'Low scenario'!AL11</f>
        <v>-3.5700095099385452E-2</v>
      </c>
      <c r="F32" s="70">
        <f>'Low scenario'!BO11</f>
        <v>-3.7640097728357046E-2</v>
      </c>
      <c r="G32" s="70">
        <f>'High scenario'!AL11</f>
        <v>-2.7758031888344064E-2</v>
      </c>
      <c r="H32" s="70">
        <f>'High scenario'!BO11</f>
        <v>-2.9740677646189942E-2</v>
      </c>
    </row>
    <row r="33" spans="1:8" x14ac:dyDescent="0.2">
      <c r="A33" s="65">
        <v>2023</v>
      </c>
      <c r="B33" s="62"/>
      <c r="C33" s="68">
        <f>'Central scenario'!AL12</f>
        <v>-3.1238802403607668E-2</v>
      </c>
      <c r="D33" s="68">
        <f>'Central scenario'!BO12</f>
        <v>-3.3532821913051986E-2</v>
      </c>
      <c r="E33" s="70">
        <f>'Low scenario'!AL12</f>
        <v>-3.5870790177635926E-2</v>
      </c>
      <c r="F33" s="70">
        <f>'Low scenario'!BO12</f>
        <v>-3.811116926405992E-2</v>
      </c>
      <c r="G33" s="70">
        <f>'High scenario'!AL12</f>
        <v>-2.7158206306906803E-2</v>
      </c>
      <c r="H33" s="70">
        <f>'High scenario'!BO12</f>
        <v>-2.9356388502072728E-2</v>
      </c>
    </row>
    <row r="34" spans="1:8" x14ac:dyDescent="0.2">
      <c r="A34" s="65">
        <v>2024</v>
      </c>
      <c r="B34" s="62"/>
      <c r="C34" s="71">
        <f>'Central scenario'!AL13</f>
        <v>-2.9956679353725556E-2</v>
      </c>
      <c r="D34" s="71">
        <f>'Central scenario'!BO13</f>
        <v>-3.2509909262887111E-2</v>
      </c>
      <c r="E34" s="70">
        <f>'Low scenario'!AL13</f>
        <v>-3.6560327530100578E-2</v>
      </c>
      <c r="F34" s="70">
        <f>'Low scenario'!BO13</f>
        <v>-3.9161004052621767E-2</v>
      </c>
      <c r="G34" s="70">
        <f>'High scenario'!AL13</f>
        <v>-2.5425116287734615E-2</v>
      </c>
      <c r="H34" s="70">
        <f>'High scenario'!BO13</f>
        <v>-2.7930927429747406E-2</v>
      </c>
    </row>
    <row r="35" spans="1:8" x14ac:dyDescent="0.2">
      <c r="A35" s="65">
        <v>2025</v>
      </c>
      <c r="B35" s="62"/>
      <c r="C35" s="72">
        <f>'Central scenario'!AL14</f>
        <v>-2.9300901743958066E-2</v>
      </c>
      <c r="D35" s="72">
        <f>'Central scenario'!BO14</f>
        <v>-3.282116111996166E-2</v>
      </c>
      <c r="E35" s="70">
        <f>'Low scenario'!AL14</f>
        <v>-3.7131348783478874E-2</v>
      </c>
      <c r="F35" s="70">
        <f>'Low scenario'!BO14</f>
        <v>-4.0676113156491986E-2</v>
      </c>
      <c r="G35" s="70">
        <f>'High scenario'!AL14</f>
        <v>-2.2906259960261351E-2</v>
      </c>
      <c r="H35" s="70">
        <f>'High scenario'!BO14</f>
        <v>-2.6265723744712782E-2</v>
      </c>
    </row>
    <row r="36" spans="1:8" x14ac:dyDescent="0.2">
      <c r="A36" s="65">
        <v>2026</v>
      </c>
      <c r="B36" s="62"/>
      <c r="C36" s="73">
        <f>'Central scenario'!AL15</f>
        <v>-2.7072431344146369E-2</v>
      </c>
      <c r="D36" s="73">
        <f>'Central scenario'!BO15</f>
        <v>-3.1703789539046054E-2</v>
      </c>
      <c r="E36" s="70">
        <f>'Low scenario'!AL15</f>
        <v>-3.5047143539884987E-2</v>
      </c>
      <c r="F36" s="70">
        <f>'Low scenario'!BO15</f>
        <v>-3.9649294126746268E-2</v>
      </c>
      <c r="G36" s="70">
        <f>'High scenario'!AL15</f>
        <v>-2.0476877959928735E-2</v>
      </c>
      <c r="H36" s="70">
        <f>'High scenario'!BO15</f>
        <v>-2.4849070947865586E-2</v>
      </c>
    </row>
    <row r="37" spans="1:8" x14ac:dyDescent="0.2">
      <c r="A37" s="65">
        <v>2027</v>
      </c>
      <c r="B37" s="62"/>
      <c r="C37" s="73">
        <f>'Central scenario'!AL16</f>
        <v>-2.5361670924052122E-2</v>
      </c>
      <c r="D37" s="73">
        <f>'Central scenario'!BO16</f>
        <v>-3.07597171560101E-2</v>
      </c>
      <c r="E37" s="70">
        <f>'Low scenario'!AL16</f>
        <v>-3.3381340130824506E-2</v>
      </c>
      <c r="F37" s="70">
        <f>'Low scenario'!BO16</f>
        <v>-3.8925349821705042E-2</v>
      </c>
      <c r="G37" s="70">
        <f>'High scenario'!AL16</f>
        <v>-1.7694430143396885E-2</v>
      </c>
      <c r="H37" s="70">
        <f>'High scenario'!BO16</f>
        <v>-2.2626265683255646E-2</v>
      </c>
    </row>
    <row r="38" spans="1:8" x14ac:dyDescent="0.2">
      <c r="A38" s="65">
        <v>2028</v>
      </c>
      <c r="B38" s="69"/>
      <c r="C38" s="73">
        <f>'Central scenario'!AL17</f>
        <v>-2.3323469568539798E-2</v>
      </c>
      <c r="D38" s="73">
        <f>'Central scenario'!BO17</f>
        <v>-2.9576104722891853E-2</v>
      </c>
      <c r="E38" s="70">
        <f>'Low scenario'!AL17</f>
        <v>-3.127555790366366E-2</v>
      </c>
      <c r="F38" s="70">
        <f>'Low scenario'!BO17</f>
        <v>-3.7774206448495273E-2</v>
      </c>
      <c r="G38" s="70">
        <f>'High scenario'!AL17</f>
        <v>-1.5126432238653379E-2</v>
      </c>
      <c r="H38" s="70">
        <f>'High scenario'!BO17</f>
        <v>-2.0805727907156513E-2</v>
      </c>
    </row>
    <row r="39" spans="1:8" x14ac:dyDescent="0.2">
      <c r="A39" s="65">
        <v>2029</v>
      </c>
      <c r="B39" s="69"/>
      <c r="C39" s="72">
        <f>'Central scenario'!AL18</f>
        <v>-2.0724055387641535E-2</v>
      </c>
      <c r="D39" s="72">
        <f>'Central scenario'!BO18</f>
        <v>-2.7841728304600341E-2</v>
      </c>
      <c r="E39" s="70">
        <f>'Low scenario'!AL18</f>
        <v>-3.0862807376122674E-2</v>
      </c>
      <c r="F39" s="70">
        <f>'Low scenario'!BO18</f>
        <v>-3.8166853555446655E-2</v>
      </c>
      <c r="G39" s="70">
        <f>'High scenario'!AL18</f>
        <v>-1.2295460080909265E-2</v>
      </c>
      <c r="H39" s="70">
        <f>'High scenario'!BO18</f>
        <v>-1.8636524920830101E-2</v>
      </c>
    </row>
    <row r="40" spans="1:8" x14ac:dyDescent="0.2">
      <c r="A40" s="65">
        <v>2030</v>
      </c>
      <c r="B40" s="69"/>
      <c r="C40" s="73">
        <f>'Central scenario'!AL19</f>
        <v>-1.8849895463106676E-2</v>
      </c>
      <c r="D40" s="73">
        <f>'Central scenario'!BO19</f>
        <v>-2.679753484565749E-2</v>
      </c>
      <c r="E40" s="70">
        <f>'Low scenario'!AL19</f>
        <v>-2.9550569413448018E-2</v>
      </c>
      <c r="F40" s="70">
        <f>'Low scenario'!BO19</f>
        <v>-3.7495087634763356E-2</v>
      </c>
      <c r="G40" s="70">
        <f>'High scenario'!AL19</f>
        <v>-1.0368483958178324E-2</v>
      </c>
      <c r="H40" s="70">
        <f>'High scenario'!BO19</f>
        <v>-1.7362740433170147E-2</v>
      </c>
    </row>
    <row r="41" spans="1:8" x14ac:dyDescent="0.2">
      <c r="A41" s="65">
        <v>2031</v>
      </c>
      <c r="B41" s="69"/>
      <c r="C41" s="73">
        <f>'Central scenario'!AL20</f>
        <v>-1.7116590132436403E-2</v>
      </c>
      <c r="D41" s="73">
        <f>'Central scenario'!BO20</f>
        <v>-2.573842636126103E-2</v>
      </c>
      <c r="E41" s="70">
        <f>'Low scenario'!AL20</f>
        <v>-2.9570183667920139E-2</v>
      </c>
      <c r="F41" s="70">
        <f>'Low scenario'!BO20</f>
        <v>-3.8081633514525114E-2</v>
      </c>
      <c r="G41" s="70">
        <f>'High scenario'!AL20</f>
        <v>-7.8663426791195298E-3</v>
      </c>
      <c r="H41" s="70">
        <f>'High scenario'!BO20</f>
        <v>-1.5266492808230857E-2</v>
      </c>
    </row>
    <row r="42" spans="1:8" x14ac:dyDescent="0.2">
      <c r="A42" s="65">
        <v>2032</v>
      </c>
      <c r="B42" s="69"/>
      <c r="C42" s="73">
        <f>'Central scenario'!AL21</f>
        <v>-1.6723440028358925E-2</v>
      </c>
      <c r="D42" s="73">
        <f>'Central scenario'!BO21</f>
        <v>-2.5576988897550768E-2</v>
      </c>
      <c r="E42" s="70">
        <f>'Low scenario'!AL21</f>
        <v>-2.944757985326377E-2</v>
      </c>
      <c r="F42" s="70">
        <f>'Low scenario'!BO21</f>
        <v>-3.896152794159459E-2</v>
      </c>
      <c r="G42" s="70">
        <f>'High scenario'!AL21</f>
        <v>-6.077540612204271E-3</v>
      </c>
      <c r="H42" s="70">
        <f>'High scenario'!BO21</f>
        <v>-1.3955187495331249E-2</v>
      </c>
    </row>
    <row r="43" spans="1:8" x14ac:dyDescent="0.2">
      <c r="A43" s="65">
        <v>2033</v>
      </c>
      <c r="B43" s="69"/>
      <c r="C43" s="72">
        <f>'Central scenario'!AL22</f>
        <v>-1.4894216888064683E-2</v>
      </c>
      <c r="D43" s="72">
        <f>'Central scenario'!BO22</f>
        <v>-2.4273401895879995E-2</v>
      </c>
      <c r="E43" s="70">
        <f>'Low scenario'!AL22</f>
        <v>-2.8577002621147738E-2</v>
      </c>
      <c r="F43" s="70">
        <f>'Low scenario'!BO22</f>
        <v>-3.9165808055551241E-2</v>
      </c>
      <c r="G43" s="70">
        <f>'High scenario'!AL22</f>
        <v>-4.6952188150375541E-3</v>
      </c>
      <c r="H43" s="70">
        <f>'High scenario'!BO22</f>
        <v>-1.2896077269265475E-2</v>
      </c>
    </row>
    <row r="44" spans="1:8" x14ac:dyDescent="0.2">
      <c r="A44" s="65">
        <v>2034</v>
      </c>
      <c r="B44" s="69"/>
      <c r="C44" s="73">
        <f>'Central scenario'!AL23</f>
        <v>-1.3705548078932313E-2</v>
      </c>
      <c r="D44" s="73">
        <f>'Central scenario'!BO23</f>
        <v>-2.368871199673768E-2</v>
      </c>
      <c r="E44" s="70">
        <f>'Low scenario'!AL23</f>
        <v>-2.8570831837772283E-2</v>
      </c>
      <c r="F44" s="70">
        <f>'Low scenario'!BO23</f>
        <v>-3.9847320973945957E-2</v>
      </c>
      <c r="G44" s="70">
        <f>'High scenario'!AL23</f>
        <v>-3.1418434437787456E-3</v>
      </c>
      <c r="H44" s="70">
        <f>'High scenario'!BO23</f>
        <v>-1.1634102893917714E-2</v>
      </c>
    </row>
    <row r="45" spans="1:8" x14ac:dyDescent="0.2">
      <c r="A45" s="65">
        <v>2035</v>
      </c>
      <c r="B45" s="69"/>
      <c r="C45" s="73">
        <f>'Central scenario'!AL24</f>
        <v>-1.3035000246651808E-2</v>
      </c>
      <c r="D45" s="73">
        <f>'Central scenario'!BO24</f>
        <v>-2.3473926651839117E-2</v>
      </c>
      <c r="E45" s="70">
        <f>'Low scenario'!AL24</f>
        <v>-2.871690688409648E-2</v>
      </c>
      <c r="F45" s="70">
        <f>'Low scenario'!BO24</f>
        <v>-4.0454287718779978E-2</v>
      </c>
      <c r="G45" s="70">
        <f>'High scenario'!AL24</f>
        <v>-1.0348028414617046E-3</v>
      </c>
      <c r="H45" s="70">
        <f>'High scenario'!BO24</f>
        <v>-9.990962299290581E-3</v>
      </c>
    </row>
    <row r="46" spans="1:8" x14ac:dyDescent="0.2">
      <c r="A46" s="65">
        <v>2036</v>
      </c>
      <c r="B46" s="69"/>
      <c r="C46" s="73">
        <f>'Central scenario'!AL25</f>
        <v>-1.1730608021064893E-2</v>
      </c>
      <c r="D46" s="73">
        <f>'Central scenario'!BO25</f>
        <v>-2.2575790728110785E-2</v>
      </c>
      <c r="E46" s="70">
        <f>'Low scenario'!AL25</f>
        <v>-2.7663437612180691E-2</v>
      </c>
      <c r="F46" s="70">
        <f>'Low scenario'!BO25</f>
        <v>-3.9969971355316644E-2</v>
      </c>
      <c r="G46" s="70">
        <f>'High scenario'!AL25</f>
        <v>5.931321081369419E-4</v>
      </c>
      <c r="H46" s="70">
        <f>'High scenario'!BO25</f>
        <v>-8.8052344253002745E-3</v>
      </c>
    </row>
    <row r="47" spans="1:8" x14ac:dyDescent="0.2">
      <c r="A47" s="65">
        <v>2037</v>
      </c>
      <c r="B47" s="69"/>
      <c r="C47" s="72">
        <f>'Central scenario'!AL26</f>
        <v>-1.1282430355684363E-2</v>
      </c>
      <c r="D47" s="72">
        <f>'Central scenario'!BO26</f>
        <v>-2.2707919648391115E-2</v>
      </c>
      <c r="E47" s="70">
        <f>'Low scenario'!AL26</f>
        <v>-2.7216951068335302E-2</v>
      </c>
      <c r="F47" s="70">
        <f>'Low scenario'!BO26</f>
        <v>-4.0321670725133582E-2</v>
      </c>
      <c r="G47" s="70">
        <f>'High scenario'!AL26</f>
        <v>2.1636788096876789E-3</v>
      </c>
      <c r="H47" s="70">
        <f>'High scenario'!BO26</f>
        <v>-7.7528221152042432E-3</v>
      </c>
    </row>
    <row r="48" spans="1:8" x14ac:dyDescent="0.2">
      <c r="A48" s="65">
        <v>2038</v>
      </c>
      <c r="B48" s="69"/>
      <c r="C48" s="73">
        <f>'Central scenario'!AL27</f>
        <v>-9.9878791509745036E-3</v>
      </c>
      <c r="D48" s="73">
        <f>'Central scenario'!BO27</f>
        <v>-2.1726216046043925E-2</v>
      </c>
      <c r="E48" s="70">
        <f>'Low scenario'!AL27</f>
        <v>-2.6164412322930545E-2</v>
      </c>
      <c r="F48" s="70">
        <f>'Low scenario'!BO27</f>
        <v>-4.0095847832240766E-2</v>
      </c>
      <c r="G48" s="70">
        <f>'High scenario'!AL27</f>
        <v>3.5771316909351584E-3</v>
      </c>
      <c r="H48" s="70">
        <f>'High scenario'!BO27</f>
        <v>-6.7118323139120882E-3</v>
      </c>
    </row>
    <row r="49" spans="1:8" x14ac:dyDescent="0.2">
      <c r="A49" s="65">
        <v>2039</v>
      </c>
      <c r="B49" s="74"/>
      <c r="C49" s="73">
        <f>'Central scenario'!AL28</f>
        <v>-9.3992574025878149E-3</v>
      </c>
      <c r="D49" s="73">
        <f>'Central scenario'!BO28</f>
        <v>-2.1775406550464008E-2</v>
      </c>
      <c r="E49" s="70">
        <f>'Low scenario'!AL28</f>
        <v>-2.6265909347726896E-2</v>
      </c>
      <c r="F49" s="70">
        <f>'Low scenario'!BO28</f>
        <v>-4.093189898063599E-2</v>
      </c>
      <c r="G49" s="70">
        <f>'High scenario'!AL28</f>
        <v>4.5457029201457586E-3</v>
      </c>
      <c r="H49" s="70">
        <f>'High scenario'!BO28</f>
        <v>-6.2201210191368227E-3</v>
      </c>
    </row>
    <row r="50" spans="1:8" x14ac:dyDescent="0.2">
      <c r="A50" s="65">
        <v>2040</v>
      </c>
      <c r="B50" s="75"/>
      <c r="C50" s="73">
        <f>'Central scenario'!AL29</f>
        <v>-8.4804117953724591E-3</v>
      </c>
      <c r="D50" s="73">
        <f>'Central scenario'!BO29</f>
        <v>-2.1486227180161434E-2</v>
      </c>
      <c r="E50" s="70">
        <f>'Low scenario'!AL29</f>
        <v>-2.6568581284783361E-2</v>
      </c>
      <c r="F50" s="70">
        <f>'Low scenario'!BO29</f>
        <v>-4.1887820893441591E-2</v>
      </c>
      <c r="G50" s="70">
        <f>'High scenario'!AL29</f>
        <v>5.601666229652383E-3</v>
      </c>
      <c r="H50" s="70">
        <f>'High scenario'!BO29</f>
        <v>-5.4269541536038053E-3</v>
      </c>
    </row>
  </sheetData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3"/>
  <sheetViews>
    <sheetView tabSelected="1" topLeftCell="A19" zoomScale="75" zoomScaleNormal="75" workbookViewId="0">
      <selection activeCell="D26" sqref="D26"/>
    </sheetView>
  </sheetViews>
  <sheetFormatPr baseColWidth="10" defaultColWidth="11.5703125" defaultRowHeight="12.75" x14ac:dyDescent="0.2"/>
  <sheetData>
    <row r="1" spans="1:9" ht="114.75" x14ac:dyDescent="0.2">
      <c r="A1" s="62"/>
      <c r="B1" s="63" t="s">
        <v>73</v>
      </c>
      <c r="C1" s="64" t="s">
        <v>0</v>
      </c>
      <c r="D1" s="64" t="s">
        <v>79</v>
      </c>
      <c r="E1" s="64" t="s">
        <v>75</v>
      </c>
      <c r="F1" s="64" t="s">
        <v>80</v>
      </c>
      <c r="G1" s="64" t="s">
        <v>77</v>
      </c>
      <c r="H1" s="64" t="s">
        <v>81</v>
      </c>
      <c r="I1" s="64"/>
    </row>
    <row r="2" spans="1:9" x14ac:dyDescent="0.2">
      <c r="A2" s="62"/>
      <c r="B2" s="63"/>
      <c r="C2" s="62"/>
      <c r="D2" s="62"/>
      <c r="E2" s="62"/>
      <c r="F2" s="62"/>
      <c r="G2" s="62"/>
      <c r="H2" s="62"/>
      <c r="I2" s="62"/>
    </row>
    <row r="3" spans="1:9" ht="15.75" x14ac:dyDescent="0.25">
      <c r="A3" s="65">
        <v>1993</v>
      </c>
      <c r="B3" s="66">
        <v>-4.4606927546389302E-4</v>
      </c>
      <c r="C3" s="62"/>
      <c r="D3" s="62"/>
      <c r="E3" s="62"/>
      <c r="F3" s="62"/>
      <c r="G3" s="62"/>
      <c r="H3" s="62"/>
      <c r="I3" s="62"/>
    </row>
    <row r="4" spans="1:9" ht="15.75" x14ac:dyDescent="0.25">
      <c r="A4" s="65">
        <v>1994</v>
      </c>
      <c r="B4" s="67">
        <v>-1.3085329461061499E-2</v>
      </c>
      <c r="C4" s="62"/>
      <c r="D4" s="62"/>
      <c r="E4" s="62"/>
      <c r="F4" s="62"/>
      <c r="G4" s="62"/>
      <c r="H4" s="62"/>
      <c r="I4" s="62"/>
    </row>
    <row r="5" spans="1:9" ht="15.75" x14ac:dyDescent="0.25">
      <c r="A5" s="65">
        <v>1995</v>
      </c>
      <c r="B5" s="66">
        <v>-6.3793495975881902E-3</v>
      </c>
      <c r="C5" s="62"/>
      <c r="D5" s="62"/>
      <c r="E5" s="62"/>
      <c r="F5" s="62"/>
      <c r="G5" s="62"/>
      <c r="H5" s="62"/>
      <c r="I5" s="62"/>
    </row>
    <row r="6" spans="1:9" ht="15.75" x14ac:dyDescent="0.25">
      <c r="A6" s="65">
        <v>1996</v>
      </c>
      <c r="B6" s="67">
        <v>-5.2873047307913897E-3</v>
      </c>
      <c r="C6" s="62"/>
      <c r="D6" s="62"/>
      <c r="E6" s="62"/>
      <c r="F6" s="62"/>
      <c r="G6" s="62"/>
      <c r="H6" s="62"/>
      <c r="I6" s="62"/>
    </row>
    <row r="7" spans="1:9" ht="15.75" x14ac:dyDescent="0.25">
      <c r="A7" s="65">
        <v>1997</v>
      </c>
      <c r="B7" s="66">
        <v>-3.15594528811225E-3</v>
      </c>
      <c r="C7" s="62"/>
      <c r="D7" s="62"/>
      <c r="E7" s="62"/>
      <c r="F7" s="62"/>
      <c r="G7" s="62"/>
      <c r="H7" s="62"/>
      <c r="I7" s="62"/>
    </row>
    <row r="8" spans="1:9" ht="15.75" x14ac:dyDescent="0.25">
      <c r="A8" s="65">
        <v>1998</v>
      </c>
      <c r="B8" s="67">
        <v>-2.6600621239856099E-3</v>
      </c>
      <c r="C8" s="62"/>
      <c r="D8" s="62"/>
      <c r="E8" s="62"/>
      <c r="F8" s="62"/>
      <c r="G8" s="62"/>
      <c r="H8" s="62"/>
      <c r="I8" s="62"/>
    </row>
    <row r="9" spans="1:9" ht="15.75" x14ac:dyDescent="0.25">
      <c r="A9" s="65">
        <v>1999</v>
      </c>
      <c r="B9" s="66">
        <v>-7.7596880146275004E-3</v>
      </c>
      <c r="C9" s="62"/>
      <c r="D9" s="62"/>
      <c r="E9" s="62"/>
      <c r="F9" s="62"/>
      <c r="G9" s="62"/>
      <c r="H9" s="62"/>
      <c r="I9" s="62"/>
    </row>
    <row r="10" spans="1:9" ht="15.75" x14ac:dyDescent="0.25">
      <c r="A10" s="65">
        <v>2000</v>
      </c>
      <c r="B10" s="67">
        <v>-6.7385444537740799E-3</v>
      </c>
      <c r="C10" s="62"/>
      <c r="D10" s="62"/>
      <c r="E10" s="62"/>
      <c r="F10" s="62"/>
      <c r="G10" s="62"/>
      <c r="H10" s="62"/>
      <c r="I10" s="62"/>
    </row>
    <row r="11" spans="1:9" ht="15.75" x14ac:dyDescent="0.25">
      <c r="A11" s="65">
        <v>2001</v>
      </c>
      <c r="B11" s="66">
        <v>-1.0164928737260199E-2</v>
      </c>
      <c r="C11" s="62"/>
      <c r="D11" s="62"/>
      <c r="E11" s="62"/>
      <c r="F11" s="62"/>
      <c r="G11" s="62"/>
      <c r="H11" s="62"/>
      <c r="I11" s="62"/>
    </row>
    <row r="12" spans="1:9" ht="15.75" x14ac:dyDescent="0.25">
      <c r="A12" s="65">
        <v>2002</v>
      </c>
      <c r="B12" s="67">
        <v>-1.1439861798283499E-2</v>
      </c>
      <c r="C12" s="62"/>
      <c r="D12" s="62"/>
      <c r="E12" s="62"/>
      <c r="F12" s="62"/>
      <c r="G12" s="62"/>
      <c r="H12" s="62"/>
      <c r="I12" s="62"/>
    </row>
    <row r="13" spans="1:9" ht="15.75" x14ac:dyDescent="0.25">
      <c r="A13" s="65">
        <v>2003</v>
      </c>
      <c r="B13" s="66">
        <v>-4.9270739941502696E-3</v>
      </c>
      <c r="C13" s="62"/>
      <c r="D13" s="62"/>
      <c r="E13" s="62"/>
      <c r="F13" s="62"/>
      <c r="G13" s="62"/>
      <c r="H13" s="62"/>
      <c r="I13" s="62"/>
    </row>
    <row r="14" spans="1:9" ht="15.75" x14ac:dyDescent="0.25">
      <c r="A14" s="65">
        <v>2004</v>
      </c>
      <c r="B14" s="67">
        <v>3.82133245719463E-3</v>
      </c>
      <c r="C14" s="62"/>
      <c r="D14" s="62"/>
      <c r="E14" s="62"/>
      <c r="F14" s="62"/>
      <c r="G14" s="62"/>
      <c r="H14" s="62"/>
      <c r="I14" s="62"/>
    </row>
    <row r="15" spans="1:9" ht="15.75" x14ac:dyDescent="0.25">
      <c r="A15" s="65">
        <v>2005</v>
      </c>
      <c r="B15" s="66">
        <v>7.5776910275119798E-3</v>
      </c>
      <c r="C15" s="62"/>
      <c r="D15" s="62"/>
      <c r="E15" s="62"/>
      <c r="F15" s="62"/>
      <c r="G15" s="62"/>
      <c r="H15" s="62"/>
      <c r="I15" s="62"/>
    </row>
    <row r="16" spans="1:9" ht="15.75" x14ac:dyDescent="0.25">
      <c r="A16" s="65">
        <v>2006</v>
      </c>
      <c r="B16" s="67">
        <v>9.1779183173693706E-3</v>
      </c>
      <c r="C16" s="62"/>
      <c r="D16" s="62"/>
      <c r="E16" s="62"/>
      <c r="F16" s="62"/>
      <c r="G16" s="62"/>
      <c r="H16" s="62"/>
      <c r="I16" s="62"/>
    </row>
    <row r="17" spans="1:9" ht="15.75" x14ac:dyDescent="0.25">
      <c r="A17" s="65">
        <v>2007</v>
      </c>
      <c r="B17" s="66">
        <v>1.08470293692913E-2</v>
      </c>
      <c r="C17" s="62"/>
      <c r="D17" s="62"/>
      <c r="E17" s="62"/>
      <c r="F17" s="62"/>
      <c r="G17" s="62"/>
      <c r="H17" s="62"/>
      <c r="I17" s="62"/>
    </row>
    <row r="18" spans="1:9" ht="15.75" x14ac:dyDescent="0.25">
      <c r="A18" s="65">
        <v>2008</v>
      </c>
      <c r="B18" s="67">
        <v>4.7304740220958904E-3</v>
      </c>
      <c r="C18" s="62"/>
      <c r="D18" s="62"/>
      <c r="E18" s="62"/>
      <c r="F18" s="62"/>
      <c r="G18" s="62"/>
      <c r="H18" s="62"/>
      <c r="I18" s="62"/>
    </row>
    <row r="19" spans="1:9" ht="15.75" x14ac:dyDescent="0.25">
      <c r="A19" s="65">
        <v>2009</v>
      </c>
      <c r="B19" s="66">
        <v>3.4788465677864102E-3</v>
      </c>
      <c r="C19" s="62"/>
      <c r="D19" s="62"/>
      <c r="E19" s="62"/>
      <c r="F19" s="62"/>
      <c r="G19" s="62"/>
      <c r="H19" s="62"/>
      <c r="I19" s="62"/>
    </row>
    <row r="20" spans="1:9" ht="15.75" x14ac:dyDescent="0.25">
      <c r="A20" s="65">
        <v>2010</v>
      </c>
      <c r="B20" s="67">
        <v>4.11235591593429E-3</v>
      </c>
      <c r="C20" s="62"/>
      <c r="D20" s="62"/>
      <c r="E20" s="62"/>
      <c r="F20" s="62"/>
      <c r="G20" s="62"/>
      <c r="H20" s="62"/>
      <c r="I20" s="62"/>
    </row>
    <row r="21" spans="1:9" ht="15.75" x14ac:dyDescent="0.25">
      <c r="A21" s="65">
        <v>2011</v>
      </c>
      <c r="B21" s="66">
        <v>3.2630790588100899E-3</v>
      </c>
      <c r="C21" s="62"/>
      <c r="D21" s="62"/>
      <c r="E21" s="62"/>
      <c r="F21" s="62"/>
      <c r="G21" s="62"/>
      <c r="H21" s="62"/>
      <c r="I21" s="62"/>
    </row>
    <row r="22" spans="1:9" ht="15.75" x14ac:dyDescent="0.25">
      <c r="A22" s="65">
        <v>2012</v>
      </c>
      <c r="B22" s="67">
        <v>1.05161751029002E-3</v>
      </c>
      <c r="C22" s="62"/>
      <c r="D22" s="62"/>
      <c r="E22" s="62"/>
      <c r="F22" s="62"/>
      <c r="G22" s="62"/>
      <c r="H22" s="62"/>
      <c r="I22" s="62"/>
    </row>
    <row r="23" spans="1:9" ht="15.75" x14ac:dyDescent="0.25">
      <c r="A23" s="65">
        <v>2013</v>
      </c>
      <c r="B23" s="66">
        <v>-9.5166855816117605E-4</v>
      </c>
      <c r="C23" s="62"/>
      <c r="D23" s="62"/>
      <c r="E23" s="62"/>
      <c r="F23" s="62"/>
      <c r="G23" s="62"/>
      <c r="H23" s="62"/>
      <c r="I23" s="62"/>
    </row>
    <row r="24" spans="1:9" ht="15.75" x14ac:dyDescent="0.25">
      <c r="A24" s="65">
        <v>2014</v>
      </c>
      <c r="B24" s="67">
        <v>-1.2928637559684599E-3</v>
      </c>
      <c r="C24" s="68">
        <f>'Central scenario'!AL3+SUM($C104:$J104)-$H104-$F104-SUM($K104:$Q104)</f>
        <v>1.1582536628149571E-3</v>
      </c>
      <c r="D24" s="69"/>
      <c r="E24" s="62"/>
      <c r="F24" s="62"/>
      <c r="G24" s="74"/>
      <c r="H24" s="62"/>
      <c r="I24" s="62"/>
    </row>
    <row r="25" spans="1:9" ht="15.75" x14ac:dyDescent="0.25">
      <c r="A25" s="65">
        <v>2015</v>
      </c>
      <c r="B25" s="66">
        <v>-7.5073330617732104E-3</v>
      </c>
      <c r="C25" s="68">
        <f>'Central scenario'!AL4+SUM($C105:$J105)-$H105-$F105-SUM($K105:$Q105)</f>
        <v>-1.1632605873130773E-2</v>
      </c>
      <c r="D25" s="69"/>
      <c r="E25" s="62"/>
      <c r="F25" s="62"/>
      <c r="G25" s="62"/>
      <c r="H25" s="62"/>
      <c r="I25" s="62"/>
    </row>
    <row r="26" spans="1:9" ht="15.75" x14ac:dyDescent="0.25">
      <c r="A26" s="65">
        <v>2016</v>
      </c>
      <c r="B26" s="67">
        <v>-2.0346799695848902E-2</v>
      </c>
      <c r="C26" s="68">
        <f>'Central scenario'!AL5+SUM($C106:$J106)-$H106-$F106-SUM($K106:$Q106)</f>
        <v>-1.5354230537384703E-2</v>
      </c>
      <c r="D26" s="68">
        <f>'Central scenario'!BO5+SUM($C106:$J106)-$H106-$F106-SUM($K106:$R106)</f>
        <v>-1.9198276131218564E-2</v>
      </c>
      <c r="E26" s="62"/>
      <c r="F26" s="62"/>
      <c r="G26" s="62"/>
      <c r="H26" s="62"/>
      <c r="I26" s="62"/>
    </row>
    <row r="27" spans="1:9" ht="15.75" x14ac:dyDescent="0.25">
      <c r="A27" s="65">
        <v>2017</v>
      </c>
      <c r="B27" s="66">
        <v>-2.4104702008189639E-2</v>
      </c>
      <c r="C27" s="68">
        <f>'Central scenario'!AL6+SUM($C107:$J107)-$H107-$F107-SUM($K107:$Q107)</f>
        <v>-1.8188328906456101E-2</v>
      </c>
      <c r="D27" s="68">
        <f>'Central scenario'!BO6+SUM($C107:$J107)-$H107-$F107-SUM($K107:$R107)</f>
        <v>-2.6057443821146595E-2</v>
      </c>
      <c r="E27" s="71"/>
      <c r="F27" s="70"/>
      <c r="G27" s="70"/>
      <c r="H27" s="70"/>
      <c r="I27" s="70"/>
    </row>
    <row r="28" spans="1:9" ht="15.75" x14ac:dyDescent="0.25">
      <c r="A28" s="65">
        <v>2018</v>
      </c>
      <c r="B28" s="67">
        <v>-1.8271797800212462E-2</v>
      </c>
      <c r="C28" s="68">
        <f>'Central scenario'!$AL7+SUM($C108:$J108)-$F108-SUM($K108:$Q108)</f>
        <v>-8.70503909312304E-3</v>
      </c>
      <c r="D28" s="68">
        <f>'Central scenario'!BO7+SUM($C108:$J108)-$F108-SUM($K108:$R108)</f>
        <v>-2.1199779701978103E-2</v>
      </c>
      <c r="E28" s="70"/>
      <c r="F28" s="70"/>
      <c r="G28" s="70"/>
      <c r="H28" s="70"/>
      <c r="I28" s="70"/>
    </row>
    <row r="29" spans="1:9" ht="15.75" x14ac:dyDescent="0.25">
      <c r="A29" s="65">
        <v>2019</v>
      </c>
      <c r="B29" s="66">
        <v>-2.6190479056360311E-2</v>
      </c>
      <c r="C29" s="68">
        <f>'Central scenario'!$AL8+SUM($D$112:$J$112)-SUM($K$112:$Q$112)</f>
        <v>-1.329894514257135E-2</v>
      </c>
      <c r="D29" s="68">
        <f>'Central scenario'!$BO8+SUM($D$112:$J$112)-SUM($K$112:$Q$112)-$I$112*12/15</f>
        <v>-2.6598941199901575E-2</v>
      </c>
      <c r="E29" s="70">
        <f>'Low scenario'!$AL8+SUM($D$112:$J$112)-SUM($K$112:$Q$112)</f>
        <v>-1.3230021756982992E-2</v>
      </c>
      <c r="F29" s="70">
        <f>'Low scenario'!$BO8+SUM($D$112:$J$112)-SUM($K$112:$Q$112)-$I$112*12/15</f>
        <v>-2.6530017814313217E-2</v>
      </c>
      <c r="G29" s="70">
        <f>'High scenario'!$AL8+SUM($D$112:$J$112)-SUM($K$112:$Q$112)</f>
        <v>-1.3841273530903218E-2</v>
      </c>
      <c r="H29" s="70">
        <f>'High scenario'!$BO8+SUM($D$112:$J$112)-SUM($K$112:$Q$112)-$I$112*12/15</f>
        <v>-2.7134470981299078E-2</v>
      </c>
      <c r="I29" s="70"/>
    </row>
    <row r="30" spans="1:9" x14ac:dyDescent="0.2">
      <c r="A30" s="65">
        <v>2020</v>
      </c>
      <c r="B30" s="62"/>
      <c r="C30" s="68">
        <f>'Central scenario'!$AL9+SUM($D$112:$J$112)-SUM($K$112:$Q$112)</f>
        <v>-1.1194887860235203E-2</v>
      </c>
      <c r="D30" s="68">
        <f>'Central scenario'!$BO9+SUM($D$112:$J$112)-SUM($K$112:$Q$112)-$I$112</f>
        <v>-2.7868745579902654E-2</v>
      </c>
      <c r="E30" s="70">
        <f>'Low scenario'!$AL9+SUM($D$112:$J$112)-SUM($K$112:$Q$112)</f>
        <v>-1.1630889795003492E-2</v>
      </c>
      <c r="F30" s="70">
        <f>'Low scenario'!$BO9+SUM($D$112:$J$112)-SUM($K$112:$Q$112)-$I$112</f>
        <v>-2.8304299796629191E-2</v>
      </c>
      <c r="G30" s="70">
        <f>'High scenario'!$AL9+SUM($D$112:$J$112)-SUM($K$112:$Q$112)</f>
        <v>-9.070855622079009E-3</v>
      </c>
      <c r="H30" s="70">
        <f>'High scenario'!$BO9+SUM($D$112:$J$112)-SUM($K$112:$Q$112)-$I$112</f>
        <v>-2.5728413511191171E-2</v>
      </c>
      <c r="I30" s="70"/>
    </row>
    <row r="31" spans="1:9" x14ac:dyDescent="0.2">
      <c r="A31" s="65">
        <v>2021</v>
      </c>
      <c r="B31" s="62"/>
      <c r="C31" s="68">
        <f>'Central scenario'!$AL10+SUM($D$112:$J$112)-SUM($K$112:$Q$112)</f>
        <v>-9.1536189262723805E-3</v>
      </c>
      <c r="D31" s="68">
        <f>'Central scenario'!$BO10+SUM($D$112:$J$112)-SUM($K$112:$Q$112)-$I$112</f>
        <v>-2.6256163444869363E-2</v>
      </c>
      <c r="E31" s="70">
        <f>'Low scenario'!$AL10+SUM($D$112:$J$112)-SUM($K$112:$Q$112)</f>
        <v>-1.1205656069381967E-2</v>
      </c>
      <c r="F31" s="70">
        <f>'Low scenario'!$BO10+SUM($D$112:$J$112)-SUM($K$112:$Q$112)-$I$112</f>
        <v>-2.8292514123481709E-2</v>
      </c>
      <c r="G31" s="70">
        <f>'High scenario'!$AL10+SUM($D$112:$J$112)-SUM($K$112:$Q$112)</f>
        <v>-4.411450617974922E-3</v>
      </c>
      <c r="H31" s="70">
        <f>'High scenario'!$BO10+SUM($D$112:$J$112)-SUM($K$112:$Q$112)-$I$112</f>
        <v>-2.1520466022748798E-2</v>
      </c>
      <c r="I31" s="70"/>
    </row>
    <row r="32" spans="1:9" x14ac:dyDescent="0.2">
      <c r="A32" s="65">
        <v>2022</v>
      </c>
      <c r="B32" s="62"/>
      <c r="C32" s="68">
        <f>'Central scenario'!$AL11+SUM($D$112:$J$112)-SUM($K$112:$Q$112)</f>
        <v>-8.5034808352437707E-3</v>
      </c>
      <c r="D32" s="68">
        <f>'Central scenario'!$BO11+SUM($D$112:$J$112)-SUM($K$112:$Q$112)-$I$112</f>
        <v>-2.6021547361591242E-2</v>
      </c>
      <c r="E32" s="70">
        <f>'Low scenario'!$AL11+SUM($D$112:$J$112)-SUM($K$112:$Q$112)</f>
        <v>-1.1970407093599353E-2</v>
      </c>
      <c r="F32" s="70">
        <f>'Low scenario'!$BO11+SUM($D$112:$J$112)-SUM($K$112:$Q$112)-$I$112</f>
        <v>-2.9462569778965594E-2</v>
      </c>
      <c r="G32" s="70">
        <f>'High scenario'!$AL11+SUM($D$112:$J$112)-SUM($K$112:$Q$112)</f>
        <v>-4.0283438825579644E-3</v>
      </c>
      <c r="H32" s="70">
        <f>'High scenario'!$BO11+SUM($D$112:$J$112)-SUM($K$112:$Q$112)-$I$112</f>
        <v>-2.1563149696798491E-2</v>
      </c>
      <c r="I32" s="70"/>
    </row>
    <row r="33" spans="1:9" x14ac:dyDescent="0.2">
      <c r="A33" s="65">
        <v>2023</v>
      </c>
      <c r="B33" s="62"/>
      <c r="C33" s="68">
        <f>'Central scenario'!$AL12+SUM($D$112:$J$112)-SUM($K$112:$Q$112)</f>
        <v>-7.5091143978215681E-3</v>
      </c>
      <c r="D33" s="68">
        <f>'Central scenario'!$BO12+SUM($D$112:$J$112)-SUM($K$112:$Q$112)-$I$112</f>
        <v>-2.5355293963660534E-2</v>
      </c>
      <c r="E33" s="70">
        <f>'Low scenario'!$AL12+SUM($D$112:$J$112)-SUM($K$112:$Q$112)</f>
        <v>-1.2141102171849827E-2</v>
      </c>
      <c r="F33" s="70">
        <f>'Low scenario'!$BO12+SUM($D$112:$J$112)-SUM($K$112:$Q$112)-$I$112</f>
        <v>-2.9933641314668469E-2</v>
      </c>
      <c r="G33" s="70">
        <f>'High scenario'!$AL12+SUM($D$112:$J$112)-SUM($K$112:$Q$112)</f>
        <v>-3.4285183011207032E-3</v>
      </c>
      <c r="H33" s="70">
        <f>'High scenario'!$BO12+SUM($D$112:$J$112)-SUM($K$112:$Q$112)-$I$112</f>
        <v>-2.1178860552681276E-2</v>
      </c>
      <c r="I33" s="70"/>
    </row>
    <row r="34" spans="1:9" x14ac:dyDescent="0.2">
      <c r="A34" s="65">
        <v>2024</v>
      </c>
      <c r="B34" s="62"/>
      <c r="C34" s="71">
        <f>'Central scenario'!$AL13+SUM($D$112:$J$112)-SUM($K$112:$Q$112)</f>
        <v>-6.2269913479394562E-3</v>
      </c>
      <c r="D34" s="71">
        <f>'Central scenario'!$BO13+SUM($D$112:$J$112)-SUM($K$112:$Q$112)-$I$112</f>
        <v>-2.433238131349566E-2</v>
      </c>
      <c r="E34" s="70">
        <f>'Low scenario'!$AL13+SUM($D$112:$J$112)-SUM($K$112:$Q$112)</f>
        <v>-1.2830639524314479E-2</v>
      </c>
      <c r="F34" s="70">
        <f>'Low scenario'!$BO13+SUM($D$112:$J$112)-SUM($K$112:$Q$112)-$I$112</f>
        <v>-3.0983476103230316E-2</v>
      </c>
      <c r="G34" s="70">
        <f>'High scenario'!$AL13+SUM($D$112:$J$112)-SUM($K$112:$Q$112)</f>
        <v>-1.6954282819485154E-3</v>
      </c>
      <c r="H34" s="70">
        <f>'High scenario'!$BO13+SUM($D$112:$J$112)-SUM($K$112:$Q$112)-$I$112</f>
        <v>-1.9753399480355954E-2</v>
      </c>
      <c r="I34" s="70"/>
    </row>
    <row r="35" spans="1:9" x14ac:dyDescent="0.2">
      <c r="A35" s="65">
        <v>2025</v>
      </c>
      <c r="B35" s="62"/>
      <c r="C35" s="72">
        <f>'Central scenario'!$AL14+SUM($D$112:$J$112)-SUM($K$112:$Q$112)</f>
        <v>-5.5712137381719665E-3</v>
      </c>
      <c r="D35" s="72">
        <f>'Central scenario'!$BO14+SUM($D$112:$J$112)-SUM($K$112:$Q$112)-$I$112</f>
        <v>-2.4643633170570209E-2</v>
      </c>
      <c r="E35" s="70">
        <f>'Low scenario'!$AL14+SUM($D$112:$J$112)-SUM($K$112:$Q$112)</f>
        <v>-1.3401660777692774E-2</v>
      </c>
      <c r="F35" s="70">
        <f>'Low scenario'!$BO14+SUM($D$112:$J$112)-SUM($K$112:$Q$112)-$I$112</f>
        <v>-3.2498585207100535E-2</v>
      </c>
      <c r="G35" s="70">
        <f>'High scenario'!$AL14+SUM($D$112:$J$112)-SUM($K$112:$Q$112)</f>
        <v>8.2342804552474821E-4</v>
      </c>
      <c r="H35" s="70">
        <f>'High scenario'!$BO14+SUM($D$112:$J$112)-SUM($K$112:$Q$112)-$I$112</f>
        <v>-1.8088195795321331E-2</v>
      </c>
      <c r="I35" s="70"/>
    </row>
    <row r="36" spans="1:9" x14ac:dyDescent="0.2">
      <c r="A36" s="65">
        <v>2026</v>
      </c>
      <c r="B36" s="62"/>
      <c r="C36" s="73">
        <f>'Central scenario'!$AL15+SUM($D$112:$J$112)-SUM($K$112:$Q$112)</f>
        <v>-3.3427433383602691E-3</v>
      </c>
      <c r="D36" s="73">
        <f>'Central scenario'!$BO15+SUM($D$112:$J$112)-SUM($K$112:$Q$112)-$I$112</f>
        <v>-2.3526261589654603E-2</v>
      </c>
      <c r="E36" s="70">
        <f>'Low scenario'!$AL15+SUM($D$112:$J$112)-SUM($K$112:$Q$112)</f>
        <v>-1.1317455534098887E-2</v>
      </c>
      <c r="F36" s="70">
        <f>'Low scenario'!$BO15+SUM($D$112:$J$112)-SUM($K$112:$Q$112)-$I$112</f>
        <v>-3.1471766177354817E-2</v>
      </c>
      <c r="G36" s="70">
        <f>'High scenario'!$AL15+SUM($D$112:$J$112)-SUM($K$112:$Q$112)</f>
        <v>3.2528100458573649E-3</v>
      </c>
      <c r="H36" s="70">
        <f>'High scenario'!$BO15+SUM($D$112:$J$112)-SUM($K$112:$Q$112)-$I$112</f>
        <v>-1.6671542998474134E-2</v>
      </c>
      <c r="I36" s="70"/>
    </row>
    <row r="37" spans="1:9" x14ac:dyDescent="0.2">
      <c r="A37" s="65">
        <v>2027</v>
      </c>
      <c r="B37" s="62"/>
      <c r="C37" s="73">
        <f>'Central scenario'!$AL16+SUM($D$112:$J$112)-SUM($K$112:$Q$112)</f>
        <v>-1.6319829182660228E-3</v>
      </c>
      <c r="D37" s="73">
        <f>'Central scenario'!$BO16+SUM($D$112:$J$112)-SUM($K$112:$Q$112)-$I$112</f>
        <v>-2.2582189206618648E-2</v>
      </c>
      <c r="E37" s="70">
        <f>'Low scenario'!$AL16+SUM($D$112:$J$112)-SUM($K$112:$Q$112)</f>
        <v>-9.6516521250384069E-3</v>
      </c>
      <c r="F37" s="70">
        <f>'Low scenario'!$BO16+SUM($D$112:$J$112)-SUM($K$112:$Q$112)-$I$112</f>
        <v>-3.0747821872313591E-2</v>
      </c>
      <c r="G37" s="70">
        <f>'High scenario'!$AL16+SUM($D$112:$J$112)-SUM($K$112:$Q$112)</f>
        <v>6.0352578623892143E-3</v>
      </c>
      <c r="H37" s="70">
        <f>'High scenario'!$BO16+SUM($D$112:$J$112)-SUM($K$112:$Q$112)-$I$112</f>
        <v>-1.4448737733864193E-2</v>
      </c>
      <c r="I37" s="70"/>
    </row>
    <row r="38" spans="1:9" x14ac:dyDescent="0.2">
      <c r="A38" s="65">
        <v>2028</v>
      </c>
      <c r="B38" s="69"/>
      <c r="C38" s="73">
        <f>'Central scenario'!$AL17+SUM($D$112:$J$112)-SUM($K$112:$Q$112)</f>
        <v>4.0621843724630152E-4</v>
      </c>
      <c r="D38" s="73">
        <f>'Central scenario'!$BO17+SUM($D$112:$J$112)-SUM($K$112:$Q$112)-$I$112</f>
        <v>-2.1398576773500398E-2</v>
      </c>
      <c r="E38" s="70">
        <f>'Low scenario'!$AL17+SUM($D$112:$J$112)-SUM($K$112:$Q$112)</f>
        <v>-7.5458698978775607E-3</v>
      </c>
      <c r="F38" s="70">
        <f>'Low scenario'!$BO17+SUM($D$112:$J$112)-SUM($K$112:$Q$112)-$I$112</f>
        <v>-2.9596678499103822E-2</v>
      </c>
      <c r="G38" s="70">
        <f>'High scenario'!$AL17+SUM($D$112:$J$112)-SUM($K$112:$Q$112)</f>
        <v>8.6032557671327226E-3</v>
      </c>
      <c r="H38" s="70">
        <f>'High scenario'!$BO17+SUM($D$112:$J$112)-SUM($K$112:$Q$112)-$I$112</f>
        <v>-1.262819995776506E-2</v>
      </c>
      <c r="I38" s="70"/>
    </row>
    <row r="39" spans="1:9" x14ac:dyDescent="0.2">
      <c r="A39" s="65">
        <v>2029</v>
      </c>
      <c r="B39" s="69"/>
      <c r="C39" s="72">
        <f>'Central scenario'!$AL18+SUM($D$112:$J$112)-SUM($K$112:$Q$112)</f>
        <v>3.0056326181445644E-3</v>
      </c>
      <c r="D39" s="72">
        <f>'Central scenario'!$BO18+SUM($D$112:$J$112)-SUM($K$112:$Q$112)-$I$112</f>
        <v>-1.966420035520889E-2</v>
      </c>
      <c r="E39" s="70">
        <f>'Low scenario'!$AL18+SUM($D$112:$J$112)-SUM($K$112:$Q$112)</f>
        <v>-7.1331193703365742E-3</v>
      </c>
      <c r="F39" s="70">
        <f>'Low scenario'!$BO18+SUM($D$112:$J$112)-SUM($K$112:$Q$112)-$I$112</f>
        <v>-2.9989325606055203E-2</v>
      </c>
      <c r="G39" s="70">
        <f>'High scenario'!$AL18+SUM($D$112:$J$112)-SUM($K$112:$Q$112)</f>
        <v>1.1434227924876833E-2</v>
      </c>
      <c r="H39" s="70">
        <f>'High scenario'!$BO18+SUM($D$112:$J$112)-SUM($K$112:$Q$112)-$I$112</f>
        <v>-1.0458996971438648E-2</v>
      </c>
      <c r="I39" s="70"/>
    </row>
    <row r="40" spans="1:9" x14ac:dyDescent="0.2">
      <c r="A40" s="65">
        <v>2030</v>
      </c>
      <c r="B40" s="69"/>
      <c r="C40" s="73">
        <f>'Central scenario'!$AL19+SUM($D$112:$J$112)-SUM($K$112:$Q$112)</f>
        <v>4.8797925426794231E-3</v>
      </c>
      <c r="D40" s="73">
        <f>'Central scenario'!$BO19+SUM($D$112:$J$112)-SUM($K$112:$Q$112)-$I$112</f>
        <v>-1.8620006896266035E-2</v>
      </c>
      <c r="E40" s="70">
        <f>'Low scenario'!$AL19+SUM($D$112:$J$112)-SUM($K$112:$Q$112)</f>
        <v>-5.8208814076619181E-3</v>
      </c>
      <c r="F40" s="70">
        <f>'Low scenario'!$BO19+SUM($D$112:$J$112)-SUM($K$112:$Q$112)-$I$112</f>
        <v>-2.9317559685371905E-2</v>
      </c>
      <c r="G40" s="70">
        <f>'High scenario'!$AL19+SUM($D$112:$J$112)-SUM($K$112:$Q$112)</f>
        <v>1.3361204047607773E-2</v>
      </c>
      <c r="H40" s="70">
        <f>'High scenario'!$BO19+SUM($D$112:$J$112)-SUM($K$112:$Q$112)-$I$112</f>
        <v>-9.1852124837786941E-3</v>
      </c>
      <c r="I40" s="70"/>
    </row>
    <row r="41" spans="1:9" x14ac:dyDescent="0.2">
      <c r="A41" s="65">
        <v>2031</v>
      </c>
      <c r="B41" s="69"/>
      <c r="C41" s="73">
        <f>'Central scenario'!$AL20+SUM($D$112:$J$112)-SUM($K$112:$Q$112)</f>
        <v>6.6130978733496965E-3</v>
      </c>
      <c r="D41" s="73">
        <f>'Central scenario'!$BO20+SUM($D$112:$J$112)-SUM($K$112:$Q$112)-$I$112</f>
        <v>-1.7560898411869579E-2</v>
      </c>
      <c r="E41" s="70">
        <f>'Low scenario'!$AL20+SUM($D$112:$J$112)-SUM($K$112:$Q$112)</f>
        <v>-5.8404956621340397E-3</v>
      </c>
      <c r="F41" s="70">
        <f>'Low scenario'!$BO20+SUM($D$112:$J$112)-SUM($K$112:$Q$112)-$I$112</f>
        <v>-2.9904105565133662E-2</v>
      </c>
      <c r="G41" s="70">
        <f>'High scenario'!$AL20+SUM($D$112:$J$112)-SUM($K$112:$Q$112)</f>
        <v>1.586334532666657E-2</v>
      </c>
      <c r="H41" s="70">
        <f>'High scenario'!$BO20+SUM($D$112:$J$112)-SUM($K$112:$Q$112)-$I$112</f>
        <v>-7.0889648588394038E-3</v>
      </c>
      <c r="I41" s="70"/>
    </row>
    <row r="42" spans="1:9" x14ac:dyDescent="0.2">
      <c r="A42" s="65">
        <v>2032</v>
      </c>
      <c r="B42" s="69"/>
      <c r="C42" s="73">
        <f>'Central scenario'!$AL21+SUM($D$112:$J$112)-SUM($K$112:$Q$112)</f>
        <v>7.0062479774271741E-3</v>
      </c>
      <c r="D42" s="73">
        <f>'Central scenario'!$BO21+SUM($D$112:$J$112)-SUM($K$112:$Q$112)-$I$112</f>
        <v>-1.7399460948159313E-2</v>
      </c>
      <c r="E42" s="70">
        <f>'Low scenario'!$AL21+SUM($D$112:$J$112)-SUM($K$112:$Q$112)</f>
        <v>-5.7178918474776706E-3</v>
      </c>
      <c r="F42" s="70">
        <f>'Low scenario'!$BO21+SUM($D$112:$J$112)-SUM($K$112:$Q$112)-$I$112</f>
        <v>-3.0783999992203138E-2</v>
      </c>
      <c r="G42" s="70">
        <f>'High scenario'!$AL21+SUM($D$112:$J$112)-SUM($K$112:$Q$112)</f>
        <v>1.7652147393581827E-2</v>
      </c>
      <c r="H42" s="70">
        <f>'High scenario'!$BO21+SUM($D$112:$J$112)-SUM($K$112:$Q$112)-$I$112</f>
        <v>-5.7776595459397961E-3</v>
      </c>
      <c r="I42" s="70"/>
    </row>
    <row r="43" spans="1:9" x14ac:dyDescent="0.2">
      <c r="A43" s="65">
        <v>2033</v>
      </c>
      <c r="B43" s="69"/>
      <c r="C43" s="72">
        <f>'Central scenario'!$AL22+SUM($D$112:$J$112)-SUM($K$112:$Q$112)</f>
        <v>8.8354711177214169E-3</v>
      </c>
      <c r="D43" s="72">
        <f>'Central scenario'!$BO22+SUM($D$112:$J$112)-SUM($K$112:$Q$112)-$I$112</f>
        <v>-1.6095873946488544E-2</v>
      </c>
      <c r="E43" s="70">
        <f>'Low scenario'!$AL22+SUM($D$112:$J$112)-SUM($K$112:$Q$112)</f>
        <v>-4.8473146153616385E-3</v>
      </c>
      <c r="F43" s="70">
        <f>'Low scenario'!$BO22+SUM($D$112:$J$112)-SUM($K$112:$Q$112)-$I$112</f>
        <v>-3.0988280106159789E-2</v>
      </c>
      <c r="G43" s="70">
        <f>'High scenario'!$AL22+SUM($D$112:$J$112)-SUM($K$112:$Q$112)</f>
        <v>1.9034469190748547E-2</v>
      </c>
      <c r="H43" s="70">
        <f>'High scenario'!$BO22+SUM($D$112:$J$112)-SUM($K$112:$Q$112)-$I$112</f>
        <v>-4.7185493198740238E-3</v>
      </c>
      <c r="I43" s="70"/>
    </row>
    <row r="44" spans="1:9" x14ac:dyDescent="0.2">
      <c r="A44" s="65">
        <v>2034</v>
      </c>
      <c r="B44" s="69"/>
      <c r="C44" s="73">
        <f>'Central scenario'!$AL23+SUM($D$112:$J$112)-SUM($K$112:$Q$112)</f>
        <v>1.0024139926853786E-2</v>
      </c>
      <c r="D44" s="73">
        <f>'Central scenario'!$BO23+SUM($D$112:$J$112)-SUM($K$112:$Q$112)-$I$112</f>
        <v>-1.5511184047346227E-2</v>
      </c>
      <c r="E44" s="70">
        <f>'Low scenario'!$AL23+SUM($D$112:$J$112)-SUM($K$112:$Q$112)</f>
        <v>-4.8411438319861839E-3</v>
      </c>
      <c r="F44" s="70">
        <f>'Low scenario'!$BO23+SUM($D$112:$J$112)-SUM($K$112:$Q$112)-$I$112</f>
        <v>-3.1669793024554506E-2</v>
      </c>
      <c r="G44" s="70">
        <f>'High scenario'!$AL23+SUM($D$112:$J$112)-SUM($K$112:$Q$112)</f>
        <v>2.0587844562007351E-2</v>
      </c>
      <c r="H44" s="70">
        <f>'High scenario'!$BO23+SUM($D$112:$J$112)-SUM($K$112:$Q$112)-$I$112</f>
        <v>-3.4565749445262615E-3</v>
      </c>
      <c r="I44" s="70"/>
    </row>
    <row r="45" spans="1:9" x14ac:dyDescent="0.2">
      <c r="A45" s="65">
        <v>2035</v>
      </c>
      <c r="B45" s="69"/>
      <c r="C45" s="73">
        <f>'Central scenario'!$AL24+SUM($D$112:$J$112)-SUM($K$112:$Q$112)</f>
        <v>1.0694687759134291E-2</v>
      </c>
      <c r="D45" s="73">
        <f>'Central scenario'!$BO24+SUM($D$112:$J$112)-SUM($K$112:$Q$112)-$I$112</f>
        <v>-1.5296398702447664E-2</v>
      </c>
      <c r="E45" s="70">
        <f>'Low scenario'!$AL24+SUM($D$112:$J$112)-SUM($K$112:$Q$112)</f>
        <v>-4.9872188783103809E-3</v>
      </c>
      <c r="F45" s="70">
        <f>'Low scenario'!$BO24+SUM($D$112:$J$112)-SUM($K$112:$Q$112)-$I$112</f>
        <v>-3.2276759769388527E-2</v>
      </c>
      <c r="G45" s="70">
        <f>'High scenario'!$AL24+SUM($D$112:$J$112)-SUM($K$112:$Q$112)</f>
        <v>2.2694885164324392E-2</v>
      </c>
      <c r="H45" s="70">
        <f>'High scenario'!$BO24+SUM($D$112:$J$112)-SUM($K$112:$Q$112)-$I$112</f>
        <v>-1.813434349899128E-3</v>
      </c>
      <c r="I45" s="70"/>
    </row>
    <row r="46" spans="1:9" x14ac:dyDescent="0.2">
      <c r="A46" s="65">
        <v>2036</v>
      </c>
      <c r="B46" s="69"/>
      <c r="C46" s="73">
        <f>'Central scenario'!$AL25+SUM($D$112:$J$112)-SUM($K$112:$Q$112)</f>
        <v>1.1999079984721207E-2</v>
      </c>
      <c r="D46" s="73">
        <f>'Central scenario'!$BO25+SUM($D$112:$J$112)-SUM($K$112:$Q$112)-$I$112</f>
        <v>-1.4398262778719332E-2</v>
      </c>
      <c r="E46" s="70">
        <f>'Low scenario'!$AL25+SUM($D$112:$J$112)-SUM($K$112:$Q$112)</f>
        <v>-3.9337496063945911E-3</v>
      </c>
      <c r="F46" s="70">
        <f>'Low scenario'!$BO25+SUM($D$112:$J$112)-SUM($K$112:$Q$112)-$I$112</f>
        <v>-3.1792443405925193E-2</v>
      </c>
      <c r="G46" s="70">
        <f>'High scenario'!$AL25+SUM($D$112:$J$112)-SUM($K$112:$Q$112)</f>
        <v>2.432282011392304E-2</v>
      </c>
      <c r="H46" s="70">
        <f>'High scenario'!$BO25+SUM($D$112:$J$112)-SUM($K$112:$Q$112)-$I$112</f>
        <v>-6.2770647590882321E-4</v>
      </c>
      <c r="I46" s="70"/>
    </row>
    <row r="47" spans="1:9" x14ac:dyDescent="0.2">
      <c r="A47" s="65">
        <v>2037</v>
      </c>
      <c r="B47" s="69"/>
      <c r="C47" s="72">
        <f>'Central scenario'!$AL26+SUM($D$112:$J$112)-SUM($K$112:$Q$112)</f>
        <v>1.2447257650101736E-2</v>
      </c>
      <c r="D47" s="72">
        <f>'Central scenario'!$BO26+SUM($D$112:$J$112)-SUM($K$112:$Q$112)-$I$112</f>
        <v>-1.4530391698999662E-2</v>
      </c>
      <c r="E47" s="70">
        <f>'Low scenario'!$AL26+SUM($D$112:$J$112)-SUM($K$112:$Q$112)</f>
        <v>-3.4872630625492028E-3</v>
      </c>
      <c r="F47" s="70">
        <f>'Low scenario'!$BO26+SUM($D$112:$J$112)-SUM($K$112:$Q$112)-$I$112</f>
        <v>-3.2144142775742131E-2</v>
      </c>
      <c r="G47" s="70">
        <f>'High scenario'!$AL26+SUM($D$112:$J$112)-SUM($K$112:$Q$112)</f>
        <v>2.589336681547378E-2</v>
      </c>
      <c r="H47" s="70">
        <f>'High scenario'!$BO26+SUM($D$112:$J$112)-SUM($K$112:$Q$112)-$I$112</f>
        <v>4.2470583418721154E-4</v>
      </c>
      <c r="I47" s="70"/>
    </row>
    <row r="48" spans="1:9" x14ac:dyDescent="0.2">
      <c r="A48" s="65">
        <v>2038</v>
      </c>
      <c r="B48" s="69"/>
      <c r="C48" s="73">
        <f>'Central scenario'!$AL27+SUM($D$112:$J$112)-SUM($K$112:$Q$112)</f>
        <v>1.3741808854811598E-2</v>
      </c>
      <c r="D48" s="73">
        <f>'Central scenario'!$BO27+SUM($D$112:$J$112)-SUM($K$112:$Q$112)-$I$112</f>
        <v>-1.3548688096652472E-2</v>
      </c>
      <c r="E48" s="70">
        <f>'Low scenario'!$AL27+SUM($D$112:$J$112)-SUM($K$112:$Q$112)</f>
        <v>-2.4347243171444453E-3</v>
      </c>
      <c r="F48" s="70">
        <f>'Low scenario'!$BO27+SUM($D$112:$J$112)-SUM($K$112:$Q$112)-$I$112</f>
        <v>-3.1918319882849315E-2</v>
      </c>
      <c r="G48" s="70">
        <f>'High scenario'!$AL27+SUM($D$112:$J$112)-SUM($K$112:$Q$112)</f>
        <v>2.730681969672126E-2</v>
      </c>
      <c r="H48" s="70">
        <f>'High scenario'!$BO27+SUM($D$112:$J$112)-SUM($K$112:$Q$112)-$I$112</f>
        <v>1.4656956354793613E-3</v>
      </c>
      <c r="I48" s="70"/>
    </row>
    <row r="49" spans="1:18" x14ac:dyDescent="0.2">
      <c r="A49" s="65">
        <v>2039</v>
      </c>
      <c r="B49" s="74"/>
      <c r="C49" s="73">
        <f>'Central scenario'!$AL28+SUM($D$112:$J$112)-SUM($K$112:$Q$112)</f>
        <v>1.4330430603198281E-2</v>
      </c>
      <c r="D49" s="73">
        <f>'Central scenario'!$BO28+SUM($D$112:$J$112)-SUM($K$112:$Q$112)-$I$112</f>
        <v>-1.3597878601072555E-2</v>
      </c>
      <c r="E49" s="70">
        <f>'Low scenario'!$AL28+SUM($D$112:$J$112)-SUM($K$112:$Q$112)</f>
        <v>-2.5362213419407968E-3</v>
      </c>
      <c r="F49" s="70">
        <f>'Low scenario'!$BO28+SUM($D$112:$J$112)-SUM($K$112:$Q$112)-$I$112</f>
        <v>-3.2754371031244539E-2</v>
      </c>
      <c r="G49" s="70">
        <f>'High scenario'!$AL28+SUM($D$112:$J$112)-SUM($K$112:$Q$112)</f>
        <v>2.8275390925931856E-2</v>
      </c>
      <c r="H49" s="70">
        <f>'High scenario'!$BO28+SUM($D$112:$J$112)-SUM($K$112:$Q$112)-$I$112</f>
        <v>1.9574069302546269E-3</v>
      </c>
      <c r="I49" s="70"/>
    </row>
    <row r="50" spans="1:18" x14ac:dyDescent="0.2">
      <c r="A50" s="65">
        <v>2040</v>
      </c>
      <c r="B50" s="75"/>
      <c r="C50" s="73">
        <f>'Central scenario'!$AL29+SUM($D$112:$J$112)-SUM($K$112:$Q$112)</f>
        <v>1.5249276210413644E-2</v>
      </c>
      <c r="D50" s="73">
        <f>'Central scenario'!$BO29+SUM($D$112:$J$112)-SUM($K$112:$Q$112)-$I$112</f>
        <v>-1.3308699230769981E-2</v>
      </c>
      <c r="E50" s="70">
        <f>'Low scenario'!$AL29+SUM($D$112:$J$112)-SUM($K$112:$Q$112)</f>
        <v>-2.8388932789972614E-3</v>
      </c>
      <c r="F50" s="70">
        <f>'Low scenario'!$BO29+SUM($D$112:$J$112)-SUM($K$112:$Q$112)-$I$112</f>
        <v>-3.3710292944050139E-2</v>
      </c>
      <c r="G50" s="70">
        <f>'High scenario'!$AL29+SUM($D$112:$J$112)-SUM($K$112:$Q$112)</f>
        <v>2.9331354235438485E-2</v>
      </c>
      <c r="H50" s="70">
        <f>'High scenario'!$BO29+SUM($D$112:$J$112)-SUM($K$112:$Q$112)-$I$112</f>
        <v>2.7505737957876451E-3</v>
      </c>
      <c r="I50" s="70"/>
    </row>
    <row r="53" spans="1:18" x14ac:dyDescent="0.2">
      <c r="C53" s="76"/>
      <c r="D53" s="76"/>
      <c r="E53" s="76"/>
      <c r="F53" s="76" t="s">
        <v>82</v>
      </c>
      <c r="G53" s="76"/>
      <c r="H53" s="76"/>
      <c r="I53" s="76"/>
      <c r="J53" s="76"/>
    </row>
    <row r="54" spans="1:18" x14ac:dyDescent="0.2">
      <c r="C54" s="137" t="s">
        <v>83</v>
      </c>
      <c r="D54" s="137"/>
      <c r="E54" s="137"/>
      <c r="F54" s="137"/>
      <c r="G54" s="137"/>
      <c r="H54" s="137"/>
      <c r="I54" s="76"/>
      <c r="J54" s="137" t="s">
        <v>84</v>
      </c>
      <c r="K54" s="137"/>
      <c r="L54" s="137"/>
      <c r="M54" s="137"/>
      <c r="N54" s="137"/>
      <c r="O54" s="137"/>
      <c r="P54" s="137"/>
    </row>
    <row r="55" spans="1:18" x14ac:dyDescent="0.2">
      <c r="B55" s="77"/>
      <c r="C55" s="78" t="s">
        <v>85</v>
      </c>
      <c r="D55" s="78"/>
      <c r="E55" s="78"/>
      <c r="F55" s="78"/>
      <c r="G55" s="78"/>
      <c r="H55" s="78"/>
      <c r="I55" s="78"/>
      <c r="J55" s="78"/>
      <c r="K55" s="79"/>
      <c r="L55" s="79" t="s">
        <v>86</v>
      </c>
      <c r="M55" s="79"/>
      <c r="N55" s="79"/>
      <c r="O55" s="79"/>
      <c r="P55" s="79"/>
      <c r="Q55" s="79"/>
      <c r="R55" s="79"/>
    </row>
    <row r="56" spans="1:18" x14ac:dyDescent="0.2">
      <c r="B56" s="77"/>
      <c r="C56" s="80" t="s">
        <v>87</v>
      </c>
      <c r="D56" s="81" t="s">
        <v>88</v>
      </c>
      <c r="E56" s="80" t="s">
        <v>89</v>
      </c>
      <c r="F56" s="81" t="s">
        <v>90</v>
      </c>
      <c r="G56" s="80" t="s">
        <v>91</v>
      </c>
      <c r="H56" s="81" t="s">
        <v>92</v>
      </c>
      <c r="I56" s="80" t="s">
        <v>93</v>
      </c>
      <c r="J56" s="81" t="s">
        <v>94</v>
      </c>
      <c r="K56" s="81" t="s">
        <v>95</v>
      </c>
      <c r="L56" s="82" t="s">
        <v>96</v>
      </c>
      <c r="M56" s="81" t="s">
        <v>97</v>
      </c>
      <c r="N56" s="82" t="s">
        <v>98</v>
      </c>
      <c r="O56" s="81" t="s">
        <v>99</v>
      </c>
      <c r="P56" s="82" t="s">
        <v>100</v>
      </c>
      <c r="Q56" s="81" t="s">
        <v>101</v>
      </c>
      <c r="R56" s="82" t="s">
        <v>102</v>
      </c>
    </row>
    <row r="57" spans="1:18" x14ac:dyDescent="0.2">
      <c r="B57" s="81">
        <v>1993</v>
      </c>
      <c r="C57" s="83">
        <v>853307.6</v>
      </c>
      <c r="D57" s="81"/>
      <c r="E57" s="81"/>
      <c r="F57" s="84"/>
      <c r="G57" s="81"/>
      <c r="H57" s="83"/>
      <c r="I57" s="83">
        <v>3015865.8194956598</v>
      </c>
      <c r="J57" s="83"/>
      <c r="K57" s="85">
        <v>352371.13373</v>
      </c>
      <c r="L57" s="85"/>
      <c r="M57" s="85">
        <v>1036245.35282</v>
      </c>
      <c r="N57" s="85">
        <v>214541.63623</v>
      </c>
      <c r="O57" s="85">
        <v>0</v>
      </c>
      <c r="P57" s="85"/>
      <c r="Q57" s="85"/>
      <c r="R57" s="85"/>
    </row>
    <row r="58" spans="1:18" x14ac:dyDescent="0.2">
      <c r="B58" s="77">
        <v>1994</v>
      </c>
      <c r="C58" s="86">
        <v>1164662.22</v>
      </c>
      <c r="D58" s="87"/>
      <c r="E58" s="87"/>
      <c r="F58" s="87"/>
      <c r="G58" s="87"/>
      <c r="H58" s="86"/>
      <c r="I58" s="86">
        <v>3226509.5249815402</v>
      </c>
      <c r="J58" s="86"/>
      <c r="K58" s="83">
        <v>293763.12069000001</v>
      </c>
      <c r="L58" s="83"/>
      <c r="M58" s="83">
        <v>1287640.9398000001</v>
      </c>
      <c r="N58" s="83">
        <v>456594.30015999998</v>
      </c>
      <c r="O58" s="83">
        <v>0</v>
      </c>
      <c r="P58" s="83"/>
      <c r="Q58" s="83"/>
      <c r="R58" s="83"/>
    </row>
    <row r="59" spans="1:18" x14ac:dyDescent="0.2">
      <c r="B59" s="77">
        <v>1995</v>
      </c>
      <c r="C59" s="83">
        <v>1243225.6000000001</v>
      </c>
      <c r="D59" s="81"/>
      <c r="E59" s="81"/>
      <c r="F59" s="81"/>
      <c r="G59" s="81"/>
      <c r="H59" s="83"/>
      <c r="I59" s="83">
        <v>2990988.4814176699</v>
      </c>
      <c r="J59" s="83"/>
      <c r="K59" s="85">
        <v>296927.94919999997</v>
      </c>
      <c r="L59" s="85"/>
      <c r="M59" s="85">
        <v>1187925.9343000001</v>
      </c>
      <c r="N59" s="85">
        <v>524982.07006000006</v>
      </c>
      <c r="O59" s="85">
        <v>0</v>
      </c>
      <c r="P59" s="85"/>
      <c r="Q59" s="85"/>
      <c r="R59" s="85"/>
    </row>
    <row r="60" spans="1:18" x14ac:dyDescent="0.2">
      <c r="B60" s="77">
        <v>1996</v>
      </c>
      <c r="C60" s="86">
        <v>1456325.4</v>
      </c>
      <c r="D60" s="86"/>
      <c r="E60" s="87">
        <v>1903838.6517149999</v>
      </c>
      <c r="F60" s="86">
        <v>2338287</v>
      </c>
      <c r="G60" s="87">
        <v>172304</v>
      </c>
      <c r="H60" s="86"/>
      <c r="I60" s="86">
        <v>3231346.7142505501</v>
      </c>
      <c r="J60" s="86">
        <v>516954.41</v>
      </c>
      <c r="K60" s="83">
        <v>330883.70400000003</v>
      </c>
      <c r="L60" s="83"/>
      <c r="M60" s="83">
        <v>1011324.76855</v>
      </c>
      <c r="N60" s="83">
        <v>1019118.98165</v>
      </c>
      <c r="O60" s="83">
        <v>0</v>
      </c>
      <c r="P60" s="83"/>
      <c r="Q60" s="83"/>
      <c r="R60" s="83"/>
    </row>
    <row r="61" spans="1:18" x14ac:dyDescent="0.2">
      <c r="B61" s="77">
        <v>1997</v>
      </c>
      <c r="C61" s="83">
        <v>1669177.7406299999</v>
      </c>
      <c r="D61" s="83"/>
      <c r="E61" s="81">
        <v>2043538.9894920001</v>
      </c>
      <c r="F61" s="83">
        <v>3917421</v>
      </c>
      <c r="G61" s="81">
        <v>193825</v>
      </c>
      <c r="H61" s="83"/>
      <c r="I61" s="83">
        <v>3598188.0876199799</v>
      </c>
      <c r="J61" s="83">
        <v>1986806.99</v>
      </c>
      <c r="K61" s="85">
        <v>246102.79436999999</v>
      </c>
      <c r="L61" s="85"/>
      <c r="M61" s="85">
        <v>1102667.4405700001</v>
      </c>
      <c r="N61" s="85">
        <v>1011029.82583</v>
      </c>
      <c r="O61" s="85">
        <v>0</v>
      </c>
      <c r="P61" s="85"/>
      <c r="Q61" s="85"/>
      <c r="R61" s="85"/>
    </row>
    <row r="62" spans="1:18" x14ac:dyDescent="0.2">
      <c r="B62" s="77">
        <v>1998</v>
      </c>
      <c r="C62" s="86">
        <v>1902253.64072</v>
      </c>
      <c r="D62" s="86">
        <v>43509.9</v>
      </c>
      <c r="E62" s="87">
        <v>2097707.4498379999</v>
      </c>
      <c r="F62" s="86">
        <v>3692434</v>
      </c>
      <c r="G62" s="87">
        <v>197766</v>
      </c>
      <c r="H62" s="86"/>
      <c r="I62" s="86">
        <v>3797640.46271228</v>
      </c>
      <c r="J62" s="86">
        <v>1855405.55</v>
      </c>
      <c r="K62" s="83">
        <v>231684.89786999999</v>
      </c>
      <c r="L62" s="83"/>
      <c r="M62" s="83">
        <v>1323795.2416399999</v>
      </c>
      <c r="N62" s="83">
        <v>1121821.99199</v>
      </c>
      <c r="O62" s="83">
        <v>0</v>
      </c>
      <c r="P62" s="83"/>
      <c r="Q62" s="83"/>
      <c r="R62" s="83"/>
    </row>
    <row r="63" spans="1:18" x14ac:dyDescent="0.2">
      <c r="B63" s="77">
        <v>1999</v>
      </c>
      <c r="C63" s="83">
        <v>1850960.8851099999</v>
      </c>
      <c r="D63" s="83">
        <v>193381.3</v>
      </c>
      <c r="E63" s="81">
        <v>1876157.7644809999</v>
      </c>
      <c r="F63" s="83">
        <v>3587875</v>
      </c>
      <c r="G63" s="81">
        <v>196994</v>
      </c>
      <c r="H63" s="83"/>
      <c r="I63" s="83">
        <v>3702544.4745262102</v>
      </c>
      <c r="J63" s="83">
        <v>1868434.31</v>
      </c>
      <c r="K63" s="85">
        <v>239526.32367000001</v>
      </c>
      <c r="L63" s="85"/>
      <c r="M63" s="85">
        <v>1408351.81663</v>
      </c>
      <c r="N63" s="85">
        <v>1053075.5174</v>
      </c>
      <c r="O63" s="85">
        <v>0</v>
      </c>
      <c r="P63" s="85"/>
      <c r="Q63" s="85"/>
      <c r="R63" s="85"/>
    </row>
    <row r="64" spans="1:18" x14ac:dyDescent="0.2">
      <c r="B64" s="77">
        <v>2000</v>
      </c>
      <c r="C64" s="86">
        <v>2095954.20594</v>
      </c>
      <c r="D64" s="86">
        <v>225126.79826700001</v>
      </c>
      <c r="E64" s="87">
        <v>1959837.8538478799</v>
      </c>
      <c r="F64" s="86">
        <v>3478201</v>
      </c>
      <c r="G64" s="87">
        <v>487254.75526000001</v>
      </c>
      <c r="H64" s="86"/>
      <c r="I64" s="86">
        <v>3765213.6844696002</v>
      </c>
      <c r="J64" s="86">
        <v>1776845.4022295</v>
      </c>
      <c r="K64" s="83">
        <v>215402.99416</v>
      </c>
      <c r="L64" s="83"/>
      <c r="M64" s="83">
        <v>1300825.3373400001</v>
      </c>
      <c r="N64" s="83">
        <v>1093248.2544199999</v>
      </c>
      <c r="O64" s="83">
        <v>0</v>
      </c>
      <c r="P64" s="83"/>
      <c r="Q64" s="83"/>
      <c r="R64" s="83"/>
    </row>
    <row r="65" spans="2:18" x14ac:dyDescent="0.2">
      <c r="B65" s="77">
        <v>2001</v>
      </c>
      <c r="C65" s="83">
        <v>1994592.0704699999</v>
      </c>
      <c r="D65" s="83">
        <v>213002.63159</v>
      </c>
      <c r="E65" s="81">
        <v>1582734.84789566</v>
      </c>
      <c r="F65" s="83">
        <v>3419627</v>
      </c>
      <c r="G65" s="81">
        <v>225853.29969000001</v>
      </c>
      <c r="H65" s="83">
        <v>2933082</v>
      </c>
      <c r="I65" s="83">
        <v>3343942.4563130699</v>
      </c>
      <c r="J65" s="83">
        <v>1739519.1815752999</v>
      </c>
      <c r="K65" s="85">
        <v>184976.21637000001</v>
      </c>
      <c r="L65" s="85"/>
      <c r="M65" s="85">
        <v>1232567.6474899999</v>
      </c>
      <c r="N65" s="85">
        <v>1053013.1657499999</v>
      </c>
      <c r="O65" s="85">
        <v>0</v>
      </c>
      <c r="P65" s="85"/>
      <c r="Q65" s="85"/>
      <c r="R65" s="85"/>
    </row>
    <row r="66" spans="2:18" x14ac:dyDescent="0.2">
      <c r="B66" s="77">
        <v>2002</v>
      </c>
      <c r="C66" s="86">
        <v>1721480.99196</v>
      </c>
      <c r="D66" s="86">
        <v>161900.70903999999</v>
      </c>
      <c r="E66" s="87">
        <v>1571513.88819431</v>
      </c>
      <c r="F66" s="86">
        <v>4483171</v>
      </c>
      <c r="G66" s="87">
        <v>217634.09198</v>
      </c>
      <c r="H66" s="86">
        <v>4857335</v>
      </c>
      <c r="I66" s="86">
        <v>3012321.7327098199</v>
      </c>
      <c r="J66" s="86">
        <v>1808967.1664197999</v>
      </c>
      <c r="K66" s="83">
        <v>210715.14494999999</v>
      </c>
      <c r="L66" s="83"/>
      <c r="M66" s="83">
        <v>1228490.3344699999</v>
      </c>
      <c r="N66" s="83">
        <v>896657.02275999996</v>
      </c>
      <c r="O66" s="83">
        <v>0</v>
      </c>
      <c r="P66" s="83"/>
      <c r="Q66" s="83"/>
      <c r="R66" s="83"/>
    </row>
    <row r="67" spans="2:18" x14ac:dyDescent="0.2">
      <c r="B67" s="77">
        <v>2003</v>
      </c>
      <c r="C67" s="83">
        <v>2926862.8053299999</v>
      </c>
      <c r="D67" s="83">
        <v>206266.978848</v>
      </c>
      <c r="E67" s="81">
        <v>2159757.59570741</v>
      </c>
      <c r="F67" s="83">
        <v>4973177</v>
      </c>
      <c r="G67" s="81">
        <v>256304.73254</v>
      </c>
      <c r="H67" s="83">
        <v>5900237</v>
      </c>
      <c r="I67" s="83">
        <v>4436735.1619749302</v>
      </c>
      <c r="J67" s="83">
        <v>1866693.826383</v>
      </c>
      <c r="K67" s="85">
        <v>256579.96757000001</v>
      </c>
      <c r="L67" s="85"/>
      <c r="M67" s="85">
        <v>1474636.9438199999</v>
      </c>
      <c r="N67" s="85">
        <v>1080109.03364</v>
      </c>
      <c r="O67" s="85">
        <v>0</v>
      </c>
      <c r="P67" s="85"/>
      <c r="Q67" s="85"/>
      <c r="R67" s="85"/>
    </row>
    <row r="68" spans="2:18" x14ac:dyDescent="0.2">
      <c r="B68" s="77">
        <v>2004</v>
      </c>
      <c r="C68" s="86">
        <v>4445674.9967999998</v>
      </c>
      <c r="D68" s="86">
        <v>319188.20852099999</v>
      </c>
      <c r="E68" s="87">
        <v>3193816.3855059999</v>
      </c>
      <c r="F68" s="86">
        <v>5378515</v>
      </c>
      <c r="G68" s="87">
        <v>343399.86403</v>
      </c>
      <c r="H68" s="86">
        <v>7681862</v>
      </c>
      <c r="I68" s="86">
        <v>6613425.9880671101</v>
      </c>
      <c r="J68" s="86">
        <v>2024594.8909330999</v>
      </c>
      <c r="K68" s="83">
        <v>292385.97512000002</v>
      </c>
      <c r="L68" s="83"/>
      <c r="M68" s="83">
        <v>1469347.76251</v>
      </c>
      <c r="N68" s="83">
        <v>1558850.8952800001</v>
      </c>
      <c r="O68" s="83">
        <v>0</v>
      </c>
      <c r="P68" s="83"/>
      <c r="Q68" s="83"/>
      <c r="R68" s="83"/>
    </row>
    <row r="69" spans="2:18" x14ac:dyDescent="0.2">
      <c r="B69" s="77">
        <v>2005</v>
      </c>
      <c r="C69" s="83">
        <v>5603319.4768000003</v>
      </c>
      <c r="D69" s="83">
        <v>414100.61929599999</v>
      </c>
      <c r="E69" s="81">
        <v>3799668.1486333702</v>
      </c>
      <c r="F69" s="83">
        <v>6017379</v>
      </c>
      <c r="G69" s="81">
        <v>392086.011</v>
      </c>
      <c r="H69" s="83">
        <v>9434291</v>
      </c>
      <c r="I69" s="83">
        <v>8146311.5044247797</v>
      </c>
      <c r="J69" s="83">
        <v>2283146.7197572999</v>
      </c>
      <c r="K69" s="85">
        <v>443286.29687999998</v>
      </c>
      <c r="L69" s="85"/>
      <c r="M69" s="85">
        <v>1538056.6647699999</v>
      </c>
      <c r="N69" s="85">
        <v>1940345.9810800001</v>
      </c>
      <c r="O69" s="85">
        <v>0</v>
      </c>
      <c r="P69" s="85"/>
      <c r="Q69" s="85"/>
      <c r="R69" s="85"/>
    </row>
    <row r="70" spans="2:18" x14ac:dyDescent="0.2">
      <c r="B70" s="77">
        <v>2006</v>
      </c>
      <c r="C70" s="86">
        <v>6733513.0545899998</v>
      </c>
      <c r="D70" s="86">
        <v>463050.86803499999</v>
      </c>
      <c r="E70" s="87">
        <v>4856595.5701867295</v>
      </c>
      <c r="F70" s="86">
        <v>6572626</v>
      </c>
      <c r="G70" s="87">
        <v>398243.52609</v>
      </c>
      <c r="H70" s="86">
        <v>11685685</v>
      </c>
      <c r="I70" s="86">
        <v>10103645.425059101</v>
      </c>
      <c r="J70" s="86">
        <v>2437923.9389404999</v>
      </c>
      <c r="K70" s="83">
        <v>596706.40428999998</v>
      </c>
      <c r="L70" s="83"/>
      <c r="M70" s="83">
        <v>1685933.6627</v>
      </c>
      <c r="N70" s="83">
        <v>2798293.2790600001</v>
      </c>
      <c r="O70" s="83">
        <v>0</v>
      </c>
      <c r="P70" s="83"/>
      <c r="Q70" s="83"/>
      <c r="R70" s="83"/>
    </row>
    <row r="71" spans="2:18" x14ac:dyDescent="0.2">
      <c r="B71" s="77">
        <v>2007</v>
      </c>
      <c r="C71" s="83">
        <v>8488745.6007599998</v>
      </c>
      <c r="D71" s="83">
        <v>525160.25262399996</v>
      </c>
      <c r="E71" s="81">
        <v>6461394.6538314903</v>
      </c>
      <c r="F71" s="83">
        <v>7465676</v>
      </c>
      <c r="G71" s="81">
        <v>447075.21996999998</v>
      </c>
      <c r="H71" s="83">
        <v>15064961</v>
      </c>
      <c r="I71" s="83">
        <v>13371549.19129</v>
      </c>
      <c r="J71" s="83">
        <v>2704319.9941651002</v>
      </c>
      <c r="K71" s="85">
        <v>838168.47267000005</v>
      </c>
      <c r="L71" s="85"/>
      <c r="M71" s="85">
        <v>2059936.2620099999</v>
      </c>
      <c r="N71" s="85">
        <v>4169261.1005799999</v>
      </c>
      <c r="O71" s="85">
        <v>0</v>
      </c>
      <c r="P71" s="85"/>
      <c r="Q71" s="85"/>
      <c r="R71" s="85"/>
    </row>
    <row r="72" spans="2:18" x14ac:dyDescent="0.2">
      <c r="B72" s="77">
        <v>2008</v>
      </c>
      <c r="C72" s="86">
        <v>10735671.1304</v>
      </c>
      <c r="D72" s="86">
        <v>710091.53877900005</v>
      </c>
      <c r="E72" s="87">
        <v>8271840.7736327499</v>
      </c>
      <c r="F72" s="86">
        <v>9693850</v>
      </c>
      <c r="G72" s="87">
        <v>555098.17588</v>
      </c>
      <c r="H72" s="86">
        <v>19495157</v>
      </c>
      <c r="I72" s="86">
        <v>16753835.759500001</v>
      </c>
      <c r="J72" s="86">
        <v>3269922.0771960998</v>
      </c>
      <c r="K72" s="83">
        <v>1265908.8082699999</v>
      </c>
      <c r="L72" s="83"/>
      <c r="M72" s="83">
        <v>2527385.4854700002</v>
      </c>
      <c r="N72" s="83">
        <v>6157865.94606</v>
      </c>
      <c r="O72" s="83">
        <v>1341518.0419099999</v>
      </c>
      <c r="P72" s="83"/>
      <c r="Q72" s="83"/>
      <c r="R72" s="83"/>
    </row>
    <row r="73" spans="2:18" x14ac:dyDescent="0.2">
      <c r="B73" s="77">
        <v>2009</v>
      </c>
      <c r="C73" s="83">
        <v>11102856.861199999</v>
      </c>
      <c r="D73" s="83">
        <v>900098.5</v>
      </c>
      <c r="E73" s="81">
        <v>9009731.2294989992</v>
      </c>
      <c r="F73" s="83">
        <v>11593279</v>
      </c>
      <c r="G73" s="81">
        <v>658385</v>
      </c>
      <c r="H73" s="83">
        <v>20561471</v>
      </c>
      <c r="I73" s="83">
        <v>18241431.126400001</v>
      </c>
      <c r="J73" s="83">
        <v>3806449.67</v>
      </c>
      <c r="K73" s="85">
        <v>2218502.3256799998</v>
      </c>
      <c r="L73" s="85"/>
      <c r="M73" s="85">
        <v>3449309.2437399998</v>
      </c>
      <c r="N73" s="85">
        <v>8571574.8512299992</v>
      </c>
      <c r="O73" s="85">
        <v>2090315.1379499999</v>
      </c>
      <c r="P73" s="85"/>
      <c r="Q73" s="85"/>
      <c r="R73" s="85"/>
    </row>
    <row r="74" spans="2:18" x14ac:dyDescent="0.2">
      <c r="B74" s="77">
        <v>2010</v>
      </c>
      <c r="C74" s="86">
        <v>15263717.30188</v>
      </c>
      <c r="D74" s="86">
        <v>1463000</v>
      </c>
      <c r="E74" s="87">
        <v>11741500</v>
      </c>
      <c r="F74" s="86">
        <v>15269008</v>
      </c>
      <c r="G74" s="87">
        <v>771500</v>
      </c>
      <c r="H74" s="86">
        <v>26884733</v>
      </c>
      <c r="I74" s="86">
        <v>24500782.058370002</v>
      </c>
      <c r="J74" s="86">
        <v>4960800</v>
      </c>
      <c r="K74" s="83">
        <v>3204177.5770100001</v>
      </c>
      <c r="L74" s="83"/>
      <c r="M74" s="83">
        <v>4575635.7456200002</v>
      </c>
      <c r="N74" s="83">
        <v>11981071.622959999</v>
      </c>
      <c r="O74" s="83">
        <v>2146300</v>
      </c>
      <c r="P74" s="83"/>
      <c r="Q74" s="83"/>
      <c r="R74" s="83"/>
    </row>
    <row r="75" spans="2:18" x14ac:dyDescent="0.2">
      <c r="B75" s="77">
        <v>2011</v>
      </c>
      <c r="C75" s="83">
        <v>21562243.170990001</v>
      </c>
      <c r="D75" s="83">
        <v>2085600</v>
      </c>
      <c r="E75" s="81">
        <v>15229500</v>
      </c>
      <c r="F75" s="83">
        <v>18131477</v>
      </c>
      <c r="G75" s="81">
        <v>1013100</v>
      </c>
      <c r="H75" s="83">
        <v>36179425</v>
      </c>
      <c r="I75" s="83">
        <v>32436095.457979999</v>
      </c>
      <c r="J75" s="83">
        <v>5715000</v>
      </c>
      <c r="K75" s="85">
        <v>4769282.4659599997</v>
      </c>
      <c r="L75" s="85">
        <v>729678.74661000003</v>
      </c>
      <c r="M75" s="85">
        <v>5370180.45524</v>
      </c>
      <c r="N75" s="85">
        <v>17562855.037919998</v>
      </c>
      <c r="O75" s="85">
        <v>2247300</v>
      </c>
      <c r="P75" s="85"/>
      <c r="Q75" s="85">
        <v>716700</v>
      </c>
      <c r="R75" s="85"/>
    </row>
    <row r="76" spans="2:18" x14ac:dyDescent="0.2">
      <c r="B76" s="77">
        <v>2012</v>
      </c>
      <c r="C76" s="86">
        <v>27594331.3664</v>
      </c>
      <c r="D76" s="86">
        <v>2672800</v>
      </c>
      <c r="E76" s="87">
        <v>19313800</v>
      </c>
      <c r="F76" s="86">
        <v>25785407</v>
      </c>
      <c r="G76" s="87">
        <v>1229100</v>
      </c>
      <c r="H76" s="86">
        <v>43931228</v>
      </c>
      <c r="I76" s="86">
        <v>41041468.205289997</v>
      </c>
      <c r="J76" s="86">
        <v>8238600</v>
      </c>
      <c r="K76" s="83">
        <v>6238307.1858000001</v>
      </c>
      <c r="L76" s="83">
        <v>953762.92163999996</v>
      </c>
      <c r="M76" s="83">
        <v>6683313.7733399998</v>
      </c>
      <c r="N76" s="83">
        <v>26606758.850889999</v>
      </c>
      <c r="O76" s="83">
        <v>3258800</v>
      </c>
      <c r="P76" s="83"/>
      <c r="Q76" s="83">
        <v>0</v>
      </c>
      <c r="R76" s="83"/>
    </row>
    <row r="77" spans="2:18" x14ac:dyDescent="0.2">
      <c r="B77" s="77">
        <v>2013</v>
      </c>
      <c r="C77" s="83">
        <v>36576358.350000001</v>
      </c>
      <c r="D77" s="83">
        <v>3099000</v>
      </c>
      <c r="E77" s="81">
        <v>24906800</v>
      </c>
      <c r="F77" s="83">
        <v>31010317</v>
      </c>
      <c r="G77" s="81">
        <v>1332400</v>
      </c>
      <c r="H77" s="83">
        <v>56514839</v>
      </c>
      <c r="I77" s="83">
        <v>53287660.804920003</v>
      </c>
      <c r="J77" s="83">
        <v>8682000</v>
      </c>
      <c r="K77" s="85">
        <v>7042799.3121100003</v>
      </c>
      <c r="L77" s="85">
        <v>1253574.1296000001</v>
      </c>
      <c r="M77" s="85">
        <v>8856389.2101499997</v>
      </c>
      <c r="N77" s="85">
        <v>36122011.138020001</v>
      </c>
      <c r="O77" s="85">
        <v>5590600</v>
      </c>
      <c r="P77" s="85"/>
      <c r="Q77" s="85">
        <v>0</v>
      </c>
      <c r="R77" s="85"/>
    </row>
    <row r="78" spans="2:18" x14ac:dyDescent="0.2">
      <c r="B78" s="77">
        <v>2014</v>
      </c>
      <c r="C78" s="86">
        <v>53294684.664030001</v>
      </c>
      <c r="D78" s="86">
        <v>2940800</v>
      </c>
      <c r="E78" s="87">
        <v>32721600</v>
      </c>
      <c r="F78" s="86">
        <v>44490091</v>
      </c>
      <c r="G78" s="87">
        <v>1984900</v>
      </c>
      <c r="H78" s="86">
        <v>76739818</v>
      </c>
      <c r="I78" s="86">
        <v>72676066.207440004</v>
      </c>
      <c r="J78" s="86">
        <v>12167700</v>
      </c>
      <c r="K78" s="83">
        <v>9516808.0974100009</v>
      </c>
      <c r="L78" s="83">
        <v>1610245.75254</v>
      </c>
      <c r="M78" s="83">
        <v>11872462.076069999</v>
      </c>
      <c r="N78" s="83">
        <v>49042610.268270001</v>
      </c>
      <c r="O78" s="83">
        <v>8266200</v>
      </c>
      <c r="P78" s="83"/>
      <c r="Q78" s="83">
        <v>0</v>
      </c>
      <c r="R78" s="83"/>
    </row>
    <row r="79" spans="2:18" x14ac:dyDescent="0.2">
      <c r="B79" s="77">
        <v>2015</v>
      </c>
      <c r="C79" s="83">
        <v>75797809.099999994</v>
      </c>
      <c r="D79" s="83">
        <v>3969300</v>
      </c>
      <c r="E79" s="88">
        <v>43272400</v>
      </c>
      <c r="F79" s="83">
        <v>56478261</v>
      </c>
      <c r="G79" s="81">
        <v>2916400</v>
      </c>
      <c r="H79" s="83">
        <v>97479599</v>
      </c>
      <c r="I79" s="83">
        <v>95600316.127979994</v>
      </c>
      <c r="J79" s="83">
        <v>14199800</v>
      </c>
      <c r="K79" s="85">
        <v>12485483.441740001</v>
      </c>
      <c r="L79" s="85">
        <v>2178603.6454799999</v>
      </c>
      <c r="M79" s="85">
        <v>16038444.76165</v>
      </c>
      <c r="N79" s="85">
        <v>68361691.351720005</v>
      </c>
      <c r="O79" s="85">
        <v>10207500</v>
      </c>
      <c r="P79" s="85"/>
      <c r="Q79" s="85">
        <v>0</v>
      </c>
      <c r="R79" s="85"/>
    </row>
    <row r="80" spans="2:18" x14ac:dyDescent="0.2">
      <c r="B80" s="77">
        <v>2016</v>
      </c>
      <c r="C80" s="86">
        <v>86485940.4164</v>
      </c>
      <c r="D80" s="86">
        <v>4810100</v>
      </c>
      <c r="E80" s="86">
        <v>58259500</v>
      </c>
      <c r="F80" s="86">
        <v>75663968</v>
      </c>
      <c r="G80" s="87">
        <v>4187600</v>
      </c>
      <c r="H80" s="86">
        <v>131669079</v>
      </c>
      <c r="I80" s="86">
        <v>126199197.124</v>
      </c>
      <c r="J80" s="86">
        <v>19962000</v>
      </c>
      <c r="K80" s="83">
        <v>14554479.385369999</v>
      </c>
      <c r="L80" s="83">
        <v>2916910.0924399998</v>
      </c>
      <c r="M80" s="83">
        <v>22415518.308139998</v>
      </c>
      <c r="N80" s="83">
        <v>88401916.120130002</v>
      </c>
      <c r="O80" s="83">
        <v>16218300</v>
      </c>
      <c r="P80" s="83"/>
      <c r="Q80" s="83">
        <v>12099400</v>
      </c>
      <c r="R80" s="83">
        <v>31300557.634201899</v>
      </c>
    </row>
    <row r="81" spans="2:18" x14ac:dyDescent="0.2">
      <c r="B81" s="89">
        <v>2017</v>
      </c>
      <c r="C81" s="90">
        <v>109245834.21693</v>
      </c>
      <c r="D81" s="90">
        <v>7282225.5999999996</v>
      </c>
      <c r="E81" s="90">
        <v>74727533.137879997</v>
      </c>
      <c r="F81" s="90">
        <v>102845595</v>
      </c>
      <c r="G81" s="91">
        <v>5625587</v>
      </c>
      <c r="H81" s="90">
        <v>172838482</v>
      </c>
      <c r="I81" s="90">
        <v>166461992.04945001</v>
      </c>
      <c r="J81" s="90">
        <v>29455686.932969999</v>
      </c>
      <c r="K81" s="92">
        <v>18322852.729150001</v>
      </c>
      <c r="L81" s="92">
        <v>5017571.5011700001</v>
      </c>
      <c r="M81" s="92">
        <v>30933083.008079998</v>
      </c>
      <c r="N81" s="92">
        <v>104611186.68280999</v>
      </c>
      <c r="O81" s="92">
        <v>18023556.128079999</v>
      </c>
      <c r="P81" s="92">
        <v>9373728.1119999997</v>
      </c>
      <c r="Q81" s="92">
        <v>10845000</v>
      </c>
      <c r="R81" s="92">
        <v>77978329.814026594</v>
      </c>
    </row>
    <row r="82" spans="2:18" x14ac:dyDescent="0.2">
      <c r="B82" s="77">
        <v>2018</v>
      </c>
      <c r="C82" s="93"/>
      <c r="D82" s="93">
        <v>11016890.5</v>
      </c>
      <c r="E82" s="93">
        <v>106984441.63282</v>
      </c>
      <c r="F82" s="93">
        <v>116408746.14157</v>
      </c>
      <c r="G82" s="93">
        <v>6845924</v>
      </c>
      <c r="H82" s="93">
        <v>232591321.05232999</v>
      </c>
      <c r="I82" s="93">
        <v>260430300</v>
      </c>
      <c r="J82" s="93">
        <v>30341077.915800001</v>
      </c>
      <c r="K82" s="83">
        <v>21525462.734049998</v>
      </c>
      <c r="L82" s="83">
        <v>6263843.69233</v>
      </c>
      <c r="M82" s="83">
        <v>39299818.627149999</v>
      </c>
      <c r="N82" s="83">
        <v>101267287.8766</v>
      </c>
      <c r="O82" s="83">
        <v>22662949.946060002</v>
      </c>
      <c r="P82" s="83">
        <v>38198551.272</v>
      </c>
      <c r="Q82" s="83">
        <v>19529500</v>
      </c>
      <c r="R82" s="83">
        <v>168141700</v>
      </c>
    </row>
    <row r="83" spans="2:18" x14ac:dyDescent="0.2">
      <c r="B83" s="77">
        <v>1993</v>
      </c>
      <c r="C83" s="94">
        <v>3.60798997870177E-3</v>
      </c>
      <c r="D83" s="94"/>
      <c r="E83" s="94"/>
      <c r="F83" s="94"/>
      <c r="G83" s="94"/>
      <c r="H83" s="94"/>
      <c r="I83" s="94">
        <v>1.2751806797278701E-2</v>
      </c>
      <c r="J83" s="94">
        <v>0</v>
      </c>
      <c r="K83" s="95">
        <v>1.48990999175634E-3</v>
      </c>
      <c r="L83" s="95"/>
      <c r="M83" s="95">
        <v>4.3814948424821696E-3</v>
      </c>
      <c r="N83" s="95">
        <v>9.0713369192085098E-4</v>
      </c>
      <c r="O83" s="95"/>
      <c r="P83" s="95"/>
      <c r="Q83" s="95"/>
      <c r="R83" s="95"/>
    </row>
    <row r="84" spans="2:18" x14ac:dyDescent="0.2">
      <c r="B84" s="77">
        <v>1994</v>
      </c>
      <c r="C84" s="96">
        <v>4.5240149311259704E-3</v>
      </c>
      <c r="D84" s="96"/>
      <c r="E84" s="96"/>
      <c r="F84" s="96"/>
      <c r="G84" s="96"/>
      <c r="H84" s="96"/>
      <c r="I84" s="96">
        <v>1.25330563795884E-2</v>
      </c>
      <c r="J84" s="96">
        <v>0</v>
      </c>
      <c r="K84" s="94">
        <v>1.14109371918643E-3</v>
      </c>
      <c r="L84" s="94"/>
      <c r="M84" s="94">
        <v>5.00171357630564E-3</v>
      </c>
      <c r="N84" s="94">
        <v>1.77359529305488E-3</v>
      </c>
      <c r="O84" s="94"/>
      <c r="P84" s="94"/>
      <c r="Q84" s="94"/>
      <c r="R84" s="94"/>
    </row>
    <row r="85" spans="2:18" x14ac:dyDescent="0.2">
      <c r="B85" s="77">
        <v>1995</v>
      </c>
      <c r="C85" s="94">
        <v>4.8181084281091399E-3</v>
      </c>
      <c r="D85" s="94"/>
      <c r="E85" s="94"/>
      <c r="F85" s="94"/>
      <c r="G85" s="94"/>
      <c r="H85" s="94"/>
      <c r="I85" s="94">
        <v>1.1591546064283E-2</v>
      </c>
      <c r="J85" s="94">
        <v>0</v>
      </c>
      <c r="K85" s="95">
        <v>1.15074130920541E-3</v>
      </c>
      <c r="L85" s="95"/>
      <c r="M85" s="95">
        <v>4.6037951245697104E-3</v>
      </c>
      <c r="N85" s="95">
        <v>2.0345627827823599E-3</v>
      </c>
      <c r="O85" s="95"/>
      <c r="P85" s="95"/>
      <c r="Q85" s="95"/>
      <c r="R85" s="95"/>
    </row>
    <row r="86" spans="2:18" x14ac:dyDescent="0.2">
      <c r="B86" s="77">
        <v>1996</v>
      </c>
      <c r="C86" s="96">
        <v>5.3511912401176497E-3</v>
      </c>
      <c r="D86" s="96"/>
      <c r="E86" s="96">
        <v>6.9955551936776604E-3</v>
      </c>
      <c r="F86" s="96">
        <v>8.5919128453578898E-3</v>
      </c>
      <c r="G86" s="96">
        <v>6.3312200380301797E-4</v>
      </c>
      <c r="H86" s="96"/>
      <c r="I86" s="96">
        <v>1.18734138888743E-2</v>
      </c>
      <c r="J86" s="96">
        <v>1.89952184472796E-3</v>
      </c>
      <c r="K86" s="94">
        <v>1.2158148023391499E-3</v>
      </c>
      <c r="L86" s="94"/>
      <c r="M86" s="94">
        <v>3.7160597778345202E-3</v>
      </c>
      <c r="N86" s="94">
        <v>3.7446992047540299E-3</v>
      </c>
      <c r="O86" s="94"/>
      <c r="P86" s="94"/>
      <c r="Q86" s="94"/>
      <c r="R86" s="94"/>
    </row>
    <row r="87" spans="2:18" x14ac:dyDescent="0.2">
      <c r="B87" s="77">
        <v>1997</v>
      </c>
      <c r="C87" s="94">
        <v>5.6995975530963203E-3</v>
      </c>
      <c r="D87" s="94"/>
      <c r="E87" s="94">
        <v>6.97789668568757E-3</v>
      </c>
      <c r="F87" s="94">
        <v>1.33764802888043E-2</v>
      </c>
      <c r="G87" s="94">
        <v>6.6183754362308803E-4</v>
      </c>
      <c r="H87" s="94"/>
      <c r="I87" s="94">
        <v>1.2286423141515601E-2</v>
      </c>
      <c r="J87" s="94">
        <v>6.7841788103432501E-3</v>
      </c>
      <c r="K87" s="95">
        <v>8.4034602814197698E-4</v>
      </c>
      <c r="L87" s="95"/>
      <c r="M87" s="95">
        <v>3.7651835949955199E-3</v>
      </c>
      <c r="N87" s="95">
        <v>3.4522765198349301E-3</v>
      </c>
      <c r="O87" s="95"/>
      <c r="P87" s="95"/>
      <c r="Q87" s="95"/>
      <c r="R87" s="95"/>
    </row>
    <row r="88" spans="2:18" x14ac:dyDescent="0.2">
      <c r="B88" s="77">
        <v>1998</v>
      </c>
      <c r="C88" s="96">
        <v>6.3631513145607898E-3</v>
      </c>
      <c r="D88" s="96">
        <v>1.45543197528915E-4</v>
      </c>
      <c r="E88" s="96">
        <v>7.0169559049698699E-3</v>
      </c>
      <c r="F88" s="96">
        <v>1.2351410851886201E-2</v>
      </c>
      <c r="G88" s="96">
        <v>6.61539006122823E-4</v>
      </c>
      <c r="H88" s="96"/>
      <c r="I88" s="96">
        <v>1.27033327129764E-2</v>
      </c>
      <c r="J88" s="96">
        <v>6.2064416709736196E-3</v>
      </c>
      <c r="K88" s="94">
        <v>7.74999732363437E-4</v>
      </c>
      <c r="L88" s="94"/>
      <c r="M88" s="94">
        <v>4.4281736419033001E-3</v>
      </c>
      <c r="N88" s="94">
        <v>3.7525611360283901E-3</v>
      </c>
      <c r="O88" s="94"/>
      <c r="P88" s="94"/>
      <c r="Q88" s="94"/>
      <c r="R88" s="94"/>
    </row>
    <row r="89" spans="2:18" x14ac:dyDescent="0.2">
      <c r="B89" s="77">
        <v>1999</v>
      </c>
      <c r="C89" s="94">
        <v>6.5284323619381303E-3</v>
      </c>
      <c r="D89" s="94">
        <v>6.8206559483218897E-4</v>
      </c>
      <c r="E89" s="94">
        <v>6.6173030258342598E-3</v>
      </c>
      <c r="F89" s="94">
        <v>1.2654616015398299E-2</v>
      </c>
      <c r="G89" s="94">
        <v>6.9480776987419302E-4</v>
      </c>
      <c r="H89" s="94"/>
      <c r="I89" s="94">
        <v>1.3059061033359199E-2</v>
      </c>
      <c r="J89" s="94">
        <v>6.59006201248528E-3</v>
      </c>
      <c r="K89" s="95">
        <v>8.4482141981642397E-4</v>
      </c>
      <c r="L89" s="95"/>
      <c r="M89" s="95">
        <v>4.9673278623255396E-3</v>
      </c>
      <c r="N89" s="95">
        <v>3.7142504429262101E-3</v>
      </c>
      <c r="O89" s="95"/>
      <c r="P89" s="95"/>
      <c r="Q89" s="95"/>
      <c r="R89" s="95"/>
    </row>
    <row r="90" spans="2:18" x14ac:dyDescent="0.2">
      <c r="B90" s="77">
        <v>2000</v>
      </c>
      <c r="C90" s="96">
        <v>7.3748297998982902E-3</v>
      </c>
      <c r="D90" s="96">
        <v>7.9213172497275897E-4</v>
      </c>
      <c r="E90" s="96">
        <v>6.8958904572268302E-3</v>
      </c>
      <c r="F90" s="96">
        <v>1.22384068851027E-2</v>
      </c>
      <c r="G90" s="96">
        <v>1.7144558211480601E-3</v>
      </c>
      <c r="H90" s="96"/>
      <c r="I90" s="96">
        <v>1.32482904466693E-2</v>
      </c>
      <c r="J90" s="96">
        <v>6.2520127515369502E-3</v>
      </c>
      <c r="K90" s="94">
        <v>7.5791752311021702E-4</v>
      </c>
      <c r="L90" s="94"/>
      <c r="M90" s="94">
        <v>4.5770873405009899E-3</v>
      </c>
      <c r="N90" s="94">
        <v>3.84670608858436E-3</v>
      </c>
      <c r="O90" s="94"/>
      <c r="P90" s="94"/>
      <c r="Q90" s="94"/>
      <c r="R90" s="94"/>
    </row>
    <row r="91" spans="2:18" x14ac:dyDescent="0.2">
      <c r="B91" s="77">
        <v>2001</v>
      </c>
      <c r="C91" s="94">
        <v>7.4232099050386396E-3</v>
      </c>
      <c r="D91" s="94">
        <v>7.9272512311031305E-4</v>
      </c>
      <c r="E91" s="94">
        <v>5.8904139718054804E-3</v>
      </c>
      <c r="F91" s="94">
        <v>1.2726717103591001E-2</v>
      </c>
      <c r="G91" s="94">
        <v>8.4055104608402899E-4</v>
      </c>
      <c r="H91" s="94">
        <v>1.09159580432705E-2</v>
      </c>
      <c r="I91" s="94">
        <v>1.24450443431941E-2</v>
      </c>
      <c r="J91" s="94">
        <v>6.4739132426370003E-3</v>
      </c>
      <c r="K91" s="95">
        <v>6.88420104483218E-4</v>
      </c>
      <c r="L91" s="95"/>
      <c r="M91" s="95">
        <v>4.5872078330893799E-3</v>
      </c>
      <c r="N91" s="95">
        <v>3.9189656260337899E-3</v>
      </c>
      <c r="O91" s="95"/>
      <c r="P91" s="95"/>
      <c r="Q91" s="95"/>
      <c r="R91" s="95"/>
    </row>
    <row r="92" spans="2:18" x14ac:dyDescent="0.2">
      <c r="B92" s="77">
        <v>2002</v>
      </c>
      <c r="C92" s="96">
        <v>5.5073267633052401E-3</v>
      </c>
      <c r="D92" s="96">
        <v>5.1794943543286205E-4</v>
      </c>
      <c r="E92" s="96">
        <v>5.0275550736720003E-3</v>
      </c>
      <c r="F92" s="96">
        <v>1.4342468925354001E-2</v>
      </c>
      <c r="G92" s="96">
        <v>6.96250533678235E-4</v>
      </c>
      <c r="H92" s="96">
        <v>1.5539486737743099E-2</v>
      </c>
      <c r="I92" s="96">
        <v>9.6369580470071596E-3</v>
      </c>
      <c r="J92" s="96">
        <v>5.7872107424324602E-3</v>
      </c>
      <c r="K92" s="94">
        <v>6.7411557992029297E-4</v>
      </c>
      <c r="L92" s="94"/>
      <c r="M92" s="94">
        <v>3.9301611397900603E-3</v>
      </c>
      <c r="N92" s="94">
        <v>2.8685667991775799E-3</v>
      </c>
      <c r="O92" s="94"/>
      <c r="P92" s="94"/>
      <c r="Q92" s="94"/>
      <c r="R92" s="94"/>
    </row>
    <row r="93" spans="2:18" x14ac:dyDescent="0.2">
      <c r="B93" s="77">
        <v>2003</v>
      </c>
      <c r="C93" s="94">
        <v>7.7860865035538603E-3</v>
      </c>
      <c r="D93" s="94">
        <v>5.4871466377330504E-4</v>
      </c>
      <c r="E93" s="94">
        <v>5.74542115068131E-3</v>
      </c>
      <c r="F93" s="94">
        <v>1.3229723733196501E-2</v>
      </c>
      <c r="G93" s="94">
        <v>6.8182588373891099E-4</v>
      </c>
      <c r="H93" s="94">
        <v>1.5695903337119201E-2</v>
      </c>
      <c r="I93" s="94">
        <v>1.1802672712088701E-2</v>
      </c>
      <c r="J93" s="94">
        <v>4.9658082987013401E-3</v>
      </c>
      <c r="K93" s="95">
        <v>6.8255806829791604E-4</v>
      </c>
      <c r="L93" s="95"/>
      <c r="M93" s="95">
        <v>3.9228524087326598E-3</v>
      </c>
      <c r="N93" s="95">
        <v>2.87332305220327E-3</v>
      </c>
      <c r="O93" s="95"/>
      <c r="P93" s="95"/>
      <c r="Q93" s="95"/>
      <c r="R93" s="95"/>
    </row>
    <row r="94" spans="2:18" x14ac:dyDescent="0.2">
      <c r="B94" s="77">
        <v>2004</v>
      </c>
      <c r="C94" s="96">
        <v>9.1641635742256995E-3</v>
      </c>
      <c r="D94" s="96">
        <v>6.5796374137920305E-4</v>
      </c>
      <c r="E94" s="96">
        <v>6.5836247147816399E-3</v>
      </c>
      <c r="F94" s="96">
        <v>1.10870883008554E-2</v>
      </c>
      <c r="G94" s="96">
        <v>7.0787282642185403E-4</v>
      </c>
      <c r="H94" s="96">
        <v>1.5835129642472998E-2</v>
      </c>
      <c r="I94" s="96">
        <v>1.36326919048979E-2</v>
      </c>
      <c r="J94" s="96">
        <v>4.1734312034522403E-3</v>
      </c>
      <c r="K94" s="94">
        <v>6.0271452698135901E-4</v>
      </c>
      <c r="L94" s="94"/>
      <c r="M94" s="94">
        <v>3.0288636152567502E-3</v>
      </c>
      <c r="N94" s="94">
        <v>3.21336233585605E-3</v>
      </c>
      <c r="O94" s="94"/>
      <c r="P94" s="94"/>
      <c r="Q94" s="94"/>
      <c r="R94" s="94"/>
    </row>
    <row r="95" spans="2:18" x14ac:dyDescent="0.2">
      <c r="B95" s="77">
        <v>2005</v>
      </c>
      <c r="C95" s="94">
        <v>9.6188022298125796E-3</v>
      </c>
      <c r="D95" s="94">
        <v>7.1085576625480498E-4</v>
      </c>
      <c r="E95" s="94">
        <v>6.5226080026218403E-3</v>
      </c>
      <c r="F95" s="94">
        <v>1.03295874494527E-2</v>
      </c>
      <c r="G95" s="94">
        <v>6.7306492383670496E-4</v>
      </c>
      <c r="H95" s="94">
        <v>1.6195146409771599E-2</v>
      </c>
      <c r="I95" s="94">
        <v>1.3984167704151401E-2</v>
      </c>
      <c r="J95" s="94">
        <v>3.9193083403362503E-3</v>
      </c>
      <c r="K95" s="95">
        <v>7.60956650522766E-4</v>
      </c>
      <c r="L95" s="95"/>
      <c r="M95" s="95">
        <v>2.64026760171751E-3</v>
      </c>
      <c r="N95" s="95">
        <v>3.3308477816936699E-3</v>
      </c>
      <c r="O95" s="95"/>
      <c r="P95" s="95"/>
      <c r="Q95" s="95"/>
      <c r="R95" s="95"/>
    </row>
    <row r="96" spans="2:18" x14ac:dyDescent="0.2">
      <c r="B96" s="77">
        <v>2006</v>
      </c>
      <c r="C96" s="96">
        <v>9.4056053587752795E-3</v>
      </c>
      <c r="D96" s="96">
        <v>6.4680556649499596E-4</v>
      </c>
      <c r="E96" s="96">
        <v>6.7838617004261498E-3</v>
      </c>
      <c r="F96" s="96">
        <v>9.1808727221053699E-3</v>
      </c>
      <c r="G96" s="96">
        <v>5.5628041599122501E-4</v>
      </c>
      <c r="H96" s="96">
        <v>1.6322971466140899E-2</v>
      </c>
      <c r="I96" s="96">
        <v>1.41131235333868E-2</v>
      </c>
      <c r="J96" s="96">
        <v>3.4053769968938599E-3</v>
      </c>
      <c r="K96" s="94">
        <v>8.33500270706357E-4</v>
      </c>
      <c r="L96" s="94"/>
      <c r="M96" s="94">
        <v>2.3549708100174299E-3</v>
      </c>
      <c r="N96" s="94">
        <v>3.9087534319117998E-3</v>
      </c>
      <c r="O96" s="94"/>
      <c r="P96" s="94"/>
      <c r="Q96" s="94"/>
      <c r="R96" s="94"/>
    </row>
    <row r="97" spans="2:18" x14ac:dyDescent="0.2">
      <c r="B97" s="77">
        <v>2007</v>
      </c>
      <c r="C97" s="94">
        <v>9.4636936758866804E-3</v>
      </c>
      <c r="D97" s="94">
        <v>5.8547587539198201E-4</v>
      </c>
      <c r="E97" s="94">
        <v>7.2034977367443302E-3</v>
      </c>
      <c r="F97" s="94">
        <v>8.3231226461885407E-3</v>
      </c>
      <c r="G97" s="94">
        <v>4.9842263284423697E-4</v>
      </c>
      <c r="H97" s="94">
        <v>1.6795199532238899E-2</v>
      </c>
      <c r="I97" s="94">
        <v>1.4907296256715399E-2</v>
      </c>
      <c r="J97" s="94">
        <v>3.0149161289581799E-3</v>
      </c>
      <c r="K97" s="95">
        <v>9.3443366631513905E-4</v>
      </c>
      <c r="L97" s="95"/>
      <c r="M97" s="95">
        <v>2.2965237377084698E-3</v>
      </c>
      <c r="N97" s="95">
        <v>4.6481084210070701E-3</v>
      </c>
      <c r="O97" s="95"/>
      <c r="P97" s="95"/>
      <c r="Q97" s="95"/>
      <c r="R97" s="95"/>
    </row>
    <row r="98" spans="2:18" x14ac:dyDescent="0.2">
      <c r="B98" s="77">
        <v>2008</v>
      </c>
      <c r="C98" s="96">
        <v>9.3382400186738206E-3</v>
      </c>
      <c r="D98" s="96">
        <v>6.1766098679856703E-4</v>
      </c>
      <c r="E98" s="96">
        <v>7.19511929922144E-3</v>
      </c>
      <c r="F98" s="96">
        <v>8.4320297171443202E-3</v>
      </c>
      <c r="G98" s="96">
        <v>4.8284265951636999E-4</v>
      </c>
      <c r="H98" s="96">
        <v>1.6957529068883301E-2</v>
      </c>
      <c r="I98" s="96">
        <v>1.45730376476074E-2</v>
      </c>
      <c r="J98" s="96">
        <v>2.8442858232450401E-3</v>
      </c>
      <c r="K98" s="94">
        <v>1.1011291376003701E-3</v>
      </c>
      <c r="L98" s="94"/>
      <c r="M98" s="94">
        <v>2.1984030617517602E-3</v>
      </c>
      <c r="N98" s="94">
        <v>5.3563144314559196E-3</v>
      </c>
      <c r="O98" s="94">
        <v>1.16689653702816E-3</v>
      </c>
      <c r="P98" s="94"/>
      <c r="Q98" s="94"/>
      <c r="R98" s="94"/>
    </row>
    <row r="99" spans="2:18" x14ac:dyDescent="0.2">
      <c r="B99" s="77">
        <v>2009</v>
      </c>
      <c r="C99" s="94">
        <v>8.8970241644898002E-3</v>
      </c>
      <c r="D99" s="94">
        <v>7.2127365101016898E-4</v>
      </c>
      <c r="E99" s="94">
        <v>7.2197451040314801E-3</v>
      </c>
      <c r="F99" s="94">
        <v>9.2900128947104293E-3</v>
      </c>
      <c r="G99" s="94">
        <v>5.2758198432763703E-4</v>
      </c>
      <c r="H99" s="94">
        <v>1.6476471473188401E-2</v>
      </c>
      <c r="I99" s="94">
        <v>1.46173597980544E-2</v>
      </c>
      <c r="J99" s="94">
        <v>3.0502126721323902E-3</v>
      </c>
      <c r="K99" s="95">
        <v>1.7777468490590401E-3</v>
      </c>
      <c r="L99" s="95"/>
      <c r="M99" s="95">
        <v>2.7640262390121501E-3</v>
      </c>
      <c r="N99" s="95">
        <v>6.8686383633053596E-3</v>
      </c>
      <c r="O99" s="95">
        <v>1.67502693461996E-3</v>
      </c>
      <c r="P99" s="95"/>
      <c r="Q99" s="95"/>
      <c r="R99" s="95"/>
    </row>
    <row r="100" spans="2:18" x14ac:dyDescent="0.2">
      <c r="B100" s="77">
        <v>2010</v>
      </c>
      <c r="C100" s="96">
        <v>9.1854878057839803E-3</v>
      </c>
      <c r="D100" s="96">
        <v>8.8041257539582302E-4</v>
      </c>
      <c r="E100" s="96">
        <v>7.06586756938487E-3</v>
      </c>
      <c r="F100" s="96">
        <v>9.18867167260385E-3</v>
      </c>
      <c r="G100" s="96">
        <v>4.6427771833074398E-4</v>
      </c>
      <c r="H100" s="96">
        <v>1.6178849637292599E-2</v>
      </c>
      <c r="I100" s="96">
        <v>1.4744221894204599E-2</v>
      </c>
      <c r="J100" s="96">
        <v>2.9853388270838E-3</v>
      </c>
      <c r="K100" s="94">
        <v>1.92822845700678E-3</v>
      </c>
      <c r="L100" s="94"/>
      <c r="M100" s="94">
        <v>2.75355246129494E-3</v>
      </c>
      <c r="N100" s="94">
        <v>7.2100383619767804E-3</v>
      </c>
      <c r="O100" s="94">
        <v>1.29161278918117E-3</v>
      </c>
      <c r="P100" s="94"/>
      <c r="Q100" s="94"/>
      <c r="R100" s="94"/>
    </row>
    <row r="101" spans="2:18" x14ac:dyDescent="0.2">
      <c r="B101" s="77">
        <v>2011</v>
      </c>
      <c r="C101" s="94">
        <v>9.89536698334916E-3</v>
      </c>
      <c r="D101" s="94">
        <v>9.5712571353611298E-4</v>
      </c>
      <c r="E101" s="94">
        <v>6.9891379240018398E-3</v>
      </c>
      <c r="F101" s="94">
        <v>8.3209162164790199E-3</v>
      </c>
      <c r="G101" s="94">
        <v>4.6493290198668899E-4</v>
      </c>
      <c r="H101" s="94">
        <v>1.66034992177078E-2</v>
      </c>
      <c r="I101" s="94">
        <v>1.48856065446608E-2</v>
      </c>
      <c r="J101" s="94">
        <v>2.6227337230815499E-3</v>
      </c>
      <c r="K101" s="95">
        <v>2.1887240522090699E-3</v>
      </c>
      <c r="L101" s="95">
        <v>3.3486492664040702E-4</v>
      </c>
      <c r="M101" s="95">
        <v>2.4644887802259701E-3</v>
      </c>
      <c r="N101" s="95">
        <v>8.0599636363159304E-3</v>
      </c>
      <c r="O101" s="95">
        <v>1.03133324512357E-3</v>
      </c>
      <c r="P101" s="95"/>
      <c r="Q101" s="95">
        <v>3.2890870679484698E-4</v>
      </c>
      <c r="R101" s="95"/>
    </row>
    <row r="102" spans="2:18" x14ac:dyDescent="0.2">
      <c r="B102" s="77">
        <v>2012</v>
      </c>
      <c r="C102" s="96">
        <v>1.04606643560655E-2</v>
      </c>
      <c r="D102" s="96">
        <v>1.0132249018701099E-3</v>
      </c>
      <c r="E102" s="96">
        <v>7.3216189425841403E-3</v>
      </c>
      <c r="F102" s="96">
        <v>9.7749238541064796E-3</v>
      </c>
      <c r="G102" s="96">
        <v>4.6593636893465601E-4</v>
      </c>
      <c r="H102" s="96">
        <v>1.66537766309987E-2</v>
      </c>
      <c r="I102" s="96">
        <v>1.55583049965991E-2</v>
      </c>
      <c r="J102" s="96">
        <v>3.1231497592588602E-3</v>
      </c>
      <c r="K102" s="94">
        <v>2.3648638828822899E-3</v>
      </c>
      <c r="L102" s="94">
        <v>3.6155954156167198E-4</v>
      </c>
      <c r="M102" s="94">
        <v>2.53356028964366E-3</v>
      </c>
      <c r="N102" s="94">
        <v>1.0086288022214399E-2</v>
      </c>
      <c r="O102" s="94">
        <v>1.2353701400083499E-3</v>
      </c>
      <c r="P102" s="94"/>
      <c r="Q102" s="94">
        <v>0</v>
      </c>
      <c r="R102" s="94"/>
    </row>
    <row r="103" spans="2:18" x14ac:dyDescent="0.2">
      <c r="B103" s="77">
        <v>2013</v>
      </c>
      <c r="C103" s="94">
        <v>1.0923831683551301E-2</v>
      </c>
      <c r="D103" s="94">
        <v>9.2554195973764395E-4</v>
      </c>
      <c r="E103" s="94">
        <v>7.4386216465936001E-3</v>
      </c>
      <c r="F103" s="94">
        <v>9.2614874373235304E-3</v>
      </c>
      <c r="G103" s="94">
        <v>3.97932270782329E-4</v>
      </c>
      <c r="H103" s="94">
        <v>1.6878623698714901E-2</v>
      </c>
      <c r="I103" s="94">
        <v>1.5914800261768499E-2</v>
      </c>
      <c r="J103" s="94">
        <v>2.59295104693199E-3</v>
      </c>
      <c r="K103" s="95">
        <v>2.10339021534986E-3</v>
      </c>
      <c r="L103" s="95">
        <v>3.74390273180508E-4</v>
      </c>
      <c r="M103" s="95">
        <v>2.6450338256732999E-3</v>
      </c>
      <c r="N103" s="95">
        <v>1.07881371340265E-2</v>
      </c>
      <c r="O103" s="95">
        <v>1.66967888999977E-3</v>
      </c>
      <c r="P103" s="95"/>
      <c r="Q103" s="95">
        <v>0</v>
      </c>
      <c r="R103" s="95"/>
    </row>
    <row r="104" spans="2:18" x14ac:dyDescent="0.2">
      <c r="B104" s="77">
        <v>2014</v>
      </c>
      <c r="C104" s="96">
        <v>1.1638715611107299E-2</v>
      </c>
      <c r="D104" s="96">
        <v>6.4222417460413502E-4</v>
      </c>
      <c r="E104" s="96">
        <v>7.1458795401682096E-3</v>
      </c>
      <c r="F104" s="96">
        <v>9.7159317092416504E-3</v>
      </c>
      <c r="G104" s="96">
        <v>4.3347074407363602E-4</v>
      </c>
      <c r="H104" s="96">
        <v>1.67587616547611E-2</v>
      </c>
      <c r="I104" s="96">
        <v>1.5871302582136999E-2</v>
      </c>
      <c r="J104" s="96">
        <v>2.6572330962087599E-3</v>
      </c>
      <c r="K104" s="94">
        <v>2.0783202615700098E-3</v>
      </c>
      <c r="L104" s="94">
        <v>3.5165218625367799E-4</v>
      </c>
      <c r="M104" s="94">
        <v>2.5927578064890299E-3</v>
      </c>
      <c r="N104" s="94">
        <v>1.07101298626129E-2</v>
      </c>
      <c r="O104" s="94">
        <v>1.80520724704594E-3</v>
      </c>
      <c r="P104" s="94"/>
      <c r="Q104" s="94">
        <v>0</v>
      </c>
      <c r="R104" s="94"/>
    </row>
    <row r="105" spans="2:18" x14ac:dyDescent="0.2">
      <c r="B105" s="77">
        <v>2015</v>
      </c>
      <c r="C105" s="94">
        <v>1.27294769340055E-2</v>
      </c>
      <c r="D105" s="94">
        <v>6.6660386882010797E-4</v>
      </c>
      <c r="E105" s="94">
        <v>7.2671627876782401E-3</v>
      </c>
      <c r="F105" s="94">
        <v>9.4849538424487401E-3</v>
      </c>
      <c r="G105" s="94">
        <v>4.89779941810133E-4</v>
      </c>
      <c r="H105" s="94">
        <v>1.6370714691364401E-2</v>
      </c>
      <c r="I105" s="94">
        <v>1.6055108102521101E-2</v>
      </c>
      <c r="J105" s="94">
        <v>2.3847130769837901E-3</v>
      </c>
      <c r="K105" s="95">
        <v>2.0968109153637398E-3</v>
      </c>
      <c r="L105" s="95">
        <v>3.6587449139711199E-4</v>
      </c>
      <c r="M105" s="95">
        <v>2.6934949053922601E-3</v>
      </c>
      <c r="N105" s="95">
        <v>1.14806560184775E-2</v>
      </c>
      <c r="O105" s="95">
        <v>1.7142465903260699E-3</v>
      </c>
      <c r="P105" s="95"/>
      <c r="Q105" s="95">
        <v>0</v>
      </c>
      <c r="R105" s="95">
        <v>0</v>
      </c>
    </row>
    <row r="106" spans="2:18" x14ac:dyDescent="0.2">
      <c r="B106" s="77">
        <v>2016</v>
      </c>
      <c r="C106" s="96">
        <v>1.05109702628087E-2</v>
      </c>
      <c r="D106" s="96">
        <v>5.84590024895527E-4</v>
      </c>
      <c r="E106" s="96">
        <v>7.0805019761337497E-3</v>
      </c>
      <c r="F106" s="96">
        <v>9.1957341711844595E-3</v>
      </c>
      <c r="G106" s="96">
        <v>5.0893519641016002E-4</v>
      </c>
      <c r="H106" s="96">
        <v>1.6002251547905699E-2</v>
      </c>
      <c r="I106" s="96">
        <v>1.53374756841884E-2</v>
      </c>
      <c r="J106" s="96">
        <v>2.4260589336946199E-3</v>
      </c>
      <c r="K106" s="94">
        <v>1.76886207484977E-3</v>
      </c>
      <c r="L106" s="94">
        <v>3.54503345784394E-4</v>
      </c>
      <c r="M106" s="94">
        <v>2.72424448676778E-3</v>
      </c>
      <c r="N106" s="94">
        <v>1.0743826187704799E-2</v>
      </c>
      <c r="O106" s="94">
        <v>1.97107261819154E-3</v>
      </c>
      <c r="P106" s="94"/>
      <c r="Q106" s="94">
        <v>1.4704867980335E-3</v>
      </c>
      <c r="R106" s="94">
        <v>3.80407762138458E-3</v>
      </c>
    </row>
    <row r="107" spans="2:18" x14ac:dyDescent="0.2">
      <c r="B107" s="77">
        <v>2017</v>
      </c>
      <c r="C107" s="94">
        <v>1.02628562112773E-2</v>
      </c>
      <c r="D107" s="94">
        <v>6.8411244022795604E-4</v>
      </c>
      <c r="E107" s="94">
        <v>7.0201114130782399E-3</v>
      </c>
      <c r="F107" s="94">
        <v>9.6616000144441796E-3</v>
      </c>
      <c r="G107" s="94">
        <v>5.28483222256211E-4</v>
      </c>
      <c r="H107" s="94">
        <v>1.6236925657221499E-2</v>
      </c>
      <c r="I107" s="94">
        <v>1.5637900532243301E-2</v>
      </c>
      <c r="J107" s="94">
        <v>2.7671488049346902E-3</v>
      </c>
      <c r="K107" s="95">
        <v>1.7212995286051301E-3</v>
      </c>
      <c r="L107" s="95">
        <v>4.7136456246063801E-4</v>
      </c>
      <c r="M107" s="95">
        <v>2.90593948372479E-3</v>
      </c>
      <c r="N107" s="95">
        <v>9.8274645867493307E-3</v>
      </c>
      <c r="O107" s="95">
        <v>1.6931827770299199E-3</v>
      </c>
      <c r="P107" s="95">
        <v>8.8059397840321103E-4</v>
      </c>
      <c r="Q107" s="95">
        <v>1.0188093340959101E-3</v>
      </c>
      <c r="R107" s="95">
        <v>7.3255002555776497E-3</v>
      </c>
    </row>
    <row r="108" spans="2:18" x14ac:dyDescent="0.2">
      <c r="B108" s="77">
        <v>2018</v>
      </c>
      <c r="C108" s="97">
        <v>0</v>
      </c>
      <c r="D108" s="97">
        <v>7.5631386805742997E-4</v>
      </c>
      <c r="E108" s="97">
        <v>7.3445240173061902E-3</v>
      </c>
      <c r="F108" s="97">
        <v>7.9915062303692903E-3</v>
      </c>
      <c r="G108" s="97">
        <v>4.69975376524546E-4</v>
      </c>
      <c r="H108" s="97">
        <v>1.59674857167433E-2</v>
      </c>
      <c r="I108" s="97">
        <v>1.7878642576356501E-2</v>
      </c>
      <c r="J108" s="97">
        <v>2.0829269383707302E-3</v>
      </c>
      <c r="K108" s="94">
        <v>1.4777314871301901E-3</v>
      </c>
      <c r="L108" s="94">
        <v>4.3001533434985499E-4</v>
      </c>
      <c r="M108" s="94">
        <v>2.6979480135393302E-3</v>
      </c>
      <c r="N108" s="94">
        <v>6.9520391621970502E-3</v>
      </c>
      <c r="O108" s="94">
        <v>1.5558204318447701E-3</v>
      </c>
      <c r="P108" s="94">
        <v>2.62234557625097E-3</v>
      </c>
      <c r="Q108" s="94">
        <v>1.34070786001073E-3</v>
      </c>
      <c r="R108" s="94">
        <v>1.1542993870071801E-2</v>
      </c>
    </row>
    <row r="109" spans="2:18" x14ac:dyDescent="0.2">
      <c r="Q109" t="s">
        <v>103</v>
      </c>
    </row>
    <row r="112" spans="2:18" x14ac:dyDescent="0.2">
      <c r="B112" s="98" t="s">
        <v>104</v>
      </c>
      <c r="C112" s="98"/>
      <c r="D112" s="99">
        <f>AVERAGE(D98:D108)</f>
        <v>7.6809856045032552E-4</v>
      </c>
      <c r="E112" s="99">
        <f>AVERAGE(E98:E108)*0.2869</f>
        <v>2.0627664058336555E-3</v>
      </c>
      <c r="F112" s="99">
        <f>AVERAGE(F98:F108)/3</f>
        <v>3.0399323563653317E-3</v>
      </c>
      <c r="G112" s="99">
        <f>AVERAGE(G98:G108)</f>
        <v>4.7583167135937377E-4</v>
      </c>
      <c r="H112" s="99">
        <f>AVERAGE(H98:H108)</f>
        <v>1.6462262635889249E-2</v>
      </c>
      <c r="I112" s="99">
        <f>AVERAGE(I98:I108)</f>
        <v>1.5552160056394647E-2</v>
      </c>
      <c r="J112" s="99">
        <f>AVERAGE(J98:J108)</f>
        <v>2.6851593365387473E-3</v>
      </c>
      <c r="K112" s="100">
        <f>AVERAGE(K98:K108)</f>
        <v>1.8733733510569318E-3</v>
      </c>
      <c r="L112" s="100">
        <f>L108</f>
        <v>4.3001533434985499E-4</v>
      </c>
      <c r="M112" s="100">
        <f>AVERAGE(M98:M108)</f>
        <v>2.6339499412286337E-3</v>
      </c>
      <c r="N112" s="100">
        <f>N108</f>
        <v>6.9520391621970502E-3</v>
      </c>
      <c r="O112" s="100">
        <f>AVERAGE(O98:O108)</f>
        <v>1.5281316545817472E-3</v>
      </c>
      <c r="P112" s="100">
        <f>P108</f>
        <v>2.62234557625097E-3</v>
      </c>
      <c r="Q112" s="100">
        <f>AVERAGE(Q106:Q108)</f>
        <v>1.2766679973800468E-3</v>
      </c>
    </row>
    <row r="114" spans="2:11" x14ac:dyDescent="0.2">
      <c r="D114" s="99">
        <f>SUM(D112:J112)-E112</f>
        <v>3.8983444616997681E-2</v>
      </c>
      <c r="F114" s="76" t="s">
        <v>105</v>
      </c>
      <c r="G114" s="76"/>
      <c r="H114" s="76"/>
      <c r="I114" s="99">
        <v>6.0000000000000001E-3</v>
      </c>
      <c r="K114" s="100">
        <f>SUM(K112:Q112)</f>
        <v>1.7316523017045234E-2</v>
      </c>
    </row>
    <row r="116" spans="2:11" x14ac:dyDescent="0.2">
      <c r="I116" s="26"/>
    </row>
    <row r="117" spans="2:11" x14ac:dyDescent="0.2">
      <c r="C117" t="s">
        <v>106</v>
      </c>
      <c r="D117" t="s">
        <v>107</v>
      </c>
      <c r="E117" t="s">
        <v>108</v>
      </c>
      <c r="F117" s="3" t="s">
        <v>109</v>
      </c>
      <c r="G117" t="s">
        <v>110</v>
      </c>
    </row>
    <row r="119" spans="2:11" x14ac:dyDescent="0.2">
      <c r="B119" s="5">
        <v>2014</v>
      </c>
      <c r="C119" s="35">
        <f>(SUM('Central pensions'!Y4:Y7)/AVERAGE('Central scenario'!AG3:AG6))</f>
        <v>1.0008000397610349E-2</v>
      </c>
      <c r="D119" s="35">
        <f>'Central scenario'!BM3+'Central scenario'!BN3+'Central scenario'!BL3-C119</f>
        <v>6.3664264133957843E-2</v>
      </c>
      <c r="E119" s="35">
        <f>'Central scenario'!BK3</f>
        <v>5.3979759810055671E-2</v>
      </c>
      <c r="F119" s="35">
        <f>SUM($C104:$J104)-$H104-$F104-SUM($K104:$Q104)</f>
        <v>2.085075838432748E-2</v>
      </c>
      <c r="G119" s="35">
        <f t="shared" ref="G119:G145" si="0">E119+F119-D119-C119</f>
        <v>1.1582536628149554E-3</v>
      </c>
    </row>
    <row r="120" spans="2:11" x14ac:dyDescent="0.2">
      <c r="B120">
        <v>2015</v>
      </c>
      <c r="C120" s="26">
        <f>SUM('Central pensions'!Y14:Y17)/AVERAGE('Central scenario'!AG14:AG17)</f>
        <v>1.0733978419463381E-2</v>
      </c>
      <c r="D120" s="26">
        <f>'Central scenario'!BM4+'Central scenario'!BN4+'Central scenario'!BL4-C120</f>
        <v>8.2948103451456354E-2</v>
      </c>
      <c r="E120" s="26">
        <f>'Central scenario'!BK4</f>
        <v>6.0807714206926787E-2</v>
      </c>
      <c r="F120" s="26">
        <f>SUM($C105:$J105)-$H105-$F105-SUM($K105:$Q105)</f>
        <v>2.124176179086219E-2</v>
      </c>
      <c r="G120" s="26">
        <f t="shared" si="0"/>
        <v>-1.1632605873130761E-2</v>
      </c>
    </row>
    <row r="121" spans="2:11" x14ac:dyDescent="0.2">
      <c r="B121" s="5">
        <v>2016</v>
      </c>
      <c r="C121" s="35">
        <f>SUM('Central pensions'!Y18:Y21)/AVERAGE('Central scenario'!AG18:AG21)</f>
        <v>1.2091560077479408E-2</v>
      </c>
      <c r="D121" s="35">
        <f>'Central scenario'!BM5+'Central scenario'!BN5+'Central scenario'!BL5-C121</f>
        <v>8.2117470348233676E-2</v>
      </c>
      <c r="E121" s="35">
        <f>'Central scenario'!BK5</f>
        <v>6.1399295349079737E-2</v>
      </c>
      <c r="F121" s="35">
        <f>SUM($C106:$J106)-$H106-$F106-SUM($K106:$R106)</f>
        <v>1.3611458945414791E-2</v>
      </c>
      <c r="G121" s="35">
        <f t="shared" si="0"/>
        <v>-1.9198276131218557E-2</v>
      </c>
    </row>
    <row r="122" spans="2:11" x14ac:dyDescent="0.2">
      <c r="B122">
        <v>2017</v>
      </c>
      <c r="C122" s="26">
        <f>SUM('Central pensions'!Y22:Y25)/AVERAGE('Central scenario'!AG22:AG25)</f>
        <v>1.554136546049264E-2</v>
      </c>
      <c r="D122" s="26">
        <f>'Central scenario'!BM6+'Central scenario'!BN6+'Central scenario'!BL6-C122</f>
        <v>8.4876333297424458E-2</v>
      </c>
      <c r="E122" s="26">
        <f>'Central scenario'!BK6</f>
        <v>6.3303796819399405E-2</v>
      </c>
      <c r="F122" s="26">
        <f>SUM($C107:$J107)-$H107-$F107-SUM($K107:$R107)</f>
        <v>1.1056458117371111E-2</v>
      </c>
      <c r="G122" s="26">
        <f t="shared" si="0"/>
        <v>-2.6057443821146588E-2</v>
      </c>
    </row>
    <row r="123" spans="2:11" x14ac:dyDescent="0.2">
      <c r="B123" s="5">
        <f t="shared" ref="B123:B145" si="1">B122+1</f>
        <v>2018</v>
      </c>
      <c r="C123" s="35">
        <f>SUM('Central pensions'!Y26:Y29)/AVERAGE('Central scenario'!AG26:AG29)</f>
        <v>1.4019521974912765E-2</v>
      </c>
      <c r="D123" s="35">
        <f>'Central scenario'!BM7+'Central scenario'!BN7+'Central scenario'!BL7-C123</f>
        <v>8.2113694061877462E-2</v>
      </c>
      <c r="E123" s="35">
        <f>'Central scenario'!BK7</f>
        <v>5.905316957684812E-2</v>
      </c>
      <c r="F123" s="35">
        <f>SUM($C108:$J108)-$F108-SUM($K108:$R108)</f>
        <v>1.5880266757964005E-2</v>
      </c>
      <c r="G123" s="35">
        <f t="shared" si="0"/>
        <v>-2.1199779701978099E-2</v>
      </c>
    </row>
    <row r="124" spans="2:11" x14ac:dyDescent="0.2">
      <c r="B124">
        <f t="shared" si="1"/>
        <v>2019</v>
      </c>
      <c r="C124" s="26">
        <f>SUM('Central pensions'!Y30:Y33)/AVERAGE('Central scenario'!AG30:AG33)</f>
        <v>1.2702444379541364E-2</v>
      </c>
      <c r="D124" s="26">
        <f>'Central scenario'!BM8+'Central scenario'!BN8+'Central scenario'!BL8-C124</f>
        <v>7.7556699807614232E-2</v>
      </c>
      <c r="E124" s="26">
        <f>'Central scenario'!BK8</f>
        <v>5.237224302658363E-2</v>
      </c>
      <c r="F124" s="26">
        <f>SUM($D$112:$J$112)-SUM($K$112:$Q$112)-$I$112*12/15</f>
        <v>1.1287959960670382E-2</v>
      </c>
      <c r="G124" s="26">
        <f t="shared" si="0"/>
        <v>-2.6598941199901582E-2</v>
      </c>
    </row>
    <row r="125" spans="2:11" x14ac:dyDescent="0.2">
      <c r="B125" s="5">
        <f t="shared" si="1"/>
        <v>2020</v>
      </c>
      <c r="C125" s="35">
        <f>SUM('Central pensions'!Y34:Y37)/AVERAGE('Central scenario'!AG34:AG37)</f>
        <v>1.1268695137061857E-2</v>
      </c>
      <c r="D125" s="35">
        <f>'Central scenario'!BM9+'Central scenario'!BN9+'Central scenario'!BL9-C125</f>
        <v>7.974529971588494E-2</v>
      </c>
      <c r="E125" s="35">
        <f>'Central scenario'!BK9</f>
        <v>5.4967721323652706E-2</v>
      </c>
      <c r="F125" s="35">
        <f t="shared" ref="F125:F145" si="2">SUM($D$112:$J$112)-SUM($K$112:$Q$112)-$I$112+$I$114</f>
        <v>1.4177527949391453E-2</v>
      </c>
      <c r="G125" s="35">
        <f t="shared" si="0"/>
        <v>-2.1868745579902635E-2</v>
      </c>
    </row>
    <row r="126" spans="2:11" x14ac:dyDescent="0.2">
      <c r="B126">
        <f t="shared" si="1"/>
        <v>2021</v>
      </c>
      <c r="C126" s="26">
        <f>SUM('Central pensions'!Y38:Y41)/AVERAGE('Central scenario'!AG38:AG41)</f>
        <v>1.0910949507679745E-2</v>
      </c>
      <c r="D126" s="26">
        <f>'Central scenario'!BM10+'Central scenario'!BN10+'Central scenario'!BL10-C126</f>
        <v>8.0898665674575099E-2</v>
      </c>
      <c r="E126" s="26">
        <f>'Central scenario'!BK10</f>
        <v>5.7375923787994033E-2</v>
      </c>
      <c r="F126" s="26">
        <f t="shared" si="2"/>
        <v>1.4177527949391453E-2</v>
      </c>
      <c r="G126" s="26">
        <f t="shared" si="0"/>
        <v>-2.0256163444869354E-2</v>
      </c>
    </row>
    <row r="127" spans="2:11" x14ac:dyDescent="0.2">
      <c r="B127" s="5">
        <f t="shared" si="1"/>
        <v>2022</v>
      </c>
      <c r="C127" s="35">
        <f>SUM('Central pensions'!Y42:Y45)/AVERAGE('Central scenario'!AG42:AG45)</f>
        <v>1.1205644930234697E-2</v>
      </c>
      <c r="D127" s="35">
        <f>'Central scenario'!BM11+'Central scenario'!BN11+'Central scenario'!BL11-C127</f>
        <v>8.3711297756094552E-2</v>
      </c>
      <c r="E127" s="35">
        <f>'Central scenario'!BK11</f>
        <v>6.0717867375346568E-2</v>
      </c>
      <c r="F127" s="35">
        <f t="shared" si="2"/>
        <v>1.4177527949391453E-2</v>
      </c>
      <c r="G127" s="35">
        <f t="shared" si="0"/>
        <v>-2.002154736159123E-2</v>
      </c>
    </row>
    <row r="128" spans="2:11" x14ac:dyDescent="0.2">
      <c r="B128">
        <f t="shared" si="1"/>
        <v>2023</v>
      </c>
      <c r="C128" s="26">
        <f>SUM('Central pensions'!Y46:Y49)/AVERAGE('Central scenario'!AG46:AG49)</f>
        <v>1.1064710350659665E-2</v>
      </c>
      <c r="D128" s="26">
        <f>'Central scenario'!BM12+'Central scenario'!BN12+'Central scenario'!BL12-C128</f>
        <v>8.4178067086400549E-2</v>
      </c>
      <c r="E128" s="26">
        <f>'Central scenario'!BK12</f>
        <v>6.1709955524008223E-2</v>
      </c>
      <c r="F128" s="26">
        <f t="shared" si="2"/>
        <v>1.4177527949391453E-2</v>
      </c>
      <c r="G128" s="26">
        <f t="shared" si="0"/>
        <v>-1.9355293963660543E-2</v>
      </c>
    </row>
    <row r="129" spans="2:7" x14ac:dyDescent="0.2">
      <c r="B129" s="5">
        <f t="shared" si="1"/>
        <v>2024</v>
      </c>
      <c r="C129" s="35">
        <f>SUM('Central pensions'!Y50:Y53)/AVERAGE('Central scenario'!AG50:AG53)</f>
        <v>1.0713684506604981E-2</v>
      </c>
      <c r="D129" s="35">
        <f>'Central scenario'!BM13+'Central scenario'!BN13+'Central scenario'!BL13-C129</f>
        <v>8.4691399218412886E-2</v>
      </c>
      <c r="E129" s="35">
        <f>'Central scenario'!BK13</f>
        <v>6.2895174462130776E-2</v>
      </c>
      <c r="F129" s="35">
        <f t="shared" si="2"/>
        <v>1.4177527949391453E-2</v>
      </c>
      <c r="G129" s="35">
        <f t="shared" si="0"/>
        <v>-1.8332381313495641E-2</v>
      </c>
    </row>
    <row r="130" spans="2:7" x14ac:dyDescent="0.2">
      <c r="B130">
        <f t="shared" si="1"/>
        <v>2025</v>
      </c>
      <c r="C130" s="26">
        <f>SUM('Central pensions'!Y54:Y57)/AVERAGE('Central scenario'!AG54:AG57)</f>
        <v>1.0482941161429242E-2</v>
      </c>
      <c r="D130" s="26">
        <f>'Central scenario'!BM14+'Central scenario'!BN14+'Central scenario'!BL14-C130</f>
        <v>8.5922486630167411E-2</v>
      </c>
      <c r="E130" s="26">
        <f>'Central scenario'!BK14</f>
        <v>6.3584266671634998E-2</v>
      </c>
      <c r="F130" s="26">
        <f t="shared" si="2"/>
        <v>1.4177527949391453E-2</v>
      </c>
      <c r="G130" s="26">
        <f t="shared" si="0"/>
        <v>-1.8643633170570204E-2</v>
      </c>
    </row>
    <row r="131" spans="2:7" x14ac:dyDescent="0.2">
      <c r="B131" s="5">
        <f t="shared" si="1"/>
        <v>2026</v>
      </c>
      <c r="C131" s="35">
        <f>SUM('Central pensions'!Y58:Y61)/AVERAGE('Central scenario'!AG58:AG61)</f>
        <v>1.0027137311141859E-2</v>
      </c>
      <c r="D131" s="35">
        <f>'Central scenario'!BM15+'Central scenario'!BN15+'Central scenario'!BL15-C131</f>
        <v>8.5568116096404495E-2</v>
      </c>
      <c r="E131" s="35">
        <f>'Central scenario'!BK15</f>
        <v>6.3891463868500309E-2</v>
      </c>
      <c r="F131" s="35">
        <f t="shared" si="2"/>
        <v>1.4177527949391453E-2</v>
      </c>
      <c r="G131" s="35">
        <f t="shared" si="0"/>
        <v>-1.7526261589654597E-2</v>
      </c>
    </row>
    <row r="132" spans="2:7" x14ac:dyDescent="0.2">
      <c r="B132">
        <f t="shared" si="1"/>
        <v>2027</v>
      </c>
      <c r="C132" s="26">
        <f>SUM('Central pensions'!Y62:Y65)/AVERAGE('Central scenario'!AG62:AG65)</f>
        <v>9.492204194990056E-3</v>
      </c>
      <c r="D132" s="26">
        <f>'Central scenario'!BM16+'Central scenario'!BN16+'Central scenario'!BL16-C132</f>
        <v>8.4996181594447523E-2</v>
      </c>
      <c r="E132" s="26">
        <f>'Central scenario'!BK16</f>
        <v>6.3728668633427479E-2</v>
      </c>
      <c r="F132" s="26">
        <f t="shared" si="2"/>
        <v>1.4177527949391453E-2</v>
      </c>
      <c r="G132" s="26">
        <f t="shared" si="0"/>
        <v>-1.658218920661865E-2</v>
      </c>
    </row>
    <row r="133" spans="2:7" x14ac:dyDescent="0.2">
      <c r="B133" s="5">
        <f t="shared" si="1"/>
        <v>2028</v>
      </c>
      <c r="C133" s="35">
        <f>SUM('Central pensions'!Y66:Y69)/AVERAGE('Central scenario'!AG66:AG69)</f>
        <v>8.9647751886930208E-3</v>
      </c>
      <c r="D133" s="35">
        <f>'Central scenario'!BM17+'Central scenario'!BN17+'Central scenario'!BL17-C133</f>
        <v>8.4296485102645896E-2</v>
      </c>
      <c r="E133" s="35">
        <f>'Central scenario'!BK17</f>
        <v>6.3685155568447088E-2</v>
      </c>
      <c r="F133" s="35">
        <f t="shared" si="2"/>
        <v>1.4177527949391453E-2</v>
      </c>
      <c r="G133" s="35">
        <f t="shared" si="0"/>
        <v>-1.5398576773500379E-2</v>
      </c>
    </row>
    <row r="134" spans="2:7" x14ac:dyDescent="0.2">
      <c r="B134">
        <f t="shared" si="1"/>
        <v>2029</v>
      </c>
      <c r="C134" s="26">
        <f>SUM('Central pensions'!Y70:Y73)/AVERAGE('Central scenario'!AG70:AG73)</f>
        <v>8.4667047583085828E-3</v>
      </c>
      <c r="D134" s="26">
        <f>'Central scenario'!BM18+'Central scenario'!BN18+'Central scenario'!BL18-C134</f>
        <v>8.3129079396285471E-2</v>
      </c>
      <c r="E134" s="26">
        <f>'Central scenario'!BK18</f>
        <v>6.3754055849993718E-2</v>
      </c>
      <c r="F134" s="26">
        <f t="shared" si="2"/>
        <v>1.4177527949391453E-2</v>
      </c>
      <c r="G134" s="26">
        <f t="shared" si="0"/>
        <v>-1.3664200355208886E-2</v>
      </c>
    </row>
    <row r="135" spans="2:7" x14ac:dyDescent="0.2">
      <c r="B135" s="5">
        <f t="shared" si="1"/>
        <v>2030</v>
      </c>
      <c r="C135" s="35">
        <f>SUM('Central pensions'!Y74:Y77)/AVERAGE('Central scenario'!AG74:AG77)</f>
        <v>8.0927991121594635E-3</v>
      </c>
      <c r="D135" s="35">
        <f>'Central scenario'!BM19+'Central scenario'!BN19+'Central scenario'!BL19-C135</f>
        <v>8.3047533998559173E-2</v>
      </c>
      <c r="E135" s="35">
        <f>'Central scenario'!BK19</f>
        <v>6.4342798265061132E-2</v>
      </c>
      <c r="F135" s="35">
        <f t="shared" si="2"/>
        <v>1.4177527949391453E-2</v>
      </c>
      <c r="G135" s="35">
        <f t="shared" si="0"/>
        <v>-1.2620006896266054E-2</v>
      </c>
    </row>
    <row r="136" spans="2:7" x14ac:dyDescent="0.2">
      <c r="B136">
        <f t="shared" si="1"/>
        <v>2031</v>
      </c>
      <c r="C136" s="26">
        <f>SUM('Central pensions'!Y78:Y81)/AVERAGE('Central scenario'!AG78:AG81)</f>
        <v>7.6216045012665653E-3</v>
      </c>
      <c r="D136" s="26">
        <f>'Central scenario'!BM20+'Central scenario'!BN20+'Central scenario'!BL20-C136</f>
        <v>8.2412481908438792E-2</v>
      </c>
      <c r="E136" s="26">
        <f>'Central scenario'!BK20</f>
        <v>6.4295660048444309E-2</v>
      </c>
      <c r="F136" s="26">
        <f t="shared" si="2"/>
        <v>1.4177527949391453E-2</v>
      </c>
      <c r="G136" s="26">
        <f t="shared" si="0"/>
        <v>-1.1560898411869599E-2</v>
      </c>
    </row>
    <row r="137" spans="2:7" x14ac:dyDescent="0.2">
      <c r="B137" s="5">
        <f t="shared" si="1"/>
        <v>2032</v>
      </c>
      <c r="C137" s="35">
        <f>SUM('Central pensions'!Y82:Y85)/AVERAGE('Central scenario'!AG82:AG85)</f>
        <v>7.3453506558385151E-3</v>
      </c>
      <c r="D137" s="35">
        <f>'Central scenario'!BM21+'Central scenario'!BN21+'Central scenario'!BL21-C137</f>
        <v>8.2257298199221729E-2</v>
      </c>
      <c r="E137" s="35">
        <f>'Central scenario'!BK21</f>
        <v>6.4025659957509473E-2</v>
      </c>
      <c r="F137" s="35">
        <f t="shared" si="2"/>
        <v>1.4177527949391453E-2</v>
      </c>
      <c r="G137" s="35">
        <f t="shared" si="0"/>
        <v>-1.1399460948159322E-2</v>
      </c>
    </row>
    <row r="138" spans="2:7" x14ac:dyDescent="0.2">
      <c r="B138">
        <f t="shared" si="1"/>
        <v>2033</v>
      </c>
      <c r="C138" s="26">
        <f>SUM('Central pensions'!Y86:Y89)/AVERAGE('Central scenario'!AG86:AG89)</f>
        <v>6.9395188554526241E-3</v>
      </c>
      <c r="D138" s="26">
        <f>'Central scenario'!BM22+'Central scenario'!BN22+'Central scenario'!BL22-C138</f>
        <v>8.1838867745157362E-2</v>
      </c>
      <c r="E138" s="26">
        <f>'Central scenario'!BK22</f>
        <v>6.4504984704729984E-2</v>
      </c>
      <c r="F138" s="26">
        <f t="shared" si="2"/>
        <v>1.4177527949391453E-2</v>
      </c>
      <c r="G138" s="26">
        <f t="shared" si="0"/>
        <v>-1.0095873946488552E-2</v>
      </c>
    </row>
    <row r="139" spans="2:7" x14ac:dyDescent="0.2">
      <c r="B139" s="5">
        <f t="shared" si="1"/>
        <v>2034</v>
      </c>
      <c r="C139" s="35">
        <f>SUM('Central pensions'!Y90:Y93)/AVERAGE('Central scenario'!AG90:AG93)</f>
        <v>6.7308903513886445E-3</v>
      </c>
      <c r="D139" s="35">
        <f>'Central scenario'!BM23+'Central scenario'!BN23+'Central scenario'!BL23-C139</f>
        <v>8.2469224683012585E-2</v>
      </c>
      <c r="E139" s="35">
        <f>'Central scenario'!BK23</f>
        <v>6.5511403037663563E-2</v>
      </c>
      <c r="F139" s="35">
        <f t="shared" si="2"/>
        <v>1.4177527949391453E-2</v>
      </c>
      <c r="G139" s="35">
        <f t="shared" si="0"/>
        <v>-9.5111840473462161E-3</v>
      </c>
    </row>
    <row r="140" spans="2:7" x14ac:dyDescent="0.2">
      <c r="B140">
        <f t="shared" si="1"/>
        <v>2035</v>
      </c>
      <c r="C140" s="26">
        <f>SUM('Central pensions'!Y94:Y97)/AVERAGE('Central scenario'!AG94:AG97)</f>
        <v>6.272581314049612E-3</v>
      </c>
      <c r="D140" s="26">
        <f>'Central scenario'!BM24+'Central scenario'!BN24+'Central scenario'!BL24-C140</f>
        <v>8.2107324818218197E-2</v>
      </c>
      <c r="E140" s="26">
        <f>'Central scenario'!BK24</f>
        <v>6.4905979480428685E-2</v>
      </c>
      <c r="F140" s="26">
        <f t="shared" si="2"/>
        <v>1.4177527949391453E-2</v>
      </c>
      <c r="G140" s="26">
        <f t="shared" si="0"/>
        <v>-9.2963987024476738E-3</v>
      </c>
    </row>
    <row r="141" spans="2:7" x14ac:dyDescent="0.2">
      <c r="B141" s="5">
        <f t="shared" si="1"/>
        <v>2036</v>
      </c>
      <c r="C141" s="35">
        <f>SUM('Central pensions'!Y98:Y101)/AVERAGE('Central scenario'!AG98:AG101)</f>
        <v>5.8657855590337742E-3</v>
      </c>
      <c r="D141" s="35">
        <f>'Central scenario'!BM25+'Central scenario'!BN25+'Central scenario'!BL25-C141</f>
        <v>8.1685802550046205E-2</v>
      </c>
      <c r="E141" s="35">
        <f>'Central scenario'!BK25</f>
        <v>6.4975797380969202E-2</v>
      </c>
      <c r="F141" s="35">
        <f t="shared" si="2"/>
        <v>1.4177527949391453E-2</v>
      </c>
      <c r="G141" s="35">
        <f t="shared" si="0"/>
        <v>-8.398262778719327E-3</v>
      </c>
    </row>
    <row r="142" spans="2:7" x14ac:dyDescent="0.2">
      <c r="B142">
        <f t="shared" si="1"/>
        <v>2037</v>
      </c>
      <c r="C142" s="26">
        <f>SUM('Central pensions'!Y102:Y105)/AVERAGE('Central scenario'!AG102:AG105)</f>
        <v>5.7939748192554928E-3</v>
      </c>
      <c r="D142" s="26">
        <f>'Central scenario'!BM26+'Central scenario'!BN26+'Central scenario'!BL26-C142</f>
        <v>8.1977838525657362E-2</v>
      </c>
      <c r="E142" s="26">
        <f>'Central scenario'!BK26</f>
        <v>6.5063893696521727E-2</v>
      </c>
      <c r="F142" s="26">
        <f t="shared" si="2"/>
        <v>1.4177527949391453E-2</v>
      </c>
      <c r="G142" s="26">
        <f t="shared" si="0"/>
        <v>-8.5303916989996793E-3</v>
      </c>
    </row>
    <row r="143" spans="2:7" x14ac:dyDescent="0.2">
      <c r="B143" s="5">
        <f t="shared" si="1"/>
        <v>2038</v>
      </c>
      <c r="C143" s="35">
        <f>SUM('Central pensions'!Y106:Y109)/AVERAGE('Central scenario'!AG106:AG109)</f>
        <v>5.5774428693964552E-3</v>
      </c>
      <c r="D143" s="35">
        <f>'Central scenario'!BM27+'Central scenario'!BN27+'Central scenario'!BL27-C143</f>
        <v>8.1459644762655353E-2</v>
      </c>
      <c r="E143" s="35">
        <f>'Central scenario'!BK27</f>
        <v>6.5310871586007901E-2</v>
      </c>
      <c r="F143" s="35">
        <f t="shared" si="2"/>
        <v>1.4177527949391453E-2</v>
      </c>
      <c r="G143" s="35">
        <f t="shared" si="0"/>
        <v>-7.5486880966524573E-3</v>
      </c>
    </row>
    <row r="144" spans="2:7" x14ac:dyDescent="0.2">
      <c r="B144">
        <f t="shared" si="1"/>
        <v>2039</v>
      </c>
      <c r="C144" s="26">
        <f>SUM('Central pensions'!Y110:Y113)/AVERAGE('Central scenario'!AG110:AG113)</f>
        <v>5.3193574931828542E-3</v>
      </c>
      <c r="D144" s="26">
        <f>'Central scenario'!BM28+'Central scenario'!BN28+'Central scenario'!BL28-C144</f>
        <v>8.2112480887854458E-2</v>
      </c>
      <c r="E144" s="26">
        <f>'Central scenario'!BK28</f>
        <v>6.5656431830573306E-2</v>
      </c>
      <c r="F144" s="26">
        <f t="shared" si="2"/>
        <v>1.4177527949391453E-2</v>
      </c>
      <c r="G144" s="26">
        <f t="shared" si="0"/>
        <v>-7.5978786010725569E-3</v>
      </c>
    </row>
    <row r="145" spans="2:7" x14ac:dyDescent="0.2">
      <c r="B145" s="5">
        <f t="shared" si="1"/>
        <v>2040</v>
      </c>
      <c r="C145" s="35">
        <f>SUM('Central pensions'!Y114:Y117)/AVERAGE('Central scenario'!AG114:AG117)</f>
        <v>5.2496165999940279E-3</v>
      </c>
      <c r="D145" s="35">
        <f>'Central scenario'!BM29+'Central scenario'!BN29+'Central scenario'!BL29-C145</f>
        <v>8.314909800444488E-2</v>
      </c>
      <c r="E145" s="35">
        <f>'Central scenario'!BK29</f>
        <v>6.6912487424277467E-2</v>
      </c>
      <c r="F145" s="35">
        <f t="shared" si="2"/>
        <v>1.4177527949391453E-2</v>
      </c>
      <c r="G145" s="35">
        <f t="shared" si="0"/>
        <v>-7.3086992307699909E-3</v>
      </c>
    </row>
    <row r="146" spans="2:7" x14ac:dyDescent="0.2">
      <c r="C146" t="str">
        <f>C117</f>
        <v>Family benefits</v>
      </c>
      <c r="D146" t="str">
        <f>D117</f>
        <v>Pensions</v>
      </c>
      <c r="E146" t="str">
        <f>E117</f>
        <v>Social security contributions</v>
      </c>
      <c r="F146" t="str">
        <f>F117</f>
        <v>Fiscal income net of non-simulated expenses</v>
      </c>
      <c r="G146" t="str">
        <f>G117</f>
        <v>Economic result</v>
      </c>
    </row>
    <row r="147" spans="2:7" x14ac:dyDescent="0.2">
      <c r="B147" s="5">
        <v>2014</v>
      </c>
      <c r="C147" s="35">
        <f t="shared" ref="C147:D173" si="3">-C119</f>
        <v>-1.0008000397610349E-2</v>
      </c>
      <c r="D147" s="35">
        <f t="shared" si="3"/>
        <v>-6.3664264133957843E-2</v>
      </c>
      <c r="E147" s="35">
        <f t="shared" ref="E147:G173" si="4">E119</f>
        <v>5.3979759810055671E-2</v>
      </c>
      <c r="F147" s="35">
        <f t="shared" si="4"/>
        <v>2.085075838432748E-2</v>
      </c>
      <c r="G147" s="35">
        <f t="shared" si="4"/>
        <v>1.1582536628149554E-3</v>
      </c>
    </row>
    <row r="148" spans="2:7" x14ac:dyDescent="0.2">
      <c r="B148">
        <v>2015</v>
      </c>
      <c r="C148" s="26">
        <f t="shared" si="3"/>
        <v>-1.0733978419463381E-2</v>
      </c>
      <c r="D148" s="26">
        <f t="shared" si="3"/>
        <v>-8.2948103451456354E-2</v>
      </c>
      <c r="E148" s="26">
        <f t="shared" si="4"/>
        <v>6.0807714206926787E-2</v>
      </c>
      <c r="F148" s="26">
        <f t="shared" si="4"/>
        <v>2.124176179086219E-2</v>
      </c>
      <c r="G148" s="26">
        <f t="shared" si="4"/>
        <v>-1.1632605873130761E-2</v>
      </c>
    </row>
    <row r="149" spans="2:7" x14ac:dyDescent="0.2">
      <c r="B149" s="5">
        <v>2016</v>
      </c>
      <c r="C149" s="35">
        <f t="shared" si="3"/>
        <v>-1.2091560077479408E-2</v>
      </c>
      <c r="D149" s="35">
        <f t="shared" si="3"/>
        <v>-8.2117470348233676E-2</v>
      </c>
      <c r="E149" s="35">
        <f t="shared" si="4"/>
        <v>6.1399295349079737E-2</v>
      </c>
      <c r="F149" s="35">
        <f t="shared" si="4"/>
        <v>1.3611458945414791E-2</v>
      </c>
      <c r="G149" s="35">
        <f t="shared" si="4"/>
        <v>-1.9198276131218557E-2</v>
      </c>
    </row>
    <row r="150" spans="2:7" x14ac:dyDescent="0.2">
      <c r="B150">
        <v>2017</v>
      </c>
      <c r="C150" s="26">
        <f t="shared" si="3"/>
        <v>-1.554136546049264E-2</v>
      </c>
      <c r="D150" s="26">
        <f t="shared" si="3"/>
        <v>-8.4876333297424458E-2</v>
      </c>
      <c r="E150" s="26">
        <f t="shared" si="4"/>
        <v>6.3303796819399405E-2</v>
      </c>
      <c r="F150" s="26">
        <f t="shared" si="4"/>
        <v>1.1056458117371111E-2</v>
      </c>
      <c r="G150" s="26">
        <f t="shared" si="4"/>
        <v>-2.6057443821146588E-2</v>
      </c>
    </row>
    <row r="151" spans="2:7" x14ac:dyDescent="0.2">
      <c r="B151" s="5">
        <f t="shared" ref="B151:B173" si="5">B150+1</f>
        <v>2018</v>
      </c>
      <c r="C151" s="35">
        <f t="shared" si="3"/>
        <v>-1.4019521974912765E-2</v>
      </c>
      <c r="D151" s="35">
        <f t="shared" si="3"/>
        <v>-8.2113694061877462E-2</v>
      </c>
      <c r="E151" s="35">
        <f t="shared" si="4"/>
        <v>5.905316957684812E-2</v>
      </c>
      <c r="F151" s="35">
        <f t="shared" si="4"/>
        <v>1.5880266757964005E-2</v>
      </c>
      <c r="G151" s="35">
        <f t="shared" si="4"/>
        <v>-2.1199779701978099E-2</v>
      </c>
    </row>
    <row r="152" spans="2:7" x14ac:dyDescent="0.2">
      <c r="B152">
        <f t="shared" si="5"/>
        <v>2019</v>
      </c>
      <c r="C152" s="26">
        <f t="shared" si="3"/>
        <v>-1.2702444379541364E-2</v>
      </c>
      <c r="D152" s="26">
        <f t="shared" si="3"/>
        <v>-7.7556699807614232E-2</v>
      </c>
      <c r="E152" s="26">
        <f t="shared" si="4"/>
        <v>5.237224302658363E-2</v>
      </c>
      <c r="F152" s="26">
        <f t="shared" si="4"/>
        <v>1.1287959960670382E-2</v>
      </c>
      <c r="G152" s="26">
        <f t="shared" si="4"/>
        <v>-2.6598941199901582E-2</v>
      </c>
    </row>
    <row r="153" spans="2:7" x14ac:dyDescent="0.2">
      <c r="B153" s="5">
        <f t="shared" si="5"/>
        <v>2020</v>
      </c>
      <c r="C153" s="35">
        <f t="shared" si="3"/>
        <v>-1.1268695137061857E-2</v>
      </c>
      <c r="D153" s="35">
        <f t="shared" si="3"/>
        <v>-7.974529971588494E-2</v>
      </c>
      <c r="E153" s="35">
        <f t="shared" si="4"/>
        <v>5.4967721323652706E-2</v>
      </c>
      <c r="F153" s="35">
        <f t="shared" si="4"/>
        <v>1.4177527949391453E-2</v>
      </c>
      <c r="G153" s="35">
        <f t="shared" si="4"/>
        <v>-2.1868745579902635E-2</v>
      </c>
    </row>
    <row r="154" spans="2:7" x14ac:dyDescent="0.2">
      <c r="B154">
        <f t="shared" si="5"/>
        <v>2021</v>
      </c>
      <c r="C154" s="26">
        <f t="shared" si="3"/>
        <v>-1.0910949507679745E-2</v>
      </c>
      <c r="D154" s="26">
        <f t="shared" si="3"/>
        <v>-8.0898665674575099E-2</v>
      </c>
      <c r="E154" s="26">
        <f t="shared" si="4"/>
        <v>5.7375923787994033E-2</v>
      </c>
      <c r="F154" s="26">
        <f t="shared" si="4"/>
        <v>1.4177527949391453E-2</v>
      </c>
      <c r="G154" s="26">
        <f t="shared" si="4"/>
        <v>-2.0256163444869354E-2</v>
      </c>
    </row>
    <row r="155" spans="2:7" x14ac:dyDescent="0.2">
      <c r="B155" s="5">
        <f t="shared" si="5"/>
        <v>2022</v>
      </c>
      <c r="C155" s="35">
        <f t="shared" si="3"/>
        <v>-1.1205644930234697E-2</v>
      </c>
      <c r="D155" s="35">
        <f t="shared" si="3"/>
        <v>-8.3711297756094552E-2</v>
      </c>
      <c r="E155" s="35">
        <f t="shared" si="4"/>
        <v>6.0717867375346568E-2</v>
      </c>
      <c r="F155" s="35">
        <f t="shared" si="4"/>
        <v>1.4177527949391453E-2</v>
      </c>
      <c r="G155" s="35">
        <f t="shared" si="4"/>
        <v>-2.002154736159123E-2</v>
      </c>
    </row>
    <row r="156" spans="2:7" x14ac:dyDescent="0.2">
      <c r="B156">
        <f t="shared" si="5"/>
        <v>2023</v>
      </c>
      <c r="C156" s="26">
        <f t="shared" si="3"/>
        <v>-1.1064710350659665E-2</v>
      </c>
      <c r="D156" s="26">
        <f t="shared" si="3"/>
        <v>-8.4178067086400549E-2</v>
      </c>
      <c r="E156" s="26">
        <f t="shared" si="4"/>
        <v>6.1709955524008223E-2</v>
      </c>
      <c r="F156" s="26">
        <f t="shared" si="4"/>
        <v>1.4177527949391453E-2</v>
      </c>
      <c r="G156" s="26">
        <f t="shared" si="4"/>
        <v>-1.9355293963660543E-2</v>
      </c>
    </row>
    <row r="157" spans="2:7" x14ac:dyDescent="0.2">
      <c r="B157" s="5">
        <f t="shared" si="5"/>
        <v>2024</v>
      </c>
      <c r="C157" s="35">
        <f t="shared" si="3"/>
        <v>-1.0713684506604981E-2</v>
      </c>
      <c r="D157" s="35">
        <f t="shared" si="3"/>
        <v>-8.4691399218412886E-2</v>
      </c>
      <c r="E157" s="35">
        <f t="shared" si="4"/>
        <v>6.2895174462130776E-2</v>
      </c>
      <c r="F157" s="35">
        <f t="shared" si="4"/>
        <v>1.4177527949391453E-2</v>
      </c>
      <c r="G157" s="35">
        <f t="shared" si="4"/>
        <v>-1.8332381313495641E-2</v>
      </c>
    </row>
    <row r="158" spans="2:7" x14ac:dyDescent="0.2">
      <c r="B158">
        <f t="shared" si="5"/>
        <v>2025</v>
      </c>
      <c r="C158" s="26">
        <f t="shared" si="3"/>
        <v>-1.0482941161429242E-2</v>
      </c>
      <c r="D158" s="26">
        <f t="shared" si="3"/>
        <v>-8.5922486630167411E-2</v>
      </c>
      <c r="E158" s="26">
        <f t="shared" si="4"/>
        <v>6.3584266671634998E-2</v>
      </c>
      <c r="F158" s="26">
        <f t="shared" si="4"/>
        <v>1.4177527949391453E-2</v>
      </c>
      <c r="G158" s="26">
        <f t="shared" si="4"/>
        <v>-1.8643633170570204E-2</v>
      </c>
    </row>
    <row r="159" spans="2:7" x14ac:dyDescent="0.2">
      <c r="B159" s="5">
        <f t="shared" si="5"/>
        <v>2026</v>
      </c>
      <c r="C159" s="35">
        <f t="shared" si="3"/>
        <v>-1.0027137311141859E-2</v>
      </c>
      <c r="D159" s="35">
        <f t="shared" si="3"/>
        <v>-8.5568116096404495E-2</v>
      </c>
      <c r="E159" s="35">
        <f t="shared" si="4"/>
        <v>6.3891463868500309E-2</v>
      </c>
      <c r="F159" s="35">
        <f t="shared" si="4"/>
        <v>1.4177527949391453E-2</v>
      </c>
      <c r="G159" s="35">
        <f t="shared" si="4"/>
        <v>-1.7526261589654597E-2</v>
      </c>
    </row>
    <row r="160" spans="2:7" x14ac:dyDescent="0.2">
      <c r="B160">
        <f t="shared" si="5"/>
        <v>2027</v>
      </c>
      <c r="C160" s="26">
        <f t="shared" si="3"/>
        <v>-9.492204194990056E-3</v>
      </c>
      <c r="D160" s="26">
        <f t="shared" si="3"/>
        <v>-8.4996181594447523E-2</v>
      </c>
      <c r="E160" s="26">
        <f t="shared" si="4"/>
        <v>6.3728668633427479E-2</v>
      </c>
      <c r="F160" s="26">
        <f t="shared" si="4"/>
        <v>1.4177527949391453E-2</v>
      </c>
      <c r="G160" s="26">
        <f t="shared" si="4"/>
        <v>-1.658218920661865E-2</v>
      </c>
    </row>
    <row r="161" spans="2:7" x14ac:dyDescent="0.2">
      <c r="B161" s="5">
        <f t="shared" si="5"/>
        <v>2028</v>
      </c>
      <c r="C161" s="35">
        <f t="shared" si="3"/>
        <v>-8.9647751886930208E-3</v>
      </c>
      <c r="D161" s="35">
        <f t="shared" si="3"/>
        <v>-8.4296485102645896E-2</v>
      </c>
      <c r="E161" s="35">
        <f t="shared" si="4"/>
        <v>6.3685155568447088E-2</v>
      </c>
      <c r="F161" s="35">
        <f t="shared" si="4"/>
        <v>1.4177527949391453E-2</v>
      </c>
      <c r="G161" s="35">
        <f t="shared" si="4"/>
        <v>-1.5398576773500379E-2</v>
      </c>
    </row>
    <row r="162" spans="2:7" x14ac:dyDescent="0.2">
      <c r="B162">
        <f t="shared" si="5"/>
        <v>2029</v>
      </c>
      <c r="C162" s="26">
        <f t="shared" si="3"/>
        <v>-8.4667047583085828E-3</v>
      </c>
      <c r="D162" s="26">
        <f t="shared" si="3"/>
        <v>-8.3129079396285471E-2</v>
      </c>
      <c r="E162" s="26">
        <f t="shared" si="4"/>
        <v>6.3754055849993718E-2</v>
      </c>
      <c r="F162" s="26">
        <f t="shared" si="4"/>
        <v>1.4177527949391453E-2</v>
      </c>
      <c r="G162" s="26">
        <f t="shared" si="4"/>
        <v>-1.3664200355208886E-2</v>
      </c>
    </row>
    <row r="163" spans="2:7" x14ac:dyDescent="0.2">
      <c r="B163" s="5">
        <f t="shared" si="5"/>
        <v>2030</v>
      </c>
      <c r="C163" s="35">
        <f t="shared" si="3"/>
        <v>-8.0927991121594635E-3</v>
      </c>
      <c r="D163" s="35">
        <f t="shared" si="3"/>
        <v>-8.3047533998559173E-2</v>
      </c>
      <c r="E163" s="35">
        <f t="shared" si="4"/>
        <v>6.4342798265061132E-2</v>
      </c>
      <c r="F163" s="35">
        <f t="shared" si="4"/>
        <v>1.4177527949391453E-2</v>
      </c>
      <c r="G163" s="35">
        <f t="shared" si="4"/>
        <v>-1.2620006896266054E-2</v>
      </c>
    </row>
    <row r="164" spans="2:7" x14ac:dyDescent="0.2">
      <c r="B164">
        <f t="shared" si="5"/>
        <v>2031</v>
      </c>
      <c r="C164" s="26">
        <f t="shared" si="3"/>
        <v>-7.6216045012665653E-3</v>
      </c>
      <c r="D164" s="26">
        <f t="shared" si="3"/>
        <v>-8.2412481908438792E-2</v>
      </c>
      <c r="E164" s="26">
        <f t="shared" si="4"/>
        <v>6.4295660048444309E-2</v>
      </c>
      <c r="F164" s="26">
        <f t="shared" si="4"/>
        <v>1.4177527949391453E-2</v>
      </c>
      <c r="G164" s="26">
        <f t="shared" si="4"/>
        <v>-1.1560898411869599E-2</v>
      </c>
    </row>
    <row r="165" spans="2:7" x14ac:dyDescent="0.2">
      <c r="B165" s="5">
        <f t="shared" si="5"/>
        <v>2032</v>
      </c>
      <c r="C165" s="35">
        <f t="shared" si="3"/>
        <v>-7.3453506558385151E-3</v>
      </c>
      <c r="D165" s="35">
        <f t="shared" si="3"/>
        <v>-8.2257298199221729E-2</v>
      </c>
      <c r="E165" s="35">
        <f t="shared" si="4"/>
        <v>6.4025659957509473E-2</v>
      </c>
      <c r="F165" s="35">
        <f t="shared" si="4"/>
        <v>1.4177527949391453E-2</v>
      </c>
      <c r="G165" s="35">
        <f t="shared" si="4"/>
        <v>-1.1399460948159322E-2</v>
      </c>
    </row>
    <row r="166" spans="2:7" x14ac:dyDescent="0.2">
      <c r="B166">
        <f t="shared" si="5"/>
        <v>2033</v>
      </c>
      <c r="C166" s="26">
        <f t="shared" si="3"/>
        <v>-6.9395188554526241E-3</v>
      </c>
      <c r="D166" s="26">
        <f t="shared" si="3"/>
        <v>-8.1838867745157362E-2</v>
      </c>
      <c r="E166" s="26">
        <f t="shared" si="4"/>
        <v>6.4504984704729984E-2</v>
      </c>
      <c r="F166" s="26">
        <f t="shared" si="4"/>
        <v>1.4177527949391453E-2</v>
      </c>
      <c r="G166" s="26">
        <f t="shared" si="4"/>
        <v>-1.0095873946488552E-2</v>
      </c>
    </row>
    <row r="167" spans="2:7" x14ac:dyDescent="0.2">
      <c r="B167" s="5">
        <f t="shared" si="5"/>
        <v>2034</v>
      </c>
      <c r="C167" s="35">
        <f t="shared" si="3"/>
        <v>-6.7308903513886445E-3</v>
      </c>
      <c r="D167" s="35">
        <f t="shared" si="3"/>
        <v>-8.2469224683012585E-2</v>
      </c>
      <c r="E167" s="35">
        <f t="shared" si="4"/>
        <v>6.5511403037663563E-2</v>
      </c>
      <c r="F167" s="35">
        <f t="shared" si="4"/>
        <v>1.4177527949391453E-2</v>
      </c>
      <c r="G167" s="35">
        <f t="shared" si="4"/>
        <v>-9.5111840473462161E-3</v>
      </c>
    </row>
    <row r="168" spans="2:7" x14ac:dyDescent="0.2">
      <c r="B168">
        <f t="shared" si="5"/>
        <v>2035</v>
      </c>
      <c r="C168" s="26">
        <f t="shared" si="3"/>
        <v>-6.272581314049612E-3</v>
      </c>
      <c r="D168" s="26">
        <f t="shared" si="3"/>
        <v>-8.2107324818218197E-2</v>
      </c>
      <c r="E168" s="26">
        <f t="shared" si="4"/>
        <v>6.4905979480428685E-2</v>
      </c>
      <c r="F168" s="26">
        <f t="shared" si="4"/>
        <v>1.4177527949391453E-2</v>
      </c>
      <c r="G168" s="26">
        <f t="shared" si="4"/>
        <v>-9.2963987024476738E-3</v>
      </c>
    </row>
    <row r="169" spans="2:7" x14ac:dyDescent="0.2">
      <c r="B169" s="5">
        <f t="shared" si="5"/>
        <v>2036</v>
      </c>
      <c r="C169" s="35">
        <f t="shared" si="3"/>
        <v>-5.8657855590337742E-3</v>
      </c>
      <c r="D169" s="35">
        <f t="shared" si="3"/>
        <v>-8.1685802550046205E-2</v>
      </c>
      <c r="E169" s="35">
        <f t="shared" si="4"/>
        <v>6.4975797380969202E-2</v>
      </c>
      <c r="F169" s="35">
        <f t="shared" si="4"/>
        <v>1.4177527949391453E-2</v>
      </c>
      <c r="G169" s="35">
        <f t="shared" si="4"/>
        <v>-8.398262778719327E-3</v>
      </c>
    </row>
    <row r="170" spans="2:7" x14ac:dyDescent="0.2">
      <c r="B170">
        <f t="shared" si="5"/>
        <v>2037</v>
      </c>
      <c r="C170" s="26">
        <f t="shared" si="3"/>
        <v>-5.7939748192554928E-3</v>
      </c>
      <c r="D170" s="26">
        <f t="shared" si="3"/>
        <v>-8.1977838525657362E-2</v>
      </c>
      <c r="E170" s="26">
        <f t="shared" si="4"/>
        <v>6.5063893696521727E-2</v>
      </c>
      <c r="F170" s="26">
        <f t="shared" si="4"/>
        <v>1.4177527949391453E-2</v>
      </c>
      <c r="G170" s="26">
        <f t="shared" si="4"/>
        <v>-8.5303916989996793E-3</v>
      </c>
    </row>
    <row r="171" spans="2:7" x14ac:dyDescent="0.2">
      <c r="B171" s="5">
        <f t="shared" si="5"/>
        <v>2038</v>
      </c>
      <c r="C171" s="35">
        <f t="shared" si="3"/>
        <v>-5.5774428693964552E-3</v>
      </c>
      <c r="D171" s="35">
        <f t="shared" si="3"/>
        <v>-8.1459644762655353E-2</v>
      </c>
      <c r="E171" s="35">
        <f t="shared" si="4"/>
        <v>6.5310871586007901E-2</v>
      </c>
      <c r="F171" s="35">
        <f t="shared" si="4"/>
        <v>1.4177527949391453E-2</v>
      </c>
      <c r="G171" s="35">
        <f t="shared" si="4"/>
        <v>-7.5486880966524573E-3</v>
      </c>
    </row>
    <row r="172" spans="2:7" x14ac:dyDescent="0.2">
      <c r="B172">
        <f t="shared" si="5"/>
        <v>2039</v>
      </c>
      <c r="C172" s="26">
        <f t="shared" si="3"/>
        <v>-5.3193574931828542E-3</v>
      </c>
      <c r="D172" s="26">
        <f t="shared" si="3"/>
        <v>-8.2112480887854458E-2</v>
      </c>
      <c r="E172" s="26">
        <f t="shared" si="4"/>
        <v>6.5656431830573306E-2</v>
      </c>
      <c r="F172" s="26">
        <f t="shared" si="4"/>
        <v>1.4177527949391453E-2</v>
      </c>
      <c r="G172" s="26">
        <f t="shared" si="4"/>
        <v>-7.5978786010725569E-3</v>
      </c>
    </row>
    <row r="173" spans="2:7" x14ac:dyDescent="0.2">
      <c r="B173" s="5">
        <f t="shared" si="5"/>
        <v>2040</v>
      </c>
      <c r="C173" s="35">
        <f t="shared" si="3"/>
        <v>-5.2496165999940279E-3</v>
      </c>
      <c r="D173" s="35">
        <f t="shared" si="3"/>
        <v>-8.314909800444488E-2</v>
      </c>
      <c r="E173" s="35">
        <f t="shared" si="4"/>
        <v>6.6912487424277467E-2</v>
      </c>
      <c r="F173" s="35">
        <f t="shared" si="4"/>
        <v>1.4177527949391453E-2</v>
      </c>
      <c r="G173" s="35">
        <f t="shared" si="4"/>
        <v>-7.3086992307699909E-3</v>
      </c>
    </row>
  </sheetData>
  <mergeCells count="2">
    <mergeCell ref="C54:H54"/>
    <mergeCell ref="J54:P54"/>
  </mergeCell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L117"/>
  <sheetViews>
    <sheetView zoomScale="75" zoomScaleNormal="75" workbookViewId="0">
      <selection activeCell="N14" sqref="N14"/>
    </sheetView>
  </sheetViews>
  <sheetFormatPr baseColWidth="10" defaultColWidth="9" defaultRowHeight="12.75" x14ac:dyDescent="0.2"/>
  <cols>
    <col min="6" max="7" width="14.42578125" style="32" customWidth="1"/>
    <col min="8" max="8" width="14.42578125" customWidth="1"/>
    <col min="9" max="9" width="14" customWidth="1"/>
    <col min="10" max="11" width="8.85546875" style="32" customWidth="1"/>
    <col min="14" max="14" width="8.85546875" style="32" customWidth="1"/>
    <col min="17" max="18" width="11.7109375" customWidth="1"/>
    <col min="24" max="24" width="17.28515625" customWidth="1"/>
    <col min="25" max="25" width="13.5703125" customWidth="1"/>
  </cols>
  <sheetData>
    <row r="1" spans="1:64" ht="12.75" customHeight="1" x14ac:dyDescent="0.2">
      <c r="A1" s="101"/>
      <c r="B1" s="102"/>
      <c r="C1" s="101"/>
      <c r="D1" s="101"/>
      <c r="E1" s="101"/>
      <c r="F1" s="103" t="s">
        <v>111</v>
      </c>
      <c r="G1" s="103" t="s">
        <v>112</v>
      </c>
      <c r="H1" s="101"/>
      <c r="I1" s="101"/>
      <c r="J1" s="104" t="s">
        <v>113</v>
      </c>
      <c r="K1" s="104" t="s">
        <v>114</v>
      </c>
      <c r="L1" s="101"/>
      <c r="M1" s="105"/>
      <c r="N1" s="106" t="s">
        <v>115</v>
      </c>
      <c r="O1" s="101"/>
      <c r="P1" s="102"/>
      <c r="Q1" s="101"/>
      <c r="R1" s="101"/>
      <c r="S1" s="101"/>
      <c r="T1" s="101"/>
      <c r="U1" s="102"/>
      <c r="V1" s="101"/>
      <c r="W1" s="101"/>
      <c r="X1" s="101"/>
      <c r="Y1" s="101"/>
      <c r="Z1" s="101"/>
      <c r="AA1" s="101"/>
      <c r="AB1" s="107"/>
      <c r="AC1" s="107"/>
      <c r="AD1" s="107"/>
      <c r="AE1" s="107"/>
      <c r="AF1" s="107"/>
      <c r="AG1" s="107"/>
      <c r="AH1" s="107"/>
      <c r="AI1" s="107"/>
      <c r="AJ1" s="107"/>
      <c r="AK1" s="107"/>
      <c r="AL1" s="107"/>
      <c r="AM1" s="107"/>
      <c r="AN1" s="107"/>
      <c r="AO1" s="107"/>
      <c r="AP1" s="107"/>
      <c r="AQ1" s="107"/>
      <c r="AR1" s="107"/>
      <c r="AS1" s="107"/>
      <c r="AT1" s="107"/>
      <c r="AU1" s="107"/>
      <c r="AV1" s="107"/>
      <c r="AW1" s="107"/>
      <c r="AX1" s="107"/>
      <c r="AY1" s="107"/>
      <c r="AZ1" s="107"/>
      <c r="BA1" s="107"/>
      <c r="BB1" s="107"/>
      <c r="BC1" s="107"/>
      <c r="BD1" s="107"/>
      <c r="BE1" s="107"/>
      <c r="BF1" s="107"/>
      <c r="BG1" s="107"/>
      <c r="BH1" s="107"/>
      <c r="BI1" s="107"/>
      <c r="BJ1" s="107"/>
      <c r="BK1" s="107"/>
      <c r="BL1" s="107"/>
    </row>
    <row r="2" spans="1:64" ht="12.75" customHeight="1" x14ac:dyDescent="0.2">
      <c r="A2" s="101"/>
      <c r="B2" s="102"/>
      <c r="C2" s="101"/>
      <c r="D2" s="101"/>
      <c r="E2" s="101"/>
      <c r="F2" s="104" t="s">
        <v>116</v>
      </c>
      <c r="G2" s="104" t="s">
        <v>117</v>
      </c>
      <c r="H2" s="101"/>
      <c r="I2" s="101"/>
      <c r="J2" s="106"/>
      <c r="K2" s="106"/>
      <c r="L2" s="101"/>
      <c r="M2" s="105"/>
      <c r="N2" s="106" t="s">
        <v>118</v>
      </c>
      <c r="O2" s="101"/>
      <c r="P2" s="102"/>
      <c r="Q2" s="101"/>
      <c r="R2" s="101"/>
      <c r="S2" s="101"/>
      <c r="T2" s="101"/>
      <c r="U2" s="102"/>
      <c r="V2" s="101"/>
      <c r="W2" s="101"/>
      <c r="X2" s="101"/>
      <c r="Y2" s="101"/>
      <c r="Z2" s="101"/>
      <c r="AA2" s="101"/>
      <c r="AB2" s="107"/>
      <c r="AC2" s="107"/>
      <c r="AD2" s="107"/>
      <c r="AE2" s="107"/>
      <c r="AF2" s="107"/>
      <c r="AG2" s="107"/>
      <c r="AH2" s="107"/>
      <c r="AI2" s="107"/>
      <c r="AJ2" s="107"/>
      <c r="AK2" s="107"/>
      <c r="AL2" s="107"/>
      <c r="AM2" s="107"/>
      <c r="AN2" s="107"/>
      <c r="AO2" s="107"/>
      <c r="AP2" s="107"/>
      <c r="AQ2" s="107"/>
      <c r="AR2" s="107"/>
      <c r="AS2" s="107"/>
      <c r="AT2" s="107"/>
      <c r="AU2" s="107"/>
      <c r="AV2" s="107"/>
      <c r="AW2" s="107"/>
      <c r="AX2" s="107"/>
      <c r="AY2" s="107"/>
      <c r="AZ2" s="107"/>
      <c r="BA2" s="107"/>
      <c r="BB2" s="107"/>
      <c r="BC2" s="107"/>
      <c r="BD2" s="107"/>
      <c r="BE2" s="107"/>
      <c r="BF2" s="107"/>
      <c r="BG2" s="107"/>
      <c r="BH2" s="107"/>
      <c r="BI2" s="107"/>
      <c r="BJ2" s="107"/>
      <c r="BK2" s="107"/>
      <c r="BL2" s="107"/>
    </row>
    <row r="3" spans="1:64" ht="73.7" customHeight="1" x14ac:dyDescent="0.2">
      <c r="A3" s="108" t="s">
        <v>119</v>
      </c>
      <c r="B3" s="109"/>
      <c r="C3" s="108" t="s">
        <v>120</v>
      </c>
      <c r="D3" s="108" t="s">
        <v>121</v>
      </c>
      <c r="E3" s="108" t="s">
        <v>122</v>
      </c>
      <c r="F3" s="110" t="s">
        <v>123</v>
      </c>
      <c r="G3" s="110" t="s">
        <v>124</v>
      </c>
      <c r="H3" s="108" t="s">
        <v>125</v>
      </c>
      <c r="I3" s="108" t="s">
        <v>126</v>
      </c>
      <c r="J3" s="110" t="s">
        <v>127</v>
      </c>
      <c r="K3" s="110" t="s">
        <v>128</v>
      </c>
      <c r="L3" s="108" t="s">
        <v>129</v>
      </c>
      <c r="M3" s="111" t="s">
        <v>130</v>
      </c>
      <c r="N3" s="110" t="s">
        <v>131</v>
      </c>
      <c r="O3" s="108" t="s">
        <v>132</v>
      </c>
      <c r="P3" s="109" t="s">
        <v>133</v>
      </c>
      <c r="Q3" s="108" t="s">
        <v>134</v>
      </c>
      <c r="R3" s="108" t="s">
        <v>135</v>
      </c>
      <c r="S3" s="108" t="s">
        <v>136</v>
      </c>
      <c r="T3" s="108" t="s">
        <v>137</v>
      </c>
      <c r="U3" s="109" t="s">
        <v>138</v>
      </c>
      <c r="V3" s="108" t="s">
        <v>139</v>
      </c>
      <c r="W3" s="108" t="s">
        <v>140</v>
      </c>
      <c r="X3" s="108" t="s">
        <v>141</v>
      </c>
      <c r="Y3" s="108" t="s">
        <v>142</v>
      </c>
      <c r="Z3" s="108" t="s">
        <v>143</v>
      </c>
      <c r="AA3" s="112"/>
      <c r="AB3" s="112"/>
      <c r="AC3" s="112"/>
      <c r="AD3" s="112"/>
      <c r="AE3" s="112"/>
      <c r="AF3" s="112"/>
      <c r="AG3" s="112"/>
      <c r="AH3" s="112"/>
      <c r="AI3" s="112"/>
      <c r="AJ3" s="112"/>
      <c r="AK3" s="112"/>
      <c r="AL3" s="112"/>
      <c r="AM3" s="112"/>
      <c r="AN3" s="112"/>
      <c r="AO3" s="112"/>
      <c r="AP3" s="112"/>
      <c r="AQ3" s="112"/>
      <c r="AR3" s="112"/>
      <c r="AS3" s="112"/>
      <c r="AT3" s="112"/>
      <c r="AU3" s="112"/>
      <c r="AV3" s="112"/>
      <c r="AW3" s="112"/>
      <c r="AX3" s="112"/>
      <c r="AY3" s="112"/>
      <c r="AZ3" s="112"/>
      <c r="BA3" s="112"/>
      <c r="BB3" s="112"/>
      <c r="BC3" s="112"/>
      <c r="BD3" s="112"/>
      <c r="BE3" s="112"/>
      <c r="BF3" s="112"/>
      <c r="BG3" s="112"/>
      <c r="BH3" s="112"/>
      <c r="BI3" s="112"/>
      <c r="BJ3" s="112"/>
      <c r="BK3" s="112"/>
      <c r="BL3" s="112"/>
    </row>
    <row r="4" spans="1:64" x14ac:dyDescent="0.2">
      <c r="A4" s="113" t="s">
        <v>144</v>
      </c>
      <c r="B4" s="114"/>
      <c r="C4" s="113">
        <v>2014</v>
      </c>
      <c r="D4" s="113">
        <v>1</v>
      </c>
      <c r="E4" s="113">
        <v>1005</v>
      </c>
      <c r="F4" s="115">
        <v>13919743</v>
      </c>
      <c r="G4" s="115">
        <v>13367098</v>
      </c>
      <c r="H4" s="116">
        <f t="shared" ref="H4:H35" si="0">F4-J4</f>
        <v>13919743</v>
      </c>
      <c r="I4" s="116">
        <f t="shared" ref="I4:I35" si="1">G4-K4</f>
        <v>13367098</v>
      </c>
      <c r="J4" s="117"/>
      <c r="K4" s="117"/>
      <c r="L4" s="116">
        <f t="shared" ref="L4:L35" si="2">H4-I4</f>
        <v>552645</v>
      </c>
      <c r="M4" s="116">
        <f t="shared" ref="M4:M35" si="3">J4-K4</f>
        <v>0</v>
      </c>
      <c r="N4" s="117">
        <v>2431521</v>
      </c>
      <c r="O4" s="118">
        <v>68064666.118185595</v>
      </c>
      <c r="P4" s="113">
        <f t="shared" ref="P4:P9" si="4">O4/I4</f>
        <v>5.0919553457441245</v>
      </c>
      <c r="Q4" s="116">
        <f t="shared" ref="Q4:Q35" si="5">I4*5.5017049523</f>
        <v>73541829.264479429</v>
      </c>
      <c r="R4" s="116">
        <v>11018747.805427499</v>
      </c>
      <c r="S4" s="116">
        <v>2463940.91347832</v>
      </c>
      <c r="T4" s="118">
        <v>13733232.311209099</v>
      </c>
      <c r="U4" s="113">
        <f t="shared" ref="U4:U9" si="6">R4/N4</f>
        <v>4.5316276542244545</v>
      </c>
      <c r="V4" s="114"/>
      <c r="W4" s="114"/>
      <c r="X4" s="116">
        <f>N4*U12+L4*P13</f>
        <v>15657663.761230841</v>
      </c>
      <c r="Y4" s="116">
        <f t="shared" ref="Y4:Y9" si="7">N4*5.1890047538</f>
        <v>12617174.027964531</v>
      </c>
      <c r="Z4" s="116">
        <f t="shared" ref="Z4:Z9" si="8">L4*5.5017049523</f>
        <v>3040489.7333638333</v>
      </c>
      <c r="AA4" s="113"/>
      <c r="AB4" s="113"/>
      <c r="AC4" s="113"/>
      <c r="AD4" s="113"/>
      <c r="AE4" s="113"/>
      <c r="AF4" s="113"/>
      <c r="AG4" s="113"/>
      <c r="AH4" s="113"/>
      <c r="AI4" s="113"/>
      <c r="AJ4" s="113"/>
      <c r="AK4" s="113"/>
      <c r="AL4" s="113"/>
      <c r="AM4" s="113"/>
      <c r="AN4" s="113"/>
      <c r="AO4" s="113"/>
      <c r="AP4" s="113"/>
      <c r="AQ4" s="113"/>
      <c r="AR4" s="113"/>
      <c r="AS4" s="113"/>
      <c r="AT4" s="113"/>
      <c r="AU4" s="113"/>
      <c r="AV4" s="113"/>
      <c r="AW4" s="113"/>
      <c r="AX4" s="113"/>
      <c r="AY4" s="113"/>
      <c r="AZ4" s="113"/>
      <c r="BA4" s="113"/>
      <c r="BB4" s="113"/>
      <c r="BC4" s="113"/>
      <c r="BD4" s="113"/>
      <c r="BE4" s="113"/>
      <c r="BF4" s="113"/>
      <c r="BG4" s="113"/>
      <c r="BH4" s="113"/>
      <c r="BI4" s="113"/>
      <c r="BJ4" s="113"/>
      <c r="BK4" s="113"/>
      <c r="BL4" s="113"/>
    </row>
    <row r="5" spans="1:64" x14ac:dyDescent="0.2">
      <c r="B5" s="114"/>
      <c r="C5" s="113">
        <v>2014</v>
      </c>
      <c r="D5" s="113">
        <v>2</v>
      </c>
      <c r="E5" s="113">
        <v>1004</v>
      </c>
      <c r="F5" s="115">
        <v>14482790</v>
      </c>
      <c r="G5" s="115">
        <v>13911325</v>
      </c>
      <c r="H5" s="116">
        <f t="shared" si="0"/>
        <v>14482790</v>
      </c>
      <c r="I5" s="116">
        <f t="shared" si="1"/>
        <v>13911325</v>
      </c>
      <c r="J5" s="117"/>
      <c r="K5" s="117"/>
      <c r="L5" s="116">
        <f t="shared" si="2"/>
        <v>571465</v>
      </c>
      <c r="M5" s="116">
        <f t="shared" si="3"/>
        <v>0</v>
      </c>
      <c r="N5" s="117">
        <v>2156056</v>
      </c>
      <c r="O5" s="118">
        <v>80470827.889267698</v>
      </c>
      <c r="P5" s="113">
        <f t="shared" si="4"/>
        <v>5.7845552374966225</v>
      </c>
      <c r="Q5" s="116">
        <f t="shared" si="5"/>
        <v>76536005.645554796</v>
      </c>
      <c r="R5" s="116">
        <v>13090128.797517</v>
      </c>
      <c r="S5" s="116">
        <v>2913043.96959149</v>
      </c>
      <c r="T5" s="118">
        <v>16270046.9661959</v>
      </c>
      <c r="U5" s="113">
        <f t="shared" si="6"/>
        <v>6.0713306136375866</v>
      </c>
      <c r="V5" s="114"/>
      <c r="W5" s="114"/>
      <c r="X5" s="116">
        <f>N5*5.1890047538+L5*5.5017049523</f>
        <v>14331816.654025132</v>
      </c>
      <c r="Y5" s="116">
        <f t="shared" si="7"/>
        <v>11187784.833459012</v>
      </c>
      <c r="Z5" s="116">
        <f t="shared" si="8"/>
        <v>3144031.8205661196</v>
      </c>
    </row>
    <row r="6" spans="1:64" x14ac:dyDescent="0.2">
      <c r="B6" s="114"/>
      <c r="C6" s="113">
        <v>2014</v>
      </c>
      <c r="D6" s="113">
        <v>3</v>
      </c>
      <c r="E6" s="113">
        <v>1003</v>
      </c>
      <c r="F6" s="115">
        <v>15149966</v>
      </c>
      <c r="G6" s="115">
        <v>14531608</v>
      </c>
      <c r="H6" s="116">
        <f t="shared" si="0"/>
        <v>15149966</v>
      </c>
      <c r="I6" s="116">
        <f t="shared" si="1"/>
        <v>14531608</v>
      </c>
      <c r="J6" s="117"/>
      <c r="K6" s="117"/>
      <c r="L6" s="116">
        <f t="shared" si="2"/>
        <v>618358</v>
      </c>
      <c r="M6" s="116">
        <f t="shared" si="3"/>
        <v>0</v>
      </c>
      <c r="N6" s="117">
        <v>2697106</v>
      </c>
      <c r="O6" s="118">
        <v>71025009.154040605</v>
      </c>
      <c r="P6" s="113">
        <f t="shared" si="4"/>
        <v>4.8876221512471716</v>
      </c>
      <c r="Q6" s="116">
        <f t="shared" si="5"/>
        <v>79948619.69848229</v>
      </c>
      <c r="R6" s="116">
        <v>13303482.9648562</v>
      </c>
      <c r="S6" s="116">
        <v>2571105.3313762699</v>
      </c>
      <c r="T6" s="118">
        <v>17670963.688597001</v>
      </c>
      <c r="U6" s="113">
        <f t="shared" si="6"/>
        <v>4.9325028251971554</v>
      </c>
      <c r="V6" s="114"/>
      <c r="W6" s="114"/>
      <c r="X6" s="116">
        <f>N6*5.1890047538+L6*5.5017049523</f>
        <v>17397319.126396827</v>
      </c>
      <c r="Y6" s="116">
        <f t="shared" si="7"/>
        <v>13995295.855502503</v>
      </c>
      <c r="Z6" s="116">
        <f t="shared" si="8"/>
        <v>3402023.2708943235</v>
      </c>
    </row>
    <row r="7" spans="1:64" x14ac:dyDescent="0.2">
      <c r="B7" s="114"/>
      <c r="C7" s="113">
        <v>2014</v>
      </c>
      <c r="D7" s="113">
        <v>4</v>
      </c>
      <c r="E7" s="113">
        <v>160</v>
      </c>
      <c r="F7" s="115">
        <v>15745971</v>
      </c>
      <c r="G7" s="115">
        <v>15148486</v>
      </c>
      <c r="H7" s="116">
        <f t="shared" si="0"/>
        <v>15745971</v>
      </c>
      <c r="I7" s="116">
        <f t="shared" si="1"/>
        <v>15148486</v>
      </c>
      <c r="J7" s="117"/>
      <c r="K7" s="117"/>
      <c r="L7" s="116">
        <f t="shared" si="2"/>
        <v>597485</v>
      </c>
      <c r="M7" s="116">
        <f t="shared" si="3"/>
        <v>0</v>
      </c>
      <c r="N7" s="117">
        <v>2598761</v>
      </c>
      <c r="O7" s="118">
        <v>90838150.785999998</v>
      </c>
      <c r="P7" s="113">
        <f t="shared" si="4"/>
        <v>5.9965167995006237</v>
      </c>
      <c r="Q7" s="116">
        <f t="shared" si="5"/>
        <v>83342500.446047217</v>
      </c>
      <c r="R7" s="116">
        <v>12713686.068</v>
      </c>
      <c r="S7" s="116">
        <v>3288341.0584531999</v>
      </c>
      <c r="T7" s="118">
        <v>17161490.754453201</v>
      </c>
      <c r="U7" s="113">
        <f t="shared" si="6"/>
        <v>4.8922105834280263</v>
      </c>
      <c r="V7" s="114"/>
      <c r="W7" s="114"/>
      <c r="X7" s="116">
        <f>N7*5.1890047538+L7*5.5017049523</f>
        <v>16772169.366415009</v>
      </c>
      <c r="Y7" s="116">
        <f t="shared" si="7"/>
        <v>13484983.182990042</v>
      </c>
      <c r="Z7" s="116">
        <f t="shared" si="8"/>
        <v>3287186.1834249655</v>
      </c>
    </row>
    <row r="8" spans="1:64" x14ac:dyDescent="0.2">
      <c r="B8" s="114"/>
      <c r="C8" s="113">
        <f>C4+1</f>
        <v>2015</v>
      </c>
      <c r="D8" s="113">
        <f>D4</f>
        <v>1</v>
      </c>
      <c r="E8" s="113">
        <v>1001</v>
      </c>
      <c r="F8" s="115">
        <v>16507879</v>
      </c>
      <c r="G8" s="115">
        <v>15853349</v>
      </c>
      <c r="H8" s="116">
        <f t="shared" si="0"/>
        <v>16507879</v>
      </c>
      <c r="I8" s="116">
        <f t="shared" si="1"/>
        <v>15853349</v>
      </c>
      <c r="J8" s="117"/>
      <c r="K8" s="117"/>
      <c r="L8" s="116">
        <f t="shared" si="2"/>
        <v>654530</v>
      </c>
      <c r="M8" s="116">
        <f t="shared" si="3"/>
        <v>0</v>
      </c>
      <c r="N8" s="117">
        <v>3002195</v>
      </c>
      <c r="O8" s="118">
        <v>81897043.967565298</v>
      </c>
      <c r="P8" s="113">
        <f t="shared" si="4"/>
        <v>5.1659144050613719</v>
      </c>
      <c r="Q8" s="116">
        <f t="shared" si="5"/>
        <v>87220448.703840256</v>
      </c>
      <c r="R8" s="116">
        <v>13986686.083893999</v>
      </c>
      <c r="S8" s="116">
        <v>2964672.9916258599</v>
      </c>
      <c r="T8" s="118">
        <v>18231627.4986104</v>
      </c>
      <c r="U8" s="113">
        <f t="shared" si="6"/>
        <v>4.6588199913376709</v>
      </c>
      <c r="V8" s="114"/>
      <c r="W8" s="114"/>
      <c r="X8" s="116">
        <f>N8*5.1890047538+L8*5.5017049523</f>
        <v>19179435.06926351</v>
      </c>
      <c r="Y8" s="116">
        <f t="shared" si="7"/>
        <v>15578404.12683459</v>
      </c>
      <c r="Z8" s="116">
        <f t="shared" si="8"/>
        <v>3601030.942428919</v>
      </c>
    </row>
    <row r="9" spans="1:64" x14ac:dyDescent="0.2">
      <c r="B9" s="114"/>
      <c r="C9" s="113">
        <f>C5+1</f>
        <v>2015</v>
      </c>
      <c r="D9" s="113">
        <f>D5</f>
        <v>2</v>
      </c>
      <c r="E9" s="113">
        <v>1000</v>
      </c>
      <c r="F9" s="115">
        <v>17877475</v>
      </c>
      <c r="G9" s="115">
        <v>17180984</v>
      </c>
      <c r="H9" s="116">
        <f t="shared" si="0"/>
        <v>17877475</v>
      </c>
      <c r="I9" s="116">
        <f t="shared" si="1"/>
        <v>17180984</v>
      </c>
      <c r="J9" s="117"/>
      <c r="K9" s="117"/>
      <c r="L9" s="116">
        <f t="shared" si="2"/>
        <v>696491</v>
      </c>
      <c r="M9" s="116">
        <f t="shared" si="3"/>
        <v>0</v>
      </c>
      <c r="N9" s="117">
        <v>2371185</v>
      </c>
      <c r="O9" s="118">
        <v>104523364.33665401</v>
      </c>
      <c r="P9" s="113">
        <f t="shared" si="4"/>
        <v>6.0836657747108083</v>
      </c>
      <c r="Q9" s="116">
        <f t="shared" si="5"/>
        <v>94524704.758187056</v>
      </c>
      <c r="R9" s="116">
        <v>14339828.676914699</v>
      </c>
      <c r="S9" s="116">
        <v>3783745.7889868701</v>
      </c>
      <c r="T9" s="118">
        <v>19687951.529640902</v>
      </c>
      <c r="U9" s="113">
        <f t="shared" si="6"/>
        <v>6.0475368547433872</v>
      </c>
      <c r="V9" s="114"/>
      <c r="W9" s="114"/>
      <c r="X9" s="116">
        <f>N9*5.1890047538+L9*5.5017049523</f>
        <v>16135978.221071633</v>
      </c>
      <c r="Y9" s="116">
        <f t="shared" si="7"/>
        <v>12304090.237139253</v>
      </c>
      <c r="Z9" s="116">
        <f t="shared" si="8"/>
        <v>3831887.9839323792</v>
      </c>
    </row>
    <row r="10" spans="1:64" x14ac:dyDescent="0.2">
      <c r="B10" s="114"/>
      <c r="C10" s="113">
        <v>2016</v>
      </c>
      <c r="D10" s="113">
        <v>2</v>
      </c>
      <c r="E10" s="113">
        <v>996</v>
      </c>
      <c r="F10" s="115">
        <v>18529945</v>
      </c>
      <c r="G10" s="115">
        <v>17797215</v>
      </c>
      <c r="H10" s="116">
        <f t="shared" si="0"/>
        <v>18529945</v>
      </c>
      <c r="I10" s="116">
        <f t="shared" si="1"/>
        <v>17797215</v>
      </c>
      <c r="J10" s="117"/>
      <c r="K10" s="117"/>
      <c r="L10" s="116">
        <f t="shared" si="2"/>
        <v>732730</v>
      </c>
      <c r="M10" s="116">
        <f t="shared" si="3"/>
        <v>0</v>
      </c>
      <c r="N10" s="117"/>
      <c r="O10" s="114"/>
      <c r="P10" s="114"/>
      <c r="Q10" s="116">
        <f t="shared" si="5"/>
        <v>97915025.902647838</v>
      </c>
      <c r="R10" s="116"/>
      <c r="S10" s="116"/>
      <c r="T10" s="114"/>
      <c r="U10" s="114"/>
      <c r="V10" s="114"/>
      <c r="W10" s="114"/>
      <c r="X10" s="116"/>
      <c r="Y10" s="116"/>
      <c r="Z10" s="116"/>
    </row>
    <row r="11" spans="1:64" x14ac:dyDescent="0.2">
      <c r="B11" s="114"/>
      <c r="C11" s="113">
        <v>2016</v>
      </c>
      <c r="D11" s="113">
        <v>3</v>
      </c>
      <c r="E11" s="113">
        <v>995</v>
      </c>
      <c r="F11" s="115">
        <v>19118239</v>
      </c>
      <c r="G11" s="115">
        <v>18342944</v>
      </c>
      <c r="H11" s="116">
        <f t="shared" si="0"/>
        <v>19118239</v>
      </c>
      <c r="I11" s="116">
        <f t="shared" si="1"/>
        <v>18342944</v>
      </c>
      <c r="J11" s="117"/>
      <c r="K11" s="117"/>
      <c r="L11" s="116">
        <f t="shared" si="2"/>
        <v>775295</v>
      </c>
      <c r="M11" s="116">
        <f t="shared" si="3"/>
        <v>0</v>
      </c>
      <c r="N11" s="117"/>
      <c r="O11" s="114"/>
      <c r="P11" s="114"/>
      <c r="Q11" s="116">
        <f t="shared" si="5"/>
        <v>100917465.84456156</v>
      </c>
      <c r="R11" s="116"/>
      <c r="S11" s="116"/>
      <c r="T11" s="114"/>
      <c r="U11" s="114"/>
      <c r="V11" s="114"/>
      <c r="W11" s="114"/>
      <c r="X11" s="116"/>
      <c r="Y11" s="116"/>
      <c r="Z11" s="116"/>
    </row>
    <row r="12" spans="1:64" x14ac:dyDescent="0.2">
      <c r="B12" s="114"/>
      <c r="C12" s="113">
        <v>2016</v>
      </c>
      <c r="D12" s="113">
        <v>4</v>
      </c>
      <c r="E12" s="113">
        <v>994</v>
      </c>
      <c r="F12" s="115">
        <v>20592277</v>
      </c>
      <c r="G12" s="115">
        <v>19759371</v>
      </c>
      <c r="H12" s="116">
        <f t="shared" si="0"/>
        <v>20592277</v>
      </c>
      <c r="I12" s="116">
        <f t="shared" si="1"/>
        <v>19759371</v>
      </c>
      <c r="J12" s="117"/>
      <c r="K12" s="117"/>
      <c r="L12" s="116">
        <f t="shared" si="2"/>
        <v>832906</v>
      </c>
      <c r="M12" s="116">
        <f t="shared" si="3"/>
        <v>0</v>
      </c>
      <c r="N12" s="117"/>
      <c r="O12" s="114"/>
      <c r="P12" s="114" t="s">
        <v>145</v>
      </c>
      <c r="Q12" s="116">
        <f t="shared" si="5"/>
        <v>108710229.285033</v>
      </c>
      <c r="R12" s="116"/>
      <c r="S12" s="116"/>
      <c r="T12" s="114"/>
      <c r="U12" s="113">
        <f>AVERAGE(U4:U9)</f>
        <v>5.1890047537613802</v>
      </c>
      <c r="V12" s="114"/>
      <c r="W12" s="114"/>
      <c r="X12" s="116"/>
      <c r="Y12" s="116"/>
      <c r="Z12" s="116"/>
    </row>
    <row r="13" spans="1:64" x14ac:dyDescent="0.2">
      <c r="B13" s="114"/>
      <c r="C13" s="113">
        <v>2017</v>
      </c>
      <c r="D13" s="113">
        <v>1</v>
      </c>
      <c r="E13" s="113">
        <v>993</v>
      </c>
      <c r="F13" s="115">
        <v>20242858</v>
      </c>
      <c r="G13" s="115">
        <v>19409870</v>
      </c>
      <c r="H13" s="116">
        <f t="shared" si="0"/>
        <v>20242858</v>
      </c>
      <c r="I13" s="116">
        <f t="shared" si="1"/>
        <v>19409870</v>
      </c>
      <c r="J13" s="117"/>
      <c r="K13" s="117"/>
      <c r="L13" s="116">
        <f t="shared" si="2"/>
        <v>832988</v>
      </c>
      <c r="M13" s="116">
        <f t="shared" si="3"/>
        <v>0</v>
      </c>
      <c r="N13" s="117"/>
      <c r="O13" s="114"/>
      <c r="P13" s="113">
        <f>AVERAGE(P4:P9)</f>
        <v>5.501704952293454</v>
      </c>
      <c r="Q13" s="116">
        <f t="shared" si="5"/>
        <v>106787377.9024992</v>
      </c>
      <c r="R13" s="116"/>
      <c r="S13" s="116"/>
      <c r="T13" s="114"/>
      <c r="U13" s="114"/>
      <c r="V13" s="114"/>
      <c r="W13" s="114"/>
      <c r="X13" s="116"/>
      <c r="Y13" s="116"/>
      <c r="Z13" s="116"/>
    </row>
    <row r="14" spans="1:64" x14ac:dyDescent="0.2">
      <c r="A14" s="119" t="s">
        <v>146</v>
      </c>
      <c r="B14" s="5"/>
      <c r="C14" s="119">
        <v>2015</v>
      </c>
      <c r="D14" s="119">
        <v>1</v>
      </c>
      <c r="E14" s="119">
        <v>161</v>
      </c>
      <c r="F14" s="120">
        <f>high_v2_m!B2+temporary_pension_bonus_high!B2</f>
        <v>17715091.297121499</v>
      </c>
      <c r="G14" s="120">
        <f>high_v2_m!C2+temporary_pension_bonus_high!B2</f>
        <v>17023151.853301901</v>
      </c>
      <c r="H14" s="8">
        <f t="shared" si="0"/>
        <v>17715091.297121499</v>
      </c>
      <c r="I14" s="8">
        <f t="shared" si="1"/>
        <v>17023151.853301901</v>
      </c>
      <c r="J14" s="121">
        <f>high_v2_m!J2</f>
        <v>0</v>
      </c>
      <c r="K14" s="121">
        <f>high_v2_m!K2</f>
        <v>0</v>
      </c>
      <c r="L14" s="8">
        <f t="shared" si="2"/>
        <v>691939.44381959736</v>
      </c>
      <c r="M14" s="8">
        <f t="shared" si="3"/>
        <v>0</v>
      </c>
      <c r="N14" s="121">
        <f>SUM(high_v5_m!C2:J2)</f>
        <v>2735454.9936135854</v>
      </c>
      <c r="O14" s="5"/>
      <c r="P14" s="5"/>
      <c r="Q14" s="8">
        <f t="shared" si="5"/>
        <v>93656358.855065987</v>
      </c>
      <c r="R14" s="8"/>
      <c r="S14" s="8"/>
      <c r="T14" s="5"/>
      <c r="U14" s="5"/>
      <c r="V14" s="8">
        <f>K14*P13</f>
        <v>0</v>
      </c>
      <c r="W14" s="8">
        <f t="shared" ref="W14:W45" si="9">M14*5.5017049523</f>
        <v>0</v>
      </c>
      <c r="X14" s="8">
        <f t="shared" ref="X14:X45" si="10">N14*5.1890047538+L14*5.5017049523</f>
        <v>18001135.63042083</v>
      </c>
      <c r="Y14" s="8">
        <f t="shared" ref="Y14:Y45" si="11">N14*5.1890047538</f>
        <v>14194288.965666844</v>
      </c>
      <c r="Z14" s="8">
        <f t="shared" ref="Z14:Z45" si="12">L14*5.5017049523</f>
        <v>3806846.6647539865</v>
      </c>
      <c r="AA14" s="119"/>
      <c r="AB14" s="119"/>
      <c r="AC14" s="119"/>
      <c r="AD14" s="119"/>
      <c r="AE14" s="119"/>
      <c r="AF14" s="119"/>
      <c r="AG14" s="119"/>
      <c r="AH14" s="119"/>
      <c r="AI14" s="119"/>
      <c r="AJ14" s="119"/>
      <c r="AK14" s="119"/>
      <c r="AL14" s="119"/>
      <c r="AM14" s="119"/>
      <c r="AN14" s="119"/>
      <c r="AO14" s="119"/>
      <c r="AP14" s="119"/>
      <c r="AQ14" s="119"/>
      <c r="AR14" s="119"/>
      <c r="AS14" s="119"/>
      <c r="AT14" s="119"/>
      <c r="AU14" s="119"/>
      <c r="AV14" s="119"/>
      <c r="AW14" s="119"/>
      <c r="AX14" s="119"/>
      <c r="AY14" s="119"/>
      <c r="AZ14" s="119"/>
      <c r="BA14" s="119"/>
      <c r="BB14" s="119"/>
      <c r="BC14" s="119"/>
      <c r="BD14" s="119"/>
      <c r="BE14" s="119"/>
      <c r="BF14" s="119"/>
      <c r="BG14" s="119"/>
      <c r="BH14" s="119"/>
      <c r="BI14" s="119"/>
      <c r="BJ14" s="119"/>
      <c r="BK14" s="119"/>
      <c r="BL14" s="119"/>
    </row>
    <row r="15" spans="1:64" x14ac:dyDescent="0.2">
      <c r="A15" s="7"/>
      <c r="B15" s="7"/>
      <c r="C15" s="7">
        <v>2015</v>
      </c>
      <c r="D15" s="7">
        <v>2</v>
      </c>
      <c r="E15" s="7">
        <v>162</v>
      </c>
      <c r="F15" s="122">
        <f>high_v2_m!B3+temporary_pension_bonus_high!B3</f>
        <v>20422747.135097399</v>
      </c>
      <c r="G15" s="122">
        <f>high_v2_m!C3+temporary_pension_bonus_high!B3</f>
        <v>19622770.703860801</v>
      </c>
      <c r="H15" s="41">
        <f t="shared" si="0"/>
        <v>20422747.135097399</v>
      </c>
      <c r="I15" s="41">
        <f t="shared" si="1"/>
        <v>19622770.703860801</v>
      </c>
      <c r="J15" s="123">
        <f>high_v2_m!J3</f>
        <v>0</v>
      </c>
      <c r="K15" s="123">
        <f>high_v2_m!K3</f>
        <v>0</v>
      </c>
      <c r="L15" s="41">
        <f t="shared" si="2"/>
        <v>799976.43123659864</v>
      </c>
      <c r="M15" s="41">
        <f t="shared" si="3"/>
        <v>0</v>
      </c>
      <c r="N15" s="123">
        <f>SUM(high_v5_m!C3:J3)</f>
        <v>2478245.9090260332</v>
      </c>
      <c r="O15" s="7"/>
      <c r="P15" s="7"/>
      <c r="Q15" s="41">
        <f t="shared" si="5"/>
        <v>107958694.75927833</v>
      </c>
      <c r="R15" s="41"/>
      <c r="S15" s="41"/>
      <c r="T15" s="7"/>
      <c r="U15" s="7"/>
      <c r="V15" s="41">
        <f t="shared" ref="V15:V46" si="13">K15*5.5017049523</f>
        <v>0</v>
      </c>
      <c r="W15" s="41">
        <f t="shared" si="9"/>
        <v>0</v>
      </c>
      <c r="X15" s="41">
        <f t="shared" si="10"/>
        <v>17260864.096479163</v>
      </c>
      <c r="Y15" s="41">
        <f t="shared" si="11"/>
        <v>12859629.803021489</v>
      </c>
      <c r="Z15" s="41">
        <f t="shared" si="12"/>
        <v>4401234.2934576748</v>
      </c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</row>
    <row r="16" spans="1:64" x14ac:dyDescent="0.2">
      <c r="A16" s="7"/>
      <c r="B16" s="7"/>
      <c r="C16" s="7">
        <v>2015</v>
      </c>
      <c r="D16" s="7">
        <v>3</v>
      </c>
      <c r="E16" s="7">
        <v>163</v>
      </c>
      <c r="F16" s="122">
        <f>high_v2_m!B4+temporary_pension_bonus_high!B4</f>
        <v>19803746.836479299</v>
      </c>
      <c r="G16" s="122">
        <f>high_v2_m!C4+temporary_pension_bonus_high!B4</f>
        <v>19026261.304787099</v>
      </c>
      <c r="H16" s="41">
        <f t="shared" si="0"/>
        <v>19803746.836479299</v>
      </c>
      <c r="I16" s="41">
        <f t="shared" si="1"/>
        <v>19026261.304787099</v>
      </c>
      <c r="J16" s="123">
        <f>high_v2_m!J4</f>
        <v>0</v>
      </c>
      <c r="K16" s="123">
        <f>high_v2_m!K4</f>
        <v>0</v>
      </c>
      <c r="L16" s="41">
        <f t="shared" si="2"/>
        <v>777485.53169219941</v>
      </c>
      <c r="M16" s="41">
        <f t="shared" si="3"/>
        <v>0</v>
      </c>
      <c r="N16" s="123">
        <f>SUM(high_v5_m!C4:J4)</f>
        <v>2919136.7623483003</v>
      </c>
      <c r="O16" s="124">
        <v>94527377.114245504</v>
      </c>
      <c r="Q16" s="41">
        <f t="shared" si="5"/>
        <v>104676876.04430105</v>
      </c>
      <c r="R16" s="41">
        <v>16695329.1346057</v>
      </c>
      <c r="S16" s="41">
        <v>3421891.0515356902</v>
      </c>
      <c r="T16" s="124">
        <v>22190060.635179099</v>
      </c>
      <c r="U16" s="7">
        <f>R22/N16</f>
        <v>7.1178312848403502</v>
      </c>
      <c r="V16" s="41">
        <f t="shared" si="13"/>
        <v>0</v>
      </c>
      <c r="W16" s="41">
        <f t="shared" si="9"/>
        <v>0</v>
      </c>
      <c r="X16" s="41">
        <f t="shared" si="10"/>
        <v>19424910.536870245</v>
      </c>
      <c r="Y16" s="41">
        <f t="shared" si="11"/>
        <v>15147414.536817672</v>
      </c>
      <c r="Z16" s="41">
        <f t="shared" si="12"/>
        <v>4277496.0000525722</v>
      </c>
    </row>
    <row r="17" spans="1:64" x14ac:dyDescent="0.2">
      <c r="A17" s="7"/>
      <c r="B17" s="7"/>
      <c r="C17" s="7">
        <v>2015</v>
      </c>
      <c r="D17" s="7">
        <v>4</v>
      </c>
      <c r="E17" s="7">
        <v>164</v>
      </c>
      <c r="F17" s="122">
        <f>high_v2_m!B5+temporary_pension_bonus_high!B5</f>
        <v>21421804.3950487</v>
      </c>
      <c r="G17" s="122">
        <f>high_v2_m!C5+temporary_pension_bonus_high!B5</f>
        <v>20579647.3943859</v>
      </c>
      <c r="H17" s="41">
        <f t="shared" si="0"/>
        <v>21421804.3950487</v>
      </c>
      <c r="I17" s="41">
        <f t="shared" si="1"/>
        <v>20579647.3943859</v>
      </c>
      <c r="J17" s="123">
        <f>high_v2_m!J5</f>
        <v>0</v>
      </c>
      <c r="K17" s="123">
        <f>high_v2_m!K5</f>
        <v>0</v>
      </c>
      <c r="L17" s="41">
        <f t="shared" si="2"/>
        <v>842157.00066279992</v>
      </c>
      <c r="M17" s="41">
        <f t="shared" si="3"/>
        <v>0</v>
      </c>
      <c r="N17" s="123">
        <f>SUM(high_v5_m!C5:J5)</f>
        <v>2757062.569891395</v>
      </c>
      <c r="O17" s="124">
        <v>111875162.87552799</v>
      </c>
      <c r="Q17" s="41">
        <f t="shared" si="5"/>
        <v>113223147.98628069</v>
      </c>
      <c r="R17" s="41">
        <v>16337001.045735599</v>
      </c>
      <c r="S17" s="41">
        <v>4049880.8960941099</v>
      </c>
      <c r="T17" s="124">
        <v>22729747.8617584</v>
      </c>
      <c r="U17" s="7">
        <f>R23/N17</f>
        <v>6.7228626450621087</v>
      </c>
      <c r="V17" s="41">
        <f t="shared" si="13"/>
        <v>0</v>
      </c>
      <c r="W17" s="41">
        <f t="shared" si="9"/>
        <v>0</v>
      </c>
      <c r="X17" s="41">
        <f t="shared" si="10"/>
        <v>18939710.122851133</v>
      </c>
      <c r="Y17" s="41">
        <f t="shared" si="11"/>
        <v>14306410.781690493</v>
      </c>
      <c r="Z17" s="41">
        <f t="shared" si="12"/>
        <v>4633299.3411606411</v>
      </c>
    </row>
    <row r="18" spans="1:64" x14ac:dyDescent="0.2">
      <c r="A18" s="119"/>
      <c r="B18" s="5"/>
      <c r="C18" s="119">
        <f t="shared" ref="C18:C49" si="14">C14+1</f>
        <v>2016</v>
      </c>
      <c r="D18" s="119">
        <f t="shared" ref="D18:D49" si="15">D14</f>
        <v>1</v>
      </c>
      <c r="E18" s="119">
        <v>165</v>
      </c>
      <c r="F18" s="120">
        <f>high_v2_m!B6+temporary_pension_bonus_high!B6</f>
        <v>18798652.8327858</v>
      </c>
      <c r="G18" s="120">
        <f>high_v2_m!C6+temporary_pension_bonus_high!B6</f>
        <v>18061142.432745501</v>
      </c>
      <c r="H18" s="8">
        <f t="shared" si="0"/>
        <v>18798652.8327858</v>
      </c>
      <c r="I18" s="8">
        <f t="shared" si="1"/>
        <v>18061142.432745501</v>
      </c>
      <c r="J18" s="121">
        <f>high_v2_m!J6</f>
        <v>0</v>
      </c>
      <c r="K18" s="121">
        <f>high_v2_m!K6</f>
        <v>0</v>
      </c>
      <c r="L18" s="8">
        <f t="shared" si="2"/>
        <v>737510.4000402987</v>
      </c>
      <c r="M18" s="8">
        <f t="shared" si="3"/>
        <v>0</v>
      </c>
      <c r="N18" s="121">
        <f>SUM(high_v5_m!C6:J6)</f>
        <v>2795658.977222933</v>
      </c>
      <c r="O18" s="125">
        <v>91414555.230157301</v>
      </c>
      <c r="P18" s="5"/>
      <c r="Q18" s="8">
        <f t="shared" si="5"/>
        <v>99367076.7664316</v>
      </c>
      <c r="R18" s="8">
        <v>17527446.329621602</v>
      </c>
      <c r="S18" s="8">
        <v>3309206.8993316898</v>
      </c>
      <c r="T18" s="125">
        <v>22762488.820735902</v>
      </c>
      <c r="U18" s="5">
        <f>R24/N18</f>
        <v>6.6234030549105229</v>
      </c>
      <c r="V18" s="8">
        <f t="shared" si="13"/>
        <v>0</v>
      </c>
      <c r="W18" s="8">
        <f t="shared" si="9"/>
        <v>0</v>
      </c>
      <c r="X18" s="8">
        <f t="shared" si="10"/>
        <v>18564252.343087912</v>
      </c>
      <c r="Y18" s="8">
        <f t="shared" si="11"/>
        <v>14506687.722813444</v>
      </c>
      <c r="Z18" s="8">
        <f t="shared" si="12"/>
        <v>4057564.6202744655</v>
      </c>
      <c r="AA18" s="119"/>
      <c r="AB18" s="119"/>
      <c r="AC18" s="119"/>
      <c r="AD18" s="119"/>
      <c r="AE18" s="119"/>
      <c r="AF18" s="119"/>
      <c r="AG18" s="119"/>
      <c r="AH18" s="119"/>
      <c r="AI18" s="119"/>
      <c r="AJ18" s="119"/>
      <c r="AK18" s="119"/>
      <c r="AL18" s="119"/>
      <c r="AM18" s="119"/>
      <c r="AN18" s="119"/>
      <c r="AO18" s="119"/>
      <c r="AP18" s="119"/>
      <c r="AQ18" s="119"/>
      <c r="AR18" s="119"/>
      <c r="AS18" s="119"/>
      <c r="AT18" s="119"/>
      <c r="AU18" s="119"/>
      <c r="AV18" s="119"/>
      <c r="AW18" s="119"/>
      <c r="AX18" s="119"/>
      <c r="AY18" s="119"/>
      <c r="AZ18" s="119"/>
      <c r="BA18" s="119"/>
      <c r="BB18" s="119"/>
      <c r="BC18" s="119"/>
      <c r="BD18" s="119"/>
      <c r="BE18" s="119"/>
      <c r="BF18" s="119"/>
      <c r="BG18" s="119"/>
      <c r="BH18" s="119"/>
      <c r="BI18" s="119"/>
      <c r="BJ18" s="119"/>
      <c r="BK18" s="119"/>
      <c r="BL18" s="119"/>
    </row>
    <row r="19" spans="1:64" x14ac:dyDescent="0.2">
      <c r="A19" s="7"/>
      <c r="B19" s="7"/>
      <c r="C19" s="7">
        <f t="shared" si="14"/>
        <v>2016</v>
      </c>
      <c r="D19" s="7">
        <f t="shared" si="15"/>
        <v>2</v>
      </c>
      <c r="E19" s="7">
        <v>166</v>
      </c>
      <c r="F19" s="122">
        <f>high_v2_m!B7+temporary_pension_bonus_high!B7</f>
        <v>19381974.186819099</v>
      </c>
      <c r="G19" s="122">
        <f>high_v2_m!C7+temporary_pension_bonus_high!B7</f>
        <v>18619675.727424201</v>
      </c>
      <c r="H19" s="41">
        <f t="shared" si="0"/>
        <v>19381974.186819099</v>
      </c>
      <c r="I19" s="41">
        <f t="shared" si="1"/>
        <v>18619675.727424201</v>
      </c>
      <c r="J19" s="123">
        <f>high_v2_m!J7</f>
        <v>0</v>
      </c>
      <c r="K19" s="123">
        <f>high_v2_m!K7</f>
        <v>0</v>
      </c>
      <c r="L19" s="41">
        <f t="shared" si="2"/>
        <v>762298.45939489827</v>
      </c>
      <c r="M19" s="41">
        <f t="shared" si="3"/>
        <v>0</v>
      </c>
      <c r="N19" s="123">
        <f>SUM(high_v5_m!C7:J7)</f>
        <v>2828183.6863331911</v>
      </c>
      <c r="O19" s="124">
        <v>104116643.41114201</v>
      </c>
      <c r="P19" s="7">
        <v>5.91</v>
      </c>
      <c r="Q19" s="41">
        <f t="shared" si="5"/>
        <v>102439962.15978983</v>
      </c>
      <c r="R19" s="41">
        <v>18813591.301850099</v>
      </c>
      <c r="S19" s="41">
        <v>3769022.49148334</v>
      </c>
      <c r="T19" s="124">
        <v>24440890.5830178</v>
      </c>
      <c r="U19" s="7">
        <f t="shared" ref="U19:U24" si="16">R19/N19</f>
        <v>6.6521815371343074</v>
      </c>
      <c r="V19" s="41">
        <f t="shared" si="13"/>
        <v>0</v>
      </c>
      <c r="W19" s="41">
        <f t="shared" si="9"/>
        <v>0</v>
      </c>
      <c r="X19" s="41">
        <f t="shared" si="10"/>
        <v>18869399.802186109</v>
      </c>
      <c r="Y19" s="41">
        <f t="shared" si="11"/>
        <v>14675458.593002537</v>
      </c>
      <c r="Z19" s="41">
        <f t="shared" si="12"/>
        <v>4193941.2091835723</v>
      </c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</row>
    <row r="20" spans="1:64" x14ac:dyDescent="0.2">
      <c r="A20" s="7"/>
      <c r="B20" s="7"/>
      <c r="C20" s="7">
        <f t="shared" si="14"/>
        <v>2016</v>
      </c>
      <c r="D20" s="7">
        <f t="shared" si="15"/>
        <v>3</v>
      </c>
      <c r="E20" s="7">
        <v>167</v>
      </c>
      <c r="F20" s="123">
        <f>high_v2_m!D8+temporary_pension_bonus_high!B8</f>
        <v>18503713.210198801</v>
      </c>
      <c r="G20" s="123">
        <f>high_v2_m!E8+temporary_pension_bonus_high!B8</f>
        <v>17773463.863357902</v>
      </c>
      <c r="H20" s="41">
        <f t="shared" si="0"/>
        <v>18503713.210198801</v>
      </c>
      <c r="I20" s="41">
        <f t="shared" si="1"/>
        <v>17773463.863357902</v>
      </c>
      <c r="J20" s="123">
        <f>high_v2_m!J8</f>
        <v>0</v>
      </c>
      <c r="K20" s="123">
        <f>high_v2_m!K8</f>
        <v>0</v>
      </c>
      <c r="L20" s="41">
        <f t="shared" si="2"/>
        <v>730249.34684089944</v>
      </c>
      <c r="M20" s="41">
        <f t="shared" si="3"/>
        <v>0</v>
      </c>
      <c r="N20" s="123">
        <f>SUM(high_v5_m!C8:J8)</f>
        <v>2477813.0040905806</v>
      </c>
      <c r="O20" s="124">
        <v>90764685.857157201</v>
      </c>
      <c r="P20" s="7">
        <v>5.43</v>
      </c>
      <c r="Q20" s="41">
        <f t="shared" si="5"/>
        <v>97784354.156561255</v>
      </c>
      <c r="R20" s="41">
        <v>16989362.324853901</v>
      </c>
      <c r="S20" s="41">
        <v>3285681.6280290899</v>
      </c>
      <c r="T20" s="124">
        <v>22167728.6392591</v>
      </c>
      <c r="U20" s="7">
        <f t="shared" si="16"/>
        <v>6.8565958354429659</v>
      </c>
      <c r="V20" s="41">
        <f t="shared" si="13"/>
        <v>0</v>
      </c>
      <c r="W20" s="41">
        <f t="shared" si="9"/>
        <v>0</v>
      </c>
      <c r="X20" s="41">
        <f t="shared" si="10"/>
        <v>16874999.9051819</v>
      </c>
      <c r="Y20" s="41">
        <f t="shared" si="11"/>
        <v>12857383.457253482</v>
      </c>
      <c r="Z20" s="41">
        <f t="shared" si="12"/>
        <v>4017616.4479284165</v>
      </c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</row>
    <row r="21" spans="1:64" x14ac:dyDescent="0.2">
      <c r="A21" s="7"/>
      <c r="B21" s="7"/>
      <c r="C21" s="7">
        <f t="shared" si="14"/>
        <v>2016</v>
      </c>
      <c r="D21" s="7">
        <f t="shared" si="15"/>
        <v>4</v>
      </c>
      <c r="E21" s="7">
        <v>168</v>
      </c>
      <c r="F21" s="123">
        <f>high_v2_m!D9+temporary_pension_bonus_high!B9</f>
        <v>20254615.8512826</v>
      </c>
      <c r="G21" s="123">
        <f>high_v2_m!E9+temporary_pension_bonus_high!B9</f>
        <v>19452949.385827199</v>
      </c>
      <c r="H21" s="41">
        <f t="shared" si="0"/>
        <v>20217167.558486193</v>
      </c>
      <c r="I21" s="41">
        <f t="shared" si="1"/>
        <v>19416624.541814685</v>
      </c>
      <c r="J21" s="123">
        <f>high_v2_m!J9</f>
        <v>37448.292796407703</v>
      </c>
      <c r="K21" s="123">
        <f>high_v2_m!K9</f>
        <v>36324.844012515401</v>
      </c>
      <c r="L21" s="41">
        <f t="shared" si="2"/>
        <v>800543.01667150855</v>
      </c>
      <c r="M21" s="41">
        <f t="shared" si="3"/>
        <v>1123.4487838923014</v>
      </c>
      <c r="N21" s="123">
        <f>SUM(high_v5_m!C9:J9)</f>
        <v>3910348.4398605041</v>
      </c>
      <c r="O21" s="124">
        <v>112083822.294624</v>
      </c>
      <c r="P21" s="7">
        <v>6.14</v>
      </c>
      <c r="Q21" s="41">
        <f t="shared" si="5"/>
        <v>106824539.39865157</v>
      </c>
      <c r="R21" s="41">
        <v>21412355.855613802</v>
      </c>
      <c r="S21" s="41">
        <v>4057434.3670653901</v>
      </c>
      <c r="T21" s="124">
        <v>27652287.472387102</v>
      </c>
      <c r="U21" s="7">
        <f t="shared" si="16"/>
        <v>5.4758178676214477</v>
      </c>
      <c r="V21" s="41">
        <f t="shared" si="13"/>
        <v>199848.57419518099</v>
      </c>
      <c r="W21" s="41">
        <f t="shared" si="9"/>
        <v>6180.8837379956867</v>
      </c>
      <c r="X21" s="41">
        <f t="shared" si="10"/>
        <v>24695168.12280139</v>
      </c>
      <c r="Y21" s="41">
        <f t="shared" si="11"/>
        <v>20290816.643450569</v>
      </c>
      <c r="Z21" s="41">
        <f t="shared" si="12"/>
        <v>4404351.4793508202</v>
      </c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</row>
    <row r="22" spans="1:64" x14ac:dyDescent="0.2">
      <c r="A22" s="119"/>
      <c r="B22" s="5"/>
      <c r="C22" s="119">
        <f t="shared" si="14"/>
        <v>2017</v>
      </c>
      <c r="D22" s="119">
        <f t="shared" si="15"/>
        <v>1</v>
      </c>
      <c r="E22" s="119">
        <v>169</v>
      </c>
      <c r="F22" s="121">
        <f>high_v2_m!D10+temporary_pension_bonus_high!B10</f>
        <v>19377172.7510706</v>
      </c>
      <c r="G22" s="121">
        <f>high_v2_m!E10+temporary_pension_bonus_high!B10</f>
        <v>18610102.609675098</v>
      </c>
      <c r="H22" s="8">
        <f t="shared" si="0"/>
        <v>19308428.2669391</v>
      </c>
      <c r="I22" s="8">
        <f t="shared" si="1"/>
        <v>18543420.46006754</v>
      </c>
      <c r="J22" s="121">
        <f>high_v2_m!J10</f>
        <v>68744.484131501405</v>
      </c>
      <c r="K22" s="121">
        <f>high_v2_m!K10</f>
        <v>66682.149607556305</v>
      </c>
      <c r="L22" s="8">
        <f t="shared" si="2"/>
        <v>765007.80687155947</v>
      </c>
      <c r="M22" s="8">
        <f t="shared" si="3"/>
        <v>2062.334523945101</v>
      </c>
      <c r="N22" s="121">
        <f>SUM(high_v5_m!C10:J10)</f>
        <v>4299591.3674410377</v>
      </c>
      <c r="O22" s="125">
        <v>99073334.555400699</v>
      </c>
      <c r="P22" s="5">
        <v>5.69</v>
      </c>
      <c r="Q22" s="8">
        <f t="shared" si="5"/>
        <v>102020428.17773473</v>
      </c>
      <c r="R22" s="8">
        <v>20777922.971770301</v>
      </c>
      <c r="S22" s="8">
        <v>3586454.71090551</v>
      </c>
      <c r="T22" s="125">
        <v>25889654.834212899</v>
      </c>
      <c r="U22" s="5">
        <f t="shared" si="16"/>
        <v>4.8325343494529749</v>
      </c>
      <c r="V22" s="8">
        <f t="shared" si="13"/>
        <v>366865.51272590202</v>
      </c>
      <c r="W22" s="8">
        <f t="shared" si="9"/>
        <v>11346.356063688025</v>
      </c>
      <c r="X22" s="8">
        <f t="shared" si="10"/>
        <v>26519447.284662407</v>
      </c>
      <c r="Y22" s="8">
        <f t="shared" si="11"/>
        <v>22310600.045048986</v>
      </c>
      <c r="Z22" s="8">
        <f t="shared" si="12"/>
        <v>4208847.2396134203</v>
      </c>
      <c r="AA22" s="119"/>
      <c r="AB22" s="119"/>
      <c r="AC22" s="119"/>
      <c r="AD22" s="119"/>
      <c r="AE22" s="119"/>
      <c r="AF22" s="119"/>
      <c r="AG22" s="119"/>
      <c r="AH22" s="119"/>
      <c r="AI22" s="119"/>
      <c r="AJ22" s="119"/>
      <c r="AK22" s="119"/>
      <c r="AL22" s="119"/>
      <c r="AM22" s="119"/>
      <c r="AN22" s="119"/>
      <c r="AO22" s="119"/>
      <c r="AP22" s="119"/>
      <c r="AQ22" s="119"/>
      <c r="AR22" s="119"/>
      <c r="AS22" s="119"/>
      <c r="AT22" s="119"/>
      <c r="AU22" s="119"/>
      <c r="AV22" s="119"/>
      <c r="AW22" s="119"/>
      <c r="AX22" s="119"/>
      <c r="AY22" s="119"/>
      <c r="AZ22" s="119"/>
      <c r="BA22" s="119"/>
      <c r="BB22" s="119"/>
      <c r="BC22" s="119"/>
      <c r="BD22" s="119"/>
      <c r="BE22" s="119"/>
      <c r="BF22" s="119"/>
      <c r="BG22" s="119"/>
      <c r="BH22" s="119"/>
      <c r="BI22" s="119"/>
      <c r="BJ22" s="119"/>
      <c r="BK22" s="119"/>
      <c r="BL22" s="119"/>
    </row>
    <row r="23" spans="1:64" x14ac:dyDescent="0.2">
      <c r="A23" s="7"/>
      <c r="B23" s="7"/>
      <c r="C23" s="7">
        <f t="shared" si="14"/>
        <v>2017</v>
      </c>
      <c r="D23" s="7">
        <f t="shared" si="15"/>
        <v>2</v>
      </c>
      <c r="E23" s="7">
        <v>170</v>
      </c>
      <c r="F23" s="123">
        <f>high_v2_m!D11+temporary_pension_bonus_high!B11</f>
        <v>20709754.396226399</v>
      </c>
      <c r="G23" s="123">
        <f>high_v2_m!E11+temporary_pension_bonus_high!B11</f>
        <v>19888095.1774069</v>
      </c>
      <c r="H23" s="41">
        <f t="shared" si="0"/>
        <v>20604347.985849775</v>
      </c>
      <c r="I23" s="41">
        <f t="shared" si="1"/>
        <v>19785850.959341578</v>
      </c>
      <c r="J23" s="123">
        <f>high_v2_m!J11</f>
        <v>105406.41037662201</v>
      </c>
      <c r="K23" s="123">
        <f>high_v2_m!K11</f>
        <v>102244.218065323</v>
      </c>
      <c r="L23" s="41">
        <f t="shared" si="2"/>
        <v>818497.02650819719</v>
      </c>
      <c r="M23" s="41">
        <f t="shared" si="3"/>
        <v>3162.1923112990044</v>
      </c>
      <c r="N23" s="123">
        <f>SUM(high_v5_m!C11:J11)</f>
        <v>3939404.9843641627</v>
      </c>
      <c r="O23" s="124">
        <v>118311548.494431</v>
      </c>
      <c r="P23" s="7"/>
      <c r="Q23" s="41">
        <f t="shared" si="5"/>
        <v>108855914.20847927</v>
      </c>
      <c r="R23" s="41">
        <v>18535352.961221799</v>
      </c>
      <c r="S23" s="41">
        <v>4282878.0554983998</v>
      </c>
      <c r="T23" s="124">
        <v>24020927.786342502</v>
      </c>
      <c r="U23" s="7">
        <f t="shared" si="16"/>
        <v>4.7051148675473096</v>
      </c>
      <c r="V23" s="41">
        <f t="shared" si="13"/>
        <v>562517.52087402868</v>
      </c>
      <c r="W23" s="41">
        <f t="shared" si="9"/>
        <v>17397.449099198715</v>
      </c>
      <c r="X23" s="41">
        <f t="shared" si="10"/>
        <v>24944720.335192028</v>
      </c>
      <c r="Y23" s="41">
        <f t="shared" si="11"/>
        <v>20441591.191009056</v>
      </c>
      <c r="Z23" s="41">
        <f t="shared" si="12"/>
        <v>4503129.1441829726</v>
      </c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</row>
    <row r="24" spans="1:64" x14ac:dyDescent="0.2">
      <c r="A24" s="7"/>
      <c r="B24" s="7"/>
      <c r="C24" s="7">
        <f t="shared" si="14"/>
        <v>2017</v>
      </c>
      <c r="D24" s="7">
        <f t="shared" si="15"/>
        <v>3</v>
      </c>
      <c r="E24" s="7">
        <v>171</v>
      </c>
      <c r="F24" s="123">
        <f>high_v2_m!D12+temporary_pension_bonus_high!B12</f>
        <v>19896829.3534219</v>
      </c>
      <c r="G24" s="123">
        <f>high_v2_m!E12+temporary_pension_bonus_high!B12</f>
        <v>19106774.747813001</v>
      </c>
      <c r="H24" s="41">
        <f t="shared" si="0"/>
        <v>19743761.082281332</v>
      </c>
      <c r="I24" s="41">
        <f t="shared" si="1"/>
        <v>18958298.524806652</v>
      </c>
      <c r="J24" s="123">
        <f>high_v2_m!J12</f>
        <v>153068.271140567</v>
      </c>
      <c r="K24" s="123">
        <f>high_v2_m!K12</f>
        <v>148476.22300634999</v>
      </c>
      <c r="L24" s="41">
        <f t="shared" si="2"/>
        <v>785462.55747468024</v>
      </c>
      <c r="M24" s="41">
        <f t="shared" si="3"/>
        <v>4592.0481342170096</v>
      </c>
      <c r="N24" s="123">
        <f>SUM(high_v5_m!C12:J12)</f>
        <v>3599614.5523328749</v>
      </c>
      <c r="O24" s="124">
        <v>103254577.73677801</v>
      </c>
      <c r="P24" s="7"/>
      <c r="Q24" s="41">
        <f t="shared" si="5"/>
        <v>104302964.88111053</v>
      </c>
      <c r="R24" s="41">
        <v>18516776.210226402</v>
      </c>
      <c r="S24" s="41">
        <v>3737815.71407136</v>
      </c>
      <c r="T24" s="124">
        <v>24278813.710319798</v>
      </c>
      <c r="U24" s="7">
        <f t="shared" si="16"/>
        <v>5.1440997198507992</v>
      </c>
      <c r="V24" s="41">
        <f t="shared" si="13"/>
        <v>816872.37141283497</v>
      </c>
      <c r="W24" s="41">
        <f t="shared" si="9"/>
        <v>25264.093961221697</v>
      </c>
      <c r="X24" s="41">
        <f t="shared" si="10"/>
        <v>22999800.266207617</v>
      </c>
      <c r="Y24" s="41">
        <f t="shared" si="11"/>
        <v>18678417.023902945</v>
      </c>
      <c r="Z24" s="41">
        <f t="shared" si="12"/>
        <v>4321383.2423046716</v>
      </c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</row>
    <row r="25" spans="1:64" x14ac:dyDescent="0.2">
      <c r="A25" s="7"/>
      <c r="B25" s="7"/>
      <c r="C25" s="7">
        <f t="shared" si="14"/>
        <v>2017</v>
      </c>
      <c r="D25" s="7">
        <f t="shared" si="15"/>
        <v>4</v>
      </c>
      <c r="E25" s="7">
        <v>172</v>
      </c>
      <c r="F25" s="123">
        <f>high_v2_m!D13+temporary_pension_bonus_high!B13</f>
        <v>21653269.815823801</v>
      </c>
      <c r="G25" s="123">
        <f>high_v2_m!E13+temporary_pension_bonus_high!B13</f>
        <v>20791194.300101198</v>
      </c>
      <c r="H25" s="41">
        <f t="shared" si="0"/>
        <v>21457552.831532579</v>
      </c>
      <c r="I25" s="41">
        <f t="shared" si="1"/>
        <v>20601348.825338714</v>
      </c>
      <c r="J25" s="123">
        <f>high_v2_m!J13</f>
        <v>195716.984291222</v>
      </c>
      <c r="K25" s="123">
        <f>high_v2_m!K13</f>
        <v>189845.474762486</v>
      </c>
      <c r="L25" s="41">
        <f t="shared" si="2"/>
        <v>856204.00619386509</v>
      </c>
      <c r="M25" s="41">
        <f t="shared" si="3"/>
        <v>5871.5095287360018</v>
      </c>
      <c r="N25" s="123">
        <f>SUM(high_v5_m!C13:J13)</f>
        <v>4012507.368122709</v>
      </c>
      <c r="O25" s="126">
        <v>124728426.72428501</v>
      </c>
      <c r="Q25" s="41">
        <f t="shared" si="5"/>
        <v>113342542.85642579</v>
      </c>
      <c r="R25" s="41">
        <v>18747481.398794301</v>
      </c>
      <c r="S25" s="41">
        <v>4515169.0474191196</v>
      </c>
      <c r="T25" s="126">
        <v>24785174.047673602</v>
      </c>
      <c r="V25" s="41">
        <f t="shared" si="13"/>
        <v>1044473.7886725139</v>
      </c>
      <c r="W25" s="41">
        <f t="shared" si="9"/>
        <v>32303.3130517235</v>
      </c>
      <c r="X25" s="41">
        <f t="shared" si="10"/>
        <v>25531501.628902152</v>
      </c>
      <c r="Y25" s="41">
        <f t="shared" si="11"/>
        <v>20820919.807846263</v>
      </c>
      <c r="Z25" s="41">
        <f t="shared" si="12"/>
        <v>4710581.8210558873</v>
      </c>
    </row>
    <row r="26" spans="1:64" x14ac:dyDescent="0.2">
      <c r="A26" s="119"/>
      <c r="B26" s="5"/>
      <c r="C26" s="119">
        <f t="shared" si="14"/>
        <v>2018</v>
      </c>
      <c r="D26" s="119">
        <f t="shared" si="15"/>
        <v>1</v>
      </c>
      <c r="E26" s="119">
        <v>173</v>
      </c>
      <c r="F26" s="121">
        <f>high_v2_m!D14+temporary_pension_bonus_high!B14</f>
        <v>20401597.918795701</v>
      </c>
      <c r="G26" s="121">
        <f>high_v2_m!E14+temporary_pension_bonus_high!B14</f>
        <v>19586655.7456722</v>
      </c>
      <c r="H26" s="8">
        <f t="shared" si="0"/>
        <v>20201976.81772764</v>
      </c>
      <c r="I26" s="8">
        <f t="shared" si="1"/>
        <v>19393023.277636182</v>
      </c>
      <c r="J26" s="121">
        <f>high_v2_m!J14</f>
        <v>199621.10106806</v>
      </c>
      <c r="K26" s="121">
        <f>high_v2_m!K14</f>
        <v>193632.46803601799</v>
      </c>
      <c r="L26" s="8">
        <f t="shared" si="2"/>
        <v>808953.54009145871</v>
      </c>
      <c r="M26" s="8">
        <f t="shared" si="3"/>
        <v>5988.6330320420093</v>
      </c>
      <c r="N26" s="121">
        <f>SUM(high_v5_m!C14:J14)</f>
        <v>4266105.6971044773</v>
      </c>
      <c r="O26" s="5"/>
      <c r="P26" s="5"/>
      <c r="Q26" s="8">
        <f t="shared" si="5"/>
        <v>106694692.20664015</v>
      </c>
      <c r="R26" s="8"/>
      <c r="S26" s="8"/>
      <c r="T26" s="5"/>
      <c r="U26" s="5"/>
      <c r="V26" s="8">
        <f t="shared" si="13"/>
        <v>1065308.7083198316</v>
      </c>
      <c r="W26" s="8">
        <f t="shared" si="9"/>
        <v>32947.692009892889</v>
      </c>
      <c r="X26" s="8">
        <f t="shared" si="10"/>
        <v>26587466.440190189</v>
      </c>
      <c r="Y26" s="8">
        <f t="shared" si="11"/>
        <v>22136842.742488395</v>
      </c>
      <c r="Z26" s="8">
        <f t="shared" si="12"/>
        <v>4450623.697701795</v>
      </c>
      <c r="AA26" s="119"/>
      <c r="AB26" s="119"/>
      <c r="AC26" s="119"/>
      <c r="AD26" s="119"/>
      <c r="AE26" s="119"/>
      <c r="AF26" s="119"/>
      <c r="AG26" s="119"/>
      <c r="AH26" s="119"/>
      <c r="AI26" s="119"/>
      <c r="AJ26" s="119"/>
      <c r="AK26" s="119"/>
      <c r="AL26" s="119"/>
      <c r="AM26" s="119"/>
      <c r="AN26" s="119"/>
      <c r="AO26" s="119"/>
      <c r="AP26" s="119"/>
      <c r="AQ26" s="119"/>
      <c r="AR26" s="119"/>
      <c r="AS26" s="119"/>
      <c r="AT26" s="119"/>
      <c r="AU26" s="119"/>
      <c r="AV26" s="119"/>
      <c r="AW26" s="119"/>
      <c r="AX26" s="119"/>
      <c r="AY26" s="119"/>
      <c r="AZ26" s="119"/>
      <c r="BA26" s="119"/>
      <c r="BB26" s="119"/>
      <c r="BC26" s="119"/>
      <c r="BD26" s="119"/>
      <c r="BE26" s="119"/>
      <c r="BF26" s="119"/>
      <c r="BG26" s="119"/>
      <c r="BH26" s="119"/>
      <c r="BI26" s="119"/>
      <c r="BJ26" s="119"/>
      <c r="BK26" s="119"/>
      <c r="BL26" s="119"/>
    </row>
    <row r="27" spans="1:64" x14ac:dyDescent="0.2">
      <c r="A27" s="7"/>
      <c r="B27" s="7"/>
      <c r="C27" s="7">
        <f t="shared" si="14"/>
        <v>2018</v>
      </c>
      <c r="D27" s="7">
        <f t="shared" si="15"/>
        <v>2</v>
      </c>
      <c r="E27" s="7">
        <v>174</v>
      </c>
      <c r="F27" s="123">
        <f>high_v2_m!D15+temporary_pension_bonus_high!B15</f>
        <v>20534277.763607733</v>
      </c>
      <c r="G27" s="123">
        <f>high_v2_m!E15+temporary_pension_bonus_high!B15</f>
        <v>19725418.974305835</v>
      </c>
      <c r="H27" s="41">
        <f t="shared" si="0"/>
        <v>20316515.865026843</v>
      </c>
      <c r="I27" s="41">
        <f t="shared" si="1"/>
        <v>19514189.932682369</v>
      </c>
      <c r="J27" s="123">
        <f>high_v2_m!J15</f>
        <v>217761.89858089099</v>
      </c>
      <c r="K27" s="123">
        <f>high_v2_m!K15</f>
        <v>211229.041623464</v>
      </c>
      <c r="L27" s="41">
        <f t="shared" si="2"/>
        <v>802325.9323444739</v>
      </c>
      <c r="M27" s="41">
        <f t="shared" si="3"/>
        <v>6532.8569574269932</v>
      </c>
      <c r="N27" s="123">
        <f>SUM(high_v5_m!C15:J15)</f>
        <v>3380805.3509411579</v>
      </c>
      <c r="O27" s="7"/>
      <c r="P27" s="7"/>
      <c r="Q27" s="41">
        <f t="shared" si="5"/>
        <v>107361315.39276139</v>
      </c>
      <c r="R27" s="41"/>
      <c r="S27" s="41"/>
      <c r="T27" s="7"/>
      <c r="U27" s="7"/>
      <c r="V27" s="41">
        <f t="shared" si="13"/>
        <v>1162119.8643693947</v>
      </c>
      <c r="W27" s="41">
        <f t="shared" si="9"/>
        <v>35941.851475343596</v>
      </c>
      <c r="X27" s="41">
        <f t="shared" si="10"/>
        <v>21957175.593044452</v>
      </c>
      <c r="Y27" s="41">
        <f t="shared" si="11"/>
        <v>17543015.037706144</v>
      </c>
      <c r="Z27" s="41">
        <f t="shared" si="12"/>
        <v>4414160.5553383064</v>
      </c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</row>
    <row r="28" spans="1:64" x14ac:dyDescent="0.2">
      <c r="A28" s="7"/>
      <c r="B28" s="7"/>
      <c r="C28" s="7">
        <f t="shared" si="14"/>
        <v>2018</v>
      </c>
      <c r="D28" s="7">
        <f t="shared" si="15"/>
        <v>3</v>
      </c>
      <c r="E28" s="7">
        <v>175</v>
      </c>
      <c r="F28" s="123">
        <f>high_v2_m!D16+temporary_pension_bonus_high!B16</f>
        <v>19245553.898216099</v>
      </c>
      <c r="G28" s="123">
        <f>high_v2_m!E16+temporary_pension_bonus_high!B16</f>
        <v>18477271.9630652</v>
      </c>
      <c r="H28" s="41">
        <f t="shared" si="0"/>
        <v>19010506.774991926</v>
      </c>
      <c r="I28" s="41">
        <f t="shared" si="1"/>
        <v>18249276.253537752</v>
      </c>
      <c r="J28" s="123">
        <f>high_v2_m!J16</f>
        <v>235047.12322417201</v>
      </c>
      <c r="K28" s="123">
        <f>high_v2_m!K16</f>
        <v>227995.70952744599</v>
      </c>
      <c r="L28" s="41">
        <f t="shared" si="2"/>
        <v>761230.52145417407</v>
      </c>
      <c r="M28" s="41">
        <f t="shared" si="3"/>
        <v>7051.4136967260274</v>
      </c>
      <c r="N28" s="123">
        <f>SUM(high_v5_m!C16:J16)</f>
        <v>3200447.9181895447</v>
      </c>
      <c r="O28" s="7"/>
      <c r="P28" s="7"/>
      <c r="Q28" s="41">
        <f t="shared" si="5"/>
        <v>100402133.53997944</v>
      </c>
      <c r="R28" s="41"/>
      <c r="S28" s="41"/>
      <c r="T28" s="7"/>
      <c r="U28" s="7"/>
      <c r="V28" s="41">
        <f t="shared" si="13"/>
        <v>1254365.1242103018</v>
      </c>
      <c r="W28" s="41">
        <f t="shared" si="9"/>
        <v>38794.797655993636</v>
      </c>
      <c r="X28" s="41">
        <f t="shared" si="10"/>
        <v>20795205.1915012</v>
      </c>
      <c r="Y28" s="41">
        <f t="shared" si="11"/>
        <v>16607139.461774861</v>
      </c>
      <c r="Z28" s="41">
        <f t="shared" si="12"/>
        <v>4188065.7297263406</v>
      </c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</row>
    <row r="29" spans="1:64" x14ac:dyDescent="0.2">
      <c r="A29" s="7"/>
      <c r="B29" s="7"/>
      <c r="C29" s="7">
        <f t="shared" si="14"/>
        <v>2018</v>
      </c>
      <c r="D29" s="7">
        <f t="shared" si="15"/>
        <v>4</v>
      </c>
      <c r="E29" s="7">
        <v>176</v>
      </c>
      <c r="F29" s="123">
        <f>high_v2_m!D17+temporary_pension_bonus_high!B17</f>
        <v>17632490.368387502</v>
      </c>
      <c r="G29" s="123">
        <f>high_v2_m!E17+temporary_pension_bonus_high!B17</f>
        <v>16930411.394221399</v>
      </c>
      <c r="H29" s="41">
        <f t="shared" si="0"/>
        <v>17392099.046350434</v>
      </c>
      <c r="I29" s="41">
        <f t="shared" si="1"/>
        <v>16697231.811845442</v>
      </c>
      <c r="J29" s="123">
        <f>high_v2_m!J17</f>
        <v>240391.32203706901</v>
      </c>
      <c r="K29" s="123">
        <f>high_v2_m!K17</f>
        <v>233179.582375956</v>
      </c>
      <c r="L29" s="41">
        <f t="shared" si="2"/>
        <v>694867.23450499214</v>
      </c>
      <c r="M29" s="41">
        <f t="shared" si="3"/>
        <v>7211.7396611130098</v>
      </c>
      <c r="N29" s="123">
        <f>SUM(high_v5_m!C17:J17)</f>
        <v>3094285.8053144412</v>
      </c>
      <c r="O29" s="7"/>
      <c r="P29" s="7"/>
      <c r="Q29" s="41">
        <f t="shared" si="5"/>
        <v>91863242.948931172</v>
      </c>
      <c r="R29" s="41"/>
      <c r="S29" s="41"/>
      <c r="T29" s="7"/>
      <c r="U29" s="7"/>
      <c r="V29" s="41">
        <f t="shared" si="13"/>
        <v>1282885.263133043</v>
      </c>
      <c r="W29" s="41">
        <f t="shared" si="9"/>
        <v>39676.863808243768</v>
      </c>
      <c r="X29" s="41">
        <f t="shared" si="10"/>
        <v>19879218.258659616</v>
      </c>
      <c r="Y29" s="41">
        <f t="shared" si="11"/>
        <v>16056263.753392497</v>
      </c>
      <c r="Z29" s="41">
        <f t="shared" si="12"/>
        <v>3822954.5052671204</v>
      </c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</row>
    <row r="30" spans="1:64" x14ac:dyDescent="0.2">
      <c r="A30" s="119"/>
      <c r="B30" s="5"/>
      <c r="C30" s="119">
        <f t="shared" si="14"/>
        <v>2019</v>
      </c>
      <c r="D30" s="119">
        <f t="shared" si="15"/>
        <v>1</v>
      </c>
      <c r="E30" s="119">
        <v>177</v>
      </c>
      <c r="F30" s="121">
        <f>high_v2_m!D18+temporary_pension_bonus_high!B18</f>
        <v>17486334.684250101</v>
      </c>
      <c r="G30" s="121">
        <f>high_v2_m!E18+temporary_pension_bonus_high!B18</f>
        <v>16789231.040768601</v>
      </c>
      <c r="H30" s="8">
        <f t="shared" si="0"/>
        <v>17292119.668113522</v>
      </c>
      <c r="I30" s="8">
        <f t="shared" si="1"/>
        <v>16600842.475116121</v>
      </c>
      <c r="J30" s="121">
        <f>high_v2_m!J18</f>
        <v>194215.01613657799</v>
      </c>
      <c r="K30" s="121">
        <f>high_v2_m!K18</f>
        <v>188388.56565248099</v>
      </c>
      <c r="L30" s="8">
        <f t="shared" si="2"/>
        <v>691277.19299740158</v>
      </c>
      <c r="M30" s="8">
        <f t="shared" si="3"/>
        <v>5826.4504840970039</v>
      </c>
      <c r="N30" s="121">
        <f>SUM(high_v5_m!C18:J18)</f>
        <v>3260724.6988664926</v>
      </c>
      <c r="O30" s="5"/>
      <c r="P30" s="5"/>
      <c r="Q30" s="8">
        <f t="shared" si="5"/>
        <v>91332937.257698551</v>
      </c>
      <c r="R30" s="8"/>
      <c r="S30" s="8"/>
      <c r="T30" s="5"/>
      <c r="U30" s="5"/>
      <c r="V30" s="8">
        <f t="shared" si="13"/>
        <v>1036458.3046069483</v>
      </c>
      <c r="W30" s="8">
        <f t="shared" si="9"/>
        <v>32055.411482687217</v>
      </c>
      <c r="X30" s="8">
        <f t="shared" si="10"/>
        <v>20723119.119377151</v>
      </c>
      <c r="Y30" s="8">
        <f t="shared" si="11"/>
        <v>16919915.963251304</v>
      </c>
      <c r="Z30" s="8">
        <f t="shared" si="12"/>
        <v>3803203.1561258473</v>
      </c>
      <c r="AA30" s="119"/>
      <c r="AB30" s="119"/>
      <c r="AC30" s="119"/>
      <c r="AD30" s="119"/>
      <c r="AE30" s="119"/>
      <c r="AF30" s="119"/>
      <c r="AG30" s="119"/>
      <c r="AH30" s="119"/>
      <c r="AI30" s="119"/>
      <c r="AJ30" s="119"/>
      <c r="AK30" s="119"/>
      <c r="AL30" s="119"/>
      <c r="AM30" s="119"/>
      <c r="AN30" s="119"/>
      <c r="AO30" s="119"/>
      <c r="AP30" s="119"/>
      <c r="AQ30" s="119"/>
      <c r="AR30" s="119"/>
      <c r="AS30" s="119"/>
      <c r="AT30" s="119"/>
      <c r="AU30" s="119"/>
      <c r="AV30" s="119"/>
      <c r="AW30" s="119"/>
      <c r="AX30" s="119"/>
      <c r="AY30" s="119"/>
      <c r="AZ30" s="119"/>
      <c r="BA30" s="119"/>
      <c r="BB30" s="119"/>
      <c r="BC30" s="119"/>
      <c r="BD30" s="119"/>
      <c r="BE30" s="119"/>
      <c r="BF30" s="119"/>
      <c r="BG30" s="119"/>
      <c r="BH30" s="119"/>
      <c r="BI30" s="119"/>
      <c r="BJ30" s="119"/>
      <c r="BK30" s="119"/>
      <c r="BL30" s="119"/>
    </row>
    <row r="31" spans="1:64" x14ac:dyDescent="0.2">
      <c r="A31" s="7"/>
      <c r="B31" s="7"/>
      <c r="C31" s="7">
        <f t="shared" si="14"/>
        <v>2019</v>
      </c>
      <c r="D31" s="7">
        <f t="shared" si="15"/>
        <v>2</v>
      </c>
      <c r="E31" s="7">
        <v>178</v>
      </c>
      <c r="F31" s="123">
        <f>high_v2_m!D19+temporary_pension_bonus_high!B19</f>
        <v>17659669.315915</v>
      </c>
      <c r="G31" s="123">
        <f>high_v2_m!E19+temporary_pension_bonus_high!B19</f>
        <v>16954700.2863832</v>
      </c>
      <c r="H31" s="41">
        <f t="shared" si="0"/>
        <v>17462601.05176381</v>
      </c>
      <c r="I31" s="41">
        <f t="shared" si="1"/>
        <v>16763544.070156546</v>
      </c>
      <c r="J31" s="123">
        <f>high_v2_m!J19</f>
        <v>197068.26415119</v>
      </c>
      <c r="K31" s="123">
        <f>high_v2_m!K19</f>
        <v>191156.21622665401</v>
      </c>
      <c r="L31" s="41">
        <f t="shared" si="2"/>
        <v>699056.98160726391</v>
      </c>
      <c r="M31" s="41">
        <f t="shared" si="3"/>
        <v>5912.0479245359893</v>
      </c>
      <c r="N31" s="123">
        <f>SUM(high_v5_m!C19:J19)</f>
        <v>2980423.458854272</v>
      </c>
      <c r="O31" s="7"/>
      <c r="P31" s="7"/>
      <c r="Q31" s="41">
        <f t="shared" si="5"/>
        <v>92228073.428879574</v>
      </c>
      <c r="R31" s="41"/>
      <c r="S31" s="41"/>
      <c r="T31" s="7"/>
      <c r="U31" s="7"/>
      <c r="V31" s="41">
        <f t="shared" si="13"/>
        <v>1051685.1014771119</v>
      </c>
      <c r="W31" s="41">
        <f t="shared" si="9"/>
        <v>32526.34334465459</v>
      </c>
      <c r="X31" s="41">
        <f t="shared" si="10"/>
        <v>19311436.753980428</v>
      </c>
      <c r="Y31" s="41">
        <f t="shared" si="11"/>
        <v>15465431.496331856</v>
      </c>
      <c r="Z31" s="41">
        <f t="shared" si="12"/>
        <v>3846005.2576485737</v>
      </c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</row>
    <row r="32" spans="1:64" x14ac:dyDescent="0.2">
      <c r="A32" s="7"/>
      <c r="B32" s="7"/>
      <c r="C32" s="7">
        <f t="shared" si="14"/>
        <v>2019</v>
      </c>
      <c r="D32" s="7">
        <f t="shared" si="15"/>
        <v>3</v>
      </c>
      <c r="E32" s="7">
        <v>179</v>
      </c>
      <c r="F32" s="123">
        <f>high_v2_m!D20+temporary_pension_bonus_high!B20</f>
        <v>18043782.4017957</v>
      </c>
      <c r="G32" s="123">
        <f>high_v2_m!E20+temporary_pension_bonus_high!B20</f>
        <v>17321944.659601901</v>
      </c>
      <c r="H32" s="41">
        <f t="shared" si="0"/>
        <v>17855771.175579567</v>
      </c>
      <c r="I32" s="41">
        <f t="shared" si="1"/>
        <v>17139573.77017225</v>
      </c>
      <c r="J32" s="123">
        <f>high_v2_m!J20</f>
        <v>188011.226216134</v>
      </c>
      <c r="K32" s="123">
        <f>high_v2_m!K20</f>
        <v>182370.88942965001</v>
      </c>
      <c r="L32" s="41">
        <f t="shared" si="2"/>
        <v>716197.40540731698</v>
      </c>
      <c r="M32" s="41">
        <f t="shared" si="3"/>
        <v>5640.3367864839965</v>
      </c>
      <c r="N32" s="123">
        <f>SUM(high_v5_m!C20:J20)</f>
        <v>2896025.9291158468</v>
      </c>
      <c r="O32" s="7"/>
      <c r="P32" s="7"/>
      <c r="Q32" s="41">
        <f t="shared" si="5"/>
        <v>94296877.891667843</v>
      </c>
      <c r="R32" s="41"/>
      <c r="S32" s="41"/>
      <c r="T32" s="7"/>
      <c r="U32" s="7"/>
      <c r="V32" s="41">
        <f t="shared" si="13"/>
        <v>1003350.8255304612</v>
      </c>
      <c r="W32" s="41">
        <f t="shared" si="9"/>
        <v>31031.468830838872</v>
      </c>
      <c r="X32" s="41">
        <f t="shared" si="10"/>
        <v>18967799.125464037</v>
      </c>
      <c r="Y32" s="41">
        <f t="shared" si="11"/>
        <v>15027492.313310191</v>
      </c>
      <c r="Z32" s="41">
        <f t="shared" si="12"/>
        <v>3940306.8121538465</v>
      </c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</row>
    <row r="33" spans="1:64" x14ac:dyDescent="0.2">
      <c r="A33" s="7"/>
      <c r="B33" s="7"/>
      <c r="C33" s="7">
        <f t="shared" si="14"/>
        <v>2019</v>
      </c>
      <c r="D33" s="7">
        <f t="shared" si="15"/>
        <v>4</v>
      </c>
      <c r="E33" s="7">
        <v>180</v>
      </c>
      <c r="F33" s="123">
        <f>high_v2_m!D21+temporary_pension_bonus_high!B21</f>
        <v>17819626.371831302</v>
      </c>
      <c r="G33" s="123">
        <f>high_v2_m!E21+temporary_pension_bonus_high!B21</f>
        <v>17105814.258719001</v>
      </c>
      <c r="H33" s="41">
        <f t="shared" si="0"/>
        <v>17624929.647039261</v>
      </c>
      <c r="I33" s="41">
        <f t="shared" si="1"/>
        <v>16916958.435670722</v>
      </c>
      <c r="J33" s="123">
        <f>high_v2_m!J21</f>
        <v>194696.72479204001</v>
      </c>
      <c r="K33" s="123">
        <f>high_v2_m!K21</f>
        <v>188855.82304827901</v>
      </c>
      <c r="L33" s="41">
        <f t="shared" si="2"/>
        <v>707971.21136853844</v>
      </c>
      <c r="M33" s="41">
        <f t="shared" si="3"/>
        <v>5840.9017437610019</v>
      </c>
      <c r="N33" s="123">
        <f>SUM(high_v5_m!C21:J21)</f>
        <v>3098515.7822725275</v>
      </c>
      <c r="O33" s="7"/>
      <c r="P33" s="7"/>
      <c r="Q33" s="41">
        <f t="shared" si="5"/>
        <v>93072114.003382877</v>
      </c>
      <c r="R33" s="41"/>
      <c r="S33" s="41"/>
      <c r="T33" s="7"/>
      <c r="U33" s="7"/>
      <c r="V33" s="41">
        <f t="shared" si="13"/>
        <v>1039029.016935409</v>
      </c>
      <c r="W33" s="41">
        <f t="shared" si="9"/>
        <v>32134.91804954761</v>
      </c>
      <c r="X33" s="41">
        <f t="shared" si="10"/>
        <v>19973261.843608588</v>
      </c>
      <c r="Y33" s="41">
        <f t="shared" si="11"/>
        <v>16078213.123936471</v>
      </c>
      <c r="Z33" s="41">
        <f t="shared" si="12"/>
        <v>3895048.7196721178</v>
      </c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</row>
    <row r="34" spans="1:64" x14ac:dyDescent="0.2">
      <c r="A34" s="119"/>
      <c r="B34" s="5"/>
      <c r="C34" s="119">
        <f t="shared" si="14"/>
        <v>2020</v>
      </c>
      <c r="D34" s="119">
        <f t="shared" si="15"/>
        <v>1</v>
      </c>
      <c r="E34" s="119">
        <v>181</v>
      </c>
      <c r="F34" s="121">
        <f>high_v2_m!D22+temporary_pension_bonus_high!B22</f>
        <v>19685675.665658001</v>
      </c>
      <c r="G34" s="121">
        <f>high_v2_m!E22+temporary_pension_bonus_high!B22</f>
        <v>18978997.4433662</v>
      </c>
      <c r="H34" s="8">
        <f t="shared" si="0"/>
        <v>19471643.35382035</v>
      </c>
      <c r="I34" s="8">
        <f t="shared" si="1"/>
        <v>18771386.100883681</v>
      </c>
      <c r="J34" s="121">
        <f>high_v2_m!J22</f>
        <v>214032.311837649</v>
      </c>
      <c r="K34" s="121">
        <f>high_v2_m!K22</f>
        <v>207611.34248252001</v>
      </c>
      <c r="L34" s="8">
        <f t="shared" si="2"/>
        <v>700257.25293666869</v>
      </c>
      <c r="M34" s="8">
        <f t="shared" si="3"/>
        <v>6420.9693551289965</v>
      </c>
      <c r="N34" s="121">
        <f>SUM(high_v5_m!C22:J22)</f>
        <v>3396317.5537646306</v>
      </c>
      <c r="O34" s="5"/>
      <c r="P34" s="5"/>
      <c r="Q34" s="8">
        <f t="shared" si="5"/>
        <v>103274627.87276714</v>
      </c>
      <c r="R34" s="8"/>
      <c r="S34" s="8"/>
      <c r="T34" s="5"/>
      <c r="U34" s="5"/>
      <c r="V34" s="8">
        <f t="shared" si="13"/>
        <v>1142216.3510897316</v>
      </c>
      <c r="W34" s="8">
        <f t="shared" si="9"/>
        <v>35326.278899679739</v>
      </c>
      <c r="X34" s="8">
        <f t="shared" si="10"/>
        <v>21476116.728264719</v>
      </c>
      <c r="Y34" s="8">
        <f t="shared" si="11"/>
        <v>17623507.931899056</v>
      </c>
      <c r="Z34" s="8">
        <f t="shared" si="12"/>
        <v>3852608.7963656639</v>
      </c>
      <c r="AA34" s="119"/>
      <c r="AB34" s="119"/>
      <c r="AC34" s="119"/>
      <c r="AD34" s="119"/>
      <c r="AE34" s="119"/>
      <c r="AF34" s="119"/>
      <c r="AG34" s="119"/>
      <c r="AH34" s="119"/>
      <c r="AI34" s="119"/>
      <c r="AJ34" s="119"/>
      <c r="AK34" s="119"/>
      <c r="AL34" s="119"/>
      <c r="AM34" s="119"/>
      <c r="AN34" s="119"/>
      <c r="AO34" s="119"/>
      <c r="AP34" s="119"/>
      <c r="AQ34" s="119"/>
      <c r="AR34" s="119"/>
      <c r="AS34" s="119"/>
      <c r="AT34" s="119"/>
      <c r="AU34" s="119"/>
      <c r="AV34" s="119"/>
      <c r="AW34" s="119"/>
      <c r="AX34" s="119"/>
      <c r="AY34" s="119"/>
      <c r="AZ34" s="119"/>
      <c r="BA34" s="119"/>
      <c r="BB34" s="119"/>
      <c r="BC34" s="119"/>
      <c r="BD34" s="119"/>
      <c r="BE34" s="119"/>
      <c r="BF34" s="119"/>
      <c r="BG34" s="119"/>
      <c r="BH34" s="119"/>
      <c r="BI34" s="119"/>
      <c r="BJ34" s="119"/>
      <c r="BK34" s="119"/>
      <c r="BL34" s="119"/>
    </row>
    <row r="35" spans="1:64" x14ac:dyDescent="0.2">
      <c r="A35" s="7"/>
      <c r="B35" s="7"/>
      <c r="C35" s="7">
        <f t="shared" si="14"/>
        <v>2020</v>
      </c>
      <c r="D35" s="7">
        <f t="shared" si="15"/>
        <v>2</v>
      </c>
      <c r="E35" s="7">
        <v>182</v>
      </c>
      <c r="F35" s="123">
        <f>high_v2_m!D23+temporary_pension_bonus_high!B23</f>
        <v>17672189.690334801</v>
      </c>
      <c r="G35" s="123">
        <f>high_v2_m!E23+temporary_pension_bonus_high!B23</f>
        <v>16962916.8843504</v>
      </c>
      <c r="H35" s="41">
        <f t="shared" si="0"/>
        <v>17433708.541931327</v>
      </c>
      <c r="I35" s="41">
        <f t="shared" si="1"/>
        <v>16731590.170399033</v>
      </c>
      <c r="J35" s="123">
        <f>high_v2_m!J23</f>
        <v>238481.14840347201</v>
      </c>
      <c r="K35" s="123">
        <f>high_v2_m!K23</f>
        <v>231326.713951368</v>
      </c>
      <c r="L35" s="41">
        <f t="shared" si="2"/>
        <v>702118.3715322949</v>
      </c>
      <c r="M35" s="41">
        <f t="shared" si="3"/>
        <v>7154.4344521040039</v>
      </c>
      <c r="N35" s="123">
        <f>SUM(high_v5_m!C23:J23)</f>
        <v>2487678.499609834</v>
      </c>
      <c r="O35" s="7"/>
      <c r="P35" s="7"/>
      <c r="Q35" s="41">
        <f t="shared" si="5"/>
        <v>92052272.500338361</v>
      </c>
      <c r="R35" s="41"/>
      <c r="S35" s="41"/>
      <c r="T35" s="7"/>
      <c r="U35" s="7"/>
      <c r="V35" s="41">
        <f t="shared" si="13"/>
        <v>1272691.3277455268</v>
      </c>
      <c r="W35" s="41">
        <f t="shared" si="9"/>
        <v>39361.587456046334</v>
      </c>
      <c r="X35" s="41">
        <f t="shared" si="10"/>
        <v>16771423.682161519</v>
      </c>
      <c r="Y35" s="41">
        <f t="shared" si="11"/>
        <v>12908575.560401481</v>
      </c>
      <c r="Z35" s="41">
        <f t="shared" si="12"/>
        <v>3862848.1217600382</v>
      </c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</row>
    <row r="36" spans="1:64" x14ac:dyDescent="0.2">
      <c r="A36" s="7"/>
      <c r="B36" s="7"/>
      <c r="C36" s="7">
        <f t="shared" si="14"/>
        <v>2020</v>
      </c>
      <c r="D36" s="7">
        <f t="shared" si="15"/>
        <v>3</v>
      </c>
      <c r="E36" s="7">
        <v>183</v>
      </c>
      <c r="F36" s="123">
        <f>high_v2_m!D24+temporary_pension_bonus_high!B24</f>
        <v>17589171.413171999</v>
      </c>
      <c r="G36" s="123">
        <f>high_v2_m!E24+temporary_pension_bonus_high!B24</f>
        <v>16880824.800668899</v>
      </c>
      <c r="H36" s="41">
        <f t="shared" ref="H36:H67" si="17">F36-J36</f>
        <v>17326126.198160172</v>
      </c>
      <c r="I36" s="41">
        <f t="shared" ref="I36:I67" si="18">G36-K36</f>
        <v>16625670.942107426</v>
      </c>
      <c r="J36" s="123">
        <f>high_v2_m!J24</f>
        <v>263045.215011828</v>
      </c>
      <c r="K36" s="123">
        <f>high_v2_m!K24</f>
        <v>255153.858561473</v>
      </c>
      <c r="L36" s="41">
        <f t="shared" ref="L36:L67" si="19">H36-I36</f>
        <v>700455.25605274551</v>
      </c>
      <c r="M36" s="41">
        <f t="shared" ref="M36:M67" si="20">J36-K36</f>
        <v>7891.3564503550006</v>
      </c>
      <c r="N36" s="123">
        <f>SUM(high_v5_m!C24:J24)</f>
        <v>2399312.6634905371</v>
      </c>
      <c r="O36" s="7"/>
      <c r="P36" s="7"/>
      <c r="Q36" s="41">
        <f t="shared" ref="Q36:Q67" si="21">I36*5.5017049523</f>
        <v>91469536.157502636</v>
      </c>
      <c r="R36" s="41"/>
      <c r="S36" s="41"/>
      <c r="T36" s="7"/>
      <c r="U36" s="7"/>
      <c r="V36" s="41">
        <f t="shared" si="13"/>
        <v>1403781.2472461096</v>
      </c>
      <c r="W36" s="41">
        <f t="shared" si="9"/>
        <v>43415.914863282655</v>
      </c>
      <c r="X36" s="41">
        <f t="shared" si="10"/>
        <v>16303742.967794891</v>
      </c>
      <c r="Y36" s="41">
        <f t="shared" si="11"/>
        <v>12450044.816704936</v>
      </c>
      <c r="Z36" s="41">
        <f t="shared" si="12"/>
        <v>3853698.1510899547</v>
      </c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</row>
    <row r="37" spans="1:64" x14ac:dyDescent="0.2">
      <c r="A37" s="7"/>
      <c r="B37" s="7"/>
      <c r="C37" s="7">
        <f t="shared" si="14"/>
        <v>2020</v>
      </c>
      <c r="D37" s="7">
        <f t="shared" si="15"/>
        <v>4</v>
      </c>
      <c r="E37" s="7">
        <v>184</v>
      </c>
      <c r="F37" s="123">
        <f>high_v2_m!D25+temporary_pension_bonus_high!B25</f>
        <v>18014919.835101899</v>
      </c>
      <c r="G37" s="123">
        <f>high_v2_m!E25+temporary_pension_bonus_high!B25</f>
        <v>17288243.3488141</v>
      </c>
      <c r="H37" s="41">
        <f t="shared" si="17"/>
        <v>17725664.685793057</v>
      </c>
      <c r="I37" s="41">
        <f t="shared" si="18"/>
        <v>17007665.853984524</v>
      </c>
      <c r="J37" s="123">
        <f>high_v2_m!J25</f>
        <v>289255.14930884301</v>
      </c>
      <c r="K37" s="123">
        <f>high_v2_m!K25</f>
        <v>280577.49482957798</v>
      </c>
      <c r="L37" s="41">
        <f t="shared" si="19"/>
        <v>717998.83180853352</v>
      </c>
      <c r="M37" s="41">
        <f t="shared" si="20"/>
        <v>8677.6544792650384</v>
      </c>
      <c r="N37" s="123">
        <f>SUM(high_v5_m!C25:J25)</f>
        <v>2369556.9229735835</v>
      </c>
      <c r="O37" s="7"/>
      <c r="P37" s="7"/>
      <c r="Q37" s="41">
        <f t="shared" si="21"/>
        <v>93571159.455930263</v>
      </c>
      <c r="R37" s="41"/>
      <c r="S37" s="41"/>
      <c r="T37" s="7"/>
      <c r="U37" s="7"/>
      <c r="V37" s="41">
        <f t="shared" si="13"/>
        <v>1543654.5928078168</v>
      </c>
      <c r="W37" s="41">
        <f t="shared" si="9"/>
        <v>47741.894622920736</v>
      </c>
      <c r="X37" s="41">
        <f t="shared" si="10"/>
        <v>16245859.866416249</v>
      </c>
      <c r="Y37" s="41">
        <f t="shared" si="11"/>
        <v>12295642.137709625</v>
      </c>
      <c r="Z37" s="41">
        <f t="shared" si="12"/>
        <v>3950217.7287066234</v>
      </c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</row>
    <row r="38" spans="1:64" x14ac:dyDescent="0.2">
      <c r="A38" s="119"/>
      <c r="B38" s="5"/>
      <c r="C38" s="119">
        <f t="shared" si="14"/>
        <v>2021</v>
      </c>
      <c r="D38" s="119">
        <f t="shared" si="15"/>
        <v>1</v>
      </c>
      <c r="E38" s="119">
        <v>185</v>
      </c>
      <c r="F38" s="121">
        <f>high_v2_m!D26+temporary_pension_bonus_high!B26</f>
        <v>19228172.086873699</v>
      </c>
      <c r="G38" s="121">
        <f>high_v2_m!E26+temporary_pension_bonus_high!B26</f>
        <v>18450314.218535598</v>
      </c>
      <c r="H38" s="8">
        <f t="shared" si="17"/>
        <v>18892572.26993303</v>
      </c>
      <c r="I38" s="8">
        <f t="shared" si="18"/>
        <v>18124782.396103147</v>
      </c>
      <c r="J38" s="121">
        <f>high_v2_m!J26</f>
        <v>335599.81694067002</v>
      </c>
      <c r="K38" s="121">
        <f>high_v2_m!K26</f>
        <v>325531.82243245002</v>
      </c>
      <c r="L38" s="8">
        <f t="shared" si="19"/>
        <v>767789.87382988259</v>
      </c>
      <c r="M38" s="8">
        <f t="shared" si="20"/>
        <v>10067.994508219999</v>
      </c>
      <c r="N38" s="121">
        <f>SUM(high_v5_m!C26:J26)</f>
        <v>2888365.4728951505</v>
      </c>
      <c r="O38" s="5"/>
      <c r="P38" s="5"/>
      <c r="Q38" s="8">
        <f t="shared" si="21"/>
        <v>99717205.06800054</v>
      </c>
      <c r="R38" s="8"/>
      <c r="S38" s="8"/>
      <c r="T38" s="5"/>
      <c r="U38" s="5"/>
      <c r="V38" s="8">
        <f t="shared" si="13"/>
        <v>1790980.0396078546</v>
      </c>
      <c r="W38" s="8">
        <f t="shared" si="9"/>
        <v>55391.135245603175</v>
      </c>
      <c r="X38" s="8">
        <f t="shared" si="10"/>
        <v>19211895.520740379</v>
      </c>
      <c r="Y38" s="8">
        <f t="shared" si="11"/>
        <v>14987742.16956472</v>
      </c>
      <c r="Z38" s="8">
        <f t="shared" si="12"/>
        <v>4224153.3511756575</v>
      </c>
      <c r="AA38" s="119"/>
      <c r="AB38" s="119"/>
      <c r="AC38" s="119"/>
      <c r="AD38" s="119"/>
      <c r="AE38" s="119"/>
      <c r="AF38" s="119"/>
      <c r="AG38" s="119"/>
      <c r="AH38" s="119"/>
      <c r="AI38" s="119"/>
      <c r="AJ38" s="119"/>
      <c r="AK38" s="119"/>
      <c r="AL38" s="119"/>
      <c r="AM38" s="119"/>
      <c r="AN38" s="119"/>
      <c r="AO38" s="119"/>
      <c r="AP38" s="119"/>
      <c r="AQ38" s="119"/>
      <c r="AR38" s="119"/>
      <c r="AS38" s="119"/>
      <c r="AT38" s="119"/>
      <c r="AU38" s="119"/>
      <c r="AV38" s="119"/>
      <c r="AW38" s="119"/>
      <c r="AX38" s="119"/>
      <c r="AY38" s="119"/>
      <c r="AZ38" s="119"/>
      <c r="BA38" s="119"/>
      <c r="BB38" s="119"/>
      <c r="BC38" s="119"/>
      <c r="BD38" s="119"/>
      <c r="BE38" s="119"/>
      <c r="BF38" s="119"/>
      <c r="BG38" s="119"/>
      <c r="BH38" s="119"/>
      <c r="BI38" s="119"/>
      <c r="BJ38" s="119"/>
      <c r="BK38" s="119"/>
      <c r="BL38" s="119"/>
    </row>
    <row r="39" spans="1:64" x14ac:dyDescent="0.2">
      <c r="A39" s="7"/>
      <c r="B39" s="7"/>
      <c r="C39" s="7">
        <f t="shared" si="14"/>
        <v>2021</v>
      </c>
      <c r="D39" s="7">
        <f t="shared" si="15"/>
        <v>2</v>
      </c>
      <c r="E39" s="7">
        <v>186</v>
      </c>
      <c r="F39" s="123">
        <f>high_v2_m!D27+temporary_pension_bonus_high!B27</f>
        <v>19235041.405781101</v>
      </c>
      <c r="G39" s="123">
        <f>high_v2_m!E27+temporary_pension_bonus_high!B27</f>
        <v>18455305.650128402</v>
      </c>
      <c r="H39" s="41">
        <f t="shared" si="17"/>
        <v>18884547.667383358</v>
      </c>
      <c r="I39" s="41">
        <f t="shared" si="18"/>
        <v>18115326.723882589</v>
      </c>
      <c r="J39" s="123">
        <f>high_v2_m!J27</f>
        <v>350493.73839774402</v>
      </c>
      <c r="K39" s="123">
        <f>high_v2_m!K27</f>
        <v>339978.92624581198</v>
      </c>
      <c r="L39" s="41">
        <f t="shared" si="19"/>
        <v>769220.94350076839</v>
      </c>
      <c r="M39" s="41">
        <f t="shared" si="20"/>
        <v>10514.812151932041</v>
      </c>
      <c r="N39" s="123">
        <f>SUM(high_v5_m!C27:J27)</f>
        <v>2559501.7542748763</v>
      </c>
      <c r="O39" s="7"/>
      <c r="P39" s="7"/>
      <c r="Q39" s="41">
        <f t="shared" si="21"/>
        <v>99665182.749317378</v>
      </c>
      <c r="R39" s="41"/>
      <c r="S39" s="41"/>
      <c r="T39" s="7"/>
      <c r="U39" s="7"/>
      <c r="V39" s="41">
        <f t="shared" si="13"/>
        <v>1870463.7422042203</v>
      </c>
      <c r="W39" s="41">
        <f t="shared" si="9"/>
        <v>57849.394088788729</v>
      </c>
      <c r="X39" s="41">
        <f t="shared" si="10"/>
        <v>17513293.444562826</v>
      </c>
      <c r="Y39" s="41">
        <f t="shared" si="11"/>
        <v>13281266.770291772</v>
      </c>
      <c r="Z39" s="41">
        <f t="shared" si="12"/>
        <v>4232026.6742710555</v>
      </c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</row>
    <row r="40" spans="1:64" x14ac:dyDescent="0.2">
      <c r="A40" s="7"/>
      <c r="B40" s="7"/>
      <c r="C40" s="7">
        <f t="shared" si="14"/>
        <v>2021</v>
      </c>
      <c r="D40" s="7">
        <f t="shared" si="15"/>
        <v>3</v>
      </c>
      <c r="E40" s="7">
        <v>187</v>
      </c>
      <c r="F40" s="123">
        <f>high_v2_m!D28+temporary_pension_bonus_high!B28</f>
        <v>19415848.963606399</v>
      </c>
      <c r="G40" s="123">
        <f>high_v2_m!E28+temporary_pension_bonus_high!B28</f>
        <v>18628054.504999999</v>
      </c>
      <c r="H40" s="41">
        <f t="shared" si="17"/>
        <v>19026958.054342687</v>
      </c>
      <c r="I40" s="41">
        <f t="shared" si="18"/>
        <v>18250830.3230142</v>
      </c>
      <c r="J40" s="123">
        <f>high_v2_m!J28</f>
        <v>388890.909263712</v>
      </c>
      <c r="K40" s="123">
        <f>high_v2_m!K28</f>
        <v>377224.18198580103</v>
      </c>
      <c r="L40" s="41">
        <f t="shared" si="19"/>
        <v>776127.7313284874</v>
      </c>
      <c r="M40" s="41">
        <f t="shared" si="20"/>
        <v>11666.727277910977</v>
      </c>
      <c r="N40" s="123">
        <f>SUM(high_v5_m!C28:J28)</f>
        <v>2492511.0376853542</v>
      </c>
      <c r="O40" s="7"/>
      <c r="P40" s="7"/>
      <c r="Q40" s="41">
        <f t="shared" si="21"/>
        <v>100410683.57171422</v>
      </c>
      <c r="R40" s="41"/>
      <c r="S40" s="41"/>
      <c r="T40" s="7"/>
      <c r="U40" s="7"/>
      <c r="V40" s="41">
        <f t="shared" si="13"/>
        <v>2075376.1501585979</v>
      </c>
      <c r="W40" s="41">
        <f t="shared" si="9"/>
        <v>64186.891242016318</v>
      </c>
      <c r="X40" s="41">
        <f t="shared" si="10"/>
        <v>17203677.406515576</v>
      </c>
      <c r="Y40" s="41">
        <f t="shared" si="11"/>
        <v>12933651.623448273</v>
      </c>
      <c r="Z40" s="41">
        <f t="shared" si="12"/>
        <v>4270025.7830673028</v>
      </c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</row>
    <row r="41" spans="1:64" x14ac:dyDescent="0.2">
      <c r="A41" s="7"/>
      <c r="B41" s="7"/>
      <c r="C41" s="7">
        <f t="shared" si="14"/>
        <v>2021</v>
      </c>
      <c r="D41" s="7">
        <f t="shared" si="15"/>
        <v>4</v>
      </c>
      <c r="E41" s="7">
        <v>188</v>
      </c>
      <c r="F41" s="123">
        <f>high_v2_m!D29+temporary_pension_bonus_high!B29</f>
        <v>19767667.241868202</v>
      </c>
      <c r="G41" s="123">
        <f>high_v2_m!E29+temporary_pension_bonus_high!B29</f>
        <v>18963891.719891399</v>
      </c>
      <c r="H41" s="41">
        <f t="shared" si="17"/>
        <v>19354561.247671392</v>
      </c>
      <c r="I41" s="41">
        <f t="shared" si="18"/>
        <v>18563178.905520495</v>
      </c>
      <c r="J41" s="123">
        <f>high_v2_m!J29</f>
        <v>413105.99419680802</v>
      </c>
      <c r="K41" s="123">
        <f>high_v2_m!K29</f>
        <v>400712.814370904</v>
      </c>
      <c r="L41" s="41">
        <f t="shared" si="19"/>
        <v>791382.34215089679</v>
      </c>
      <c r="M41" s="41">
        <f t="shared" si="20"/>
        <v>12393.179825904022</v>
      </c>
      <c r="N41" s="123">
        <f>SUM(high_v5_m!C29:J29)</f>
        <v>2496128.438454072</v>
      </c>
      <c r="O41" s="7"/>
      <c r="P41" s="7"/>
      <c r="Q41" s="41">
        <f t="shared" si="21"/>
        <v>102129133.314933</v>
      </c>
      <c r="R41" s="41"/>
      <c r="S41" s="41"/>
      <c r="T41" s="7"/>
      <c r="U41" s="7"/>
      <c r="V41" s="41">
        <f t="shared" si="13"/>
        <v>2204603.6752744731</v>
      </c>
      <c r="W41" s="41">
        <f t="shared" si="9"/>
        <v>68183.618822920616</v>
      </c>
      <c r="X41" s="41">
        <f t="shared" si="10"/>
        <v>17306374.484207913</v>
      </c>
      <c r="Y41" s="41">
        <f t="shared" si="11"/>
        <v>12952422.33323355</v>
      </c>
      <c r="Z41" s="41">
        <f t="shared" si="12"/>
        <v>4353952.1509743622</v>
      </c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</row>
    <row r="42" spans="1:64" x14ac:dyDescent="0.2">
      <c r="A42" s="119"/>
      <c r="B42" s="5"/>
      <c r="C42" s="119">
        <f t="shared" si="14"/>
        <v>2022</v>
      </c>
      <c r="D42" s="119">
        <f t="shared" si="15"/>
        <v>1</v>
      </c>
      <c r="E42" s="119">
        <v>189</v>
      </c>
      <c r="F42" s="121">
        <f>high_v2_m!D30+temporary_pension_bonus_high!B30</f>
        <v>20117014.6531322</v>
      </c>
      <c r="G42" s="121">
        <f>high_v2_m!E30+temporary_pension_bonus_high!B30</f>
        <v>19297054.336591002</v>
      </c>
      <c r="H42" s="8">
        <f t="shared" si="17"/>
        <v>19669311.848917205</v>
      </c>
      <c r="I42" s="8">
        <f t="shared" si="18"/>
        <v>18862782.616502456</v>
      </c>
      <c r="J42" s="121">
        <f>high_v2_m!J30</f>
        <v>447702.80421499402</v>
      </c>
      <c r="K42" s="121">
        <f>high_v2_m!K30</f>
        <v>434271.72008854401</v>
      </c>
      <c r="L42" s="8">
        <f t="shared" si="19"/>
        <v>806529.23241474852</v>
      </c>
      <c r="M42" s="8">
        <f t="shared" si="20"/>
        <v>13431.084126450005</v>
      </c>
      <c r="N42" s="121">
        <f>SUM(high_v5_m!C30:J30)</f>
        <v>3058716.8061694866</v>
      </c>
      <c r="O42" s="5"/>
      <c r="P42" s="5"/>
      <c r="Q42" s="8">
        <f t="shared" si="21"/>
        <v>103777464.53536992</v>
      </c>
      <c r="R42" s="8"/>
      <c r="S42" s="8"/>
      <c r="T42" s="5"/>
      <c r="U42" s="5"/>
      <c r="V42" s="8">
        <f t="shared" si="13"/>
        <v>2389234.8730549822</v>
      </c>
      <c r="W42" s="8">
        <f t="shared" si="9"/>
        <v>73893.862053247911</v>
      </c>
      <c r="X42" s="8">
        <f t="shared" si="10"/>
        <v>20308981.91989236</v>
      </c>
      <c r="Y42" s="8">
        <f t="shared" si="11"/>
        <v>15871696.047741419</v>
      </c>
      <c r="Z42" s="8">
        <f t="shared" si="12"/>
        <v>4437285.8721509399</v>
      </c>
      <c r="AA42" s="119"/>
      <c r="AB42" s="119"/>
      <c r="AC42" s="119"/>
      <c r="AD42" s="119"/>
      <c r="AE42" s="119"/>
      <c r="AF42" s="119"/>
      <c r="AG42" s="119"/>
      <c r="AH42" s="119"/>
      <c r="AI42" s="119"/>
      <c r="AJ42" s="119"/>
      <c r="AK42" s="119"/>
      <c r="AL42" s="119"/>
      <c r="AM42" s="119"/>
      <c r="AN42" s="119"/>
      <c r="AO42" s="119"/>
      <c r="AP42" s="119"/>
      <c r="AQ42" s="119"/>
      <c r="AR42" s="119"/>
      <c r="AS42" s="119"/>
      <c r="AT42" s="119"/>
      <c r="AU42" s="119"/>
      <c r="AV42" s="119"/>
      <c r="AW42" s="119"/>
      <c r="AX42" s="119"/>
      <c r="AY42" s="119"/>
      <c r="AZ42" s="119"/>
      <c r="BA42" s="119"/>
      <c r="BB42" s="119"/>
      <c r="BC42" s="119"/>
      <c r="BD42" s="119"/>
      <c r="BE42" s="119"/>
      <c r="BF42" s="119"/>
      <c r="BG42" s="119"/>
      <c r="BH42" s="119"/>
      <c r="BI42" s="119"/>
      <c r="BJ42" s="119"/>
      <c r="BK42" s="119"/>
      <c r="BL42" s="119"/>
    </row>
    <row r="43" spans="1:64" x14ac:dyDescent="0.2">
      <c r="A43" s="7"/>
      <c r="B43" s="7"/>
      <c r="C43" s="7">
        <f t="shared" si="14"/>
        <v>2022</v>
      </c>
      <c r="D43" s="7">
        <f t="shared" si="15"/>
        <v>2</v>
      </c>
      <c r="E43" s="7">
        <v>190</v>
      </c>
      <c r="F43" s="123">
        <f>high_v2_m!D31+temporary_pension_bonus_high!B31</f>
        <v>20534030.688536402</v>
      </c>
      <c r="G43" s="123">
        <f>high_v2_m!E31+temporary_pension_bonus_high!B31</f>
        <v>19694936.175707102</v>
      </c>
      <c r="H43" s="41">
        <f t="shared" si="17"/>
        <v>20059250.434848752</v>
      </c>
      <c r="I43" s="41">
        <f t="shared" si="18"/>
        <v>19234399.329630081</v>
      </c>
      <c r="J43" s="123">
        <f>high_v2_m!J31</f>
        <v>474780.25368765002</v>
      </c>
      <c r="K43" s="123">
        <f>high_v2_m!K31</f>
        <v>460536.84607702098</v>
      </c>
      <c r="L43" s="41">
        <f t="shared" si="19"/>
        <v>824851.10521867126</v>
      </c>
      <c r="M43" s="41">
        <f t="shared" si="20"/>
        <v>14243.407610629045</v>
      </c>
      <c r="N43" s="123">
        <f>SUM(high_v5_m!C31:J31)</f>
        <v>2565271.7371131112</v>
      </c>
      <c r="O43" s="7"/>
      <c r="P43" s="7"/>
      <c r="Q43" s="41">
        <f t="shared" si="21"/>
        <v>105821990.04634161</v>
      </c>
      <c r="R43" s="41"/>
      <c r="S43" s="41"/>
      <c r="T43" s="7"/>
      <c r="U43" s="7"/>
      <c r="V43" s="41">
        <f t="shared" si="13"/>
        <v>2533737.8467785693</v>
      </c>
      <c r="W43" s="41">
        <f t="shared" si="9"/>
        <v>78363.026189025331</v>
      </c>
      <c r="X43" s="41">
        <f t="shared" si="10"/>
        <v>17849294.649160407</v>
      </c>
      <c r="Y43" s="41">
        <f t="shared" si="11"/>
        <v>13311207.238668717</v>
      </c>
      <c r="Z43" s="41">
        <f t="shared" si="12"/>
        <v>4538087.4104916919</v>
      </c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</row>
    <row r="44" spans="1:64" x14ac:dyDescent="0.2">
      <c r="A44" s="7"/>
      <c r="B44" s="7"/>
      <c r="C44" s="7">
        <f t="shared" si="14"/>
        <v>2022</v>
      </c>
      <c r="D44" s="7">
        <f t="shared" si="15"/>
        <v>3</v>
      </c>
      <c r="E44" s="7">
        <v>191</v>
      </c>
      <c r="F44" s="123">
        <f>high_v2_m!D32+temporary_pension_bonus_high!B32</f>
        <v>20862161.979795601</v>
      </c>
      <c r="G44" s="123">
        <f>high_v2_m!E32+temporary_pension_bonus_high!B32</f>
        <v>20007561.215065401</v>
      </c>
      <c r="H44" s="41">
        <f t="shared" si="17"/>
        <v>20359370.956955045</v>
      </c>
      <c r="I44" s="41">
        <f t="shared" si="18"/>
        <v>19519853.922910061</v>
      </c>
      <c r="J44" s="123">
        <f>high_v2_m!J32</f>
        <v>502791.02284055698</v>
      </c>
      <c r="K44" s="123">
        <f>high_v2_m!K32</f>
        <v>487707.29215534002</v>
      </c>
      <c r="L44" s="41">
        <f t="shared" si="19"/>
        <v>839517.03404498473</v>
      </c>
      <c r="M44" s="41">
        <f t="shared" si="20"/>
        <v>15083.730685216957</v>
      </c>
      <c r="N44" s="123">
        <f>SUM(high_v5_m!C32:J32)</f>
        <v>2597887.6591791529</v>
      </c>
      <c r="O44" s="7"/>
      <c r="P44" s="7"/>
      <c r="Q44" s="41">
        <f t="shared" si="21"/>
        <v>107392476.99584687</v>
      </c>
      <c r="R44" s="41"/>
      <c r="S44" s="41"/>
      <c r="T44" s="7"/>
      <c r="U44" s="7"/>
      <c r="V44" s="41">
        <f t="shared" si="13"/>
        <v>2683221.6245238571</v>
      </c>
      <c r="W44" s="41">
        <f t="shared" si="9"/>
        <v>82986.235810017606</v>
      </c>
      <c r="X44" s="41">
        <f t="shared" si="10"/>
        <v>18099226.43706448</v>
      </c>
      <c r="Y44" s="41">
        <f t="shared" si="11"/>
        <v>13480451.413318979</v>
      </c>
      <c r="Z44" s="41">
        <f t="shared" si="12"/>
        <v>4618775.0237455005</v>
      </c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</row>
    <row r="45" spans="1:64" x14ac:dyDescent="0.2">
      <c r="A45" s="7"/>
      <c r="B45" s="7"/>
      <c r="C45" s="7">
        <f t="shared" si="14"/>
        <v>2022</v>
      </c>
      <c r="D45" s="7">
        <f t="shared" si="15"/>
        <v>4</v>
      </c>
      <c r="E45" s="7">
        <v>192</v>
      </c>
      <c r="F45" s="123">
        <f>high_v2_m!D33+temporary_pension_bonus_high!B33</f>
        <v>21194056.9955712</v>
      </c>
      <c r="G45" s="123">
        <f>high_v2_m!E33+temporary_pension_bonus_high!B33</f>
        <v>20324018.817912102</v>
      </c>
      <c r="H45" s="41">
        <f t="shared" si="17"/>
        <v>20663606.738621645</v>
      </c>
      <c r="I45" s="41">
        <f t="shared" si="18"/>
        <v>19809482.068671033</v>
      </c>
      <c r="J45" s="123">
        <f>high_v2_m!J33</f>
        <v>530450.25694955699</v>
      </c>
      <c r="K45" s="123">
        <f>high_v2_m!K33</f>
        <v>514536.74924107001</v>
      </c>
      <c r="L45" s="41">
        <f t="shared" si="19"/>
        <v>854124.66995061189</v>
      </c>
      <c r="M45" s="41">
        <f t="shared" si="20"/>
        <v>15913.507708486984</v>
      </c>
      <c r="N45" s="123">
        <f>SUM(high_v5_m!C33:J33)</f>
        <v>2571696.860201335</v>
      </c>
      <c r="O45" s="7"/>
      <c r="P45" s="7"/>
      <c r="Q45" s="41">
        <f t="shared" si="21"/>
        <v>108985925.59970547</v>
      </c>
      <c r="R45" s="41"/>
      <c r="S45" s="41"/>
      <c r="T45" s="7"/>
      <c r="U45" s="7"/>
      <c r="V45" s="41">
        <f t="shared" si="13"/>
        <v>2830829.3814399382</v>
      </c>
      <c r="W45" s="41">
        <f t="shared" si="9"/>
        <v>87551.42416824706</v>
      </c>
      <c r="X45" s="41">
        <f t="shared" si="10"/>
        <v>18043689.159466147</v>
      </c>
      <c r="Y45" s="41">
        <f t="shared" si="11"/>
        <v>13344547.232917262</v>
      </c>
      <c r="Z45" s="41">
        <f t="shared" si="12"/>
        <v>4699141.9265488843</v>
      </c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</row>
    <row r="46" spans="1:64" x14ac:dyDescent="0.2">
      <c r="A46" s="119"/>
      <c r="B46" s="5"/>
      <c r="C46" s="119">
        <f t="shared" si="14"/>
        <v>2023</v>
      </c>
      <c r="D46" s="119">
        <f t="shared" si="15"/>
        <v>1</v>
      </c>
      <c r="E46" s="119">
        <v>193</v>
      </c>
      <c r="F46" s="121">
        <f>high_v2_m!D34+temporary_pension_bonus_high!B34</f>
        <v>21447317.0296253</v>
      </c>
      <c r="G46" s="121">
        <f>high_v2_m!E34+temporary_pension_bonus_high!B34</f>
        <v>20564933.0051037</v>
      </c>
      <c r="H46" s="8">
        <f t="shared" si="17"/>
        <v>20915838.697331034</v>
      </c>
      <c r="I46" s="8">
        <f t="shared" si="18"/>
        <v>20049399.022778261</v>
      </c>
      <c r="J46" s="121">
        <f>high_v2_m!J34</f>
        <v>531478.33229426504</v>
      </c>
      <c r="K46" s="121">
        <f>high_v2_m!K34</f>
        <v>515533.98232543701</v>
      </c>
      <c r="L46" s="8">
        <f t="shared" si="19"/>
        <v>866439.67455277219</v>
      </c>
      <c r="M46" s="8">
        <f t="shared" si="20"/>
        <v>15944.349968828028</v>
      </c>
      <c r="N46" s="121">
        <f>SUM(high_v5_m!C34:J34)</f>
        <v>3163248.0753293387</v>
      </c>
      <c r="O46" s="5"/>
      <c r="P46" s="5"/>
      <c r="Q46" s="8">
        <f t="shared" si="21"/>
        <v>110305877.89425793</v>
      </c>
      <c r="R46" s="8"/>
      <c r="S46" s="8"/>
      <c r="T46" s="5"/>
      <c r="U46" s="5"/>
      <c r="V46" s="8">
        <f t="shared" si="13"/>
        <v>2836315.8636387973</v>
      </c>
      <c r="W46" s="8">
        <f t="shared" ref="W46:W77" si="22">M46*5.5017049523</f>
        <v>87721.109184705507</v>
      </c>
      <c r="X46" s="8">
        <f t="shared" ref="X46:X77" si="23">N46*5.1890047538+L46*5.5017049523</f>
        <v>21181004.748688824</v>
      </c>
      <c r="Y46" s="8">
        <f t="shared" ref="Y46:Y77" si="24">N46*5.1890047538</f>
        <v>16414109.300332639</v>
      </c>
      <c r="Z46" s="8">
        <f t="shared" ref="Z46:Z77" si="25">L46*5.5017049523</f>
        <v>4766895.448356187</v>
      </c>
      <c r="AA46" s="119"/>
      <c r="AB46" s="119"/>
      <c r="AC46" s="119"/>
      <c r="AD46" s="119"/>
      <c r="AE46" s="119"/>
      <c r="AF46" s="119"/>
      <c r="AG46" s="119"/>
      <c r="AH46" s="119"/>
      <c r="AI46" s="119"/>
      <c r="AJ46" s="119"/>
      <c r="AK46" s="119"/>
      <c r="AL46" s="119"/>
      <c r="AM46" s="119"/>
      <c r="AN46" s="119"/>
      <c r="AO46" s="119"/>
      <c r="AP46" s="119"/>
      <c r="AQ46" s="119"/>
      <c r="AR46" s="119"/>
      <c r="AS46" s="119"/>
      <c r="AT46" s="119"/>
      <c r="AU46" s="119"/>
      <c r="AV46" s="119"/>
      <c r="AW46" s="119"/>
      <c r="AX46" s="119"/>
      <c r="AY46" s="119"/>
      <c r="AZ46" s="119"/>
      <c r="BA46" s="119"/>
      <c r="BB46" s="119"/>
      <c r="BC46" s="119"/>
      <c r="BD46" s="119"/>
      <c r="BE46" s="119"/>
      <c r="BF46" s="119"/>
      <c r="BG46" s="119"/>
      <c r="BH46" s="119"/>
      <c r="BI46" s="119"/>
      <c r="BJ46" s="119"/>
      <c r="BK46" s="119"/>
      <c r="BL46" s="119"/>
    </row>
    <row r="47" spans="1:64" x14ac:dyDescent="0.2">
      <c r="A47" s="7"/>
      <c r="B47" s="7"/>
      <c r="C47" s="7">
        <f t="shared" si="14"/>
        <v>2023</v>
      </c>
      <c r="D47" s="7">
        <f t="shared" si="15"/>
        <v>2</v>
      </c>
      <c r="E47" s="7">
        <v>194</v>
      </c>
      <c r="F47" s="123">
        <f>high_v2_m!D35+temporary_pension_bonus_high!B35</f>
        <v>21595572.1373659</v>
      </c>
      <c r="G47" s="123">
        <f>high_v2_m!E35+temporary_pension_bonus_high!B35</f>
        <v>20705325.5356884</v>
      </c>
      <c r="H47" s="41">
        <f t="shared" si="17"/>
        <v>21044087.564231329</v>
      </c>
      <c r="I47" s="41">
        <f t="shared" si="18"/>
        <v>20170385.499747865</v>
      </c>
      <c r="J47" s="123">
        <f>high_v2_m!J35</f>
        <v>551484.57313457096</v>
      </c>
      <c r="K47" s="123">
        <f>high_v2_m!K35</f>
        <v>534940.03594053397</v>
      </c>
      <c r="L47" s="41">
        <f t="shared" si="19"/>
        <v>873702.06448346376</v>
      </c>
      <c r="M47" s="41">
        <f t="shared" si="20"/>
        <v>16544.537194036995</v>
      </c>
      <c r="N47" s="123">
        <f>SUM(high_v5_m!C35:J35)</f>
        <v>2660810.2112775934</v>
      </c>
      <c r="O47" s="7"/>
      <c r="P47" s="7"/>
      <c r="Q47" s="41">
        <f t="shared" si="21"/>
        <v>110971509.79376294</v>
      </c>
      <c r="R47" s="41"/>
      <c r="S47" s="41"/>
      <c r="T47" s="7"/>
      <c r="U47" s="7"/>
      <c r="V47" s="41">
        <f t="shared" ref="V47:V78" si="26">K47*5.5017049523</f>
        <v>2943082.2449175757</v>
      </c>
      <c r="W47" s="41">
        <f t="shared" si="22"/>
        <v>91023.162213944874</v>
      </c>
      <c r="X47" s="41">
        <f t="shared" si="23"/>
        <v>18613807.81028242</v>
      </c>
      <c r="Y47" s="41">
        <f t="shared" si="24"/>
        <v>13806956.835279014</v>
      </c>
      <c r="Z47" s="41">
        <f t="shared" si="25"/>
        <v>4806850.9750034064</v>
      </c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</row>
    <row r="48" spans="1:64" x14ac:dyDescent="0.2">
      <c r="A48" s="7"/>
      <c r="B48" s="7"/>
      <c r="C48" s="7">
        <f t="shared" si="14"/>
        <v>2023</v>
      </c>
      <c r="D48" s="7">
        <f t="shared" si="15"/>
        <v>3</v>
      </c>
      <c r="E48" s="7">
        <v>195</v>
      </c>
      <c r="F48" s="123">
        <f>high_v2_m!D36+temporary_pension_bonus_high!B36</f>
        <v>21818888.5553382</v>
      </c>
      <c r="G48" s="123">
        <f>high_v2_m!E36+temporary_pension_bonus_high!B36</f>
        <v>20917652.4703761</v>
      </c>
      <c r="H48" s="41">
        <f t="shared" si="17"/>
        <v>21235161.33321343</v>
      </c>
      <c r="I48" s="41">
        <f t="shared" si="18"/>
        <v>20351437.064915072</v>
      </c>
      <c r="J48" s="123">
        <f>high_v2_m!J36</f>
        <v>583727.22212477005</v>
      </c>
      <c r="K48" s="123">
        <f>high_v2_m!K36</f>
        <v>566215.40546102705</v>
      </c>
      <c r="L48" s="41">
        <f t="shared" si="19"/>
        <v>883724.26829835773</v>
      </c>
      <c r="M48" s="41">
        <f t="shared" si="20"/>
        <v>17511.816663742997</v>
      </c>
      <c r="N48" s="123">
        <f>SUM(high_v5_m!C36:J36)</f>
        <v>2604017.8907993566</v>
      </c>
      <c r="O48" s="7"/>
      <c r="P48" s="7"/>
      <c r="Q48" s="41">
        <f t="shared" si="21"/>
        <v>111967602.08646503</v>
      </c>
      <c r="R48" s="41"/>
      <c r="S48" s="41"/>
      <c r="T48" s="7"/>
      <c r="U48" s="7"/>
      <c r="V48" s="41">
        <f t="shared" si="26"/>
        <v>3115150.100293485</v>
      </c>
      <c r="W48" s="41">
        <f t="shared" si="22"/>
        <v>96344.848462684502</v>
      </c>
      <c r="X48" s="41">
        <f t="shared" si="23"/>
        <v>18374251.39770288</v>
      </c>
      <c r="Y48" s="41">
        <f t="shared" si="24"/>
        <v>13512261.214338111</v>
      </c>
      <c r="Z48" s="41">
        <f t="shared" si="25"/>
        <v>4861990.1833647685</v>
      </c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</row>
    <row r="49" spans="1:64" x14ac:dyDescent="0.2">
      <c r="A49" s="7"/>
      <c r="B49" s="7"/>
      <c r="C49" s="7">
        <f t="shared" si="14"/>
        <v>2023</v>
      </c>
      <c r="D49" s="7">
        <f t="shared" si="15"/>
        <v>4</v>
      </c>
      <c r="E49" s="7">
        <v>196</v>
      </c>
      <c r="F49" s="123">
        <f>high_v2_m!D37+temporary_pension_bonus_high!B37</f>
        <v>21991604.7039335</v>
      </c>
      <c r="G49" s="123">
        <f>high_v2_m!E37+temporary_pension_bonus_high!B37</f>
        <v>21081549.568191599</v>
      </c>
      <c r="H49" s="41">
        <f t="shared" si="17"/>
        <v>21381737.876899876</v>
      </c>
      <c r="I49" s="41">
        <f t="shared" si="18"/>
        <v>20489978.745968983</v>
      </c>
      <c r="J49" s="123">
        <f>high_v2_m!J37</f>
        <v>609866.82703362405</v>
      </c>
      <c r="K49" s="123">
        <f>high_v2_m!K37</f>
        <v>591570.82222261501</v>
      </c>
      <c r="L49" s="41">
        <f t="shared" si="19"/>
        <v>891759.13093089312</v>
      </c>
      <c r="M49" s="41">
        <f t="shared" si="20"/>
        <v>18296.004811009043</v>
      </c>
      <c r="N49" s="123">
        <f>SUM(high_v5_m!C37:J37)</f>
        <v>2636229.7842220576</v>
      </c>
      <c r="O49" s="7"/>
      <c r="P49" s="7"/>
      <c r="Q49" s="41">
        <f t="shared" si="21"/>
        <v>112729817.53921929</v>
      </c>
      <c r="R49" s="41"/>
      <c r="S49" s="41"/>
      <c r="T49" s="7"/>
      <c r="U49" s="7"/>
      <c r="V49" s="41">
        <f t="shared" si="26"/>
        <v>3254648.1222583437</v>
      </c>
      <c r="W49" s="41">
        <f t="shared" si="22"/>
        <v>100659.22027603307</v>
      </c>
      <c r="X49" s="41">
        <f t="shared" si="23"/>
        <v>18585604.509338643</v>
      </c>
      <c r="Y49" s="41">
        <f t="shared" si="24"/>
        <v>13679408.882437404</v>
      </c>
      <c r="Z49" s="41">
        <f t="shared" si="25"/>
        <v>4906195.6269012392</v>
      </c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</row>
    <row r="50" spans="1:64" x14ac:dyDescent="0.2">
      <c r="A50" s="119"/>
      <c r="B50" s="5"/>
      <c r="C50" s="119">
        <f t="shared" ref="C50:C81" si="27">C46+1</f>
        <v>2024</v>
      </c>
      <c r="D50" s="119">
        <f t="shared" ref="D50:D81" si="28">D46</f>
        <v>1</v>
      </c>
      <c r="E50" s="119">
        <v>197</v>
      </c>
      <c r="F50" s="121">
        <f>high_v2_m!D38+temporary_pension_bonus_high!B38</f>
        <v>22256788.701981898</v>
      </c>
      <c r="G50" s="121">
        <f>high_v2_m!E38+temporary_pension_bonus_high!B38</f>
        <v>21334543.604208</v>
      </c>
      <c r="H50" s="8">
        <f t="shared" si="17"/>
        <v>21619274.456262786</v>
      </c>
      <c r="I50" s="8">
        <f t="shared" si="18"/>
        <v>20716154.78586046</v>
      </c>
      <c r="J50" s="121">
        <f>high_v2_m!J38</f>
        <v>637514.24571911199</v>
      </c>
      <c r="K50" s="121">
        <f>high_v2_m!K38</f>
        <v>618388.81834753905</v>
      </c>
      <c r="L50" s="8">
        <f t="shared" si="19"/>
        <v>903119.67040232569</v>
      </c>
      <c r="M50" s="8">
        <f t="shared" si="20"/>
        <v>19125.427371572936</v>
      </c>
      <c r="N50" s="121">
        <f>SUM(high_v5_m!C38:J38)</f>
        <v>3170743.1951012509</v>
      </c>
      <c r="O50" s="5"/>
      <c r="P50" s="5"/>
      <c r="Q50" s="8">
        <f t="shared" si="21"/>
        <v>113974171.37798184</v>
      </c>
      <c r="R50" s="8"/>
      <c r="S50" s="8"/>
      <c r="T50" s="5"/>
      <c r="U50" s="5"/>
      <c r="V50" s="8">
        <f t="shared" si="26"/>
        <v>3402192.8243496008</v>
      </c>
      <c r="W50" s="8">
        <f t="shared" si="22"/>
        <v>105222.4584850368</v>
      </c>
      <c r="X50" s="8">
        <f t="shared" si="23"/>
        <v>21421699.475631408</v>
      </c>
      <c r="Y50" s="8">
        <f t="shared" si="24"/>
        <v>16453001.512459392</v>
      </c>
      <c r="Z50" s="8">
        <f t="shared" si="25"/>
        <v>4968697.9631720185</v>
      </c>
      <c r="AA50" s="119"/>
      <c r="AB50" s="119"/>
      <c r="AC50" s="119"/>
      <c r="AD50" s="119"/>
      <c r="AE50" s="119"/>
      <c r="AF50" s="119"/>
      <c r="AG50" s="119"/>
      <c r="AH50" s="119"/>
      <c r="AI50" s="119"/>
      <c r="AJ50" s="119"/>
      <c r="AK50" s="119"/>
      <c r="AL50" s="119"/>
      <c r="AM50" s="119"/>
      <c r="AN50" s="119"/>
      <c r="AO50" s="119"/>
      <c r="AP50" s="119"/>
      <c r="AQ50" s="119"/>
      <c r="AR50" s="119"/>
      <c r="AS50" s="119"/>
      <c r="AT50" s="119"/>
      <c r="AU50" s="119"/>
      <c r="AV50" s="119"/>
      <c r="AW50" s="119"/>
      <c r="AX50" s="119"/>
      <c r="AY50" s="119"/>
      <c r="AZ50" s="119"/>
      <c r="BA50" s="119"/>
      <c r="BB50" s="119"/>
      <c r="BC50" s="119"/>
      <c r="BD50" s="119"/>
      <c r="BE50" s="119"/>
      <c r="BF50" s="119"/>
      <c r="BG50" s="119"/>
      <c r="BH50" s="119"/>
      <c r="BI50" s="119"/>
      <c r="BJ50" s="119"/>
      <c r="BK50" s="119"/>
      <c r="BL50" s="119"/>
    </row>
    <row r="51" spans="1:64" x14ac:dyDescent="0.2">
      <c r="A51" s="7"/>
      <c r="B51" s="7"/>
      <c r="C51" s="7">
        <f t="shared" si="27"/>
        <v>2024</v>
      </c>
      <c r="D51" s="7">
        <f t="shared" si="28"/>
        <v>2</v>
      </c>
      <c r="E51" s="7">
        <v>198</v>
      </c>
      <c r="F51" s="123">
        <f>high_v2_m!D39+temporary_pension_bonus_high!B39</f>
        <v>22498197.907335699</v>
      </c>
      <c r="G51" s="123">
        <f>high_v2_m!E39+temporary_pension_bonus_high!B39</f>
        <v>21563621.5495684</v>
      </c>
      <c r="H51" s="41">
        <f t="shared" si="17"/>
        <v>21856894.905020665</v>
      </c>
      <c r="I51" s="41">
        <f t="shared" si="18"/>
        <v>20941557.637322817</v>
      </c>
      <c r="J51" s="123">
        <f>high_v2_m!J39</f>
        <v>641303.00231503195</v>
      </c>
      <c r="K51" s="123">
        <f>high_v2_m!K39</f>
        <v>622063.91224558104</v>
      </c>
      <c r="L51" s="41">
        <f t="shared" si="19"/>
        <v>915337.26769784838</v>
      </c>
      <c r="M51" s="41">
        <f t="shared" si="20"/>
        <v>19239.090069450904</v>
      </c>
      <c r="N51" s="123">
        <f>SUM(high_v5_m!C39:J39)</f>
        <v>2692664.4977211244</v>
      </c>
      <c r="O51" s="7"/>
      <c r="P51" s="7"/>
      <c r="Q51" s="41">
        <f t="shared" si="21"/>
        <v>115214271.36213483</v>
      </c>
      <c r="R51" s="41"/>
      <c r="S51" s="41"/>
      <c r="T51" s="7"/>
      <c r="U51" s="7"/>
      <c r="V51" s="41">
        <f t="shared" si="26"/>
        <v>3422412.1066486258</v>
      </c>
      <c r="W51" s="41">
        <f t="shared" si="22"/>
        <v>105847.79711284379</v>
      </c>
      <c r="X51" s="41">
        <f t="shared" si="23"/>
        <v>19008164.457781404</v>
      </c>
      <c r="Y51" s="41">
        <f t="shared" si="24"/>
        <v>13972248.879063403</v>
      </c>
      <c r="Z51" s="41">
        <f t="shared" si="25"/>
        <v>5035915.5787180029</v>
      </c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</row>
    <row r="52" spans="1:64" x14ac:dyDescent="0.2">
      <c r="A52" s="7"/>
      <c r="B52" s="7"/>
      <c r="C52" s="7">
        <f t="shared" si="27"/>
        <v>2024</v>
      </c>
      <c r="D52" s="7">
        <f t="shared" si="28"/>
        <v>3</v>
      </c>
      <c r="E52" s="7">
        <v>199</v>
      </c>
      <c r="F52" s="123">
        <f>high_v2_m!D40+temporary_pension_bonus_high!B40</f>
        <v>22763171.376602199</v>
      </c>
      <c r="G52" s="123">
        <f>high_v2_m!E40+temporary_pension_bonus_high!B40</f>
        <v>21815572.9755706</v>
      </c>
      <c r="H52" s="41">
        <f t="shared" si="17"/>
        <v>22091462.132647146</v>
      </c>
      <c r="I52" s="41">
        <f t="shared" si="18"/>
        <v>21164015.0089342</v>
      </c>
      <c r="J52" s="123">
        <f>high_v2_m!J40</f>
        <v>671709.24395505397</v>
      </c>
      <c r="K52" s="123">
        <f>high_v2_m!K40</f>
        <v>651557.96663640195</v>
      </c>
      <c r="L52" s="41">
        <f t="shared" si="19"/>
        <v>927447.12371294573</v>
      </c>
      <c r="M52" s="41">
        <f t="shared" si="20"/>
        <v>20151.277318652021</v>
      </c>
      <c r="N52" s="123">
        <f>SUM(high_v5_m!C40:J40)</f>
        <v>2654205.6494816761</v>
      </c>
      <c r="O52" s="7"/>
      <c r="P52" s="7"/>
      <c r="Q52" s="41">
        <f t="shared" si="21"/>
        <v>116438166.18520482</v>
      </c>
      <c r="R52" s="41"/>
      <c r="S52" s="41"/>
      <c r="T52" s="7"/>
      <c r="U52" s="7"/>
      <c r="V52" s="41">
        <f t="shared" si="26"/>
        <v>3584679.6917540105</v>
      </c>
      <c r="W52" s="41">
        <f t="shared" si="22"/>
        <v>110866.38221919848</v>
      </c>
      <c r="X52" s="41">
        <f t="shared" si="23"/>
        <v>18875226.166251138</v>
      </c>
      <c r="Y52" s="41">
        <f t="shared" si="24"/>
        <v>13772685.732723234</v>
      </c>
      <c r="Z52" s="41">
        <f t="shared" si="25"/>
        <v>5102540.4335279046</v>
      </c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</row>
    <row r="53" spans="1:64" x14ac:dyDescent="0.2">
      <c r="A53" s="7"/>
      <c r="B53" s="7"/>
      <c r="C53" s="7">
        <f t="shared" si="27"/>
        <v>2024</v>
      </c>
      <c r="D53" s="7">
        <f t="shared" si="28"/>
        <v>4</v>
      </c>
      <c r="E53" s="7">
        <v>200</v>
      </c>
      <c r="F53" s="123">
        <f>high_v2_m!D41+temporary_pension_bonus_high!B41</f>
        <v>22995307.767110799</v>
      </c>
      <c r="G53" s="123">
        <f>high_v2_m!E41+temporary_pension_bonus_high!B41</f>
        <v>22036735.056830801</v>
      </c>
      <c r="H53" s="41">
        <f t="shared" si="17"/>
        <v>22246643.798416227</v>
      </c>
      <c r="I53" s="41">
        <f t="shared" si="18"/>
        <v>21310531.007197067</v>
      </c>
      <c r="J53" s="123">
        <f>high_v2_m!J41</f>
        <v>748663.96869457304</v>
      </c>
      <c r="K53" s="123">
        <f>high_v2_m!K41</f>
        <v>726204.04963373498</v>
      </c>
      <c r="L53" s="41">
        <f t="shared" si="19"/>
        <v>936112.79121915996</v>
      </c>
      <c r="M53" s="41">
        <f t="shared" si="20"/>
        <v>22459.91906083806</v>
      </c>
      <c r="N53" s="123">
        <f>SUM(high_v5_m!C41:J41)</f>
        <v>2695459.7094612727</v>
      </c>
      <c r="O53" s="7"/>
      <c r="P53" s="7"/>
      <c r="Q53" s="41">
        <f t="shared" si="21"/>
        <v>117244253.97843881</v>
      </c>
      <c r="R53" s="41"/>
      <c r="S53" s="41"/>
      <c r="T53" s="7"/>
      <c r="U53" s="7"/>
      <c r="V53" s="41">
        <f t="shared" si="26"/>
        <v>3995360.4162502345</v>
      </c>
      <c r="W53" s="41">
        <f t="shared" si="22"/>
        <v>123567.84792526992</v>
      </c>
      <c r="X53" s="41">
        <f t="shared" si="23"/>
        <v>19136969.625432737</v>
      </c>
      <c r="Y53" s="41">
        <f t="shared" si="24"/>
        <v>13986753.24607091</v>
      </c>
      <c r="Z53" s="41">
        <f t="shared" si="25"/>
        <v>5150216.3793618279</v>
      </c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</row>
    <row r="54" spans="1:64" x14ac:dyDescent="0.2">
      <c r="A54" s="119"/>
      <c r="B54" s="5"/>
      <c r="C54" s="119">
        <f t="shared" si="27"/>
        <v>2025</v>
      </c>
      <c r="D54" s="119">
        <f t="shared" si="28"/>
        <v>1</v>
      </c>
      <c r="E54" s="119">
        <v>201</v>
      </c>
      <c r="F54" s="121">
        <f>high_v2_m!D42+temporary_pension_bonus_high!B42</f>
        <v>23301210.315772701</v>
      </c>
      <c r="G54" s="121">
        <f>high_v2_m!E42+temporary_pension_bonus_high!B42</f>
        <v>22328122.141781799</v>
      </c>
      <c r="H54" s="8">
        <f t="shared" si="17"/>
        <v>22475395.068224732</v>
      </c>
      <c r="I54" s="8">
        <f t="shared" si="18"/>
        <v>21527081.35166027</v>
      </c>
      <c r="J54" s="121">
        <f>high_v2_m!J42</f>
        <v>825815.24754797004</v>
      </c>
      <c r="K54" s="121">
        <f>high_v2_m!K42</f>
        <v>801040.790121531</v>
      </c>
      <c r="L54" s="8">
        <f t="shared" si="19"/>
        <v>948313.71656446159</v>
      </c>
      <c r="M54" s="8">
        <f t="shared" si="20"/>
        <v>24774.457426439039</v>
      </c>
      <c r="N54" s="121">
        <f>SUM(high_v5_m!C42:J42)</f>
        <v>3211111.9009518754</v>
      </c>
      <c r="O54" s="5"/>
      <c r="P54" s="5"/>
      <c r="Q54" s="8">
        <f t="shared" si="21"/>
        <v>118435650.08099428</v>
      </c>
      <c r="R54" s="8"/>
      <c r="S54" s="8"/>
      <c r="T54" s="5"/>
      <c r="U54" s="5"/>
      <c r="V54" s="8">
        <f t="shared" si="26"/>
        <v>4407090.082005932</v>
      </c>
      <c r="W54" s="8">
        <f t="shared" si="22"/>
        <v>136301.75511358518</v>
      </c>
      <c r="X54" s="8">
        <f t="shared" si="23"/>
        <v>21879817.189779751</v>
      </c>
      <c r="Y54" s="8">
        <f t="shared" si="24"/>
        <v>16662474.919023035</v>
      </c>
      <c r="Z54" s="8">
        <f t="shared" si="25"/>
        <v>5217342.2707567168</v>
      </c>
      <c r="AA54" s="119"/>
      <c r="AB54" s="119"/>
      <c r="AC54" s="119"/>
      <c r="AD54" s="119"/>
      <c r="AE54" s="119"/>
      <c r="AF54" s="119"/>
      <c r="AG54" s="119"/>
      <c r="AH54" s="119"/>
      <c r="AI54" s="119"/>
      <c r="AJ54" s="119"/>
      <c r="AK54" s="119"/>
      <c r="AL54" s="119"/>
      <c r="AM54" s="119"/>
      <c r="AN54" s="119"/>
      <c r="AO54" s="119"/>
      <c r="AP54" s="119"/>
      <c r="AQ54" s="119"/>
      <c r="AR54" s="119"/>
      <c r="AS54" s="119"/>
      <c r="AT54" s="119"/>
      <c r="AU54" s="119"/>
      <c r="AV54" s="119"/>
      <c r="AW54" s="119"/>
      <c r="AX54" s="119"/>
      <c r="AY54" s="119"/>
      <c r="AZ54" s="119"/>
      <c r="BA54" s="119"/>
      <c r="BB54" s="119"/>
      <c r="BC54" s="119"/>
      <c r="BD54" s="119"/>
      <c r="BE54" s="119"/>
      <c r="BF54" s="119"/>
      <c r="BG54" s="119"/>
      <c r="BH54" s="119"/>
      <c r="BI54" s="119"/>
      <c r="BJ54" s="119"/>
      <c r="BK54" s="119"/>
      <c r="BL54" s="119"/>
    </row>
    <row r="55" spans="1:64" x14ac:dyDescent="0.2">
      <c r="A55" s="7"/>
      <c r="B55" s="7"/>
      <c r="C55" s="7">
        <f t="shared" si="27"/>
        <v>2025</v>
      </c>
      <c r="D55" s="7">
        <f t="shared" si="28"/>
        <v>2</v>
      </c>
      <c r="E55" s="7">
        <v>202</v>
      </c>
      <c r="F55" s="123">
        <f>high_v2_m!D43+temporary_pension_bonus_high!B43</f>
        <v>23550450.704801898</v>
      </c>
      <c r="G55" s="123">
        <f>high_v2_m!E43+temporary_pension_bonus_high!B43</f>
        <v>22565101.467733599</v>
      </c>
      <c r="H55" s="41">
        <f t="shared" si="17"/>
        <v>22637344.113121476</v>
      </c>
      <c r="I55" s="41">
        <f t="shared" si="18"/>
        <v>21679388.073803592</v>
      </c>
      <c r="J55" s="123">
        <f>high_v2_m!J43</f>
        <v>913106.59168042103</v>
      </c>
      <c r="K55" s="123">
        <f>high_v2_m!K43</f>
        <v>885713.39393000805</v>
      </c>
      <c r="L55" s="41">
        <f t="shared" si="19"/>
        <v>957956.03931788355</v>
      </c>
      <c r="M55" s="41">
        <f t="shared" si="20"/>
        <v>27393.197750412975</v>
      </c>
      <c r="N55" s="123">
        <f>SUM(high_v5_m!C43:J43)</f>
        <v>2686330.3918861952</v>
      </c>
      <c r="O55" s="7"/>
      <c r="P55" s="7"/>
      <c r="Q55" s="41">
        <f t="shared" si="21"/>
        <v>119273596.72847877</v>
      </c>
      <c r="R55" s="41"/>
      <c r="S55" s="41"/>
      <c r="T55" s="7"/>
      <c r="U55" s="7"/>
      <c r="V55" s="41">
        <f t="shared" si="26"/>
        <v>4872933.7657031659</v>
      </c>
      <c r="W55" s="41">
        <f t="shared" si="22"/>
        <v>150709.2917227803</v>
      </c>
      <c r="X55" s="41">
        <f t="shared" si="23"/>
        <v>19209772.659375776</v>
      </c>
      <c r="Y55" s="41">
        <f t="shared" si="24"/>
        <v>13939381.173774883</v>
      </c>
      <c r="Z55" s="41">
        <f t="shared" si="25"/>
        <v>5270391.4856008934</v>
      </c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</row>
    <row r="56" spans="1:64" x14ac:dyDescent="0.2">
      <c r="A56" s="7"/>
      <c r="B56" s="7"/>
      <c r="C56" s="7">
        <f t="shared" si="27"/>
        <v>2025</v>
      </c>
      <c r="D56" s="7">
        <f t="shared" si="28"/>
        <v>3</v>
      </c>
      <c r="E56" s="7">
        <v>203</v>
      </c>
      <c r="F56" s="123">
        <f>high_v2_m!D44+temporary_pension_bonus_high!B44</f>
        <v>23842395.390904799</v>
      </c>
      <c r="G56" s="123">
        <f>high_v2_m!E44+temporary_pension_bonus_high!B44</f>
        <v>22843624.266932201</v>
      </c>
      <c r="H56" s="41">
        <f t="shared" si="17"/>
        <v>22873395.888667975</v>
      </c>
      <c r="I56" s="41">
        <f t="shared" si="18"/>
        <v>21903694.749762483</v>
      </c>
      <c r="J56" s="123">
        <f>high_v2_m!J44</f>
        <v>968999.50223682402</v>
      </c>
      <c r="K56" s="123">
        <f>high_v2_m!K44</f>
        <v>939929.51716971898</v>
      </c>
      <c r="L56" s="41">
        <f t="shared" si="19"/>
        <v>969701.13890549168</v>
      </c>
      <c r="M56" s="41">
        <f t="shared" si="20"/>
        <v>29069.985067105037</v>
      </c>
      <c r="N56" s="123">
        <f>SUM(high_v5_m!C44:J44)</f>
        <v>2682383.0375316371</v>
      </c>
      <c r="O56" s="7"/>
      <c r="P56" s="7"/>
      <c r="Q56" s="41">
        <f t="shared" si="21"/>
        <v>120507665.87843576</v>
      </c>
      <c r="R56" s="41"/>
      <c r="S56" s="41"/>
      <c r="T56" s="7"/>
      <c r="U56" s="7"/>
      <c r="V56" s="41">
        <f t="shared" si="26"/>
        <v>5171214.8794255909</v>
      </c>
      <c r="W56" s="41">
        <f t="shared" si="22"/>
        <v>159934.48080697883</v>
      </c>
      <c r="X56" s="41">
        <f t="shared" si="23"/>
        <v>19253907.891431443</v>
      </c>
      <c r="Y56" s="41">
        <f t="shared" si="24"/>
        <v>13918898.333264148</v>
      </c>
      <c r="Z56" s="41">
        <f t="shared" si="25"/>
        <v>5335009.5581672937</v>
      </c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</row>
    <row r="57" spans="1:64" x14ac:dyDescent="0.2">
      <c r="A57" s="7"/>
      <c r="B57" s="7"/>
      <c r="C57" s="7">
        <f t="shared" si="27"/>
        <v>2025</v>
      </c>
      <c r="D57" s="7">
        <f t="shared" si="28"/>
        <v>4</v>
      </c>
      <c r="E57" s="7">
        <v>204</v>
      </c>
      <c r="F57" s="123">
        <f>high_v2_m!D45+temporary_pension_bonus_high!B45</f>
        <v>24093899.573619299</v>
      </c>
      <c r="G57" s="123">
        <f>high_v2_m!E45+temporary_pension_bonus_high!B45</f>
        <v>23082826.0207862</v>
      </c>
      <c r="H57" s="41">
        <f t="shared" si="17"/>
        <v>23035379.11823982</v>
      </c>
      <c r="I57" s="41">
        <f t="shared" si="18"/>
        <v>22056061.1790681</v>
      </c>
      <c r="J57" s="123">
        <f>high_v2_m!J45</f>
        <v>1058520.45537948</v>
      </c>
      <c r="K57" s="123">
        <f>high_v2_m!K45</f>
        <v>1026764.8417181</v>
      </c>
      <c r="L57" s="41">
        <f t="shared" si="19"/>
        <v>979317.9391717203</v>
      </c>
      <c r="M57" s="41">
        <f t="shared" si="20"/>
        <v>31755.613661380019</v>
      </c>
      <c r="N57" s="123">
        <f>SUM(high_v5_m!C45:J45)</f>
        <v>2684356.6744968011</v>
      </c>
      <c r="O57" s="7"/>
      <c r="P57" s="7"/>
      <c r="Q57" s="41">
        <f t="shared" si="21"/>
        <v>121345941.01711074</v>
      </c>
      <c r="R57" s="41"/>
      <c r="S57" s="41"/>
      <c r="T57" s="7"/>
      <c r="U57" s="7"/>
      <c r="V57" s="41">
        <f t="shared" si="26"/>
        <v>5648957.2145279963</v>
      </c>
      <c r="W57" s="41">
        <f t="shared" si="22"/>
        <v>174710.01694413999</v>
      </c>
      <c r="X57" s="41">
        <f t="shared" si="23"/>
        <v>19317057.900675945</v>
      </c>
      <c r="Y57" s="41">
        <f t="shared" si="24"/>
        <v>13929139.544858661</v>
      </c>
      <c r="Z57" s="41">
        <f t="shared" si="25"/>
        <v>5387918.3558172835</v>
      </c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</row>
    <row r="58" spans="1:64" x14ac:dyDescent="0.2">
      <c r="A58" s="119"/>
      <c r="B58" s="5"/>
      <c r="C58" s="119">
        <f t="shared" si="27"/>
        <v>2026</v>
      </c>
      <c r="D58" s="119">
        <f t="shared" si="28"/>
        <v>1</v>
      </c>
      <c r="E58" s="119">
        <v>205</v>
      </c>
      <c r="F58" s="121">
        <f>high_v2_m!D46+temporary_pension_bonus_high!B46</f>
        <v>24272460.0337102</v>
      </c>
      <c r="G58" s="121">
        <f>high_v2_m!E46+temporary_pension_bonus_high!B46</f>
        <v>23253975.403190099</v>
      </c>
      <c r="H58" s="8">
        <f t="shared" si="17"/>
        <v>23096780.009667959</v>
      </c>
      <c r="I58" s="8">
        <f t="shared" si="18"/>
        <v>22113565.779869117</v>
      </c>
      <c r="J58" s="121">
        <f>high_v2_m!J46</f>
        <v>1175680.0240422401</v>
      </c>
      <c r="K58" s="121">
        <f>high_v2_m!K46</f>
        <v>1140409.62332098</v>
      </c>
      <c r="L58" s="8">
        <f t="shared" si="19"/>
        <v>983214.22979884222</v>
      </c>
      <c r="M58" s="8">
        <f t="shared" si="20"/>
        <v>35270.400721260114</v>
      </c>
      <c r="N58" s="121">
        <f>SUM(high_v5_m!C46:J46)</f>
        <v>3245255.8692230438</v>
      </c>
      <c r="O58" s="5"/>
      <c r="P58" s="5"/>
      <c r="Q58" s="8">
        <f t="shared" si="21"/>
        <v>121662314.36411773</v>
      </c>
      <c r="R58" s="8"/>
      <c r="S58" s="8"/>
      <c r="T58" s="5"/>
      <c r="U58" s="5"/>
      <c r="V58" s="8">
        <f t="shared" si="26"/>
        <v>6274197.2722756127</v>
      </c>
      <c r="W58" s="8">
        <f t="shared" si="22"/>
        <v>194047.33831776225</v>
      </c>
      <c r="X58" s="8">
        <f t="shared" si="23"/>
        <v>22249002.729951844</v>
      </c>
      <c r="Y58" s="8">
        <f t="shared" si="24"/>
        <v>16839648.132695723</v>
      </c>
      <c r="Z58" s="8">
        <f t="shared" si="25"/>
        <v>5409354.5972561203</v>
      </c>
      <c r="AA58" s="119"/>
      <c r="AB58" s="119"/>
      <c r="AC58" s="119"/>
      <c r="AD58" s="119"/>
      <c r="AE58" s="119"/>
      <c r="AF58" s="119"/>
      <c r="AG58" s="119"/>
      <c r="AH58" s="119"/>
      <c r="AI58" s="119"/>
      <c r="AJ58" s="119"/>
      <c r="AK58" s="119"/>
      <c r="AL58" s="119"/>
      <c r="AM58" s="119"/>
      <c r="AN58" s="119"/>
      <c r="AO58" s="119"/>
      <c r="AP58" s="119"/>
      <c r="AQ58" s="119"/>
      <c r="AR58" s="119"/>
      <c r="AS58" s="119"/>
      <c r="AT58" s="119"/>
      <c r="AU58" s="119"/>
      <c r="AV58" s="119"/>
      <c r="AW58" s="119"/>
      <c r="AX58" s="119"/>
      <c r="AY58" s="119"/>
      <c r="AZ58" s="119"/>
      <c r="BA58" s="119"/>
      <c r="BB58" s="119"/>
      <c r="BC58" s="119"/>
      <c r="BD58" s="119"/>
      <c r="BE58" s="119"/>
      <c r="BF58" s="119"/>
      <c r="BG58" s="119"/>
      <c r="BH58" s="119"/>
      <c r="BI58" s="119"/>
      <c r="BJ58" s="119"/>
      <c r="BK58" s="119"/>
      <c r="BL58" s="119"/>
    </row>
    <row r="59" spans="1:64" x14ac:dyDescent="0.2">
      <c r="A59" s="7"/>
      <c r="B59" s="7"/>
      <c r="C59" s="7">
        <f t="shared" si="27"/>
        <v>2026</v>
      </c>
      <c r="D59" s="7">
        <f t="shared" si="28"/>
        <v>2</v>
      </c>
      <c r="E59" s="7">
        <v>206</v>
      </c>
      <c r="F59" s="123">
        <f>high_v2_m!D47+temporary_pension_bonus_high!B47</f>
        <v>24461843.925654799</v>
      </c>
      <c r="G59" s="123">
        <f>high_v2_m!E47+temporary_pension_bonus_high!B47</f>
        <v>23432706.4682291</v>
      </c>
      <c r="H59" s="41">
        <f t="shared" si="17"/>
        <v>23204379.545562699</v>
      </c>
      <c r="I59" s="41">
        <f t="shared" si="18"/>
        <v>22212966.019539759</v>
      </c>
      <c r="J59" s="123">
        <f>high_v2_m!J47</f>
        <v>1257464.3800921</v>
      </c>
      <c r="K59" s="123">
        <f>high_v2_m!K47</f>
        <v>1219740.4486893399</v>
      </c>
      <c r="L59" s="41">
        <f t="shared" si="19"/>
        <v>991413.52602294087</v>
      </c>
      <c r="M59" s="41">
        <f t="shared" si="20"/>
        <v>37723.931402760092</v>
      </c>
      <c r="N59" s="123">
        <f>SUM(high_v5_m!C47:J47)</f>
        <v>2651135.3433847581</v>
      </c>
      <c r="O59" s="7"/>
      <c r="P59" s="7"/>
      <c r="Q59" s="41">
        <f t="shared" si="21"/>
        <v>122209185.15497351</v>
      </c>
      <c r="R59" s="41"/>
      <c r="S59" s="41"/>
      <c r="T59" s="7"/>
      <c r="U59" s="7"/>
      <c r="V59" s="41">
        <f t="shared" si="26"/>
        <v>6710652.0670747655</v>
      </c>
      <c r="W59" s="41">
        <f t="shared" si="22"/>
        <v>207545.94021879067</v>
      </c>
      <c r="X59" s="41">
        <f t="shared" si="23"/>
        <v>19211218.605688322</v>
      </c>
      <c r="Y59" s="41">
        <f t="shared" si="24"/>
        <v>13756753.899790704</v>
      </c>
      <c r="Z59" s="41">
        <f t="shared" si="25"/>
        <v>5454464.705897619</v>
      </c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</row>
    <row r="60" spans="1:64" x14ac:dyDescent="0.2">
      <c r="A60" s="7"/>
      <c r="B60" s="7"/>
      <c r="C60" s="7">
        <f t="shared" si="27"/>
        <v>2026</v>
      </c>
      <c r="D60" s="7">
        <f t="shared" si="28"/>
        <v>3</v>
      </c>
      <c r="E60" s="7">
        <v>207</v>
      </c>
      <c r="F60" s="123">
        <f>high_v2_m!D48+temporary_pension_bonus_high!B48</f>
        <v>24615319.006775498</v>
      </c>
      <c r="G60" s="123">
        <f>high_v2_m!E48+temporary_pension_bonus_high!B48</f>
        <v>23578476.167416502</v>
      </c>
      <c r="H60" s="41">
        <f t="shared" si="17"/>
        <v>23305323.759712778</v>
      </c>
      <c r="I60" s="41">
        <f t="shared" si="18"/>
        <v>22307780.777765673</v>
      </c>
      <c r="J60" s="123">
        <f>high_v2_m!J48</f>
        <v>1309995.2470627199</v>
      </c>
      <c r="K60" s="123">
        <f>high_v2_m!K48</f>
        <v>1270695.3896508301</v>
      </c>
      <c r="L60" s="41">
        <f t="shared" si="19"/>
        <v>997542.98194710538</v>
      </c>
      <c r="M60" s="41">
        <f t="shared" si="20"/>
        <v>39299.857411889825</v>
      </c>
      <c r="N60" s="123">
        <f>SUM(high_v5_m!C48:J48)</f>
        <v>2603688.9685215363</v>
      </c>
      <c r="O60" s="7"/>
      <c r="P60" s="7"/>
      <c r="Q60" s="41">
        <f t="shared" si="21"/>
        <v>122730827.97985615</v>
      </c>
      <c r="R60" s="41"/>
      <c r="S60" s="41"/>
      <c r="T60" s="7"/>
      <c r="U60" s="7"/>
      <c r="V60" s="41">
        <f t="shared" si="26"/>
        <v>6990991.1181067498</v>
      </c>
      <c r="W60" s="41">
        <f t="shared" si="22"/>
        <v>216216.2201476781</v>
      </c>
      <c r="X60" s="41">
        <f t="shared" si="23"/>
        <v>18998741.598985367</v>
      </c>
      <c r="Y60" s="41">
        <f t="shared" si="24"/>
        <v>13510554.43507487</v>
      </c>
      <c r="Z60" s="41">
        <f t="shared" si="25"/>
        <v>5488187.1639104988</v>
      </c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</row>
    <row r="61" spans="1:64" x14ac:dyDescent="0.2">
      <c r="A61" s="7"/>
      <c r="B61" s="7"/>
      <c r="C61" s="7">
        <f t="shared" si="27"/>
        <v>2026</v>
      </c>
      <c r="D61" s="7">
        <f t="shared" si="28"/>
        <v>4</v>
      </c>
      <c r="E61" s="7">
        <v>208</v>
      </c>
      <c r="F61" s="123">
        <f>high_v2_m!D49+temporary_pension_bonus_high!B49</f>
        <v>24801437.532036498</v>
      </c>
      <c r="G61" s="123">
        <f>high_v2_m!E49+temporary_pension_bonus_high!B49</f>
        <v>23754628.956628501</v>
      </c>
      <c r="H61" s="41">
        <f t="shared" si="17"/>
        <v>23449878.749411128</v>
      </c>
      <c r="I61" s="41">
        <f t="shared" si="18"/>
        <v>22443616.937481891</v>
      </c>
      <c r="J61" s="123">
        <f>high_v2_m!J49</f>
        <v>1351558.78262537</v>
      </c>
      <c r="K61" s="123">
        <f>high_v2_m!K49</f>
        <v>1311012.0191466101</v>
      </c>
      <c r="L61" s="41">
        <f t="shared" si="19"/>
        <v>1006261.8119292371</v>
      </c>
      <c r="M61" s="41">
        <f t="shared" si="20"/>
        <v>40546.763478759909</v>
      </c>
      <c r="N61" s="123">
        <f>SUM(high_v5_m!C49:J49)</f>
        <v>2586301.5255955132</v>
      </c>
      <c r="O61" s="7"/>
      <c r="P61" s="7"/>
      <c r="Q61" s="41">
        <f t="shared" si="21"/>
        <v>123478158.45246828</v>
      </c>
      <c r="R61" s="41"/>
      <c r="S61" s="41"/>
      <c r="T61" s="7"/>
      <c r="U61" s="7"/>
      <c r="V61" s="41">
        <f t="shared" si="26"/>
        <v>7212801.3182637272</v>
      </c>
      <c r="W61" s="41">
        <f t="shared" si="22"/>
        <v>223076.32943083017</v>
      </c>
      <c r="X61" s="41">
        <f t="shared" si="23"/>
        <v>18956486.505076766</v>
      </c>
      <c r="Y61" s="41">
        <f t="shared" si="24"/>
        <v>13420330.911075311</v>
      </c>
      <c r="Z61" s="41">
        <f t="shared" si="25"/>
        <v>5536155.5940014552</v>
      </c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</row>
    <row r="62" spans="1:64" x14ac:dyDescent="0.2">
      <c r="A62" s="119"/>
      <c r="B62" s="5"/>
      <c r="C62" s="119">
        <f t="shared" si="27"/>
        <v>2027</v>
      </c>
      <c r="D62" s="119">
        <f t="shared" si="28"/>
        <v>1</v>
      </c>
      <c r="E62" s="119">
        <v>209</v>
      </c>
      <c r="F62" s="121">
        <f>high_v2_m!D50+temporary_pension_bonus_high!B50</f>
        <v>24968111.149640899</v>
      </c>
      <c r="G62" s="121">
        <f>high_v2_m!E50+temporary_pension_bonus_high!B50</f>
        <v>23913132.921681002</v>
      </c>
      <c r="H62" s="8">
        <f t="shared" si="17"/>
        <v>23563570.11281532</v>
      </c>
      <c r="I62" s="8">
        <f t="shared" si="18"/>
        <v>22550728.115960192</v>
      </c>
      <c r="J62" s="121">
        <f>high_v2_m!J50</f>
        <v>1404541.0368255801</v>
      </c>
      <c r="K62" s="121">
        <f>high_v2_m!K50</f>
        <v>1362404.8057208101</v>
      </c>
      <c r="L62" s="8">
        <f t="shared" si="19"/>
        <v>1012841.9968551286</v>
      </c>
      <c r="M62" s="8">
        <f t="shared" si="20"/>
        <v>42136.231104769977</v>
      </c>
      <c r="N62" s="121">
        <f>SUM(high_v5_m!C50:J50)</f>
        <v>3153535.4336789423</v>
      </c>
      <c r="O62" s="5"/>
      <c r="P62" s="5"/>
      <c r="Q62" s="8">
        <f t="shared" si="21"/>
        <v>124067452.55354904</v>
      </c>
      <c r="R62" s="8"/>
      <c r="S62" s="8"/>
      <c r="T62" s="5"/>
      <c r="U62" s="5"/>
      <c r="V62" s="8">
        <f t="shared" si="26"/>
        <v>7495549.2666715002</v>
      </c>
      <c r="W62" s="8">
        <f t="shared" si="22"/>
        <v>231821.11134037029</v>
      </c>
      <c r="X62" s="8">
        <f t="shared" si="23"/>
        <v>21936068.18663206</v>
      </c>
      <c r="Y62" s="8">
        <f t="shared" si="24"/>
        <v>16363710.356636776</v>
      </c>
      <c r="Z62" s="8">
        <f t="shared" si="25"/>
        <v>5572357.829995282</v>
      </c>
      <c r="AA62" s="119"/>
      <c r="AB62" s="119"/>
      <c r="AC62" s="119"/>
      <c r="AD62" s="119"/>
      <c r="AE62" s="119"/>
      <c r="AF62" s="119"/>
      <c r="AG62" s="119"/>
      <c r="AH62" s="119"/>
      <c r="AI62" s="119"/>
      <c r="AJ62" s="119"/>
      <c r="AK62" s="119"/>
      <c r="AL62" s="119"/>
      <c r="AM62" s="119"/>
      <c r="AN62" s="119"/>
      <c r="AO62" s="119"/>
      <c r="AP62" s="119"/>
      <c r="AQ62" s="119"/>
      <c r="AR62" s="119"/>
      <c r="AS62" s="119"/>
      <c r="AT62" s="119"/>
      <c r="AU62" s="119"/>
      <c r="AV62" s="119"/>
      <c r="AW62" s="119"/>
      <c r="AX62" s="119"/>
      <c r="AY62" s="119"/>
      <c r="AZ62" s="119"/>
      <c r="BA62" s="119"/>
      <c r="BB62" s="119"/>
      <c r="BC62" s="119"/>
      <c r="BD62" s="119"/>
      <c r="BE62" s="119"/>
      <c r="BF62" s="119"/>
      <c r="BG62" s="119"/>
      <c r="BH62" s="119"/>
      <c r="BI62" s="119"/>
      <c r="BJ62" s="119"/>
      <c r="BK62" s="119"/>
      <c r="BL62" s="119"/>
    </row>
    <row r="63" spans="1:64" x14ac:dyDescent="0.2">
      <c r="A63" s="7"/>
      <c r="B63" s="7"/>
      <c r="C63" s="7">
        <f t="shared" si="27"/>
        <v>2027</v>
      </c>
      <c r="D63" s="7">
        <f t="shared" si="28"/>
        <v>2</v>
      </c>
      <c r="E63" s="7">
        <v>210</v>
      </c>
      <c r="F63" s="123">
        <f>high_v2_m!D51+temporary_pension_bonus_high!B51</f>
        <v>25025468.348547898</v>
      </c>
      <c r="G63" s="123">
        <f>high_v2_m!E51+temporary_pension_bonus_high!B51</f>
        <v>23967863.7327413</v>
      </c>
      <c r="H63" s="41">
        <f t="shared" si="17"/>
        <v>23571692.49870934</v>
      </c>
      <c r="I63" s="41">
        <f t="shared" si="18"/>
        <v>22557701.158397898</v>
      </c>
      <c r="J63" s="123">
        <f>high_v2_m!J51</f>
        <v>1453775.84983856</v>
      </c>
      <c r="K63" s="123">
        <f>high_v2_m!K51</f>
        <v>1410162.5743434001</v>
      </c>
      <c r="L63" s="41">
        <f t="shared" si="19"/>
        <v>1013991.3403114416</v>
      </c>
      <c r="M63" s="41">
        <f t="shared" si="20"/>
        <v>43613.275495159905</v>
      </c>
      <c r="N63" s="123">
        <f>SUM(high_v5_m!C51:J51)</f>
        <v>2570221.5937337708</v>
      </c>
      <c r="O63" s="7"/>
      <c r="P63" s="7"/>
      <c r="Q63" s="41">
        <f t="shared" si="21"/>
        <v>124105816.17566116</v>
      </c>
      <c r="R63" s="41"/>
      <c r="S63" s="41"/>
      <c r="T63" s="7"/>
      <c r="U63" s="7"/>
      <c r="V63" s="41">
        <f t="shared" si="26"/>
        <v>7758298.4188132007</v>
      </c>
      <c r="W63" s="41">
        <f t="shared" si="22"/>
        <v>239947.3737777455</v>
      </c>
      <c r="X63" s="41">
        <f t="shared" si="23"/>
        <v>18915573.246784721</v>
      </c>
      <c r="Y63" s="41">
        <f t="shared" si="24"/>
        <v>13336892.068203948</v>
      </c>
      <c r="Z63" s="41">
        <f t="shared" si="25"/>
        <v>5578681.1785807731</v>
      </c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</row>
    <row r="64" spans="1:64" x14ac:dyDescent="0.2">
      <c r="A64" s="7"/>
      <c r="B64" s="7"/>
      <c r="C64" s="7">
        <f t="shared" si="27"/>
        <v>2027</v>
      </c>
      <c r="D64" s="7">
        <f t="shared" si="28"/>
        <v>3</v>
      </c>
      <c r="E64" s="7">
        <v>211</v>
      </c>
      <c r="F64" s="123">
        <f>high_v2_m!D52+temporary_pension_bonus_high!B52</f>
        <v>25116927.973144401</v>
      </c>
      <c r="G64" s="123">
        <f>high_v2_m!E52+temporary_pension_bonus_high!B52</f>
        <v>24055141.1078903</v>
      </c>
      <c r="H64" s="41">
        <f t="shared" si="17"/>
        <v>23601459.05280596</v>
      </c>
      <c r="I64" s="41">
        <f t="shared" si="18"/>
        <v>22585136.255162012</v>
      </c>
      <c r="J64" s="123">
        <f>high_v2_m!J52</f>
        <v>1515468.92033844</v>
      </c>
      <c r="K64" s="123">
        <f>high_v2_m!K52</f>
        <v>1470004.85272829</v>
      </c>
      <c r="L64" s="41">
        <f t="shared" si="19"/>
        <v>1016322.7976439483</v>
      </c>
      <c r="M64" s="41">
        <f t="shared" si="20"/>
        <v>45464.06761014997</v>
      </c>
      <c r="N64" s="123">
        <f>SUM(high_v5_m!C52:J52)</f>
        <v>2598820.8515206766</v>
      </c>
      <c r="O64" s="7"/>
      <c r="P64" s="7"/>
      <c r="Q64" s="41">
        <f t="shared" si="21"/>
        <v>124256755.98339511</v>
      </c>
      <c r="R64" s="41"/>
      <c r="S64" s="41"/>
      <c r="T64" s="7"/>
      <c r="U64" s="7"/>
      <c r="V64" s="41">
        <f t="shared" si="26"/>
        <v>8087532.9781602649</v>
      </c>
      <c r="W64" s="41">
        <f t="shared" si="22"/>
        <v>250129.88592246411</v>
      </c>
      <c r="X64" s="41">
        <f t="shared" si="23"/>
        <v>19076801.921748456</v>
      </c>
      <c r="Y64" s="41">
        <f t="shared" si="24"/>
        <v>13485293.752815355</v>
      </c>
      <c r="Z64" s="41">
        <f t="shared" si="25"/>
        <v>5591508.168933101</v>
      </c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</row>
    <row r="65" spans="1:64" x14ac:dyDescent="0.2">
      <c r="A65" s="7"/>
      <c r="B65" s="7"/>
      <c r="C65" s="7">
        <f t="shared" si="27"/>
        <v>2027</v>
      </c>
      <c r="D65" s="7">
        <f t="shared" si="28"/>
        <v>4</v>
      </c>
      <c r="E65" s="7">
        <v>212</v>
      </c>
      <c r="F65" s="123">
        <f>high_v2_m!D53+temporary_pension_bonus_high!B53</f>
        <v>25241665.250126898</v>
      </c>
      <c r="G65" s="123">
        <f>high_v2_m!E53+temporary_pension_bonus_high!B53</f>
        <v>24174161.906269901</v>
      </c>
      <c r="H65" s="41">
        <f t="shared" si="17"/>
        <v>23648176.536942348</v>
      </c>
      <c r="I65" s="41">
        <f t="shared" si="18"/>
        <v>22628477.854480881</v>
      </c>
      <c r="J65" s="123">
        <f>high_v2_m!J53</f>
        <v>1593488.7131845499</v>
      </c>
      <c r="K65" s="123">
        <f>high_v2_m!K53</f>
        <v>1545684.05178902</v>
      </c>
      <c r="L65" s="41">
        <f t="shared" si="19"/>
        <v>1019698.6824614666</v>
      </c>
      <c r="M65" s="41">
        <f t="shared" si="20"/>
        <v>47804.661395529984</v>
      </c>
      <c r="N65" s="123">
        <f>SUM(high_v5_m!C53:J53)</f>
        <v>2529044.4827263779</v>
      </c>
      <c r="O65" s="7"/>
      <c r="P65" s="7"/>
      <c r="Q65" s="41">
        <f t="shared" si="21"/>
        <v>124495208.67500834</v>
      </c>
      <c r="R65" s="41"/>
      <c r="S65" s="41"/>
      <c r="T65" s="7"/>
      <c r="U65" s="7"/>
      <c r="V65" s="41">
        <f t="shared" si="26"/>
        <v>8503897.6024187803</v>
      </c>
      <c r="W65" s="41">
        <f t="shared" si="22"/>
        <v>263007.14234281192</v>
      </c>
      <c r="X65" s="41">
        <f t="shared" si="23"/>
        <v>18733305.134590872</v>
      </c>
      <c r="Y65" s="41">
        <f t="shared" si="24"/>
        <v>13123223.843438836</v>
      </c>
      <c r="Z65" s="41">
        <f t="shared" si="25"/>
        <v>5610081.2911520358</v>
      </c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</row>
    <row r="66" spans="1:64" x14ac:dyDescent="0.2">
      <c r="A66" s="119"/>
      <c r="B66" s="5"/>
      <c r="C66" s="119">
        <f t="shared" si="27"/>
        <v>2028</v>
      </c>
      <c r="D66" s="119">
        <f t="shared" si="28"/>
        <v>1</v>
      </c>
      <c r="E66" s="119">
        <v>213</v>
      </c>
      <c r="F66" s="121">
        <f>high_v2_m!D54+temporary_pension_bonus_high!B54</f>
        <v>25533690.606945101</v>
      </c>
      <c r="G66" s="121">
        <f>high_v2_m!E54+temporary_pension_bonus_high!B54</f>
        <v>24451805.421261001</v>
      </c>
      <c r="H66" s="8">
        <f t="shared" si="17"/>
        <v>23858689.119776212</v>
      </c>
      <c r="I66" s="8">
        <f t="shared" si="18"/>
        <v>22827053.978707172</v>
      </c>
      <c r="J66" s="121">
        <f>high_v2_m!J54</f>
        <v>1675001.48716889</v>
      </c>
      <c r="K66" s="121">
        <f>high_v2_m!K54</f>
        <v>1624751.4425538301</v>
      </c>
      <c r="L66" s="8">
        <f t="shared" si="19"/>
        <v>1031635.1410690397</v>
      </c>
      <c r="M66" s="8">
        <f t="shared" si="20"/>
        <v>50250.044615059858</v>
      </c>
      <c r="N66" s="121">
        <f>SUM(high_v5_m!C54:J54)</f>
        <v>3048727.7366823573</v>
      </c>
      <c r="O66" s="5"/>
      <c r="P66" s="5"/>
      <c r="Q66" s="8">
        <f t="shared" si="21"/>
        <v>125587715.92107266</v>
      </c>
      <c r="R66" s="8"/>
      <c r="S66" s="8"/>
      <c r="T66" s="5"/>
      <c r="U66" s="5"/>
      <c r="V66" s="8">
        <f t="shared" si="26"/>
        <v>8938903.0577549767</v>
      </c>
      <c r="W66" s="8">
        <f t="shared" si="22"/>
        <v>276460.91931197076</v>
      </c>
      <c r="X66" s="8">
        <f t="shared" si="23"/>
        <v>21495614.883272912</v>
      </c>
      <c r="Y66" s="8">
        <f t="shared" si="24"/>
        <v>15819862.718686666</v>
      </c>
      <c r="Z66" s="8">
        <f t="shared" si="25"/>
        <v>5675752.1645862451</v>
      </c>
      <c r="AA66" s="119"/>
      <c r="AB66" s="119"/>
      <c r="AC66" s="119"/>
      <c r="AD66" s="119"/>
      <c r="AE66" s="119"/>
      <c r="AF66" s="119"/>
      <c r="AG66" s="119"/>
      <c r="AH66" s="119"/>
      <c r="AI66" s="119"/>
      <c r="AJ66" s="119"/>
      <c r="AK66" s="119"/>
      <c r="AL66" s="119"/>
      <c r="AM66" s="119"/>
      <c r="AN66" s="119"/>
      <c r="AO66" s="119"/>
      <c r="AP66" s="119"/>
      <c r="AQ66" s="119"/>
      <c r="AR66" s="119"/>
      <c r="AS66" s="119"/>
      <c r="AT66" s="119"/>
      <c r="AU66" s="119"/>
      <c r="AV66" s="119"/>
      <c r="AW66" s="119"/>
      <c r="AX66" s="119"/>
      <c r="AY66" s="119"/>
      <c r="AZ66" s="119"/>
      <c r="BA66" s="119"/>
      <c r="BB66" s="119"/>
      <c r="BC66" s="119"/>
      <c r="BD66" s="119"/>
      <c r="BE66" s="119"/>
      <c r="BF66" s="119"/>
      <c r="BG66" s="119"/>
      <c r="BH66" s="119"/>
      <c r="BI66" s="119"/>
      <c r="BJ66" s="119"/>
      <c r="BK66" s="119"/>
      <c r="BL66" s="119"/>
    </row>
    <row r="67" spans="1:64" x14ac:dyDescent="0.2">
      <c r="A67" s="7"/>
      <c r="B67" s="7"/>
      <c r="C67" s="7">
        <f t="shared" si="27"/>
        <v>2028</v>
      </c>
      <c r="D67" s="7">
        <f t="shared" si="28"/>
        <v>2</v>
      </c>
      <c r="E67" s="7">
        <v>214</v>
      </c>
      <c r="F67" s="123">
        <f>high_v2_m!D55+temporary_pension_bonus_high!B55</f>
        <v>25709878.2260633</v>
      </c>
      <c r="G67" s="123">
        <f>high_v2_m!E55+temporary_pension_bonus_high!B55</f>
        <v>24619012.146368202</v>
      </c>
      <c r="H67" s="41">
        <f t="shared" si="17"/>
        <v>23966359.31087862</v>
      </c>
      <c r="I67" s="41">
        <f t="shared" si="18"/>
        <v>22927798.798639063</v>
      </c>
      <c r="J67" s="123">
        <f>high_v2_m!J55</f>
        <v>1743518.9151846799</v>
      </c>
      <c r="K67" s="123">
        <f>high_v2_m!K55</f>
        <v>1691213.34772914</v>
      </c>
      <c r="L67" s="41">
        <f t="shared" si="19"/>
        <v>1038560.5122395568</v>
      </c>
      <c r="M67" s="41">
        <f t="shared" si="20"/>
        <v>52305.567455539946</v>
      </c>
      <c r="N67" s="123">
        <f>SUM(high_v5_m!C55:J55)</f>
        <v>2526945.4211142706</v>
      </c>
      <c r="O67" s="7"/>
      <c r="P67" s="7"/>
      <c r="Q67" s="41">
        <f t="shared" si="21"/>
        <v>126141984.19581053</v>
      </c>
      <c r="R67" s="41"/>
      <c r="S67" s="41"/>
      <c r="T67" s="7"/>
      <c r="U67" s="7"/>
      <c r="V67" s="41">
        <f t="shared" si="26"/>
        <v>9304556.8505972717</v>
      </c>
      <c r="W67" s="41">
        <f t="shared" si="22"/>
        <v>287769.79950300581</v>
      </c>
      <c r="X67" s="41">
        <f t="shared" si="23"/>
        <v>18826185.316206686</v>
      </c>
      <c r="Y67" s="41">
        <f t="shared" si="24"/>
        <v>13112331.802755093</v>
      </c>
      <c r="Z67" s="41">
        <f t="shared" si="25"/>
        <v>5713853.5134515939</v>
      </c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</row>
    <row r="68" spans="1:64" x14ac:dyDescent="0.2">
      <c r="A68" s="7"/>
      <c r="B68" s="7"/>
      <c r="C68" s="7">
        <f t="shared" si="27"/>
        <v>2028</v>
      </c>
      <c r="D68" s="7">
        <f t="shared" si="28"/>
        <v>3</v>
      </c>
      <c r="E68" s="7">
        <v>215</v>
      </c>
      <c r="F68" s="123">
        <f>high_v2_m!D56+temporary_pension_bonus_high!B56</f>
        <v>25862161.4059681</v>
      </c>
      <c r="G68" s="123">
        <f>high_v2_m!E56+temporary_pension_bonus_high!B56</f>
        <v>24763093.769850802</v>
      </c>
      <c r="H68" s="41">
        <f t="shared" ref="H68:H99" si="29">F68-J68</f>
        <v>24035429.050975729</v>
      </c>
      <c r="I68" s="41">
        <f t="shared" ref="I68:I99" si="30">G68-K68</f>
        <v>22991163.385508202</v>
      </c>
      <c r="J68" s="123">
        <f>high_v2_m!J56</f>
        <v>1826732.3549923699</v>
      </c>
      <c r="K68" s="123">
        <f>high_v2_m!K56</f>
        <v>1771930.3843425999</v>
      </c>
      <c r="L68" s="41">
        <f t="shared" ref="L68:L99" si="31">H68-I68</f>
        <v>1044265.6654675268</v>
      </c>
      <c r="M68" s="41">
        <f t="shared" ref="M68:M99" si="32">J68-K68</f>
        <v>54801.970649769995</v>
      </c>
      <c r="N68" s="123">
        <f>SUM(high_v5_m!C56:J56)</f>
        <v>2454043.5069508315</v>
      </c>
      <c r="O68" s="7"/>
      <c r="P68" s="7"/>
      <c r="Q68" s="41">
        <f t="shared" ref="Q68:Q99" si="33">I68*5.5017049523</f>
        <v>126490597.4571889</v>
      </c>
      <c r="R68" s="41"/>
      <c r="S68" s="41"/>
      <c r="T68" s="7"/>
      <c r="U68" s="7"/>
      <c r="V68" s="41">
        <f t="shared" si="26"/>
        <v>9748638.1706685238</v>
      </c>
      <c r="W68" s="41">
        <f t="shared" si="22"/>
        <v>301504.2733196388</v>
      </c>
      <c r="X68" s="41">
        <f t="shared" si="23"/>
        <v>18479285.006819434</v>
      </c>
      <c r="Y68" s="41">
        <f t="shared" si="24"/>
        <v>12734043.423599888</v>
      </c>
      <c r="Z68" s="41">
        <f t="shared" si="25"/>
        <v>5745241.5832195468</v>
      </c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</row>
    <row r="69" spans="1:64" x14ac:dyDescent="0.2">
      <c r="A69" s="7"/>
      <c r="B69" s="7"/>
      <c r="C69" s="7">
        <f t="shared" si="27"/>
        <v>2028</v>
      </c>
      <c r="D69" s="7">
        <f t="shared" si="28"/>
        <v>4</v>
      </c>
      <c r="E69" s="7">
        <v>216</v>
      </c>
      <c r="F69" s="123">
        <f>high_v2_m!D57+temporary_pension_bonus_high!B57</f>
        <v>26034991.926439699</v>
      </c>
      <c r="G69" s="123">
        <f>high_v2_m!E57+temporary_pension_bonus_high!B57</f>
        <v>24927414.584305901</v>
      </c>
      <c r="H69" s="41">
        <f t="shared" si="29"/>
        <v>24114635.5132985</v>
      </c>
      <c r="I69" s="41">
        <f t="shared" si="30"/>
        <v>23064668.863558941</v>
      </c>
      <c r="J69" s="123">
        <f>high_v2_m!J57</f>
        <v>1920356.4131412001</v>
      </c>
      <c r="K69" s="123">
        <f>high_v2_m!K57</f>
        <v>1862745.72074696</v>
      </c>
      <c r="L69" s="41">
        <f t="shared" si="31"/>
        <v>1049966.6497395597</v>
      </c>
      <c r="M69" s="41">
        <f t="shared" si="32"/>
        <v>57610.692394240061</v>
      </c>
      <c r="N69" s="123">
        <f>SUM(high_v5_m!C57:J57)</f>
        <v>2477930.2086858531</v>
      </c>
      <c r="O69" s="7"/>
      <c r="P69" s="7"/>
      <c r="Q69" s="41">
        <f t="shared" si="33"/>
        <v>126895002.90980184</v>
      </c>
      <c r="R69" s="41"/>
      <c r="S69" s="41"/>
      <c r="T69" s="7"/>
      <c r="U69" s="7"/>
      <c r="V69" s="41">
        <f t="shared" si="26"/>
        <v>10248277.356709182</v>
      </c>
      <c r="W69" s="41">
        <f t="shared" si="22"/>
        <v>316957.03165082249</v>
      </c>
      <c r="X69" s="41">
        <f t="shared" si="23"/>
        <v>18634598.349077493</v>
      </c>
      <c r="Y69" s="41">
        <f t="shared" si="24"/>
        <v>12857991.632455517</v>
      </c>
      <c r="Z69" s="41">
        <f t="shared" si="25"/>
        <v>5776606.7166219754</v>
      </c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</row>
    <row r="70" spans="1:64" x14ac:dyDescent="0.2">
      <c r="A70" s="119"/>
      <c r="B70" s="5"/>
      <c r="C70" s="119">
        <f t="shared" si="27"/>
        <v>2029</v>
      </c>
      <c r="D70" s="119">
        <f t="shared" si="28"/>
        <v>1</v>
      </c>
      <c r="E70" s="119">
        <v>217</v>
      </c>
      <c r="F70" s="121">
        <f>high_v2_m!D58+temporary_pension_bonus_high!B58</f>
        <v>26259610.708462901</v>
      </c>
      <c r="G70" s="121">
        <f>high_v2_m!E58+temporary_pension_bonus_high!B58</f>
        <v>25141217.224737301</v>
      </c>
      <c r="H70" s="8">
        <f t="shared" si="29"/>
        <v>24280559.930165902</v>
      </c>
      <c r="I70" s="8">
        <f t="shared" si="30"/>
        <v>23221537.969789211</v>
      </c>
      <c r="J70" s="121">
        <f>high_v2_m!J58</f>
        <v>1979050.7782970001</v>
      </c>
      <c r="K70" s="121">
        <f>high_v2_m!K58</f>
        <v>1919679.2549480901</v>
      </c>
      <c r="L70" s="8">
        <f t="shared" si="31"/>
        <v>1059021.9603766911</v>
      </c>
      <c r="M70" s="8">
        <f t="shared" si="32"/>
        <v>59371.523348910036</v>
      </c>
      <c r="N70" s="121">
        <f>SUM(high_v5_m!C58:J58)</f>
        <v>2998611.8586421097</v>
      </c>
      <c r="O70" s="5"/>
      <c r="P70" s="5"/>
      <c r="Q70" s="8">
        <f t="shared" si="33"/>
        <v>127758050.44841179</v>
      </c>
      <c r="R70" s="8"/>
      <c r="S70" s="8"/>
      <c r="T70" s="5"/>
      <c r="U70" s="5"/>
      <c r="V70" s="8">
        <f t="shared" si="26"/>
        <v>10561508.863775481</v>
      </c>
      <c r="W70" s="8">
        <f t="shared" si="22"/>
        <v>326644.60403429344</v>
      </c>
      <c r="X70" s="8">
        <f t="shared" si="23"/>
        <v>21386237.553293854</v>
      </c>
      <c r="Y70" s="8">
        <f t="shared" si="24"/>
        <v>15559811.18929496</v>
      </c>
      <c r="Z70" s="8">
        <f t="shared" si="25"/>
        <v>5826426.3639988955</v>
      </c>
      <c r="AA70" s="119"/>
      <c r="AB70" s="119"/>
      <c r="AC70" s="119"/>
      <c r="AD70" s="119"/>
      <c r="AE70" s="119"/>
      <c r="AF70" s="119"/>
      <c r="AG70" s="119"/>
      <c r="AH70" s="119"/>
      <c r="AI70" s="119"/>
      <c r="AJ70" s="119"/>
      <c r="AK70" s="119"/>
      <c r="AL70" s="119"/>
      <c r="AM70" s="119"/>
      <c r="AN70" s="119"/>
      <c r="AO70" s="119"/>
      <c r="AP70" s="119"/>
      <c r="AQ70" s="119"/>
      <c r="AR70" s="119"/>
      <c r="AS70" s="119"/>
      <c r="AT70" s="119"/>
      <c r="AU70" s="119"/>
      <c r="AV70" s="119"/>
      <c r="AW70" s="119"/>
      <c r="AX70" s="119"/>
      <c r="AY70" s="119"/>
      <c r="AZ70" s="119"/>
      <c r="BA70" s="119"/>
      <c r="BB70" s="119"/>
      <c r="BC70" s="119"/>
      <c r="BD70" s="119"/>
      <c r="BE70" s="119"/>
      <c r="BF70" s="119"/>
      <c r="BG70" s="119"/>
      <c r="BH70" s="119"/>
      <c r="BI70" s="119"/>
      <c r="BJ70" s="119"/>
      <c r="BK70" s="119"/>
      <c r="BL70" s="119"/>
    </row>
    <row r="71" spans="1:64" x14ac:dyDescent="0.2">
      <c r="A71" s="7"/>
      <c r="B71" s="7"/>
      <c r="C71" s="7">
        <f t="shared" si="27"/>
        <v>2029</v>
      </c>
      <c r="D71" s="7">
        <f t="shared" si="28"/>
        <v>2</v>
      </c>
      <c r="E71" s="7">
        <v>218</v>
      </c>
      <c r="F71" s="123">
        <f>high_v2_m!D59+temporary_pension_bonus_high!B59</f>
        <v>26417734.798578501</v>
      </c>
      <c r="G71" s="123">
        <f>high_v2_m!E59+temporary_pension_bonus_high!B59</f>
        <v>25292631.740747798</v>
      </c>
      <c r="H71" s="41">
        <f t="shared" si="29"/>
        <v>24377040.585846871</v>
      </c>
      <c r="I71" s="41">
        <f t="shared" si="30"/>
        <v>23313158.354398116</v>
      </c>
      <c r="J71" s="123">
        <f>high_v2_m!J59</f>
        <v>2040694.2127316301</v>
      </c>
      <c r="K71" s="123">
        <f>high_v2_m!K59</f>
        <v>1979473.3863496799</v>
      </c>
      <c r="L71" s="41">
        <f t="shared" si="31"/>
        <v>1063882.2314487547</v>
      </c>
      <c r="M71" s="41">
        <f t="shared" si="32"/>
        <v>61220.826381950174</v>
      </c>
      <c r="N71" s="123">
        <f>SUM(high_v5_m!C59:J59)</f>
        <v>2480059.9435704527</v>
      </c>
      <c r="O71" s="7"/>
      <c r="P71" s="7"/>
      <c r="Q71" s="41">
        <f t="shared" si="33"/>
        <v>128262118.77214624</v>
      </c>
      <c r="R71" s="41"/>
      <c r="S71" s="41"/>
      <c r="T71" s="7"/>
      <c r="U71" s="7"/>
      <c r="V71" s="41">
        <f t="shared" si="26"/>
        <v>10890478.532626085</v>
      </c>
      <c r="W71" s="41">
        <f t="shared" si="22"/>
        <v>336818.92368947377</v>
      </c>
      <c r="X71" s="41">
        <f t="shared" si="23"/>
        <v>18722208.978321627</v>
      </c>
      <c r="Y71" s="41">
        <f t="shared" si="24"/>
        <v>12869042.83689604</v>
      </c>
      <c r="Z71" s="41">
        <f t="shared" si="25"/>
        <v>5853166.1414255882</v>
      </c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</row>
    <row r="72" spans="1:64" x14ac:dyDescent="0.2">
      <c r="A72" s="7"/>
      <c r="B72" s="7"/>
      <c r="C72" s="7">
        <f t="shared" si="27"/>
        <v>2029</v>
      </c>
      <c r="D72" s="7">
        <f t="shared" si="28"/>
        <v>3</v>
      </c>
      <c r="E72" s="7">
        <v>219</v>
      </c>
      <c r="F72" s="123">
        <f>high_v2_m!D60+temporary_pension_bonus_high!B60</f>
        <v>26650008.901692498</v>
      </c>
      <c r="G72" s="123">
        <f>high_v2_m!E60+temporary_pension_bonus_high!B60</f>
        <v>25514032.472962499</v>
      </c>
      <c r="H72" s="41">
        <f t="shared" si="29"/>
        <v>24537951.40494008</v>
      </c>
      <c r="I72" s="41">
        <f t="shared" si="30"/>
        <v>23465336.701112658</v>
      </c>
      <c r="J72" s="123">
        <f>high_v2_m!J60</f>
        <v>2112057.49675242</v>
      </c>
      <c r="K72" s="123">
        <f>high_v2_m!K60</f>
        <v>2048695.7718498399</v>
      </c>
      <c r="L72" s="41">
        <f t="shared" si="31"/>
        <v>1072614.7038274221</v>
      </c>
      <c r="M72" s="41">
        <f t="shared" si="32"/>
        <v>63361.724902580027</v>
      </c>
      <c r="N72" s="123">
        <f>SUM(high_v5_m!C60:J60)</f>
        <v>2435456.0665464508</v>
      </c>
      <c r="O72" s="7"/>
      <c r="P72" s="7"/>
      <c r="Q72" s="41">
        <f t="shared" si="33"/>
        <v>129099359.13589846</v>
      </c>
      <c r="R72" s="41"/>
      <c r="S72" s="41"/>
      <c r="T72" s="7"/>
      <c r="U72" s="7"/>
      <c r="V72" s="41">
        <f t="shared" si="26"/>
        <v>11271319.673742335</v>
      </c>
      <c r="W72" s="41">
        <f t="shared" si="22"/>
        <v>348597.51568279474</v>
      </c>
      <c r="X72" s="41">
        <f t="shared" si="23"/>
        <v>18538802.734937709</v>
      </c>
      <c r="Y72" s="41">
        <f t="shared" si="24"/>
        <v>12637593.106980583</v>
      </c>
      <c r="Z72" s="41">
        <f t="shared" si="25"/>
        <v>5901209.6279571261</v>
      </c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</row>
    <row r="73" spans="1:64" x14ac:dyDescent="0.2">
      <c r="A73" s="7"/>
      <c r="B73" s="7"/>
      <c r="C73" s="7">
        <f t="shared" si="27"/>
        <v>2029</v>
      </c>
      <c r="D73" s="7">
        <f t="shared" si="28"/>
        <v>4</v>
      </c>
      <c r="E73" s="7">
        <v>220</v>
      </c>
      <c r="F73" s="123">
        <f>high_v2_m!D61+temporary_pension_bonus_high!B61</f>
        <v>26758840.553138901</v>
      </c>
      <c r="G73" s="123">
        <f>high_v2_m!E61+temporary_pension_bonus_high!B61</f>
        <v>25617127.936258901</v>
      </c>
      <c r="H73" s="41">
        <f t="shared" si="29"/>
        <v>24578399.442616571</v>
      </c>
      <c r="I73" s="41">
        <f t="shared" si="30"/>
        <v>23502100.05905224</v>
      </c>
      <c r="J73" s="123">
        <f>high_v2_m!J61</f>
        <v>2180441.1105223298</v>
      </c>
      <c r="K73" s="123">
        <f>high_v2_m!K61</f>
        <v>2115027.8772066599</v>
      </c>
      <c r="L73" s="41">
        <f t="shared" si="31"/>
        <v>1076299.3835643306</v>
      </c>
      <c r="M73" s="41">
        <f t="shared" si="32"/>
        <v>65413.233315669931</v>
      </c>
      <c r="N73" s="123">
        <f>SUM(high_v5_m!C61:J61)</f>
        <v>2407096.4222641508</v>
      </c>
      <c r="O73" s="7"/>
      <c r="P73" s="7"/>
      <c r="Q73" s="41">
        <f t="shared" si="33"/>
        <v>129301620.28433783</v>
      </c>
      <c r="R73" s="41"/>
      <c r="S73" s="41"/>
      <c r="T73" s="7"/>
      <c r="U73" s="7"/>
      <c r="V73" s="41">
        <f t="shared" si="26"/>
        <v>11636259.346280437</v>
      </c>
      <c r="W73" s="41">
        <f t="shared" si="22"/>
        <v>359884.3096787766</v>
      </c>
      <c r="X73" s="41">
        <f t="shared" si="23"/>
        <v>18411916.426696964</v>
      </c>
      <c r="Y73" s="41">
        <f t="shared" si="24"/>
        <v>12490434.777983651</v>
      </c>
      <c r="Z73" s="41">
        <f t="shared" si="25"/>
        <v>5921481.6487133149</v>
      </c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</row>
    <row r="74" spans="1:64" x14ac:dyDescent="0.2">
      <c r="A74" s="119"/>
      <c r="B74" s="5"/>
      <c r="C74" s="119">
        <f t="shared" si="27"/>
        <v>2030</v>
      </c>
      <c r="D74" s="119">
        <f t="shared" si="28"/>
        <v>1</v>
      </c>
      <c r="E74" s="119">
        <v>221</v>
      </c>
      <c r="F74" s="121">
        <f>high_v2_m!D62+temporary_pension_bonus_high!B62</f>
        <v>26935537.677243602</v>
      </c>
      <c r="G74" s="121">
        <f>high_v2_m!E62+temporary_pension_bonus_high!B62</f>
        <v>25785356.558060799</v>
      </c>
      <c r="H74" s="8">
        <f t="shared" si="29"/>
        <v>24645681.351652313</v>
      </c>
      <c r="I74" s="8">
        <f t="shared" si="30"/>
        <v>23564195.922237247</v>
      </c>
      <c r="J74" s="121">
        <f>high_v2_m!J62</f>
        <v>2289856.3255912899</v>
      </c>
      <c r="K74" s="121">
        <f>high_v2_m!K62</f>
        <v>2221160.6358235502</v>
      </c>
      <c r="L74" s="8">
        <f t="shared" si="31"/>
        <v>1081485.4294150658</v>
      </c>
      <c r="M74" s="8">
        <f t="shared" si="32"/>
        <v>68695.689767739736</v>
      </c>
      <c r="N74" s="121">
        <f>SUM(high_v5_m!C62:J62)</f>
        <v>2976169.0432300139</v>
      </c>
      <c r="O74" s="5"/>
      <c r="P74" s="5"/>
      <c r="Q74" s="8">
        <f t="shared" si="33"/>
        <v>129643253.40234013</v>
      </c>
      <c r="R74" s="8"/>
      <c r="S74" s="8"/>
      <c r="T74" s="5"/>
      <c r="U74" s="5"/>
      <c r="V74" s="8">
        <f t="shared" si="26"/>
        <v>12220170.469964242</v>
      </c>
      <c r="W74" s="8">
        <f t="shared" si="22"/>
        <v>377943.41659683816</v>
      </c>
      <c r="X74" s="8">
        <f t="shared" si="23"/>
        <v>21393369.056286097</v>
      </c>
      <c r="Y74" s="8">
        <f t="shared" si="24"/>
        <v>15443355.313432939</v>
      </c>
      <c r="Z74" s="8">
        <f t="shared" si="25"/>
        <v>5950013.7428531591</v>
      </c>
      <c r="AA74" s="119"/>
      <c r="AB74" s="119"/>
      <c r="AC74" s="119"/>
      <c r="AD74" s="119"/>
      <c r="AE74" s="119"/>
      <c r="AF74" s="119"/>
      <c r="AG74" s="119"/>
      <c r="AH74" s="119"/>
      <c r="AI74" s="119"/>
      <c r="AJ74" s="119"/>
      <c r="AK74" s="119"/>
      <c r="AL74" s="119"/>
      <c r="AM74" s="119"/>
      <c r="AN74" s="119"/>
      <c r="AO74" s="119"/>
      <c r="AP74" s="119"/>
      <c r="AQ74" s="119"/>
      <c r="AR74" s="119"/>
      <c r="AS74" s="119"/>
      <c r="AT74" s="119"/>
      <c r="AU74" s="119"/>
      <c r="AV74" s="119"/>
      <c r="AW74" s="119"/>
      <c r="AX74" s="119"/>
      <c r="AY74" s="119"/>
      <c r="AZ74" s="119"/>
      <c r="BA74" s="119"/>
      <c r="BB74" s="119"/>
      <c r="BC74" s="119"/>
      <c r="BD74" s="119"/>
      <c r="BE74" s="119"/>
      <c r="BF74" s="119"/>
      <c r="BG74" s="119"/>
      <c r="BH74" s="119"/>
      <c r="BI74" s="119"/>
      <c r="BJ74" s="119"/>
      <c r="BK74" s="119"/>
      <c r="BL74" s="119"/>
    </row>
    <row r="75" spans="1:64" x14ac:dyDescent="0.2">
      <c r="A75" s="7"/>
      <c r="B75" s="7"/>
      <c r="C75" s="7">
        <f t="shared" si="27"/>
        <v>2030</v>
      </c>
      <c r="D75" s="7">
        <f t="shared" si="28"/>
        <v>2</v>
      </c>
      <c r="E75" s="7">
        <v>222</v>
      </c>
      <c r="F75" s="123">
        <f>high_v2_m!D63+temporary_pension_bonus_high!B63</f>
        <v>27131439.4273865</v>
      </c>
      <c r="G75" s="123">
        <f>high_v2_m!E63+temporary_pension_bonus_high!B63</f>
        <v>25970961.690620799</v>
      </c>
      <c r="H75" s="41">
        <f t="shared" si="29"/>
        <v>24780265.537589598</v>
      </c>
      <c r="I75" s="41">
        <f t="shared" si="30"/>
        <v>23690323.017517809</v>
      </c>
      <c r="J75" s="123">
        <f>high_v2_m!J63</f>
        <v>2351173.8897969001</v>
      </c>
      <c r="K75" s="123">
        <f>high_v2_m!K63</f>
        <v>2280638.6731029898</v>
      </c>
      <c r="L75" s="41">
        <f t="shared" si="31"/>
        <v>1089942.5200717896</v>
      </c>
      <c r="M75" s="41">
        <f t="shared" si="32"/>
        <v>70535.216693910304</v>
      </c>
      <c r="N75" s="123">
        <f>SUM(high_v5_m!C63:J63)</f>
        <v>2395590.1500293151</v>
      </c>
      <c r="O75" s="7"/>
      <c r="P75" s="7"/>
      <c r="Q75" s="41">
        <f t="shared" si="33"/>
        <v>130337167.46706441</v>
      </c>
      <c r="R75" s="41"/>
      <c r="S75" s="41"/>
      <c r="T75" s="7"/>
      <c r="U75" s="7"/>
      <c r="V75" s="41">
        <f t="shared" si="26"/>
        <v>12547401.082217619</v>
      </c>
      <c r="W75" s="41">
        <f t="shared" si="22"/>
        <v>388063.95099643996</v>
      </c>
      <c r="X75" s="41">
        <f t="shared" si="23"/>
        <v>18427270.837059878</v>
      </c>
      <c r="Y75" s="41">
        <f t="shared" si="24"/>
        <v>12430728.676658571</v>
      </c>
      <c r="Z75" s="41">
        <f t="shared" si="25"/>
        <v>5996542.160401307</v>
      </c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</row>
    <row r="76" spans="1:64" x14ac:dyDescent="0.2">
      <c r="A76" s="7"/>
      <c r="B76" s="7"/>
      <c r="C76" s="7">
        <f t="shared" si="27"/>
        <v>2030</v>
      </c>
      <c r="D76" s="7">
        <f t="shared" si="28"/>
        <v>3</v>
      </c>
      <c r="E76" s="7">
        <v>223</v>
      </c>
      <c r="F76" s="123">
        <f>high_v2_m!D64+temporary_pension_bonus_high!B64</f>
        <v>27380143.808823202</v>
      </c>
      <c r="G76" s="123">
        <f>high_v2_m!E64+temporary_pension_bonus_high!B64</f>
        <v>26206710.422912501</v>
      </c>
      <c r="H76" s="41">
        <f t="shared" si="29"/>
        <v>24960681.875484411</v>
      </c>
      <c r="I76" s="41">
        <f t="shared" si="30"/>
        <v>23859832.34757388</v>
      </c>
      <c r="J76" s="123">
        <f>high_v2_m!J64</f>
        <v>2419461.9333387902</v>
      </c>
      <c r="K76" s="123">
        <f>high_v2_m!K64</f>
        <v>2346878.0753386202</v>
      </c>
      <c r="L76" s="41">
        <f t="shared" si="31"/>
        <v>1100849.5279105306</v>
      </c>
      <c r="M76" s="41">
        <f t="shared" si="32"/>
        <v>72583.858000169974</v>
      </c>
      <c r="N76" s="123">
        <f>SUM(high_v5_m!C64:J64)</f>
        <v>2360462.3042038474</v>
      </c>
      <c r="O76" s="7"/>
      <c r="P76" s="7"/>
      <c r="Q76" s="41">
        <f t="shared" si="33"/>
        <v>131269757.78769495</v>
      </c>
      <c r="R76" s="41"/>
      <c r="S76" s="41"/>
      <c r="T76" s="7"/>
      <c r="U76" s="7"/>
      <c r="V76" s="41">
        <f t="shared" si="26"/>
        <v>12911830.729534779</v>
      </c>
      <c r="W76" s="41">
        <f t="shared" si="22"/>
        <v>399334.97101657512</v>
      </c>
      <c r="X76" s="41">
        <f t="shared" si="23"/>
        <v>18304999.417121947</v>
      </c>
      <c r="Y76" s="41">
        <f t="shared" si="24"/>
        <v>12248450.117679466</v>
      </c>
      <c r="Z76" s="41">
        <f t="shared" si="25"/>
        <v>6056549.2994424831</v>
      </c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</row>
    <row r="77" spans="1:64" x14ac:dyDescent="0.2">
      <c r="A77" s="7"/>
      <c r="B77" s="7"/>
      <c r="C77" s="7">
        <f t="shared" si="27"/>
        <v>2030</v>
      </c>
      <c r="D77" s="7">
        <f t="shared" si="28"/>
        <v>4</v>
      </c>
      <c r="E77" s="7">
        <v>224</v>
      </c>
      <c r="F77" s="123">
        <f>high_v2_m!D65+temporary_pension_bonus_high!B65</f>
        <v>27522322.5783864</v>
      </c>
      <c r="G77" s="123">
        <f>high_v2_m!E65+temporary_pension_bonus_high!B65</f>
        <v>26341585.257569101</v>
      </c>
      <c r="H77" s="41">
        <f t="shared" si="29"/>
        <v>25072607.405043378</v>
      </c>
      <c r="I77" s="41">
        <f t="shared" si="30"/>
        <v>23965361.539426371</v>
      </c>
      <c r="J77" s="123">
        <f>high_v2_m!J65</f>
        <v>2449715.17334302</v>
      </c>
      <c r="K77" s="123">
        <f>high_v2_m!K65</f>
        <v>2376223.7181427302</v>
      </c>
      <c r="L77" s="41">
        <f t="shared" si="31"/>
        <v>1107245.865617007</v>
      </c>
      <c r="M77" s="41">
        <f t="shared" si="32"/>
        <v>73491.455200289842</v>
      </c>
      <c r="N77" s="123">
        <f>SUM(high_v5_m!C65:J65)</f>
        <v>2315970.0049912897</v>
      </c>
      <c r="O77" s="7"/>
      <c r="P77" s="7"/>
      <c r="Q77" s="41">
        <f t="shared" si="33"/>
        <v>131850348.26512201</v>
      </c>
      <c r="R77" s="41"/>
      <c r="S77" s="41"/>
      <c r="T77" s="7"/>
      <c r="U77" s="7"/>
      <c r="V77" s="41">
        <f t="shared" si="26"/>
        <v>13073281.797878578</v>
      </c>
      <c r="W77" s="41">
        <f t="shared" si="22"/>
        <v>404328.30302716821</v>
      </c>
      <c r="X77" s="41">
        <f t="shared" si="23"/>
        <v>18109319.427836798</v>
      </c>
      <c r="Y77" s="41">
        <f t="shared" si="24"/>
        <v>12017579.365558011</v>
      </c>
      <c r="Z77" s="41">
        <f t="shared" si="25"/>
        <v>6091740.0622787876</v>
      </c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</row>
    <row r="78" spans="1:64" x14ac:dyDescent="0.2">
      <c r="A78" s="119"/>
      <c r="B78" s="5"/>
      <c r="C78" s="119">
        <f t="shared" si="27"/>
        <v>2031</v>
      </c>
      <c r="D78" s="119">
        <f t="shared" si="28"/>
        <v>1</v>
      </c>
      <c r="E78" s="119">
        <v>225</v>
      </c>
      <c r="F78" s="121">
        <f>high_v2_m!D66+temporary_pension_bonus_high!B66</f>
        <v>27773034.0614332</v>
      </c>
      <c r="G78" s="121">
        <f>high_v2_m!E66+temporary_pension_bonus_high!B66</f>
        <v>26580065.723065</v>
      </c>
      <c r="H78" s="8">
        <f t="shared" si="29"/>
        <v>25233296.25818827</v>
      </c>
      <c r="I78" s="8">
        <f t="shared" si="30"/>
        <v>24116520.053917419</v>
      </c>
      <c r="J78" s="121">
        <f>high_v2_m!J66</f>
        <v>2539737.8032449302</v>
      </c>
      <c r="K78" s="121">
        <f>high_v2_m!K66</f>
        <v>2463545.6691475799</v>
      </c>
      <c r="L78" s="8">
        <f t="shared" si="31"/>
        <v>1116776.2042708509</v>
      </c>
      <c r="M78" s="8">
        <f t="shared" si="32"/>
        <v>76192.134097350296</v>
      </c>
      <c r="N78" s="121">
        <f>SUM(high_v5_m!C66:J66)</f>
        <v>2874415.0965813952</v>
      </c>
      <c r="O78" s="5"/>
      <c r="P78" s="5"/>
      <c r="Q78" s="8">
        <f t="shared" si="33"/>
        <v>132681977.81287973</v>
      </c>
      <c r="R78" s="8"/>
      <c r="S78" s="8"/>
      <c r="T78" s="5"/>
      <c r="U78" s="5"/>
      <c r="V78" s="8">
        <f t="shared" si="26"/>
        <v>13553701.408166457</v>
      </c>
      <c r="W78" s="8">
        <f t="shared" ref="W78:W109" si="34">M78*5.5017049523</f>
        <v>419186.64148969779</v>
      </c>
      <c r="X78" s="8">
        <f t="shared" ref="X78:X109" si="35">N78*5.1890047538+L78*5.5017049523</f>
        <v>21059526.774203081</v>
      </c>
      <c r="Y78" s="8">
        <f t="shared" ref="Y78:Y109" si="36">N78*5.1890047538</f>
        <v>14915353.600555345</v>
      </c>
      <c r="Z78" s="8">
        <f t="shared" ref="Z78:Z109" si="37">L78*5.5017049523</f>
        <v>6144173.1736477362</v>
      </c>
      <c r="AA78" s="119"/>
      <c r="AB78" s="119"/>
      <c r="AC78" s="119"/>
      <c r="AD78" s="119"/>
      <c r="AE78" s="119"/>
      <c r="AF78" s="119"/>
      <c r="AG78" s="119"/>
      <c r="AH78" s="119"/>
      <c r="AI78" s="119"/>
      <c r="AJ78" s="119"/>
      <c r="AK78" s="119"/>
      <c r="AL78" s="119"/>
      <c r="AM78" s="119"/>
      <c r="AN78" s="119"/>
      <c r="AO78" s="119"/>
      <c r="AP78" s="119"/>
      <c r="AQ78" s="119"/>
      <c r="AR78" s="119"/>
      <c r="AS78" s="119"/>
      <c r="AT78" s="119"/>
      <c r="AU78" s="119"/>
      <c r="AV78" s="119"/>
      <c r="AW78" s="119"/>
      <c r="AX78" s="119"/>
      <c r="AY78" s="119"/>
      <c r="AZ78" s="119"/>
      <c r="BA78" s="119"/>
      <c r="BB78" s="119"/>
      <c r="BC78" s="119"/>
      <c r="BD78" s="119"/>
      <c r="BE78" s="119"/>
      <c r="BF78" s="119"/>
      <c r="BG78" s="119"/>
      <c r="BH78" s="119"/>
      <c r="BI78" s="119"/>
      <c r="BJ78" s="119"/>
      <c r="BK78" s="119"/>
      <c r="BL78" s="119"/>
    </row>
    <row r="79" spans="1:64" x14ac:dyDescent="0.2">
      <c r="A79" s="7"/>
      <c r="B79" s="7"/>
      <c r="C79" s="7">
        <f t="shared" si="27"/>
        <v>2031</v>
      </c>
      <c r="D79" s="7">
        <f t="shared" si="28"/>
        <v>2</v>
      </c>
      <c r="E79" s="7">
        <v>226</v>
      </c>
      <c r="F79" s="123">
        <f>high_v2_m!D67+temporary_pension_bonus_high!B67</f>
        <v>27943861.521808598</v>
      </c>
      <c r="G79" s="123">
        <f>high_v2_m!E67+temporary_pension_bonus_high!B67</f>
        <v>26742387.161986899</v>
      </c>
      <c r="H79" s="41">
        <f t="shared" si="29"/>
        <v>25363287.062864318</v>
      </c>
      <c r="I79" s="41">
        <f t="shared" si="30"/>
        <v>24239229.936810948</v>
      </c>
      <c r="J79" s="123">
        <f>high_v2_m!J67</f>
        <v>2580574.4589442802</v>
      </c>
      <c r="K79" s="123">
        <f>high_v2_m!K67</f>
        <v>2503157.2251759502</v>
      </c>
      <c r="L79" s="41">
        <f t="shared" si="31"/>
        <v>1124057.1260533705</v>
      </c>
      <c r="M79" s="41">
        <f t="shared" si="32"/>
        <v>77417.233768329956</v>
      </c>
      <c r="N79" s="123">
        <f>SUM(high_v5_m!C67:J67)</f>
        <v>2280239.7349033225</v>
      </c>
      <c r="O79" s="7"/>
      <c r="P79" s="7"/>
      <c r="Q79" s="41">
        <f t="shared" si="33"/>
        <v>133357091.3832912</v>
      </c>
      <c r="R79" s="41"/>
      <c r="S79" s="41"/>
      <c r="T79" s="7"/>
      <c r="U79" s="7"/>
      <c r="V79" s="41">
        <f t="shared" ref="V79:V110" si="38">K79*5.5017049523</f>
        <v>13771632.502136052</v>
      </c>
      <c r="W79" s="41">
        <f t="shared" si="34"/>
        <v>425926.77841658768</v>
      </c>
      <c r="X79" s="41">
        <f t="shared" si="35"/>
        <v>18016405.481292926</v>
      </c>
      <c r="Y79" s="41">
        <f t="shared" si="36"/>
        <v>11832174.824216992</v>
      </c>
      <c r="Z79" s="41">
        <f t="shared" si="37"/>
        <v>6184230.6570759341</v>
      </c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</row>
    <row r="80" spans="1:64" x14ac:dyDescent="0.2">
      <c r="A80" s="7"/>
      <c r="B80" s="7"/>
      <c r="C80" s="7">
        <f t="shared" si="27"/>
        <v>2031</v>
      </c>
      <c r="D80" s="7">
        <f t="shared" si="28"/>
        <v>3</v>
      </c>
      <c r="E80" s="7">
        <v>227</v>
      </c>
      <c r="F80" s="123">
        <f>high_v2_m!D68+temporary_pension_bonus_high!B68</f>
        <v>28130235.008304499</v>
      </c>
      <c r="G80" s="123">
        <f>high_v2_m!E68+temporary_pension_bonus_high!B68</f>
        <v>26919208.466878101</v>
      </c>
      <c r="H80" s="41">
        <f t="shared" si="29"/>
        <v>25486999.860636819</v>
      </c>
      <c r="I80" s="41">
        <f t="shared" si="30"/>
        <v>24355270.373640452</v>
      </c>
      <c r="J80" s="123">
        <f>high_v2_m!J68</f>
        <v>2643235.1476676799</v>
      </c>
      <c r="K80" s="123">
        <f>high_v2_m!K68</f>
        <v>2563938.0932376501</v>
      </c>
      <c r="L80" s="41">
        <f t="shared" si="31"/>
        <v>1131729.4869963676</v>
      </c>
      <c r="M80" s="41">
        <f t="shared" si="32"/>
        <v>79297.054430029821</v>
      </c>
      <c r="N80" s="123">
        <f>SUM(high_v5_m!C68:J68)</f>
        <v>2306401.2375954511</v>
      </c>
      <c r="O80" s="7"/>
      <c r="P80" s="7"/>
      <c r="Q80" s="41">
        <f t="shared" si="33"/>
        <v>133995511.62926315</v>
      </c>
      <c r="R80" s="41"/>
      <c r="S80" s="41"/>
      <c r="T80" s="7"/>
      <c r="U80" s="7"/>
      <c r="V80" s="41">
        <f t="shared" si="38"/>
        <v>14106030.904956199</v>
      </c>
      <c r="W80" s="41">
        <f t="shared" si="34"/>
        <v>436268.9970604977</v>
      </c>
      <c r="X80" s="41">
        <f t="shared" si="35"/>
        <v>18194368.709324852</v>
      </c>
      <c r="Y80" s="41">
        <f t="shared" si="36"/>
        <v>11967926.986052999</v>
      </c>
      <c r="Z80" s="41">
        <f t="shared" si="37"/>
        <v>6226441.7232718542</v>
      </c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</row>
    <row r="81" spans="1:64" x14ac:dyDescent="0.2">
      <c r="A81" s="7"/>
      <c r="B81" s="7"/>
      <c r="C81" s="7">
        <f t="shared" si="27"/>
        <v>2031</v>
      </c>
      <c r="D81" s="7">
        <f t="shared" si="28"/>
        <v>4</v>
      </c>
      <c r="E81" s="7">
        <v>228</v>
      </c>
      <c r="F81" s="123">
        <f>high_v2_m!D69+temporary_pension_bonus_high!B69</f>
        <v>28328831.636988301</v>
      </c>
      <c r="G81" s="123">
        <f>high_v2_m!E69+temporary_pension_bonus_high!B69</f>
        <v>27108560.9088648</v>
      </c>
      <c r="H81" s="41">
        <f t="shared" si="29"/>
        <v>25630349.436505962</v>
      </c>
      <c r="I81" s="41">
        <f t="shared" si="30"/>
        <v>24491033.174396928</v>
      </c>
      <c r="J81" s="123">
        <f>high_v2_m!J69</f>
        <v>2698482.2004823401</v>
      </c>
      <c r="K81" s="123">
        <f>high_v2_m!K69</f>
        <v>2617527.7344678701</v>
      </c>
      <c r="L81" s="41">
        <f t="shared" si="31"/>
        <v>1139316.2621090338</v>
      </c>
      <c r="M81" s="41">
        <f t="shared" si="32"/>
        <v>80954.466014469974</v>
      </c>
      <c r="N81" s="123">
        <f>SUM(high_v5_m!C69:J69)</f>
        <v>2242302.3139876109</v>
      </c>
      <c r="O81" s="7"/>
      <c r="P81" s="7"/>
      <c r="Q81" s="41">
        <f t="shared" si="33"/>
        <v>134742438.50252315</v>
      </c>
      <c r="R81" s="41"/>
      <c r="S81" s="41"/>
      <c r="T81" s="7"/>
      <c r="U81" s="7"/>
      <c r="V81" s="41">
        <f t="shared" si="38"/>
        <v>14400865.299504479</v>
      </c>
      <c r="W81" s="41">
        <f t="shared" si="34"/>
        <v>445387.58658261149</v>
      </c>
      <c r="X81" s="41">
        <f t="shared" si="35"/>
        <v>17903499.288219649</v>
      </c>
      <c r="Y81" s="41">
        <f t="shared" si="36"/>
        <v>11635317.366738454</v>
      </c>
      <c r="Z81" s="41">
        <f t="shared" si="37"/>
        <v>6268181.9214811958</v>
      </c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</row>
    <row r="82" spans="1:64" x14ac:dyDescent="0.2">
      <c r="A82" s="119"/>
      <c r="B82" s="5"/>
      <c r="C82" s="119">
        <f t="shared" ref="C82:C113" si="39">C78+1</f>
        <v>2032</v>
      </c>
      <c r="D82" s="119">
        <f t="shared" ref="D82:D113" si="40">D78</f>
        <v>1</v>
      </c>
      <c r="E82" s="119">
        <v>229</v>
      </c>
      <c r="F82" s="121">
        <f>high_v2_m!D70+temporary_pension_bonus_high!B70</f>
        <v>28472416.256657299</v>
      </c>
      <c r="G82" s="121">
        <f>high_v2_m!E70+temporary_pension_bonus_high!B70</f>
        <v>27245080.7617261</v>
      </c>
      <c r="H82" s="8">
        <f t="shared" si="29"/>
        <v>25711692.313338779</v>
      </c>
      <c r="I82" s="8">
        <f t="shared" si="30"/>
        <v>24567178.536707129</v>
      </c>
      <c r="J82" s="121">
        <f>high_v2_m!J70</f>
        <v>2760723.9433185202</v>
      </c>
      <c r="K82" s="121">
        <f>high_v2_m!K70</f>
        <v>2677902.2250189702</v>
      </c>
      <c r="L82" s="8">
        <f t="shared" si="31"/>
        <v>1144513.7766316496</v>
      </c>
      <c r="M82" s="8">
        <f t="shared" si="32"/>
        <v>82821.718299550004</v>
      </c>
      <c r="N82" s="121">
        <f>SUM(high_v5_m!C70:J70)</f>
        <v>2710450.6971321921</v>
      </c>
      <c r="O82" s="5"/>
      <c r="P82" s="5"/>
      <c r="Q82" s="8">
        <f t="shared" si="33"/>
        <v>135161367.81943989</v>
      </c>
      <c r="R82" s="8"/>
      <c r="S82" s="8"/>
      <c r="T82" s="5"/>
      <c r="U82" s="5"/>
      <c r="V82" s="8">
        <f t="shared" si="38"/>
        <v>14733027.933162058</v>
      </c>
      <c r="W82" s="8">
        <f t="shared" si="34"/>
        <v>455660.65772662981</v>
      </c>
      <c r="X82" s="8">
        <f t="shared" si="35"/>
        <v>20361318.665229391</v>
      </c>
      <c r="Y82" s="8">
        <f t="shared" si="36"/>
        <v>14064541.552359469</v>
      </c>
      <c r="Z82" s="8">
        <f t="shared" si="37"/>
        <v>6296777.1128699221</v>
      </c>
      <c r="AA82" s="119"/>
      <c r="AB82" s="119"/>
      <c r="AC82" s="119"/>
      <c r="AD82" s="119"/>
      <c r="AE82" s="119"/>
      <c r="AF82" s="119"/>
      <c r="AG82" s="119"/>
      <c r="AH82" s="119"/>
      <c r="AI82" s="119"/>
      <c r="AJ82" s="119"/>
      <c r="AK82" s="119"/>
      <c r="AL82" s="119"/>
      <c r="AM82" s="119"/>
      <c r="AN82" s="119"/>
      <c r="AO82" s="119"/>
      <c r="AP82" s="119"/>
      <c r="AQ82" s="119"/>
      <c r="AR82" s="119"/>
      <c r="AS82" s="119"/>
      <c r="AT82" s="119"/>
      <c r="AU82" s="119"/>
      <c r="AV82" s="119"/>
      <c r="AW82" s="119"/>
      <c r="AX82" s="119"/>
      <c r="AY82" s="119"/>
      <c r="AZ82" s="119"/>
      <c r="BA82" s="119"/>
      <c r="BB82" s="119"/>
      <c r="BC82" s="119"/>
      <c r="BD82" s="119"/>
      <c r="BE82" s="119"/>
      <c r="BF82" s="119"/>
      <c r="BG82" s="119"/>
      <c r="BH82" s="119"/>
      <c r="BI82" s="119"/>
      <c r="BJ82" s="119"/>
      <c r="BK82" s="119"/>
      <c r="BL82" s="119"/>
    </row>
    <row r="83" spans="1:64" x14ac:dyDescent="0.2">
      <c r="A83" s="7"/>
      <c r="B83" s="7"/>
      <c r="C83" s="7">
        <f t="shared" si="39"/>
        <v>2032</v>
      </c>
      <c r="D83" s="7">
        <f t="shared" si="40"/>
        <v>2</v>
      </c>
      <c r="E83" s="7">
        <v>230</v>
      </c>
      <c r="F83" s="123">
        <f>high_v2_m!D71+temporary_pension_bonus_high!B71</f>
        <v>28625787.946474198</v>
      </c>
      <c r="G83" s="123">
        <f>high_v2_m!E71+temporary_pension_bonus_high!B71</f>
        <v>27389686.521993902</v>
      </c>
      <c r="H83" s="41">
        <f t="shared" si="29"/>
        <v>25815027.77955398</v>
      </c>
      <c r="I83" s="41">
        <f t="shared" si="30"/>
        <v>24663249.16008129</v>
      </c>
      <c r="J83" s="123">
        <f>high_v2_m!J71</f>
        <v>2810760.16692022</v>
      </c>
      <c r="K83" s="123">
        <f>high_v2_m!K71</f>
        <v>2726437.36191261</v>
      </c>
      <c r="L83" s="41">
        <f t="shared" si="31"/>
        <v>1151778.6194726899</v>
      </c>
      <c r="M83" s="41">
        <f t="shared" si="32"/>
        <v>84322.805007610004</v>
      </c>
      <c r="N83" s="123">
        <f>SUM(high_v5_m!C71:J71)</f>
        <v>2187645.3829100365</v>
      </c>
      <c r="O83" s="7"/>
      <c r="P83" s="7"/>
      <c r="Q83" s="41">
        <f t="shared" si="33"/>
        <v>135689920.04382804</v>
      </c>
      <c r="R83" s="41"/>
      <c r="S83" s="41"/>
      <c r="T83" s="7"/>
      <c r="U83" s="7"/>
      <c r="V83" s="41">
        <f t="shared" si="38"/>
        <v>15000053.936170354</v>
      </c>
      <c r="W83" s="41">
        <f t="shared" si="34"/>
        <v>463919.1939021952</v>
      </c>
      <c r="X83" s="41">
        <f t="shared" si="35"/>
        <v>17688448.426254954</v>
      </c>
      <c r="Y83" s="41">
        <f t="shared" si="36"/>
        <v>11351702.2915488</v>
      </c>
      <c r="Z83" s="41">
        <f t="shared" si="37"/>
        <v>6336746.1347061554</v>
      </c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</row>
    <row r="84" spans="1:64" x14ac:dyDescent="0.2">
      <c r="A84" s="7"/>
      <c r="B84" s="7"/>
      <c r="C84" s="7">
        <f t="shared" si="39"/>
        <v>2032</v>
      </c>
      <c r="D84" s="7">
        <f t="shared" si="40"/>
        <v>3</v>
      </c>
      <c r="E84" s="7">
        <v>231</v>
      </c>
      <c r="F84" s="123">
        <f>high_v2_m!D72+temporary_pension_bonus_high!B72</f>
        <v>28935657.029006399</v>
      </c>
      <c r="G84" s="123">
        <f>high_v2_m!E72+temporary_pension_bonus_high!B72</f>
        <v>27683808.6677472</v>
      </c>
      <c r="H84" s="41">
        <f t="shared" si="29"/>
        <v>25989928.23027198</v>
      </c>
      <c r="I84" s="41">
        <f t="shared" si="30"/>
        <v>24826451.732974809</v>
      </c>
      <c r="J84" s="123">
        <f>high_v2_m!J72</f>
        <v>2945728.79873442</v>
      </c>
      <c r="K84" s="123">
        <f>high_v2_m!K72</f>
        <v>2857356.9347723899</v>
      </c>
      <c r="L84" s="41">
        <f t="shared" si="31"/>
        <v>1163476.4972971715</v>
      </c>
      <c r="M84" s="41">
        <f t="shared" si="32"/>
        <v>88371.863962030038</v>
      </c>
      <c r="N84" s="123">
        <f>SUM(high_v5_m!C72:J72)</f>
        <v>2219177.3963719024</v>
      </c>
      <c r="O84" s="7"/>
      <c r="P84" s="7"/>
      <c r="Q84" s="41">
        <f t="shared" si="33"/>
        <v>136587812.44734442</v>
      </c>
      <c r="R84" s="41"/>
      <c r="S84" s="41"/>
      <c r="T84" s="7"/>
      <c r="U84" s="7"/>
      <c r="V84" s="41">
        <f t="shared" si="38"/>
        <v>15720334.798526006</v>
      </c>
      <c r="W84" s="41">
        <f t="shared" si="34"/>
        <v>486195.92160388257</v>
      </c>
      <c r="X84" s="41">
        <f t="shared" si="35"/>
        <v>17916426.466363814</v>
      </c>
      <c r="Y84" s="41">
        <f t="shared" si="36"/>
        <v>11515322.059299309</v>
      </c>
      <c r="Z84" s="41">
        <f t="shared" si="37"/>
        <v>6401104.4070645059</v>
      </c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</row>
    <row r="85" spans="1:64" x14ac:dyDescent="0.2">
      <c r="A85" s="7"/>
      <c r="B85" s="7"/>
      <c r="C85" s="7">
        <f t="shared" si="39"/>
        <v>2032</v>
      </c>
      <c r="D85" s="7">
        <f t="shared" si="40"/>
        <v>4</v>
      </c>
      <c r="E85" s="7">
        <v>232</v>
      </c>
      <c r="F85" s="123">
        <f>high_v2_m!D73+temporary_pension_bonus_high!B73</f>
        <v>29074522.712049101</v>
      </c>
      <c r="G85" s="123">
        <f>high_v2_m!E73+temporary_pension_bonus_high!B73</f>
        <v>27815815.166909501</v>
      </c>
      <c r="H85" s="41">
        <f t="shared" si="29"/>
        <v>26064022.509928491</v>
      </c>
      <c r="I85" s="41">
        <f t="shared" si="30"/>
        <v>24895629.970852509</v>
      </c>
      <c r="J85" s="123">
        <f>high_v2_m!J73</f>
        <v>3010500.20212061</v>
      </c>
      <c r="K85" s="123">
        <f>high_v2_m!K73</f>
        <v>2920185.19605699</v>
      </c>
      <c r="L85" s="41">
        <f t="shared" si="31"/>
        <v>1168392.5390759818</v>
      </c>
      <c r="M85" s="41">
        <f t="shared" si="32"/>
        <v>90315.006063620094</v>
      </c>
      <c r="N85" s="123">
        <f>SUM(high_v5_m!C73:J73)</f>
        <v>2221963.0567566757</v>
      </c>
      <c r="O85" s="7"/>
      <c r="P85" s="7"/>
      <c r="Q85" s="41">
        <f t="shared" si="33"/>
        <v>136968410.70126754</v>
      </c>
      <c r="R85" s="41"/>
      <c r="S85" s="41"/>
      <c r="T85" s="7"/>
      <c r="U85" s="7"/>
      <c r="V85" s="41">
        <f t="shared" si="38"/>
        <v>16065997.354779888</v>
      </c>
      <c r="W85" s="41">
        <f t="shared" si="34"/>
        <v>496886.51612722321</v>
      </c>
      <c r="X85" s="41">
        <f t="shared" si="35"/>
        <v>17957927.882743068</v>
      </c>
      <c r="Y85" s="41">
        <f t="shared" si="36"/>
        <v>11529776.864278369</v>
      </c>
      <c r="Z85" s="41">
        <f t="shared" si="37"/>
        <v>6428151.0184647003</v>
      </c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</row>
    <row r="86" spans="1:64" x14ac:dyDescent="0.2">
      <c r="A86" s="119"/>
      <c r="B86" s="5"/>
      <c r="C86" s="119">
        <f t="shared" si="39"/>
        <v>2033</v>
      </c>
      <c r="D86" s="119">
        <f t="shared" si="40"/>
        <v>1</v>
      </c>
      <c r="E86" s="119">
        <v>233</v>
      </c>
      <c r="F86" s="121">
        <f>high_v2_m!D74+temporary_pension_bonus_high!B74</f>
        <v>29334973.208223499</v>
      </c>
      <c r="G86" s="121">
        <f>high_v2_m!E74+temporary_pension_bonus_high!B74</f>
        <v>28064348.754212301</v>
      </c>
      <c r="H86" s="8">
        <f t="shared" si="29"/>
        <v>26282753.47551892</v>
      </c>
      <c r="I86" s="8">
        <f t="shared" si="30"/>
        <v>25103695.61348886</v>
      </c>
      <c r="J86" s="121">
        <f>high_v2_m!J74</f>
        <v>3052219.7327045798</v>
      </c>
      <c r="K86" s="121">
        <f>high_v2_m!K74</f>
        <v>2960653.1407234399</v>
      </c>
      <c r="L86" s="8">
        <f t="shared" si="31"/>
        <v>1179057.8620300591</v>
      </c>
      <c r="M86" s="8">
        <f t="shared" si="32"/>
        <v>91566.591981139965</v>
      </c>
      <c r="N86" s="121">
        <f>SUM(high_v5_m!C74:J74)</f>
        <v>2725916.8524241354</v>
      </c>
      <c r="O86" s="5"/>
      <c r="P86" s="5"/>
      <c r="Q86" s="8">
        <f t="shared" si="33"/>
        <v>138113126.47776344</v>
      </c>
      <c r="R86" s="8"/>
      <c r="S86" s="8"/>
      <c r="T86" s="5"/>
      <c r="U86" s="5"/>
      <c r="V86" s="8">
        <f t="shared" si="38"/>
        <v>16288640.046360698</v>
      </c>
      <c r="W86" s="8">
        <f t="shared" si="34"/>
        <v>503772.37256787118</v>
      </c>
      <c r="X86" s="8">
        <f t="shared" si="35"/>
        <v>20631623.9842714</v>
      </c>
      <c r="Y86" s="8">
        <f t="shared" si="36"/>
        <v>14144795.505692372</v>
      </c>
      <c r="Z86" s="8">
        <f t="shared" si="37"/>
        <v>6486828.4785790257</v>
      </c>
      <c r="AA86" s="119"/>
      <c r="AB86" s="119"/>
      <c r="AC86" s="119"/>
      <c r="AD86" s="119"/>
      <c r="AE86" s="119"/>
      <c r="AF86" s="119"/>
      <c r="AG86" s="119"/>
      <c r="AH86" s="119"/>
      <c r="AI86" s="119"/>
      <c r="AJ86" s="119"/>
      <c r="AK86" s="119"/>
      <c r="AL86" s="119"/>
      <c r="AM86" s="119"/>
      <c r="AN86" s="119"/>
      <c r="AO86" s="119"/>
      <c r="AP86" s="119"/>
      <c r="AQ86" s="119"/>
      <c r="AR86" s="119"/>
      <c r="AS86" s="119"/>
      <c r="AT86" s="119"/>
      <c r="AU86" s="119"/>
      <c r="AV86" s="119"/>
      <c r="AW86" s="119"/>
      <c r="AX86" s="119"/>
      <c r="AY86" s="119"/>
      <c r="AZ86" s="119"/>
      <c r="BA86" s="119"/>
      <c r="BB86" s="119"/>
      <c r="BC86" s="119"/>
      <c r="BD86" s="119"/>
      <c r="BE86" s="119"/>
      <c r="BF86" s="119"/>
      <c r="BG86" s="119"/>
      <c r="BH86" s="119"/>
      <c r="BI86" s="119"/>
      <c r="BJ86" s="119"/>
      <c r="BK86" s="119"/>
      <c r="BL86" s="119"/>
    </row>
    <row r="87" spans="1:64" x14ac:dyDescent="0.2">
      <c r="A87" s="7"/>
      <c r="B87" s="7"/>
      <c r="C87" s="7">
        <f t="shared" si="39"/>
        <v>2033</v>
      </c>
      <c r="D87" s="7">
        <f t="shared" si="40"/>
        <v>2</v>
      </c>
      <c r="E87" s="7">
        <v>234</v>
      </c>
      <c r="F87" s="123">
        <f>high_v2_m!D75+temporary_pension_bonus_high!B75</f>
        <v>29460017.952711198</v>
      </c>
      <c r="G87" s="123">
        <f>high_v2_m!E75+temporary_pension_bonus_high!B75</f>
        <v>28183289.047467601</v>
      </c>
      <c r="H87" s="41">
        <f t="shared" si="29"/>
        <v>26358083.66739095</v>
      </c>
      <c r="I87" s="41">
        <f t="shared" si="30"/>
        <v>25174412.790706962</v>
      </c>
      <c r="J87" s="123">
        <f>high_v2_m!J75</f>
        <v>3101934.2853202499</v>
      </c>
      <c r="K87" s="123">
        <f>high_v2_m!K75</f>
        <v>3008876.2567606401</v>
      </c>
      <c r="L87" s="41">
        <f t="shared" si="31"/>
        <v>1183670.8766839877</v>
      </c>
      <c r="M87" s="41">
        <f t="shared" si="32"/>
        <v>93058.028559609782</v>
      </c>
      <c r="N87" s="123">
        <f>SUM(high_v5_m!C75:J75)</f>
        <v>2199559.4880854683</v>
      </c>
      <c r="O87" s="7"/>
      <c r="P87" s="7"/>
      <c r="Q87" s="41">
        <f t="shared" si="33"/>
        <v>138502191.52187696</v>
      </c>
      <c r="R87" s="41"/>
      <c r="S87" s="41"/>
      <c r="T87" s="7"/>
      <c r="U87" s="7"/>
      <c r="V87" s="41">
        <f t="shared" si="38"/>
        <v>16553949.402677899</v>
      </c>
      <c r="W87" s="41">
        <f t="shared" si="34"/>
        <v>511977.81657767994</v>
      </c>
      <c r="X87" s="41">
        <f t="shared" si="35"/>
        <v>17925732.564086966</v>
      </c>
      <c r="Y87" s="41">
        <f t="shared" si="36"/>
        <v>11413524.639941389</v>
      </c>
      <c r="Z87" s="41">
        <f t="shared" si="37"/>
        <v>6512207.9241455775</v>
      </c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</row>
    <row r="88" spans="1:64" x14ac:dyDescent="0.2">
      <c r="A88" s="7"/>
      <c r="B88" s="7"/>
      <c r="C88" s="7">
        <f t="shared" si="39"/>
        <v>2033</v>
      </c>
      <c r="D88" s="7">
        <f t="shared" si="40"/>
        <v>3</v>
      </c>
      <c r="E88" s="7">
        <v>235</v>
      </c>
      <c r="F88" s="123">
        <f>high_v2_m!D76+temporary_pension_bonus_high!B76</f>
        <v>29634619.3819828</v>
      </c>
      <c r="G88" s="123">
        <f>high_v2_m!E76+temporary_pension_bonus_high!B76</f>
        <v>28349289.2693858</v>
      </c>
      <c r="H88" s="41">
        <f t="shared" si="29"/>
        <v>26504412.191412799</v>
      </c>
      <c r="I88" s="41">
        <f t="shared" si="30"/>
        <v>25312988.294532899</v>
      </c>
      <c r="J88" s="123">
        <f>high_v2_m!J76</f>
        <v>3130207.1905700001</v>
      </c>
      <c r="K88" s="123">
        <f>high_v2_m!K76</f>
        <v>3036300.9748529</v>
      </c>
      <c r="L88" s="41">
        <f t="shared" si="31"/>
        <v>1191423.8968799002</v>
      </c>
      <c r="M88" s="41">
        <f t="shared" si="32"/>
        <v>93906.215717100073</v>
      </c>
      <c r="N88" s="123">
        <f>SUM(high_v5_m!C76:J76)</f>
        <v>2221050.5959248617</v>
      </c>
      <c r="O88" s="7"/>
      <c r="P88" s="7"/>
      <c r="Q88" s="41">
        <f t="shared" si="33"/>
        <v>139264593.05754358</v>
      </c>
      <c r="R88" s="41"/>
      <c r="S88" s="41"/>
      <c r="T88" s="7"/>
      <c r="U88" s="7"/>
      <c r="V88" s="41">
        <f t="shared" si="38"/>
        <v>16704832.110021517</v>
      </c>
      <c r="W88" s="41">
        <f t="shared" si="34"/>
        <v>516644.29206252156</v>
      </c>
      <c r="X88" s="41">
        <f t="shared" si="35"/>
        <v>18079904.854437143</v>
      </c>
      <c r="Y88" s="41">
        <f t="shared" si="36"/>
        <v>11525042.10068443</v>
      </c>
      <c r="Z88" s="41">
        <f t="shared" si="37"/>
        <v>6554862.7537527112</v>
      </c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</row>
    <row r="89" spans="1:64" x14ac:dyDescent="0.2">
      <c r="A89" s="7"/>
      <c r="B89" s="7"/>
      <c r="C89" s="7">
        <f t="shared" si="39"/>
        <v>2033</v>
      </c>
      <c r="D89" s="7">
        <f t="shared" si="40"/>
        <v>4</v>
      </c>
      <c r="E89" s="7">
        <v>236</v>
      </c>
      <c r="F89" s="123">
        <f>high_v2_m!D77+temporary_pension_bonus_high!B77</f>
        <v>29868205.4778715</v>
      </c>
      <c r="G89" s="123">
        <f>high_v2_m!E77+temporary_pension_bonus_high!B77</f>
        <v>28571438.598387901</v>
      </c>
      <c r="H89" s="41">
        <f t="shared" si="29"/>
        <v>26689657.633879088</v>
      </c>
      <c r="I89" s="41">
        <f t="shared" si="30"/>
        <v>25488247.189715259</v>
      </c>
      <c r="J89" s="123">
        <f>high_v2_m!J77</f>
        <v>3178547.8439924102</v>
      </c>
      <c r="K89" s="123">
        <f>high_v2_m!K77</f>
        <v>3083191.4086726401</v>
      </c>
      <c r="L89" s="41">
        <f t="shared" si="31"/>
        <v>1201410.4441638291</v>
      </c>
      <c r="M89" s="41">
        <f t="shared" si="32"/>
        <v>95356.435319770128</v>
      </c>
      <c r="N89" s="123">
        <f>SUM(high_v5_m!C77:J77)</f>
        <v>2196024.304269277</v>
      </c>
      <c r="O89" s="7"/>
      <c r="P89" s="7"/>
      <c r="Q89" s="41">
        <f t="shared" si="33"/>
        <v>140228815.789103</v>
      </c>
      <c r="R89" s="41"/>
      <c r="S89" s="41"/>
      <c r="T89" s="7"/>
      <c r="U89" s="7"/>
      <c r="V89" s="41">
        <f t="shared" si="38"/>
        <v>16962809.441983078</v>
      </c>
      <c r="W89" s="41">
        <f t="shared" si="34"/>
        <v>524622.97243245388</v>
      </c>
      <c r="X89" s="41">
        <f t="shared" si="35"/>
        <v>18004986.344714697</v>
      </c>
      <c r="Y89" s="41">
        <f t="shared" si="36"/>
        <v>11395180.554313617</v>
      </c>
      <c r="Z89" s="41">
        <f t="shared" si="37"/>
        <v>6609805.7904010806</v>
      </c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</row>
    <row r="90" spans="1:64" x14ac:dyDescent="0.2">
      <c r="A90" s="119"/>
      <c r="B90" s="5"/>
      <c r="C90" s="119">
        <f t="shared" si="39"/>
        <v>2034</v>
      </c>
      <c r="D90" s="119">
        <f t="shared" si="40"/>
        <v>1</v>
      </c>
      <c r="E90" s="119">
        <v>237</v>
      </c>
      <c r="F90" s="121">
        <f>high_v2_m!D78+temporary_pension_bonus_high!B78</f>
        <v>30004817.171966702</v>
      </c>
      <c r="G90" s="121">
        <f>high_v2_m!E78+temporary_pension_bonus_high!B78</f>
        <v>28701866.405372702</v>
      </c>
      <c r="H90" s="8">
        <f t="shared" si="29"/>
        <v>26770917.421438962</v>
      </c>
      <c r="I90" s="8">
        <f t="shared" si="30"/>
        <v>25564983.647360791</v>
      </c>
      <c r="J90" s="121">
        <f>high_v2_m!J78</f>
        <v>3233899.75052774</v>
      </c>
      <c r="K90" s="121">
        <f>high_v2_m!K78</f>
        <v>3136882.7580119101</v>
      </c>
      <c r="L90" s="8">
        <f t="shared" si="31"/>
        <v>1205933.7740781717</v>
      </c>
      <c r="M90" s="8">
        <f t="shared" si="32"/>
        <v>97016.992515829857</v>
      </c>
      <c r="N90" s="121">
        <f>SUM(high_v5_m!C78:J78)</f>
        <v>2659381.3341765529</v>
      </c>
      <c r="O90" s="5"/>
      <c r="P90" s="5"/>
      <c r="Q90" s="8">
        <f t="shared" si="33"/>
        <v>140650997.13815337</v>
      </c>
      <c r="R90" s="8"/>
      <c r="S90" s="8"/>
      <c r="T90" s="5"/>
      <c r="U90" s="5"/>
      <c r="V90" s="8">
        <f t="shared" si="38"/>
        <v>17258203.404538609</v>
      </c>
      <c r="W90" s="8">
        <f t="shared" si="34"/>
        <v>533758.86818159313</v>
      </c>
      <c r="X90" s="8">
        <f t="shared" si="35"/>
        <v>20434234.202200826</v>
      </c>
      <c r="Y90" s="8">
        <f t="shared" si="36"/>
        <v>13799542.385209119</v>
      </c>
      <c r="Z90" s="8">
        <f t="shared" si="37"/>
        <v>6634691.8169917064</v>
      </c>
      <c r="AA90" s="119"/>
      <c r="AB90" s="119"/>
      <c r="AC90" s="119"/>
      <c r="AD90" s="119"/>
      <c r="AE90" s="119"/>
      <c r="AF90" s="119"/>
      <c r="AG90" s="119"/>
      <c r="AH90" s="119"/>
      <c r="AI90" s="119"/>
      <c r="AJ90" s="119"/>
      <c r="AK90" s="119"/>
      <c r="AL90" s="119"/>
      <c r="AM90" s="119"/>
      <c r="AN90" s="119"/>
      <c r="AO90" s="119"/>
      <c r="AP90" s="119"/>
      <c r="AQ90" s="119"/>
      <c r="AR90" s="119"/>
      <c r="AS90" s="119"/>
      <c r="AT90" s="119"/>
      <c r="AU90" s="119"/>
      <c r="AV90" s="119"/>
      <c r="AW90" s="119"/>
      <c r="AX90" s="119"/>
      <c r="AY90" s="119"/>
      <c r="AZ90" s="119"/>
      <c r="BA90" s="119"/>
      <c r="BB90" s="119"/>
      <c r="BC90" s="119"/>
      <c r="BD90" s="119"/>
      <c r="BE90" s="119"/>
      <c r="BF90" s="119"/>
      <c r="BG90" s="119"/>
      <c r="BH90" s="119"/>
      <c r="BI90" s="119"/>
      <c r="BJ90" s="119"/>
      <c r="BK90" s="119"/>
      <c r="BL90" s="119"/>
    </row>
    <row r="91" spans="1:64" x14ac:dyDescent="0.2">
      <c r="A91" s="7"/>
      <c r="B91" s="7"/>
      <c r="C91" s="7">
        <f t="shared" si="39"/>
        <v>2034</v>
      </c>
      <c r="D91" s="7">
        <f t="shared" si="40"/>
        <v>2</v>
      </c>
      <c r="E91" s="7">
        <v>238</v>
      </c>
      <c r="F91" s="123">
        <f>high_v2_m!D79+temporary_pension_bonus_high!B79</f>
        <v>30209046.320790201</v>
      </c>
      <c r="G91" s="123">
        <f>high_v2_m!E79+temporary_pension_bonus_high!B79</f>
        <v>28896402.559800301</v>
      </c>
      <c r="H91" s="41">
        <f t="shared" si="29"/>
        <v>26897107.638525181</v>
      </c>
      <c r="I91" s="41">
        <f t="shared" si="30"/>
        <v>25683822.03800324</v>
      </c>
      <c r="J91" s="123">
        <f>high_v2_m!J79</f>
        <v>3311938.68226502</v>
      </c>
      <c r="K91" s="123">
        <f>high_v2_m!K79</f>
        <v>3212580.52179706</v>
      </c>
      <c r="L91" s="41">
        <f t="shared" si="31"/>
        <v>1213285.6005219407</v>
      </c>
      <c r="M91" s="41">
        <f t="shared" si="32"/>
        <v>99358.16046795994</v>
      </c>
      <c r="N91" s="123">
        <f>SUM(high_v5_m!C79:J79)</f>
        <v>2184574.3033763096</v>
      </c>
      <c r="O91" s="7"/>
      <c r="P91" s="7"/>
      <c r="Q91" s="41">
        <f t="shared" si="33"/>
        <v>141304810.90047431</v>
      </c>
      <c r="R91" s="41"/>
      <c r="S91" s="41"/>
      <c r="T91" s="7"/>
      <c r="U91" s="7"/>
      <c r="V91" s="41">
        <f t="shared" si="38"/>
        <v>17674670.166433401</v>
      </c>
      <c r="W91" s="41">
        <f t="shared" si="34"/>
        <v>546639.28349799325</v>
      </c>
      <c r="X91" s="41">
        <f t="shared" si="35"/>
        <v>18010905.842194833</v>
      </c>
      <c r="Y91" s="41">
        <f t="shared" si="36"/>
        <v>11335766.445248993</v>
      </c>
      <c r="Z91" s="41">
        <f t="shared" si="37"/>
        <v>6675139.3969458407</v>
      </c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</row>
    <row r="92" spans="1:64" x14ac:dyDescent="0.2">
      <c r="A92" s="7"/>
      <c r="B92" s="7"/>
      <c r="C92" s="7">
        <f t="shared" si="39"/>
        <v>2034</v>
      </c>
      <c r="D92" s="7">
        <f t="shared" si="40"/>
        <v>3</v>
      </c>
      <c r="E92" s="7">
        <v>239</v>
      </c>
      <c r="F92" s="123">
        <f>high_v2_m!D80+temporary_pension_bonus_high!B80</f>
        <v>30362551.8316232</v>
      </c>
      <c r="G92" s="123">
        <f>high_v2_m!E80+temporary_pension_bonus_high!B80</f>
        <v>29043034.451809701</v>
      </c>
      <c r="H92" s="41">
        <f t="shared" si="29"/>
        <v>26974621.94983818</v>
      </c>
      <c r="I92" s="41">
        <f t="shared" si="30"/>
        <v>25756742.466478229</v>
      </c>
      <c r="J92" s="123">
        <f>high_v2_m!J80</f>
        <v>3387929.8817850202</v>
      </c>
      <c r="K92" s="123">
        <f>high_v2_m!K80</f>
        <v>3286291.9853314701</v>
      </c>
      <c r="L92" s="41">
        <f t="shared" si="31"/>
        <v>1217879.4833599515</v>
      </c>
      <c r="M92" s="41">
        <f t="shared" si="32"/>
        <v>101637.89645355009</v>
      </c>
      <c r="N92" s="123">
        <f>SUM(high_v5_m!C80:J80)</f>
        <v>2116652.116710227</v>
      </c>
      <c r="O92" s="7"/>
      <c r="P92" s="7"/>
      <c r="Q92" s="41">
        <f t="shared" si="33"/>
        <v>141705997.582939</v>
      </c>
      <c r="R92" s="41"/>
      <c r="S92" s="41"/>
      <c r="T92" s="7"/>
      <c r="U92" s="7"/>
      <c r="V92" s="41">
        <f t="shared" si="38"/>
        <v>18080208.890401948</v>
      </c>
      <c r="W92" s="41">
        <f t="shared" si="34"/>
        <v>559181.7182598511</v>
      </c>
      <c r="X92" s="41">
        <f t="shared" si="35"/>
        <v>17683731.48065621</v>
      </c>
      <c r="Y92" s="41">
        <f t="shared" si="36"/>
        <v>10983317.8957502</v>
      </c>
      <c r="Z92" s="41">
        <f t="shared" si="37"/>
        <v>6700413.5849060109</v>
      </c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</row>
    <row r="93" spans="1:64" x14ac:dyDescent="0.2">
      <c r="A93" s="7"/>
      <c r="B93" s="7"/>
      <c r="C93" s="7">
        <f t="shared" si="39"/>
        <v>2034</v>
      </c>
      <c r="D93" s="7">
        <f t="shared" si="40"/>
        <v>4</v>
      </c>
      <c r="E93" s="7">
        <v>240</v>
      </c>
      <c r="F93" s="123">
        <f>high_v2_m!D81+temporary_pension_bonus_high!B81</f>
        <v>30510816.2823603</v>
      </c>
      <c r="G93" s="123">
        <f>high_v2_m!E81+temporary_pension_bonus_high!B81</f>
        <v>29183501.405770998</v>
      </c>
      <c r="H93" s="41">
        <f t="shared" si="29"/>
        <v>27063395.03840803</v>
      </c>
      <c r="I93" s="41">
        <f t="shared" si="30"/>
        <v>25839502.799137298</v>
      </c>
      <c r="J93" s="123">
        <f>high_v2_m!J81</f>
        <v>3447421.2439522701</v>
      </c>
      <c r="K93" s="123">
        <f>high_v2_m!K81</f>
        <v>3343998.6066337</v>
      </c>
      <c r="L93" s="41">
        <f t="shared" si="31"/>
        <v>1223892.2392707318</v>
      </c>
      <c r="M93" s="41">
        <f t="shared" si="32"/>
        <v>103422.63731857017</v>
      </c>
      <c r="N93" s="123">
        <f>SUM(high_v5_m!C81:J81)</f>
        <v>2115410.0312137841</v>
      </c>
      <c r="O93" s="7"/>
      <c r="P93" s="7"/>
      <c r="Q93" s="41">
        <f t="shared" si="33"/>
        <v>142161320.51498339</v>
      </c>
      <c r="R93" s="41"/>
      <c r="S93" s="41"/>
      <c r="T93" s="7"/>
      <c r="U93" s="7"/>
      <c r="V93" s="41">
        <f t="shared" si="38"/>
        <v>18397693.694600925</v>
      </c>
      <c r="W93" s="41">
        <f t="shared" si="34"/>
        <v>569000.83591550426</v>
      </c>
      <c r="X93" s="41">
        <f t="shared" si="35"/>
        <v>17710366.702081852</v>
      </c>
      <c r="Y93" s="41">
        <f t="shared" si="36"/>
        <v>10976872.708204532</v>
      </c>
      <c r="Z93" s="41">
        <f t="shared" si="37"/>
        <v>6733493.9938773215</v>
      </c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</row>
    <row r="94" spans="1:64" x14ac:dyDescent="0.2">
      <c r="A94" s="119"/>
      <c r="B94" s="5"/>
      <c r="C94" s="119">
        <f t="shared" si="39"/>
        <v>2035</v>
      </c>
      <c r="D94" s="119">
        <f t="shared" si="40"/>
        <v>1</v>
      </c>
      <c r="E94" s="119">
        <v>241</v>
      </c>
      <c r="F94" s="121">
        <f>high_v2_m!D82+temporary_pension_bonus_high!B82</f>
        <v>30706423.3203464</v>
      </c>
      <c r="G94" s="121">
        <f>high_v2_m!E82+temporary_pension_bonus_high!B82</f>
        <v>29369972.554394498</v>
      </c>
      <c r="H94" s="8">
        <f t="shared" si="29"/>
        <v>27178073.038878959</v>
      </c>
      <c r="I94" s="8">
        <f t="shared" si="30"/>
        <v>25947472.781371079</v>
      </c>
      <c r="J94" s="121">
        <f>high_v2_m!J82</f>
        <v>3528350.2814674401</v>
      </c>
      <c r="K94" s="121">
        <f>high_v2_m!K82</f>
        <v>3422499.77302342</v>
      </c>
      <c r="L94" s="8">
        <f t="shared" si="31"/>
        <v>1230600.2575078793</v>
      </c>
      <c r="M94" s="8">
        <f t="shared" si="32"/>
        <v>105850.50844402006</v>
      </c>
      <c r="N94" s="121">
        <f>SUM(high_v5_m!C82:J82)</f>
        <v>2572566.616835427</v>
      </c>
      <c r="O94" s="5"/>
      <c r="P94" s="5"/>
      <c r="Q94" s="8">
        <f t="shared" si="33"/>
        <v>142755339.50093871</v>
      </c>
      <c r="R94" s="8"/>
      <c r="S94" s="8"/>
      <c r="T94" s="5"/>
      <c r="U94" s="5"/>
      <c r="V94" s="8">
        <f t="shared" si="38"/>
        <v>18829583.950488575</v>
      </c>
      <c r="W94" s="8">
        <f t="shared" si="34"/>
        <v>582358.26650993817</v>
      </c>
      <c r="X94" s="8">
        <f t="shared" si="35"/>
        <v>20119459.93525897</v>
      </c>
      <c r="Y94" s="8">
        <f t="shared" si="36"/>
        <v>13349060.404226214</v>
      </c>
      <c r="Z94" s="8">
        <f t="shared" si="37"/>
        <v>6770399.531032755</v>
      </c>
      <c r="AA94" s="119"/>
      <c r="AB94" s="119"/>
      <c r="AC94" s="119"/>
      <c r="AD94" s="119"/>
      <c r="AE94" s="119"/>
      <c r="AF94" s="119"/>
      <c r="AG94" s="119"/>
      <c r="AH94" s="119"/>
      <c r="AI94" s="119"/>
      <c r="AJ94" s="119"/>
      <c r="AK94" s="119"/>
      <c r="AL94" s="119"/>
      <c r="AM94" s="119"/>
      <c r="AN94" s="119"/>
      <c r="AO94" s="119"/>
      <c r="AP94" s="119"/>
      <c r="AQ94" s="119"/>
      <c r="AR94" s="119"/>
      <c r="AS94" s="119"/>
      <c r="AT94" s="119"/>
      <c r="AU94" s="119"/>
      <c r="AV94" s="119"/>
      <c r="AW94" s="119"/>
      <c r="AX94" s="119"/>
      <c r="AY94" s="119"/>
      <c r="AZ94" s="119"/>
      <c r="BA94" s="119"/>
      <c r="BB94" s="119"/>
      <c r="BC94" s="119"/>
      <c r="BD94" s="119"/>
      <c r="BE94" s="119"/>
      <c r="BF94" s="119"/>
      <c r="BG94" s="119"/>
      <c r="BH94" s="119"/>
      <c r="BI94" s="119"/>
      <c r="BJ94" s="119"/>
      <c r="BK94" s="119"/>
      <c r="BL94" s="119"/>
    </row>
    <row r="95" spans="1:64" x14ac:dyDescent="0.2">
      <c r="A95" s="7"/>
      <c r="B95" s="7"/>
      <c r="C95" s="7">
        <f t="shared" si="39"/>
        <v>2035</v>
      </c>
      <c r="D95" s="7">
        <f t="shared" si="40"/>
        <v>2</v>
      </c>
      <c r="E95" s="7">
        <v>242</v>
      </c>
      <c r="F95" s="123">
        <f>high_v2_m!D83+temporary_pension_bonus_high!B83</f>
        <v>30801837.902738299</v>
      </c>
      <c r="G95" s="123">
        <f>high_v2_m!E83+temporary_pension_bonus_high!B83</f>
        <v>29459640.007409699</v>
      </c>
      <c r="H95" s="41">
        <f t="shared" si="29"/>
        <v>27204266.161085628</v>
      </c>
      <c r="I95" s="41">
        <f t="shared" si="30"/>
        <v>25969995.41800661</v>
      </c>
      <c r="J95" s="123">
        <f>high_v2_m!J83</f>
        <v>3597571.7416526699</v>
      </c>
      <c r="K95" s="123">
        <f>high_v2_m!K83</f>
        <v>3489644.5894030901</v>
      </c>
      <c r="L95" s="41">
        <f t="shared" si="31"/>
        <v>1234270.7430790178</v>
      </c>
      <c r="M95" s="41">
        <f t="shared" si="32"/>
        <v>107927.15224957978</v>
      </c>
      <c r="N95" s="123">
        <f>SUM(high_v5_m!C83:J83)</f>
        <v>2054620.9096391983</v>
      </c>
      <c r="O95" s="7"/>
      <c r="P95" s="7"/>
      <c r="Q95" s="41">
        <f t="shared" si="33"/>
        <v>142879252.40245527</v>
      </c>
      <c r="R95" s="41"/>
      <c r="S95" s="41"/>
      <c r="T95" s="7"/>
      <c r="U95" s="7"/>
      <c r="V95" s="41">
        <f t="shared" si="38"/>
        <v>19198994.919285879</v>
      </c>
      <c r="W95" s="41">
        <f t="shared" si="34"/>
        <v>593783.34801914915</v>
      </c>
      <c r="X95" s="41">
        <f t="shared" si="35"/>
        <v>17452031.127051514</v>
      </c>
      <c r="Y95" s="41">
        <f t="shared" si="36"/>
        <v>10661437.66737468</v>
      </c>
      <c r="Z95" s="41">
        <f t="shared" si="37"/>
        <v>6790593.4596768329</v>
      </c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</row>
    <row r="96" spans="1:64" x14ac:dyDescent="0.2">
      <c r="A96" s="7"/>
      <c r="B96" s="7"/>
      <c r="C96" s="7">
        <f t="shared" si="39"/>
        <v>2035</v>
      </c>
      <c r="D96" s="7">
        <f t="shared" si="40"/>
        <v>3</v>
      </c>
      <c r="E96" s="7">
        <v>243</v>
      </c>
      <c r="F96" s="123">
        <f>high_v2_m!D84+temporary_pension_bonus_high!B84</f>
        <v>30985135.524178699</v>
      </c>
      <c r="G96" s="123">
        <f>high_v2_m!E84+temporary_pension_bonus_high!B84</f>
        <v>29633489.670022</v>
      </c>
      <c r="H96" s="41">
        <f t="shared" si="29"/>
        <v>27344766.343307778</v>
      </c>
      <c r="I96" s="41">
        <f t="shared" si="30"/>
        <v>26102331.5645772</v>
      </c>
      <c r="J96" s="123">
        <f>high_v2_m!J84</f>
        <v>3640369.18087092</v>
      </c>
      <c r="K96" s="123">
        <f>high_v2_m!K84</f>
        <v>3531158.1054448001</v>
      </c>
      <c r="L96" s="41">
        <f t="shared" si="31"/>
        <v>1242434.7787305787</v>
      </c>
      <c r="M96" s="41">
        <f t="shared" si="32"/>
        <v>109211.07542611985</v>
      </c>
      <c r="N96" s="123">
        <f>SUM(high_v5_m!C84:J84)</f>
        <v>2030149.6318440461</v>
      </c>
      <c r="O96" s="7"/>
      <c r="P96" s="7"/>
      <c r="Q96" s="41">
        <f t="shared" si="33"/>
        <v>143607326.83541098</v>
      </c>
      <c r="R96" s="41"/>
      <c r="S96" s="41"/>
      <c r="T96" s="7"/>
      <c r="U96" s="7"/>
      <c r="V96" s="41">
        <f t="shared" si="38"/>
        <v>19427390.036079943</v>
      </c>
      <c r="W96" s="41">
        <f t="shared" si="34"/>
        <v>600847.11451789236</v>
      </c>
      <c r="X96" s="41">
        <f t="shared" si="35"/>
        <v>17369965.665615853</v>
      </c>
      <c r="Y96" s="41">
        <f t="shared" si="36"/>
        <v>10534456.090564074</v>
      </c>
      <c r="Z96" s="41">
        <f t="shared" si="37"/>
        <v>6835509.5750517799</v>
      </c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</row>
    <row r="97" spans="1:64" x14ac:dyDescent="0.2">
      <c r="A97" s="7"/>
      <c r="B97" s="7"/>
      <c r="C97" s="7">
        <f t="shared" si="39"/>
        <v>2035</v>
      </c>
      <c r="D97" s="7">
        <f t="shared" si="40"/>
        <v>4</v>
      </c>
      <c r="E97" s="7">
        <v>244</v>
      </c>
      <c r="F97" s="123">
        <f>high_v2_m!D85+temporary_pension_bonus_high!B85</f>
        <v>30958953.121904001</v>
      </c>
      <c r="G97" s="123">
        <f>high_v2_m!E85+temporary_pension_bonus_high!B85</f>
        <v>29609173.547795199</v>
      </c>
      <c r="H97" s="41">
        <f t="shared" si="29"/>
        <v>27250391.70298342</v>
      </c>
      <c r="I97" s="41">
        <f t="shared" si="30"/>
        <v>26011868.97144223</v>
      </c>
      <c r="J97" s="123">
        <f>high_v2_m!J85</f>
        <v>3708561.4189205798</v>
      </c>
      <c r="K97" s="123">
        <f>high_v2_m!K85</f>
        <v>3597304.5763529702</v>
      </c>
      <c r="L97" s="41">
        <f t="shared" si="31"/>
        <v>1238522.7315411903</v>
      </c>
      <c r="M97" s="41">
        <f t="shared" si="32"/>
        <v>111256.84256760962</v>
      </c>
      <c r="N97" s="123">
        <f>SUM(high_v5_m!C85:J85)</f>
        <v>2056480.8832589076</v>
      </c>
      <c r="O97" s="7"/>
      <c r="P97" s="7"/>
      <c r="Q97" s="41">
        <f t="shared" si="33"/>
        <v>143109628.33876243</v>
      </c>
      <c r="R97" s="41"/>
      <c r="S97" s="41"/>
      <c r="T97" s="7"/>
      <c r="U97" s="7"/>
      <c r="V97" s="41">
        <f t="shared" si="38"/>
        <v>19791308.402652588</v>
      </c>
      <c r="W97" s="41">
        <f t="shared" si="34"/>
        <v>612102.32173147926</v>
      </c>
      <c r="X97" s="41">
        <f t="shared" si="35"/>
        <v>17485075.724985585</v>
      </c>
      <c r="Y97" s="41">
        <f t="shared" si="36"/>
        <v>10671089.079329295</v>
      </c>
      <c r="Z97" s="41">
        <f t="shared" si="37"/>
        <v>6813986.6456562895</v>
      </c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</row>
    <row r="98" spans="1:64" x14ac:dyDescent="0.2">
      <c r="A98" s="119"/>
      <c r="B98" s="5"/>
      <c r="C98" s="119">
        <f t="shared" si="39"/>
        <v>2036</v>
      </c>
      <c r="D98" s="119">
        <f t="shared" si="40"/>
        <v>1</v>
      </c>
      <c r="E98" s="119">
        <v>245</v>
      </c>
      <c r="F98" s="121">
        <f>high_v2_m!D86+temporary_pension_bonus_high!B86</f>
        <v>31219780.195155799</v>
      </c>
      <c r="G98" s="121">
        <f>high_v2_m!E86+temporary_pension_bonus_high!B86</f>
        <v>29857775.319470201</v>
      </c>
      <c r="H98" s="8">
        <f t="shared" si="29"/>
        <v>27429157.289192528</v>
      </c>
      <c r="I98" s="8">
        <f t="shared" si="30"/>
        <v>26180871.100685831</v>
      </c>
      <c r="J98" s="121">
        <f>high_v2_m!J86</f>
        <v>3790622.90596327</v>
      </c>
      <c r="K98" s="121">
        <f>high_v2_m!K86</f>
        <v>3676904.21878437</v>
      </c>
      <c r="L98" s="8">
        <f t="shared" si="31"/>
        <v>1248286.1885066964</v>
      </c>
      <c r="M98" s="8">
        <f t="shared" si="32"/>
        <v>113718.6871789</v>
      </c>
      <c r="N98" s="121">
        <f>SUM(high_v5_m!C86:J86)</f>
        <v>2517686.5267896964</v>
      </c>
      <c r="O98" s="5"/>
      <c r="P98" s="5"/>
      <c r="Q98" s="8">
        <f t="shared" si="33"/>
        <v>144039428.19017118</v>
      </c>
      <c r="R98" s="8"/>
      <c r="S98" s="8"/>
      <c r="T98" s="5"/>
      <c r="U98" s="5"/>
      <c r="V98" s="8">
        <f t="shared" si="38"/>
        <v>20229242.14961873</v>
      </c>
      <c r="W98" s="8">
        <f t="shared" si="34"/>
        <v>625646.66442120867</v>
      </c>
      <c r="X98" s="8">
        <f t="shared" si="35"/>
        <v>19931989.661284927</v>
      </c>
      <c r="Y98" s="8">
        <f t="shared" si="36"/>
        <v>13064287.356089946</v>
      </c>
      <c r="Z98" s="8">
        <f t="shared" si="37"/>
        <v>6867702.3051949823</v>
      </c>
      <c r="AA98" s="119"/>
      <c r="AB98" s="119"/>
      <c r="AC98" s="119"/>
      <c r="AD98" s="119"/>
      <c r="AE98" s="119"/>
      <c r="AF98" s="119"/>
      <c r="AG98" s="119"/>
      <c r="AH98" s="119"/>
      <c r="AI98" s="119"/>
      <c r="AJ98" s="119"/>
      <c r="AK98" s="119"/>
      <c r="AL98" s="119"/>
      <c r="AM98" s="119"/>
      <c r="AN98" s="119"/>
      <c r="AO98" s="119"/>
      <c r="AP98" s="119"/>
      <c r="AQ98" s="119"/>
      <c r="AR98" s="119"/>
      <c r="AS98" s="119"/>
      <c r="AT98" s="119"/>
      <c r="AU98" s="119"/>
      <c r="AV98" s="119"/>
      <c r="AW98" s="119"/>
      <c r="AX98" s="119"/>
      <c r="AY98" s="119"/>
      <c r="AZ98" s="119"/>
      <c r="BA98" s="119"/>
      <c r="BB98" s="119"/>
      <c r="BC98" s="119"/>
      <c r="BD98" s="119"/>
      <c r="BE98" s="119"/>
      <c r="BF98" s="119"/>
      <c r="BG98" s="119"/>
      <c r="BH98" s="119"/>
      <c r="BI98" s="119"/>
      <c r="BJ98" s="119"/>
      <c r="BK98" s="119"/>
      <c r="BL98" s="119"/>
    </row>
    <row r="99" spans="1:64" x14ac:dyDescent="0.2">
      <c r="A99" s="7"/>
      <c r="B99" s="7"/>
      <c r="C99" s="7">
        <f t="shared" si="39"/>
        <v>2036</v>
      </c>
      <c r="D99" s="7">
        <f t="shared" si="40"/>
        <v>2</v>
      </c>
      <c r="E99" s="7">
        <v>246</v>
      </c>
      <c r="F99" s="123">
        <f>high_v2_m!D87+temporary_pension_bonus_high!B87</f>
        <v>31347848.8415186</v>
      </c>
      <c r="G99" s="123">
        <f>high_v2_m!E87+temporary_pension_bonus_high!B87</f>
        <v>29980678.302964799</v>
      </c>
      <c r="H99" s="41">
        <f t="shared" si="29"/>
        <v>27480849.417857558</v>
      </c>
      <c r="I99" s="41">
        <f t="shared" si="30"/>
        <v>26229688.86201359</v>
      </c>
      <c r="J99" s="123">
        <f>high_v2_m!J87</f>
        <v>3866999.4236610401</v>
      </c>
      <c r="K99" s="123">
        <f>high_v2_m!K87</f>
        <v>3750989.44095121</v>
      </c>
      <c r="L99" s="41">
        <f t="shared" si="31"/>
        <v>1251160.5558439679</v>
      </c>
      <c r="M99" s="41">
        <f t="shared" si="32"/>
        <v>116009.98270983016</v>
      </c>
      <c r="N99" s="123">
        <f>SUM(high_v5_m!C87:J87)</f>
        <v>1990215.9538716266</v>
      </c>
      <c r="O99" s="7"/>
      <c r="P99" s="7"/>
      <c r="Q99" s="41">
        <f t="shared" si="33"/>
        <v>144308009.10942832</v>
      </c>
      <c r="R99" s="41"/>
      <c r="S99" s="41"/>
      <c r="T99" s="7"/>
      <c r="U99" s="7"/>
      <c r="V99" s="41">
        <f t="shared" si="38"/>
        <v>20636837.183306281</v>
      </c>
      <c r="W99" s="41">
        <f t="shared" si="34"/>
        <v>638252.69639090996</v>
      </c>
      <c r="X99" s="41">
        <f t="shared" si="35"/>
        <v>17210756.27193765</v>
      </c>
      <c r="Y99" s="41">
        <f t="shared" si="36"/>
        <v>10327240.045728471</v>
      </c>
      <c r="Z99" s="41">
        <f t="shared" si="37"/>
        <v>6883516.2262091786</v>
      </c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</row>
    <row r="100" spans="1:64" x14ac:dyDescent="0.2">
      <c r="A100" s="7"/>
      <c r="B100" s="7"/>
      <c r="C100" s="7">
        <f t="shared" si="39"/>
        <v>2036</v>
      </c>
      <c r="D100" s="7">
        <f t="shared" si="40"/>
        <v>3</v>
      </c>
      <c r="E100" s="7">
        <v>247</v>
      </c>
      <c r="F100" s="123">
        <f>high_v2_m!D88+temporary_pension_bonus_high!B88</f>
        <v>31549339.9128922</v>
      </c>
      <c r="G100" s="123">
        <f>high_v2_m!E88+temporary_pension_bonus_high!B88</f>
        <v>30172495.569441099</v>
      </c>
      <c r="H100" s="41">
        <f t="shared" ref="H100:H117" si="41">F100-J100</f>
        <v>27618210.898135159</v>
      </c>
      <c r="I100" s="41">
        <f t="shared" ref="I100:I117" si="42">G100-K100</f>
        <v>26359300.425126769</v>
      </c>
      <c r="J100" s="123">
        <f>high_v2_m!J88</f>
        <v>3931129.01475704</v>
      </c>
      <c r="K100" s="123">
        <f>high_v2_m!K88</f>
        <v>3813195.1443143301</v>
      </c>
      <c r="L100" s="41">
        <f t="shared" ref="L100:L117" si="43">H100-I100</f>
        <v>1258910.4730083905</v>
      </c>
      <c r="M100" s="41">
        <f t="shared" ref="M100:M117" si="44">J100-K100</f>
        <v>117933.87044270989</v>
      </c>
      <c r="N100" s="123">
        <f>SUM(high_v5_m!C88:J88)</f>
        <v>1966083.4375601956</v>
      </c>
      <c r="O100" s="7"/>
      <c r="P100" s="7"/>
      <c r="Q100" s="41">
        <f t="shared" ref="Q100:Q117" si="45">I100*5.5017049523</f>
        <v>145021093.68808344</v>
      </c>
      <c r="R100" s="41"/>
      <c r="S100" s="41"/>
      <c r="T100" s="7"/>
      <c r="U100" s="7"/>
      <c r="V100" s="41">
        <f t="shared" si="38"/>
        <v>20979074.609560464</v>
      </c>
      <c r="W100" s="41">
        <f t="shared" si="34"/>
        <v>648837.3590585636</v>
      </c>
      <c r="X100" s="41">
        <f t="shared" si="35"/>
        <v>17128170.287719898</v>
      </c>
      <c r="Y100" s="41">
        <f t="shared" si="36"/>
        <v>10202016.303867301</v>
      </c>
      <c r="Z100" s="41">
        <f t="shared" si="37"/>
        <v>6926153.9838525979</v>
      </c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</row>
    <row r="101" spans="1:64" x14ac:dyDescent="0.2">
      <c r="A101" s="7"/>
      <c r="B101" s="7"/>
      <c r="C101" s="7">
        <f t="shared" si="39"/>
        <v>2036</v>
      </c>
      <c r="D101" s="7">
        <f t="shared" si="40"/>
        <v>4</v>
      </c>
      <c r="E101" s="7">
        <v>248</v>
      </c>
      <c r="F101" s="123">
        <f>high_v2_m!D89+temporary_pension_bonus_high!B89</f>
        <v>31793682.300338302</v>
      </c>
      <c r="G101" s="123">
        <f>high_v2_m!E89+temporary_pension_bonus_high!B89</f>
        <v>30404625.639111102</v>
      </c>
      <c r="H101" s="41">
        <f t="shared" si="41"/>
        <v>27767951.219748974</v>
      </c>
      <c r="I101" s="41">
        <f t="shared" si="42"/>
        <v>26499666.490939453</v>
      </c>
      <c r="J101" s="123">
        <f>high_v2_m!J89</f>
        <v>4025731.0805893298</v>
      </c>
      <c r="K101" s="123">
        <f>high_v2_m!K89</f>
        <v>3904959.1481716498</v>
      </c>
      <c r="L101" s="41">
        <f t="shared" si="43"/>
        <v>1268284.7288095206</v>
      </c>
      <c r="M101" s="41">
        <f t="shared" si="44"/>
        <v>120771.93241768004</v>
      </c>
      <c r="N101" s="123">
        <f>SUM(high_v5_m!C89:J89)</f>
        <v>1954352.4549121235</v>
      </c>
      <c r="O101" s="7"/>
      <c r="P101" s="7"/>
      <c r="Q101" s="41">
        <f t="shared" si="45"/>
        <v>145793346.36749995</v>
      </c>
      <c r="R101" s="41"/>
      <c r="S101" s="41"/>
      <c r="T101" s="7"/>
      <c r="U101" s="7"/>
      <c r="V101" s="41">
        <f t="shared" si="38"/>
        <v>21483933.084025156</v>
      </c>
      <c r="W101" s="41">
        <f t="shared" si="34"/>
        <v>664451.53868119116</v>
      </c>
      <c r="X101" s="41">
        <f t="shared" si="35"/>
        <v>17118872.552557513</v>
      </c>
      <c r="Y101" s="41">
        <f t="shared" si="36"/>
        <v>10141144.179139709</v>
      </c>
      <c r="Z101" s="41">
        <f t="shared" si="37"/>
        <v>6977728.3734178022</v>
      </c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</row>
    <row r="102" spans="1:64" x14ac:dyDescent="0.2">
      <c r="A102" s="119"/>
      <c r="B102" s="5"/>
      <c r="C102" s="119">
        <f t="shared" si="39"/>
        <v>2037</v>
      </c>
      <c r="D102" s="119">
        <f t="shared" si="40"/>
        <v>1</v>
      </c>
      <c r="E102" s="119">
        <v>249</v>
      </c>
      <c r="F102" s="121">
        <f>high_v2_m!D90+temporary_pension_bonus_high!B90</f>
        <v>31995132.948201202</v>
      </c>
      <c r="G102" s="121">
        <f>high_v2_m!E90+temporary_pension_bonus_high!B90</f>
        <v>30596479.0831993</v>
      </c>
      <c r="H102" s="8">
        <f t="shared" si="41"/>
        <v>27901460.282567941</v>
      </c>
      <c r="I102" s="8">
        <f t="shared" si="42"/>
        <v>26625616.597535029</v>
      </c>
      <c r="J102" s="121">
        <f>high_v2_m!J90</f>
        <v>4093672.6656332598</v>
      </c>
      <c r="K102" s="121">
        <f>high_v2_m!K90</f>
        <v>3970862.4856642699</v>
      </c>
      <c r="L102" s="8">
        <f t="shared" si="43"/>
        <v>1275843.6850329116</v>
      </c>
      <c r="M102" s="8">
        <f t="shared" si="44"/>
        <v>122810.17996898992</v>
      </c>
      <c r="N102" s="121">
        <f>SUM(high_v5_m!C90:J90)</f>
        <v>2414920.8071132866</v>
      </c>
      <c r="O102" s="5"/>
      <c r="P102" s="5"/>
      <c r="Q102" s="8">
        <f t="shared" si="45"/>
        <v>146486286.69269955</v>
      </c>
      <c r="R102" s="8"/>
      <c r="S102" s="8"/>
      <c r="T102" s="5"/>
      <c r="U102" s="5"/>
      <c r="V102" s="8">
        <f t="shared" si="38"/>
        <v>21846513.802281402</v>
      </c>
      <c r="W102" s="8">
        <f t="shared" si="34"/>
        <v>675665.37532824604</v>
      </c>
      <c r="X102" s="8">
        <f t="shared" si="35"/>
        <v>19550351.068467628</v>
      </c>
      <c r="Y102" s="8">
        <f t="shared" si="36"/>
        <v>12531035.548161376</v>
      </c>
      <c r="Z102" s="8">
        <f t="shared" si="37"/>
        <v>7019315.520306251</v>
      </c>
      <c r="AA102" s="119"/>
      <c r="AB102" s="119"/>
      <c r="AC102" s="119"/>
      <c r="AD102" s="119"/>
      <c r="AE102" s="119"/>
      <c r="AF102" s="119"/>
      <c r="AG102" s="119"/>
      <c r="AH102" s="119"/>
      <c r="AI102" s="119"/>
      <c r="AJ102" s="119"/>
      <c r="AK102" s="119"/>
      <c r="AL102" s="119"/>
      <c r="AM102" s="119"/>
      <c r="AN102" s="119"/>
      <c r="AO102" s="119"/>
      <c r="AP102" s="119"/>
      <c r="AQ102" s="119"/>
      <c r="AR102" s="119"/>
      <c r="AS102" s="119"/>
      <c r="AT102" s="119"/>
      <c r="AU102" s="119"/>
      <c r="AV102" s="119"/>
      <c r="AW102" s="119"/>
      <c r="AX102" s="119"/>
      <c r="AY102" s="119"/>
      <c r="AZ102" s="119"/>
      <c r="BA102" s="119"/>
      <c r="BB102" s="119"/>
      <c r="BC102" s="119"/>
      <c r="BD102" s="119"/>
      <c r="BE102" s="119"/>
      <c r="BF102" s="119"/>
      <c r="BG102" s="119"/>
      <c r="BH102" s="119"/>
      <c r="BI102" s="119"/>
      <c r="BJ102" s="119"/>
      <c r="BK102" s="119"/>
      <c r="BL102" s="119"/>
    </row>
    <row r="103" spans="1:64" x14ac:dyDescent="0.2">
      <c r="A103" s="7"/>
      <c r="B103" s="7"/>
      <c r="C103" s="7">
        <f t="shared" si="39"/>
        <v>2037</v>
      </c>
      <c r="D103" s="7">
        <f t="shared" si="40"/>
        <v>2</v>
      </c>
      <c r="E103" s="7">
        <v>250</v>
      </c>
      <c r="F103" s="123">
        <f>high_v2_m!D91+temporary_pension_bonus_high!B91</f>
        <v>32302162.470138501</v>
      </c>
      <c r="G103" s="123">
        <f>high_v2_m!E91+temporary_pension_bonus_high!B91</f>
        <v>30889475.401198599</v>
      </c>
      <c r="H103" s="41">
        <f t="shared" si="41"/>
        <v>28112171.066347763</v>
      </c>
      <c r="I103" s="41">
        <f t="shared" si="42"/>
        <v>26825183.739521578</v>
      </c>
      <c r="J103" s="123">
        <f>high_v2_m!J91</f>
        <v>4189991.4037907398</v>
      </c>
      <c r="K103" s="123">
        <f>high_v2_m!K91</f>
        <v>4064291.6616770201</v>
      </c>
      <c r="L103" s="41">
        <f t="shared" si="43"/>
        <v>1286987.326826185</v>
      </c>
      <c r="M103" s="41">
        <f t="shared" si="44"/>
        <v>125699.74211371969</v>
      </c>
      <c r="N103" s="123">
        <f>SUM(high_v5_m!C91:J91)</f>
        <v>1918701.566473298</v>
      </c>
      <c r="O103" s="7"/>
      <c r="P103" s="7"/>
      <c r="Q103" s="41">
        <f t="shared" si="45"/>
        <v>147584246.22608331</v>
      </c>
      <c r="R103" s="41"/>
      <c r="S103" s="41"/>
      <c r="T103" s="7"/>
      <c r="U103" s="7"/>
      <c r="V103" s="41">
        <f t="shared" si="38"/>
        <v>22360533.562640056</v>
      </c>
      <c r="W103" s="41">
        <f t="shared" si="34"/>
        <v>691562.89368988445</v>
      </c>
      <c r="X103" s="41">
        <f t="shared" si="35"/>
        <v>17036776.099100411</v>
      </c>
      <c r="Y103" s="41">
        <f t="shared" si="36"/>
        <v>9956151.5495534502</v>
      </c>
      <c r="Z103" s="41">
        <f t="shared" si="37"/>
        <v>7080624.5495469607</v>
      </c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</row>
    <row r="104" spans="1:64" x14ac:dyDescent="0.2">
      <c r="A104" s="7"/>
      <c r="B104" s="7"/>
      <c r="C104" s="7">
        <f t="shared" si="39"/>
        <v>2037</v>
      </c>
      <c r="D104" s="7">
        <f t="shared" si="40"/>
        <v>3</v>
      </c>
      <c r="E104" s="7">
        <v>251</v>
      </c>
      <c r="F104" s="123">
        <f>high_v2_m!D92+temporary_pension_bonus_high!B92</f>
        <v>32503432.596856002</v>
      </c>
      <c r="G104" s="123">
        <f>high_v2_m!E92+temporary_pension_bonus_high!B92</f>
        <v>31081676.844074499</v>
      </c>
      <c r="H104" s="41">
        <f t="shared" si="41"/>
        <v>28199556.574237391</v>
      </c>
      <c r="I104" s="41">
        <f t="shared" si="42"/>
        <v>26906917.102134448</v>
      </c>
      <c r="J104" s="123">
        <f>high_v2_m!J92</f>
        <v>4303876.0226186104</v>
      </c>
      <c r="K104" s="123">
        <f>high_v2_m!K92</f>
        <v>4174759.7419400499</v>
      </c>
      <c r="L104" s="41">
        <f t="shared" si="43"/>
        <v>1292639.4721029438</v>
      </c>
      <c r="M104" s="41">
        <f t="shared" si="44"/>
        <v>129116.28067856049</v>
      </c>
      <c r="N104" s="123">
        <f>SUM(high_v5_m!C92:J92)</f>
        <v>1923040.7880678063</v>
      </c>
      <c r="O104" s="7"/>
      <c r="P104" s="7"/>
      <c r="Q104" s="41">
        <f t="shared" si="45"/>
        <v>148033919.07193866</v>
      </c>
      <c r="R104" s="41"/>
      <c r="S104" s="41"/>
      <c r="T104" s="7"/>
      <c r="U104" s="7"/>
      <c r="V104" s="41">
        <f t="shared" si="38"/>
        <v>22968296.346894242</v>
      </c>
      <c r="W104" s="41">
        <f t="shared" si="34"/>
        <v>710359.680831793</v>
      </c>
      <c r="X104" s="41">
        <f t="shared" si="35"/>
        <v>17090388.776242368</v>
      </c>
      <c r="Y104" s="41">
        <f t="shared" si="36"/>
        <v>9978667.7910351455</v>
      </c>
      <c r="Z104" s="41">
        <f t="shared" si="37"/>
        <v>7111720.9852072233</v>
      </c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</row>
    <row r="105" spans="1:64" x14ac:dyDescent="0.2">
      <c r="A105" s="7"/>
      <c r="B105" s="7"/>
      <c r="C105" s="7">
        <f t="shared" si="39"/>
        <v>2037</v>
      </c>
      <c r="D105" s="7">
        <f t="shared" si="40"/>
        <v>4</v>
      </c>
      <c r="E105" s="7">
        <v>252</v>
      </c>
      <c r="F105" s="123">
        <f>high_v2_m!D93+temporary_pension_bonus_high!B93</f>
        <v>32742176.193197399</v>
      </c>
      <c r="G105" s="123">
        <f>high_v2_m!E93+temporary_pension_bonus_high!B93</f>
        <v>31309914.3675173</v>
      </c>
      <c r="H105" s="41">
        <f t="shared" si="41"/>
        <v>28377797.071179889</v>
      </c>
      <c r="I105" s="41">
        <f t="shared" si="42"/>
        <v>27076466.619160321</v>
      </c>
      <c r="J105" s="123">
        <f>high_v2_m!J93</f>
        <v>4364379.1220175102</v>
      </c>
      <c r="K105" s="123">
        <f>high_v2_m!K93</f>
        <v>4233447.7483569803</v>
      </c>
      <c r="L105" s="41">
        <f t="shared" si="43"/>
        <v>1301330.4520195685</v>
      </c>
      <c r="M105" s="41">
        <f t="shared" si="44"/>
        <v>130931.37366052996</v>
      </c>
      <c r="N105" s="123">
        <f>SUM(high_v5_m!C93:J93)</f>
        <v>1842542.2688988671</v>
      </c>
      <c r="O105" s="7"/>
      <c r="P105" s="7"/>
      <c r="Q105" s="41">
        <f t="shared" si="45"/>
        <v>148966730.48941997</v>
      </c>
      <c r="R105" s="41"/>
      <c r="S105" s="41"/>
      <c r="T105" s="7"/>
      <c r="U105" s="7"/>
      <c r="V105" s="41">
        <f t="shared" si="38"/>
        <v>23291180.442438882</v>
      </c>
      <c r="W105" s="41">
        <f t="shared" si="34"/>
        <v>720345.78687957942</v>
      </c>
      <c r="X105" s="41">
        <f t="shared" si="35"/>
        <v>16720496.784848517</v>
      </c>
      <c r="Y105" s="41">
        <f t="shared" si="36"/>
        <v>9560960.5923936591</v>
      </c>
      <c r="Z105" s="41">
        <f t="shared" si="37"/>
        <v>7159536.1924548578</v>
      </c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</row>
    <row r="106" spans="1:64" x14ac:dyDescent="0.2">
      <c r="A106" s="119"/>
      <c r="B106" s="5"/>
      <c r="C106" s="119">
        <f t="shared" si="39"/>
        <v>2038</v>
      </c>
      <c r="D106" s="119">
        <f t="shared" si="40"/>
        <v>1</v>
      </c>
      <c r="E106" s="119">
        <v>253</v>
      </c>
      <c r="F106" s="121">
        <f>high_v2_m!D94+temporary_pension_bonus_high!B94</f>
        <v>32898668.030868098</v>
      </c>
      <c r="G106" s="121">
        <f>high_v2_m!E94+temporary_pension_bonus_high!B94</f>
        <v>31458912.5884712</v>
      </c>
      <c r="H106" s="8">
        <f t="shared" si="41"/>
        <v>28465097.535038568</v>
      </c>
      <c r="I106" s="8">
        <f t="shared" si="42"/>
        <v>27158349.207516558</v>
      </c>
      <c r="J106" s="121">
        <f>high_v2_m!J94</f>
        <v>4433570.4958295301</v>
      </c>
      <c r="K106" s="121">
        <f>high_v2_m!K94</f>
        <v>4300563.38095464</v>
      </c>
      <c r="L106" s="8">
        <f t="shared" si="43"/>
        <v>1306748.3275220096</v>
      </c>
      <c r="M106" s="8">
        <f t="shared" si="44"/>
        <v>133007.11487489007</v>
      </c>
      <c r="N106" s="121">
        <f>SUM(high_v5_m!C94:J94)</f>
        <v>2301799.65251006</v>
      </c>
      <c r="O106" s="5"/>
      <c r="P106" s="5"/>
      <c r="Q106" s="8">
        <f t="shared" si="45"/>
        <v>149417224.33128664</v>
      </c>
      <c r="R106" s="8"/>
      <c r="S106" s="8"/>
      <c r="T106" s="5"/>
      <c r="U106" s="5"/>
      <c r="V106" s="8">
        <f t="shared" si="38"/>
        <v>23660430.850678176</v>
      </c>
      <c r="W106" s="8">
        <f t="shared" si="34"/>
        <v>731765.90259831771</v>
      </c>
      <c r="X106" s="8">
        <f t="shared" si="35"/>
        <v>19133393.084107473</v>
      </c>
      <c r="Y106" s="8">
        <f t="shared" si="36"/>
        <v>11944049.33916989</v>
      </c>
      <c r="Z106" s="8">
        <f t="shared" si="37"/>
        <v>7189343.7449375829</v>
      </c>
      <c r="AA106" s="119"/>
      <c r="AB106" s="119"/>
      <c r="AC106" s="119"/>
      <c r="AD106" s="119"/>
      <c r="AE106" s="119"/>
      <c r="AF106" s="119"/>
      <c r="AG106" s="119"/>
      <c r="AH106" s="119"/>
      <c r="AI106" s="119"/>
      <c r="AJ106" s="119"/>
      <c r="AK106" s="119"/>
      <c r="AL106" s="119"/>
      <c r="AM106" s="119"/>
      <c r="AN106" s="119"/>
      <c r="AO106" s="119"/>
      <c r="AP106" s="119"/>
      <c r="AQ106" s="119"/>
      <c r="AR106" s="119"/>
      <c r="AS106" s="119"/>
      <c r="AT106" s="119"/>
      <c r="AU106" s="119"/>
      <c r="AV106" s="119"/>
      <c r="AW106" s="119"/>
      <c r="AX106" s="119"/>
      <c r="AY106" s="119"/>
      <c r="AZ106" s="119"/>
      <c r="BA106" s="119"/>
      <c r="BB106" s="119"/>
      <c r="BC106" s="119"/>
      <c r="BD106" s="119"/>
      <c r="BE106" s="119"/>
      <c r="BF106" s="119"/>
      <c r="BG106" s="119"/>
      <c r="BH106" s="119"/>
      <c r="BI106" s="119"/>
      <c r="BJ106" s="119"/>
      <c r="BK106" s="119"/>
      <c r="BL106" s="119"/>
    </row>
    <row r="107" spans="1:64" x14ac:dyDescent="0.2">
      <c r="A107" s="7"/>
      <c r="B107" s="7"/>
      <c r="C107" s="7">
        <f t="shared" si="39"/>
        <v>2038</v>
      </c>
      <c r="D107" s="7">
        <f t="shared" si="40"/>
        <v>2</v>
      </c>
      <c r="E107" s="7">
        <v>254</v>
      </c>
      <c r="F107" s="123">
        <f>high_v2_m!D95+temporary_pension_bonus_high!B95</f>
        <v>33105225.143537398</v>
      </c>
      <c r="G107" s="123">
        <f>high_v2_m!E95+temporary_pension_bonus_high!B95</f>
        <v>31655726.599848799</v>
      </c>
      <c r="H107" s="41">
        <f t="shared" si="41"/>
        <v>28592733.956773799</v>
      </c>
      <c r="I107" s="41">
        <f t="shared" si="42"/>
        <v>27278610.1486881</v>
      </c>
      <c r="J107" s="123">
        <f>high_v2_m!J95</f>
        <v>4512491.1867636004</v>
      </c>
      <c r="K107" s="123">
        <f>high_v2_m!K95</f>
        <v>4377116.4511607001</v>
      </c>
      <c r="L107" s="41">
        <f t="shared" si="43"/>
        <v>1314123.8080856986</v>
      </c>
      <c r="M107" s="41">
        <f t="shared" si="44"/>
        <v>135374.73560290039</v>
      </c>
      <c r="N107" s="123">
        <f>SUM(high_v5_m!C95:J95)</f>
        <v>1845229.7712411226</v>
      </c>
      <c r="O107" s="7"/>
      <c r="P107" s="7"/>
      <c r="Q107" s="41">
        <f t="shared" si="45"/>
        <v>150078864.54689837</v>
      </c>
      <c r="R107" s="41"/>
      <c r="S107" s="41"/>
      <c r="T107" s="7"/>
      <c r="U107" s="7"/>
      <c r="V107" s="41">
        <f t="shared" si="38"/>
        <v>24081603.256144624</v>
      </c>
      <c r="W107" s="41">
        <f t="shared" si="34"/>
        <v>744791.85328278015</v>
      </c>
      <c r="X107" s="41">
        <f t="shared" si="35"/>
        <v>16804827.517703895</v>
      </c>
      <c r="Y107" s="41">
        <f t="shared" si="36"/>
        <v>9574906.0548234712</v>
      </c>
      <c r="Z107" s="41">
        <f t="shared" si="37"/>
        <v>7229921.4628804224</v>
      </c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</row>
    <row r="108" spans="1:64" x14ac:dyDescent="0.2">
      <c r="A108" s="7"/>
      <c r="B108" s="7"/>
      <c r="C108" s="7">
        <f t="shared" si="39"/>
        <v>2038</v>
      </c>
      <c r="D108" s="7">
        <f t="shared" si="40"/>
        <v>3</v>
      </c>
      <c r="E108" s="7">
        <v>255</v>
      </c>
      <c r="F108" s="123">
        <f>high_v2_m!D96+temporary_pension_bonus_high!B96</f>
        <v>33419423.6620166</v>
      </c>
      <c r="G108" s="123">
        <f>high_v2_m!E96+temporary_pension_bonus_high!B96</f>
        <v>31954659.0999435</v>
      </c>
      <c r="H108" s="41">
        <f t="shared" si="41"/>
        <v>28833424.890241761</v>
      </c>
      <c r="I108" s="41">
        <f t="shared" si="42"/>
        <v>27506240.291321911</v>
      </c>
      <c r="J108" s="123">
        <f>high_v2_m!J96</f>
        <v>4585998.7717748396</v>
      </c>
      <c r="K108" s="123">
        <f>high_v2_m!K96</f>
        <v>4448418.80862159</v>
      </c>
      <c r="L108" s="41">
        <f t="shared" si="43"/>
        <v>1327184.5989198498</v>
      </c>
      <c r="M108" s="41">
        <f t="shared" si="44"/>
        <v>137579.96315324958</v>
      </c>
      <c r="N108" s="123">
        <f>SUM(high_v5_m!C96:J96)</f>
        <v>1805615.4736878588</v>
      </c>
      <c r="O108" s="7"/>
      <c r="P108" s="7"/>
      <c r="Q108" s="41">
        <f t="shared" si="45"/>
        <v>151331218.42991954</v>
      </c>
      <c r="R108" s="41"/>
      <c r="S108" s="41"/>
      <c r="T108" s="7"/>
      <c r="U108" s="7"/>
      <c r="V108" s="41">
        <f t="shared" si="38"/>
        <v>24473887.789297868</v>
      </c>
      <c r="W108" s="41">
        <f t="shared" si="34"/>
        <v>756924.36461748474</v>
      </c>
      <c r="X108" s="41">
        <f t="shared" si="35"/>
        <v>16671125.356994765</v>
      </c>
      <c r="Y108" s="41">
        <f t="shared" si="36"/>
        <v>9369347.2765011378</v>
      </c>
      <c r="Z108" s="41">
        <f t="shared" si="37"/>
        <v>7301778.0804936271</v>
      </c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</row>
    <row r="109" spans="1:64" x14ac:dyDescent="0.2">
      <c r="A109" s="7"/>
      <c r="B109" s="7"/>
      <c r="C109" s="7">
        <f t="shared" si="39"/>
        <v>2038</v>
      </c>
      <c r="D109" s="7">
        <f t="shared" si="40"/>
        <v>4</v>
      </c>
      <c r="E109" s="7">
        <v>256</v>
      </c>
      <c r="F109" s="123">
        <f>high_v2_m!D97+temporary_pension_bonus_high!B97</f>
        <v>33475462.242470998</v>
      </c>
      <c r="G109" s="123">
        <f>high_v2_m!E97+temporary_pension_bonus_high!B97</f>
        <v>32008638.143000402</v>
      </c>
      <c r="H109" s="41">
        <f t="shared" si="41"/>
        <v>28848087.873483349</v>
      </c>
      <c r="I109" s="41">
        <f t="shared" si="42"/>
        <v>27520085.005082384</v>
      </c>
      <c r="J109" s="123">
        <f>high_v2_m!J97</f>
        <v>4627374.3689876497</v>
      </c>
      <c r="K109" s="123">
        <f>high_v2_m!K97</f>
        <v>4488553.1379180197</v>
      </c>
      <c r="L109" s="41">
        <f t="shared" si="43"/>
        <v>1328002.8684009649</v>
      </c>
      <c r="M109" s="41">
        <f t="shared" si="44"/>
        <v>138821.23106963001</v>
      </c>
      <c r="N109" s="123">
        <f>SUM(high_v5_m!C97:J97)</f>
        <v>1854875.7651893373</v>
      </c>
      <c r="O109" s="7"/>
      <c r="P109" s="7"/>
      <c r="Q109" s="41">
        <f t="shared" si="45"/>
        <v>151407387.96017873</v>
      </c>
      <c r="R109" s="41"/>
      <c r="S109" s="41"/>
      <c r="T109" s="7"/>
      <c r="U109" s="7"/>
      <c r="V109" s="41">
        <f t="shared" si="38"/>
        <v>24694695.027545273</v>
      </c>
      <c r="W109" s="41">
        <f t="shared" si="34"/>
        <v>763753.45446016605</v>
      </c>
      <c r="X109" s="41">
        <f t="shared" si="35"/>
        <v>16931239.121026076</v>
      </c>
      <c r="Y109" s="41">
        <f t="shared" si="36"/>
        <v>9624959.1632758845</v>
      </c>
      <c r="Z109" s="41">
        <f t="shared" si="37"/>
        <v>7306279.9577501938</v>
      </c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</row>
    <row r="110" spans="1:64" x14ac:dyDescent="0.2">
      <c r="A110" s="119"/>
      <c r="B110" s="5"/>
      <c r="C110" s="119">
        <f t="shared" si="39"/>
        <v>2039</v>
      </c>
      <c r="D110" s="119">
        <f t="shared" si="40"/>
        <v>1</v>
      </c>
      <c r="E110" s="119">
        <v>257</v>
      </c>
      <c r="F110" s="121">
        <f>high_v2_m!D98+temporary_pension_bonus_high!B98</f>
        <v>33793303.3697237</v>
      </c>
      <c r="G110" s="121">
        <f>high_v2_m!E98+temporary_pension_bonus_high!B98</f>
        <v>32310602.990607701</v>
      </c>
      <c r="H110" s="8">
        <f t="shared" si="41"/>
        <v>29054295.2499667</v>
      </c>
      <c r="I110" s="8">
        <f t="shared" si="42"/>
        <v>27713765.11444341</v>
      </c>
      <c r="J110" s="121">
        <f>high_v2_m!J98</f>
        <v>4739008.1197570004</v>
      </c>
      <c r="K110" s="121">
        <f>high_v2_m!K98</f>
        <v>4596837.8761642901</v>
      </c>
      <c r="L110" s="8">
        <f t="shared" si="43"/>
        <v>1340530.1355232894</v>
      </c>
      <c r="M110" s="8">
        <f t="shared" si="44"/>
        <v>142170.24359271023</v>
      </c>
      <c r="N110" s="121">
        <f>SUM(high_v5_m!C98:J98)</f>
        <v>2335899.1699523828</v>
      </c>
      <c r="O110" s="5"/>
      <c r="P110" s="5"/>
      <c r="Q110" s="8">
        <f t="shared" si="45"/>
        <v>152472958.77701229</v>
      </c>
      <c r="R110" s="8"/>
      <c r="S110" s="8"/>
      <c r="T110" s="5"/>
      <c r="U110" s="5"/>
      <c r="V110" s="8">
        <f t="shared" si="38"/>
        <v>25290445.708213288</v>
      </c>
      <c r="W110" s="8">
        <f t="shared" ref="W110:W117" si="46">M110*5.5017049523</f>
        <v>782178.73324371118</v>
      </c>
      <c r="X110" s="8">
        <f t="shared" ref="X110:X117" si="47">N110*5.1890047538+L110*5.5017049523</f>
        <v>19496193.182596259</v>
      </c>
      <c r="Y110" s="8">
        <f t="shared" ref="Y110:Y117" si="48">N110*5.1890047538</f>
        <v>12120991.897280388</v>
      </c>
      <c r="Z110" s="8">
        <f t="shared" ref="Z110:Z117" si="49">L110*5.5017049523</f>
        <v>7375201.2853158712</v>
      </c>
      <c r="AA110" s="119"/>
      <c r="AB110" s="119"/>
      <c r="AC110" s="119"/>
      <c r="AD110" s="119"/>
      <c r="AE110" s="119"/>
      <c r="AF110" s="119"/>
      <c r="AG110" s="119"/>
      <c r="AH110" s="119"/>
      <c r="AI110" s="119"/>
      <c r="AJ110" s="119"/>
      <c r="AK110" s="119"/>
      <c r="AL110" s="119"/>
      <c r="AM110" s="119"/>
      <c r="AN110" s="119"/>
      <c r="AO110" s="119"/>
      <c r="AP110" s="119"/>
      <c r="AQ110" s="119"/>
      <c r="AR110" s="119"/>
      <c r="AS110" s="119"/>
      <c r="AT110" s="119"/>
      <c r="AU110" s="119"/>
      <c r="AV110" s="119"/>
      <c r="AW110" s="119"/>
      <c r="AX110" s="119"/>
      <c r="AY110" s="119"/>
      <c r="AZ110" s="119"/>
      <c r="BA110" s="119"/>
      <c r="BB110" s="119"/>
      <c r="BC110" s="119"/>
      <c r="BD110" s="119"/>
      <c r="BE110" s="119"/>
      <c r="BF110" s="119"/>
      <c r="BG110" s="119"/>
      <c r="BH110" s="119"/>
      <c r="BI110" s="119"/>
      <c r="BJ110" s="119"/>
      <c r="BK110" s="119"/>
      <c r="BL110" s="119"/>
    </row>
    <row r="111" spans="1:64" x14ac:dyDescent="0.2">
      <c r="A111" s="7"/>
      <c r="B111" s="7"/>
      <c r="C111" s="7">
        <f t="shared" si="39"/>
        <v>2039</v>
      </c>
      <c r="D111" s="7">
        <f t="shared" si="40"/>
        <v>2</v>
      </c>
      <c r="E111" s="7">
        <v>258</v>
      </c>
      <c r="F111" s="123">
        <f>high_v2_m!D99+temporary_pension_bonus_high!B99</f>
        <v>33980403.7621824</v>
      </c>
      <c r="G111" s="123">
        <f>high_v2_m!E99+temporary_pension_bonus_high!B99</f>
        <v>32490215.135033</v>
      </c>
      <c r="H111" s="41">
        <f t="shared" si="41"/>
        <v>29111721.571085021</v>
      </c>
      <c r="I111" s="41">
        <f t="shared" si="42"/>
        <v>27767593.409668542</v>
      </c>
      <c r="J111" s="123">
        <f>high_v2_m!J99</f>
        <v>4868682.1910973797</v>
      </c>
      <c r="K111" s="123">
        <f>high_v2_m!K99</f>
        <v>4722621.7253644597</v>
      </c>
      <c r="L111" s="41">
        <f t="shared" si="43"/>
        <v>1344128.1614164785</v>
      </c>
      <c r="M111" s="41">
        <f t="shared" si="44"/>
        <v>146060.46573291998</v>
      </c>
      <c r="N111" s="123">
        <f>SUM(high_v5_m!C99:J99)</f>
        <v>1890479.3083649608</v>
      </c>
      <c r="O111" s="7"/>
      <c r="P111" s="7"/>
      <c r="Q111" s="41">
        <f t="shared" si="45"/>
        <v>152769106.17542627</v>
      </c>
      <c r="R111" s="41"/>
      <c r="S111" s="41"/>
      <c r="T111" s="7"/>
      <c r="U111" s="7"/>
      <c r="V111" s="41">
        <f t="shared" ref="V111:V117" si="50">K111*5.5017049523</f>
        <v>25982471.334277216</v>
      </c>
      <c r="W111" s="41">
        <f t="shared" si="46"/>
        <v>803581.58765805035</v>
      </c>
      <c r="X111" s="41">
        <f t="shared" si="47"/>
        <v>17204702.680257253</v>
      </c>
      <c r="Y111" s="41">
        <f t="shared" si="48"/>
        <v>9809706.1180663183</v>
      </c>
      <c r="Z111" s="41">
        <f t="shared" si="49"/>
        <v>7394996.5621909332</v>
      </c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</row>
    <row r="112" spans="1:64" x14ac:dyDescent="0.2">
      <c r="A112" s="7"/>
      <c r="B112" s="7"/>
      <c r="C112" s="7">
        <f t="shared" si="39"/>
        <v>2039</v>
      </c>
      <c r="D112" s="7">
        <f t="shared" si="40"/>
        <v>3</v>
      </c>
      <c r="E112" s="7">
        <v>259</v>
      </c>
      <c r="F112" s="123">
        <f>high_v2_m!D100+temporary_pension_bonus_high!B100</f>
        <v>34218544.843670599</v>
      </c>
      <c r="G112" s="123">
        <f>high_v2_m!E100+temporary_pension_bonus_high!B100</f>
        <v>32717276.7760171</v>
      </c>
      <c r="H112" s="41">
        <f t="shared" si="41"/>
        <v>29292045.123336501</v>
      </c>
      <c r="I112" s="41">
        <f t="shared" si="42"/>
        <v>27938572.047293019</v>
      </c>
      <c r="J112" s="123">
        <f>high_v2_m!J100</f>
        <v>4926499.7203340996</v>
      </c>
      <c r="K112" s="123">
        <f>high_v2_m!K100</f>
        <v>4778704.7287240801</v>
      </c>
      <c r="L112" s="41">
        <f t="shared" si="43"/>
        <v>1353473.0760434829</v>
      </c>
      <c r="M112" s="41">
        <f t="shared" si="44"/>
        <v>147794.99161001947</v>
      </c>
      <c r="N112" s="123">
        <f>SUM(high_v5_m!C100:J100)</f>
        <v>1825884.5030722159</v>
      </c>
      <c r="O112" s="7"/>
      <c r="P112" s="7"/>
      <c r="Q112" s="41">
        <f t="shared" si="45"/>
        <v>153709780.19278234</v>
      </c>
      <c r="R112" s="41"/>
      <c r="S112" s="41"/>
      <c r="T112" s="7"/>
      <c r="U112" s="7"/>
      <c r="V112" s="41">
        <f t="shared" si="50"/>
        <v>26291023.4716007</v>
      </c>
      <c r="W112" s="41">
        <f t="shared" si="46"/>
        <v>813124.43726598099</v>
      </c>
      <c r="X112" s="41">
        <f t="shared" si="47"/>
        <v>16920932.891604625</v>
      </c>
      <c r="Y112" s="41">
        <f t="shared" si="48"/>
        <v>9474523.3663314786</v>
      </c>
      <c r="Z112" s="41">
        <f t="shared" si="49"/>
        <v>7446409.5252731442</v>
      </c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</row>
    <row r="113" spans="1:64" x14ac:dyDescent="0.2">
      <c r="A113" s="7"/>
      <c r="B113" s="7"/>
      <c r="C113" s="7">
        <f t="shared" si="39"/>
        <v>2039</v>
      </c>
      <c r="D113" s="7">
        <f t="shared" si="40"/>
        <v>4</v>
      </c>
      <c r="E113" s="7">
        <v>260</v>
      </c>
      <c r="F113" s="123">
        <f>high_v2_m!D101+temporary_pension_bonus_high!B101</f>
        <v>34501120.174801297</v>
      </c>
      <c r="G113" s="123">
        <f>high_v2_m!E101+temporary_pension_bonus_high!B101</f>
        <v>32985567.235918801</v>
      </c>
      <c r="H113" s="41">
        <f t="shared" si="41"/>
        <v>29517475.061469607</v>
      </c>
      <c r="I113" s="41">
        <f t="shared" si="42"/>
        <v>28151431.475987062</v>
      </c>
      <c r="J113" s="123">
        <f>high_v2_m!J101</f>
        <v>4983645.1133316904</v>
      </c>
      <c r="K113" s="123">
        <f>high_v2_m!K101</f>
        <v>4834135.7599317404</v>
      </c>
      <c r="L113" s="41">
        <f t="shared" si="43"/>
        <v>1366043.5854825452</v>
      </c>
      <c r="M113" s="41">
        <f t="shared" si="44"/>
        <v>149509.35339995008</v>
      </c>
      <c r="N113" s="123">
        <f>SUM(high_v5_m!C101:J101)</f>
        <v>1815446.3268464841</v>
      </c>
      <c r="O113" s="7"/>
      <c r="P113" s="7"/>
      <c r="Q113" s="41">
        <f t="shared" si="45"/>
        <v>154880869.96577212</v>
      </c>
      <c r="R113" s="41"/>
      <c r="S113" s="41"/>
      <c r="T113" s="7"/>
      <c r="U113" s="7"/>
      <c r="V113" s="41">
        <f t="shared" si="50"/>
        <v>26595988.650506981</v>
      </c>
      <c r="W113" s="41">
        <f t="shared" si="46"/>
        <v>822556.35001567623</v>
      </c>
      <c r="X113" s="41">
        <f t="shared" si="47"/>
        <v>16935928.379582122</v>
      </c>
      <c r="Y113" s="41">
        <f t="shared" si="48"/>
        <v>9420359.6202751547</v>
      </c>
      <c r="Z113" s="41">
        <f t="shared" si="49"/>
        <v>7515568.7593069673</v>
      </c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  <c r="BJ113" s="7"/>
      <c r="BK113" s="7"/>
      <c r="BL113" s="7"/>
    </row>
    <row r="114" spans="1:64" x14ac:dyDescent="0.2">
      <c r="A114" s="119"/>
      <c r="B114" s="5"/>
      <c r="C114" s="119">
        <f t="shared" ref="C114:C117" si="51">C110+1</f>
        <v>2040</v>
      </c>
      <c r="D114" s="119">
        <f t="shared" ref="D114:D117" si="52">D110</f>
        <v>1</v>
      </c>
      <c r="E114" s="119">
        <v>261</v>
      </c>
      <c r="F114" s="121">
        <f>high_v2_m!D102+temporary_pension_bonus_high!B102</f>
        <v>34602345.629480898</v>
      </c>
      <c r="G114" s="121">
        <f>high_v2_m!E102+temporary_pension_bonus_high!B102</f>
        <v>33081960.378785901</v>
      </c>
      <c r="H114" s="8">
        <f t="shared" si="41"/>
        <v>29569362.670849089</v>
      </c>
      <c r="I114" s="8">
        <f t="shared" si="42"/>
        <v>28199966.908913039</v>
      </c>
      <c r="J114" s="121">
        <f>high_v2_m!J102</f>
        <v>5032982.9586318098</v>
      </c>
      <c r="K114" s="121">
        <f>high_v2_m!K102</f>
        <v>4881993.4698728602</v>
      </c>
      <c r="L114" s="8">
        <f t="shared" si="43"/>
        <v>1369395.7619360499</v>
      </c>
      <c r="M114" s="8">
        <f t="shared" si="44"/>
        <v>150989.48875894956</v>
      </c>
      <c r="N114" s="121">
        <f>SUM(high_v5_m!C102:J102)</f>
        <v>2283646.4739974984</v>
      </c>
      <c r="O114" s="5"/>
      <c r="P114" s="5"/>
      <c r="Q114" s="8">
        <f t="shared" si="45"/>
        <v>155147897.59746298</v>
      </c>
      <c r="R114" s="8"/>
      <c r="S114" s="8"/>
      <c r="T114" s="5"/>
      <c r="U114" s="5"/>
      <c r="V114" s="8">
        <f t="shared" si="50"/>
        <v>26859287.650295775</v>
      </c>
      <c r="W114" s="8">
        <f t="shared" si="46"/>
        <v>830699.61805035803</v>
      </c>
      <c r="X114" s="8">
        <f t="shared" si="47"/>
        <v>19383863.854673825</v>
      </c>
      <c r="Y114" s="8">
        <f t="shared" si="48"/>
        <v>11849852.409571627</v>
      </c>
      <c r="Z114" s="8">
        <f t="shared" si="49"/>
        <v>7534011.4451021971</v>
      </c>
      <c r="AA114" s="119"/>
      <c r="AB114" s="119"/>
      <c r="AC114" s="119"/>
      <c r="AD114" s="119"/>
      <c r="AE114" s="119"/>
      <c r="AF114" s="119"/>
      <c r="AG114" s="119"/>
      <c r="AH114" s="119"/>
      <c r="AI114" s="119"/>
      <c r="AJ114" s="119"/>
      <c r="AK114" s="119"/>
      <c r="AL114" s="119"/>
      <c r="AM114" s="119"/>
      <c r="AN114" s="119"/>
      <c r="AO114" s="119"/>
      <c r="AP114" s="119"/>
      <c r="AQ114" s="119"/>
      <c r="AR114" s="119"/>
      <c r="AS114" s="119"/>
      <c r="AT114" s="119"/>
      <c r="AU114" s="119"/>
      <c r="AV114" s="119"/>
      <c r="AW114" s="119"/>
      <c r="AX114" s="119"/>
      <c r="AY114" s="119"/>
      <c r="AZ114" s="119"/>
      <c r="BA114" s="119"/>
      <c r="BB114" s="119"/>
      <c r="BC114" s="119"/>
      <c r="BD114" s="119"/>
      <c r="BE114" s="119"/>
      <c r="BF114" s="119"/>
      <c r="BG114" s="119"/>
      <c r="BH114" s="119"/>
      <c r="BI114" s="119"/>
      <c r="BJ114" s="119"/>
      <c r="BK114" s="119"/>
      <c r="BL114" s="119"/>
    </row>
    <row r="115" spans="1:64" x14ac:dyDescent="0.2">
      <c r="A115" s="7"/>
      <c r="B115" s="7"/>
      <c r="C115" s="7">
        <f t="shared" si="51"/>
        <v>2040</v>
      </c>
      <c r="D115" s="7">
        <f t="shared" si="52"/>
        <v>2</v>
      </c>
      <c r="E115" s="7">
        <v>262</v>
      </c>
      <c r="F115" s="123">
        <f>high_v2_m!D103+temporary_pension_bonus_high!B103</f>
        <v>34730569.941528603</v>
      </c>
      <c r="G115" s="123">
        <f>high_v2_m!E103+temporary_pension_bonus_high!B103</f>
        <v>33204091.9859704</v>
      </c>
      <c r="H115" s="41">
        <f t="shared" si="41"/>
        <v>29620791.953848634</v>
      </c>
      <c r="I115" s="41">
        <f t="shared" si="42"/>
        <v>28247607.33792083</v>
      </c>
      <c r="J115" s="123">
        <f>high_v2_m!J103</f>
        <v>5109777.9876799705</v>
      </c>
      <c r="K115" s="123">
        <f>high_v2_m!K103</f>
        <v>4956484.6480495697</v>
      </c>
      <c r="L115" s="41">
        <f t="shared" si="43"/>
        <v>1373184.6159278043</v>
      </c>
      <c r="M115" s="41">
        <f t="shared" si="44"/>
        <v>153293.33963040076</v>
      </c>
      <c r="N115" s="123">
        <f>SUM(high_v5_m!C103:J103)</f>
        <v>1834833.0811551542</v>
      </c>
      <c r="O115" s="7"/>
      <c r="P115" s="7"/>
      <c r="Q115" s="41">
        <f t="shared" si="45"/>
        <v>155410001.18166485</v>
      </c>
      <c r="R115" s="41"/>
      <c r="S115" s="41"/>
      <c r="T115" s="7"/>
      <c r="U115" s="7"/>
      <c r="V115" s="41">
        <f t="shared" si="50"/>
        <v>27269116.134173241</v>
      </c>
      <c r="W115" s="41">
        <f t="shared" si="46"/>
        <v>843374.72579918173</v>
      </c>
      <c r="X115" s="41">
        <f t="shared" si="47"/>
        <v>17075814.182415769</v>
      </c>
      <c r="Y115" s="41">
        <f t="shared" si="48"/>
        <v>9520957.5805435963</v>
      </c>
      <c r="Z115" s="41">
        <f t="shared" si="49"/>
        <v>7554856.6018721741</v>
      </c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</row>
    <row r="116" spans="1:64" x14ac:dyDescent="0.2">
      <c r="A116" s="7"/>
      <c r="B116" s="7"/>
      <c r="C116" s="7">
        <f t="shared" si="51"/>
        <v>2040</v>
      </c>
      <c r="D116" s="7">
        <f t="shared" si="52"/>
        <v>3</v>
      </c>
      <c r="E116" s="7">
        <v>263</v>
      </c>
      <c r="F116" s="123">
        <f>high_v2_m!D104+temporary_pension_bonus_high!B104</f>
        <v>34873336.4165252</v>
      </c>
      <c r="G116" s="123">
        <f>high_v2_m!E104+temporary_pension_bonus_high!B104</f>
        <v>33339663.265617799</v>
      </c>
      <c r="H116" s="41">
        <f t="shared" si="41"/>
        <v>29686319.765899941</v>
      </c>
      <c r="I116" s="41">
        <f t="shared" si="42"/>
        <v>28308257.1145113</v>
      </c>
      <c r="J116" s="123">
        <f>high_v2_m!J104</f>
        <v>5187016.6506252596</v>
      </c>
      <c r="K116" s="123">
        <f>high_v2_m!K104</f>
        <v>5031406.1511065001</v>
      </c>
      <c r="L116" s="41">
        <f t="shared" si="43"/>
        <v>1378062.6513886414</v>
      </c>
      <c r="M116" s="41">
        <f t="shared" si="44"/>
        <v>155610.49951875955</v>
      </c>
      <c r="N116" s="123">
        <f>SUM(high_v5_m!C104:J104)</f>
        <v>1724295.7489902978</v>
      </c>
      <c r="O116" s="7"/>
      <c r="P116" s="7"/>
      <c r="Q116" s="41">
        <f t="shared" si="45"/>
        <v>155743678.35788852</v>
      </c>
      <c r="R116" s="41"/>
      <c r="S116" s="41"/>
      <c r="T116" s="7"/>
      <c r="U116" s="7"/>
      <c r="V116" s="41">
        <f t="shared" si="50"/>
        <v>27681312.138575312</v>
      </c>
      <c r="W116" s="41">
        <f t="shared" si="46"/>
        <v>856123.05583223619</v>
      </c>
      <c r="X116" s="41">
        <f t="shared" si="47"/>
        <v>16529072.952192344</v>
      </c>
      <c r="Y116" s="41">
        <f t="shared" si="48"/>
        <v>8947378.8384677861</v>
      </c>
      <c r="Z116" s="41">
        <f t="shared" si="49"/>
        <v>7581694.1137245568</v>
      </c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</row>
    <row r="117" spans="1:64" x14ac:dyDescent="0.2">
      <c r="A117" s="7"/>
      <c r="B117" s="7"/>
      <c r="C117" s="7">
        <f t="shared" si="51"/>
        <v>2040</v>
      </c>
      <c r="D117" s="7">
        <f t="shared" si="52"/>
        <v>4</v>
      </c>
      <c r="E117" s="7">
        <v>264</v>
      </c>
      <c r="F117" s="123">
        <f>high_v2_m!D105+temporary_pension_bonus_high!B105</f>
        <v>35292873.149658397</v>
      </c>
      <c r="G117" s="123">
        <f>high_v2_m!E105+temporary_pension_bonus_high!B105</f>
        <v>33736998.967111602</v>
      </c>
      <c r="H117" s="41">
        <f t="shared" si="41"/>
        <v>30059547.752155837</v>
      </c>
      <c r="I117" s="41">
        <f t="shared" si="42"/>
        <v>28660673.331534121</v>
      </c>
      <c r="J117" s="123">
        <f>high_v2_m!J105</f>
        <v>5233325.3975025602</v>
      </c>
      <c r="K117" s="123">
        <f>high_v2_m!K105</f>
        <v>5076325.6355774803</v>
      </c>
      <c r="L117" s="41">
        <f t="shared" si="43"/>
        <v>1398874.4206217155</v>
      </c>
      <c r="M117" s="41">
        <f t="shared" si="44"/>
        <v>156999.76192507986</v>
      </c>
      <c r="N117" s="123">
        <f>SUM(high_v5_m!C105:J105)</f>
        <v>1716655.742499297</v>
      </c>
      <c r="O117" s="7"/>
      <c r="P117" s="7"/>
      <c r="Q117" s="41">
        <f t="shared" si="45"/>
        <v>157682568.4043538</v>
      </c>
      <c r="R117" s="41"/>
      <c r="S117" s="41"/>
      <c r="T117" s="7"/>
      <c r="U117" s="7"/>
      <c r="V117" s="41">
        <f t="shared" si="50"/>
        <v>27928445.888744067</v>
      </c>
      <c r="W117" s="41">
        <f t="shared" si="46"/>
        <v>863766.36769313284</v>
      </c>
      <c r="X117" s="41">
        <f t="shared" si="47"/>
        <v>16603929.136047207</v>
      </c>
      <c r="Y117" s="41">
        <f t="shared" si="48"/>
        <v>8907734.8084669206</v>
      </c>
      <c r="Z117" s="41">
        <f t="shared" si="49"/>
        <v>7696194.3275802853</v>
      </c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  <c r="BJ117" s="7"/>
      <c r="BK117" s="7"/>
      <c r="BL117" s="7"/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drawing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L122"/>
  <sheetViews>
    <sheetView topLeftCell="F1" zoomScale="75" zoomScaleNormal="75" workbookViewId="0">
      <selection activeCell="N14" sqref="N14"/>
    </sheetView>
  </sheetViews>
  <sheetFormatPr baseColWidth="10" defaultColWidth="9" defaultRowHeight="12.75" x14ac:dyDescent="0.2"/>
  <cols>
    <col min="6" max="9" width="16" customWidth="1"/>
  </cols>
  <sheetData>
    <row r="1" spans="1:64" ht="12.75" customHeight="1" x14ac:dyDescent="0.2">
      <c r="A1" s="101"/>
      <c r="B1" s="102"/>
      <c r="C1" s="101"/>
      <c r="D1" s="101"/>
      <c r="E1" s="101"/>
      <c r="F1" s="103" t="s">
        <v>111</v>
      </c>
      <c r="G1" s="103" t="s">
        <v>112</v>
      </c>
      <c r="H1" s="101"/>
      <c r="I1" s="101"/>
      <c r="J1" s="104" t="s">
        <v>113</v>
      </c>
      <c r="K1" s="104" t="s">
        <v>114</v>
      </c>
      <c r="L1" s="101"/>
      <c r="M1" s="105"/>
      <c r="N1" s="106" t="s">
        <v>115</v>
      </c>
      <c r="O1" s="101"/>
      <c r="P1" s="102"/>
      <c r="Q1" s="101"/>
      <c r="R1" s="101"/>
      <c r="S1" s="101"/>
      <c r="T1" s="101"/>
      <c r="U1" s="102"/>
      <c r="V1" s="101"/>
      <c r="W1" s="101"/>
      <c r="X1" s="101"/>
      <c r="Y1" s="101"/>
      <c r="Z1" s="101"/>
      <c r="AA1" s="101"/>
      <c r="AB1" s="112"/>
      <c r="AC1" s="112"/>
      <c r="AD1" s="112"/>
      <c r="AE1" s="112"/>
      <c r="AF1" s="112"/>
      <c r="AG1" s="112"/>
      <c r="AH1" s="112"/>
      <c r="AI1" s="112"/>
      <c r="AJ1" s="112"/>
      <c r="AK1" s="112"/>
      <c r="AL1" s="112"/>
      <c r="AM1" s="112"/>
      <c r="AN1" s="112"/>
      <c r="AO1" s="112"/>
      <c r="AP1" s="112"/>
      <c r="AQ1" s="112"/>
      <c r="AR1" s="112"/>
      <c r="AS1" s="112"/>
      <c r="AT1" s="112"/>
      <c r="AU1" s="112"/>
      <c r="AV1" s="112"/>
      <c r="AW1" s="112"/>
      <c r="AX1" s="112"/>
      <c r="AY1" s="112"/>
      <c r="AZ1" s="112"/>
      <c r="BA1" s="112"/>
      <c r="BB1" s="112"/>
      <c r="BC1" s="112"/>
      <c r="BD1" s="112"/>
      <c r="BE1" s="112"/>
      <c r="BF1" s="112"/>
      <c r="BG1" s="112"/>
      <c r="BH1" s="112"/>
      <c r="BI1" s="112"/>
      <c r="BJ1" s="112"/>
      <c r="BK1" s="112"/>
      <c r="BL1" s="112"/>
    </row>
    <row r="2" spans="1:64" ht="12.75" customHeight="1" x14ac:dyDescent="0.2">
      <c r="A2" s="101"/>
      <c r="B2" s="102"/>
      <c r="C2" s="101"/>
      <c r="D2" s="101"/>
      <c r="E2" s="101"/>
      <c r="F2" s="104" t="s">
        <v>116</v>
      </c>
      <c r="G2" s="104" t="s">
        <v>117</v>
      </c>
      <c r="H2" s="101"/>
      <c r="I2" s="101"/>
      <c r="J2" s="106"/>
      <c r="K2" s="106"/>
      <c r="L2" s="101"/>
      <c r="M2" s="105"/>
      <c r="N2" s="106" t="s">
        <v>118</v>
      </c>
      <c r="O2" s="101"/>
      <c r="P2" s="102"/>
      <c r="Q2" s="101"/>
      <c r="R2" s="101"/>
      <c r="S2" s="101"/>
      <c r="T2" s="101"/>
      <c r="U2" s="102"/>
      <c r="V2" s="101"/>
      <c r="W2" s="101"/>
      <c r="X2" s="101"/>
      <c r="Y2" s="101"/>
      <c r="Z2" s="101"/>
      <c r="AA2" s="101"/>
      <c r="AB2" s="112"/>
      <c r="AC2" s="112"/>
      <c r="AD2" s="112"/>
      <c r="AE2" s="112"/>
      <c r="AF2" s="112"/>
      <c r="AG2" s="112"/>
      <c r="AH2" s="112"/>
      <c r="AI2" s="112"/>
      <c r="AJ2" s="112"/>
      <c r="AK2" s="112"/>
      <c r="AL2" s="112"/>
      <c r="AM2" s="112"/>
      <c r="AN2" s="112"/>
      <c r="AO2" s="112"/>
      <c r="AP2" s="112"/>
      <c r="AQ2" s="112"/>
      <c r="AR2" s="112"/>
      <c r="AS2" s="112"/>
      <c r="AT2" s="112"/>
      <c r="AU2" s="112"/>
      <c r="AV2" s="112"/>
      <c r="AW2" s="112"/>
      <c r="AX2" s="112"/>
      <c r="AY2" s="112"/>
      <c r="AZ2" s="112"/>
      <c r="BA2" s="112"/>
      <c r="BB2" s="112"/>
      <c r="BC2" s="112"/>
      <c r="BD2" s="112"/>
      <c r="BE2" s="112"/>
      <c r="BF2" s="112"/>
      <c r="BG2" s="112"/>
      <c r="BH2" s="112"/>
      <c r="BI2" s="112"/>
      <c r="BJ2" s="112"/>
      <c r="BK2" s="112"/>
      <c r="BL2" s="112"/>
    </row>
    <row r="3" spans="1:64" ht="71.849999999999994" customHeight="1" x14ac:dyDescent="0.2">
      <c r="A3" s="108" t="s">
        <v>119</v>
      </c>
      <c r="B3" s="109"/>
      <c r="C3" s="108" t="s">
        <v>120</v>
      </c>
      <c r="D3" s="108" t="s">
        <v>121</v>
      </c>
      <c r="E3" s="108" t="s">
        <v>122</v>
      </c>
      <c r="F3" s="110" t="s">
        <v>123</v>
      </c>
      <c r="G3" s="110" t="s">
        <v>124</v>
      </c>
      <c r="H3" s="108" t="s">
        <v>125</v>
      </c>
      <c r="I3" s="108" t="s">
        <v>126</v>
      </c>
      <c r="J3" s="110" t="s">
        <v>127</v>
      </c>
      <c r="K3" s="110" t="s">
        <v>128</v>
      </c>
      <c r="L3" s="108" t="s">
        <v>129</v>
      </c>
      <c r="M3" s="111" t="s">
        <v>130</v>
      </c>
      <c r="N3" s="110" t="s">
        <v>131</v>
      </c>
      <c r="O3" s="108" t="s">
        <v>132</v>
      </c>
      <c r="P3" s="109" t="s">
        <v>133</v>
      </c>
      <c r="Q3" s="108" t="s">
        <v>134</v>
      </c>
      <c r="R3" s="108" t="s">
        <v>135</v>
      </c>
      <c r="S3" s="108" t="s">
        <v>136</v>
      </c>
      <c r="T3" s="108" t="s">
        <v>137</v>
      </c>
      <c r="U3" s="109" t="s">
        <v>138</v>
      </c>
      <c r="V3" s="108" t="s">
        <v>139</v>
      </c>
      <c r="W3" s="108" t="s">
        <v>140</v>
      </c>
      <c r="X3" s="108" t="s">
        <v>141</v>
      </c>
      <c r="Y3" s="108" t="s">
        <v>142</v>
      </c>
      <c r="Z3" s="108" t="s">
        <v>143</v>
      </c>
      <c r="AA3" s="112"/>
      <c r="AB3" s="112"/>
      <c r="AC3" s="112"/>
      <c r="AD3" s="112"/>
      <c r="AE3" s="112"/>
      <c r="AF3" s="112"/>
      <c r="AG3" s="112"/>
      <c r="AH3" s="112"/>
      <c r="AI3" s="112"/>
      <c r="AJ3" s="112"/>
      <c r="AK3" s="112"/>
      <c r="AL3" s="112"/>
      <c r="AM3" s="112"/>
      <c r="AN3" s="112"/>
      <c r="AO3" s="112"/>
      <c r="AP3" s="112"/>
      <c r="AQ3" s="112"/>
      <c r="AR3" s="112"/>
      <c r="AS3" s="112"/>
      <c r="AT3" s="112"/>
      <c r="AU3" s="112"/>
      <c r="AV3" s="112"/>
      <c r="AW3" s="112"/>
      <c r="AX3" s="112"/>
      <c r="AY3" s="112"/>
      <c r="AZ3" s="112"/>
      <c r="BA3" s="112"/>
      <c r="BB3" s="112"/>
      <c r="BC3" s="112"/>
      <c r="BD3" s="112"/>
      <c r="BE3" s="112"/>
      <c r="BF3" s="112"/>
      <c r="BG3" s="112"/>
      <c r="BH3" s="112"/>
      <c r="BI3" s="112"/>
      <c r="BJ3" s="112"/>
      <c r="BK3" s="112"/>
      <c r="BL3" s="112"/>
    </row>
    <row r="4" spans="1:64" x14ac:dyDescent="0.2">
      <c r="A4" s="113" t="s">
        <v>144</v>
      </c>
      <c r="B4" s="114"/>
      <c r="C4" s="113">
        <v>2014</v>
      </c>
      <c r="D4" s="113">
        <v>1</v>
      </c>
      <c r="E4" s="113">
        <v>1005</v>
      </c>
      <c r="F4" s="115">
        <v>13919743</v>
      </c>
      <c r="G4" s="115">
        <v>13367098</v>
      </c>
      <c r="H4" s="116">
        <f t="shared" ref="H4:H35" si="0">F4-J4</f>
        <v>13919743</v>
      </c>
      <c r="I4" s="116">
        <f t="shared" ref="I4:I35" si="1">G4-K4</f>
        <v>13367098</v>
      </c>
      <c r="J4" s="117"/>
      <c r="K4" s="117"/>
      <c r="L4" s="116">
        <f t="shared" ref="L4:L35" si="2">H4-I4</f>
        <v>552645</v>
      </c>
      <c r="M4" s="116">
        <f t="shared" ref="M4:M35" si="3">J4-K4</f>
        <v>0</v>
      </c>
      <c r="N4" s="115">
        <v>2431521</v>
      </c>
      <c r="O4" s="118">
        <v>68064666.118185595</v>
      </c>
      <c r="P4" s="113">
        <f t="shared" ref="P4:P9" si="4">O4/I4</f>
        <v>5.0919553457441245</v>
      </c>
      <c r="Q4" s="116">
        <f t="shared" ref="Q4:Q35" si="5">I4*5.5017049523</f>
        <v>73541829.264479429</v>
      </c>
      <c r="R4" s="116">
        <v>11018747.805427499</v>
      </c>
      <c r="S4" s="116">
        <v>2463940.91347832</v>
      </c>
      <c r="T4" s="118">
        <v>13733232.311209099</v>
      </c>
      <c r="U4" s="113">
        <f t="shared" ref="U4:U9" si="6">R4/N4</f>
        <v>4.5316276542244545</v>
      </c>
      <c r="V4" s="114"/>
      <c r="W4" s="114"/>
      <c r="X4" s="116">
        <f>N4*U12+L4*P13</f>
        <v>15657663.761230841</v>
      </c>
      <c r="Y4" s="116">
        <f t="shared" ref="Y4:Y9" si="7">N4*5.1890047538</f>
        <v>12617174.027964531</v>
      </c>
      <c r="Z4" s="116">
        <f t="shared" ref="Z4:Z9" si="8">L4*5.5017049523</f>
        <v>3040489.7333638333</v>
      </c>
      <c r="AA4" s="113"/>
      <c r="AB4" s="113"/>
      <c r="AC4" s="113"/>
      <c r="AD4" s="113"/>
      <c r="AE4" s="113"/>
      <c r="AF4" s="113"/>
      <c r="AG4" s="113"/>
      <c r="AH4" s="113"/>
      <c r="AI4" s="113"/>
      <c r="AJ4" s="113"/>
      <c r="AK4" s="113"/>
      <c r="AL4" s="113"/>
      <c r="AM4" s="113"/>
      <c r="AN4" s="113"/>
      <c r="AO4" s="113"/>
      <c r="AP4" s="113"/>
      <c r="AQ4" s="113"/>
      <c r="AR4" s="113"/>
      <c r="AS4" s="113"/>
      <c r="AT4" s="113"/>
      <c r="AU4" s="113"/>
      <c r="AV4" s="113"/>
      <c r="AW4" s="113"/>
      <c r="AX4" s="113"/>
      <c r="AY4" s="113"/>
      <c r="AZ4" s="113"/>
      <c r="BA4" s="113"/>
      <c r="BB4" s="113"/>
      <c r="BC4" s="113"/>
      <c r="BD4" s="113"/>
      <c r="BE4" s="113"/>
      <c r="BF4" s="113"/>
      <c r="BG4" s="113"/>
      <c r="BH4" s="113"/>
      <c r="BI4" s="113"/>
      <c r="BJ4" s="113"/>
      <c r="BK4" s="113"/>
      <c r="BL4" s="113"/>
    </row>
    <row r="5" spans="1:64" x14ac:dyDescent="0.2">
      <c r="B5" s="114"/>
      <c r="C5" s="113">
        <v>2014</v>
      </c>
      <c r="D5" s="113">
        <v>2</v>
      </c>
      <c r="E5" s="113">
        <v>1004</v>
      </c>
      <c r="F5" s="115">
        <v>14482790</v>
      </c>
      <c r="G5" s="115">
        <v>13911325</v>
      </c>
      <c r="H5" s="116">
        <f t="shared" si="0"/>
        <v>14482790</v>
      </c>
      <c r="I5" s="116">
        <f t="shared" si="1"/>
        <v>13911325</v>
      </c>
      <c r="J5" s="117"/>
      <c r="K5" s="117"/>
      <c r="L5" s="116">
        <f t="shared" si="2"/>
        <v>571465</v>
      </c>
      <c r="M5" s="116">
        <f t="shared" si="3"/>
        <v>0</v>
      </c>
      <c r="N5" s="115">
        <v>2156056</v>
      </c>
      <c r="O5" s="118">
        <v>80470827.889267698</v>
      </c>
      <c r="P5" s="113">
        <f t="shared" si="4"/>
        <v>5.7845552374966225</v>
      </c>
      <c r="Q5" s="116">
        <f t="shared" si="5"/>
        <v>76536005.645554796</v>
      </c>
      <c r="R5" s="116">
        <v>13090128.797517</v>
      </c>
      <c r="S5" s="116">
        <v>2913043.96959149</v>
      </c>
      <c r="T5" s="118">
        <v>16270046.9661959</v>
      </c>
      <c r="U5" s="113">
        <f t="shared" si="6"/>
        <v>6.0713306136375866</v>
      </c>
      <c r="V5" s="114"/>
      <c r="W5" s="114"/>
      <c r="X5" s="116">
        <f>N5*5.1890047538+L5*5.5017049523</f>
        <v>14331816.654025132</v>
      </c>
      <c r="Y5" s="116">
        <f t="shared" si="7"/>
        <v>11187784.833459012</v>
      </c>
      <c r="Z5" s="116">
        <f t="shared" si="8"/>
        <v>3144031.8205661196</v>
      </c>
    </row>
    <row r="6" spans="1:64" x14ac:dyDescent="0.2">
      <c r="B6" s="114"/>
      <c r="C6" s="113">
        <v>2014</v>
      </c>
      <c r="D6" s="113">
        <v>3</v>
      </c>
      <c r="E6" s="113">
        <v>1003</v>
      </c>
      <c r="F6" s="115">
        <v>15149966</v>
      </c>
      <c r="G6" s="115">
        <v>14531608</v>
      </c>
      <c r="H6" s="116">
        <f t="shared" si="0"/>
        <v>15149966</v>
      </c>
      <c r="I6" s="116">
        <f t="shared" si="1"/>
        <v>14531608</v>
      </c>
      <c r="J6" s="117"/>
      <c r="K6" s="117"/>
      <c r="L6" s="116">
        <f t="shared" si="2"/>
        <v>618358</v>
      </c>
      <c r="M6" s="116">
        <f t="shared" si="3"/>
        <v>0</v>
      </c>
      <c r="N6" s="115">
        <v>2697106</v>
      </c>
      <c r="O6" s="118">
        <v>71025009.154040605</v>
      </c>
      <c r="P6" s="113">
        <f t="shared" si="4"/>
        <v>4.8876221512471716</v>
      </c>
      <c r="Q6" s="116">
        <f t="shared" si="5"/>
        <v>79948619.69848229</v>
      </c>
      <c r="R6" s="116">
        <v>13303482.9648562</v>
      </c>
      <c r="S6" s="116">
        <v>2571105.3313762699</v>
      </c>
      <c r="T6" s="118">
        <v>17670963.688597001</v>
      </c>
      <c r="U6" s="113">
        <f t="shared" si="6"/>
        <v>4.9325028251971554</v>
      </c>
      <c r="V6" s="114"/>
      <c r="W6" s="114"/>
      <c r="X6" s="116">
        <f>N6*5.1890047538+L6*5.5017049523</f>
        <v>17397319.126396827</v>
      </c>
      <c r="Y6" s="116">
        <f t="shared" si="7"/>
        <v>13995295.855502503</v>
      </c>
      <c r="Z6" s="116">
        <f t="shared" si="8"/>
        <v>3402023.2708943235</v>
      </c>
    </row>
    <row r="7" spans="1:64" x14ac:dyDescent="0.2">
      <c r="B7" s="114"/>
      <c r="C7" s="113">
        <v>2014</v>
      </c>
      <c r="D7" s="113">
        <v>4</v>
      </c>
      <c r="E7" s="113">
        <v>160</v>
      </c>
      <c r="F7" s="115">
        <v>15745971</v>
      </c>
      <c r="G7" s="115">
        <v>15148486</v>
      </c>
      <c r="H7" s="116">
        <f t="shared" si="0"/>
        <v>15745971</v>
      </c>
      <c r="I7" s="116">
        <f t="shared" si="1"/>
        <v>15148486</v>
      </c>
      <c r="J7" s="117"/>
      <c r="K7" s="117"/>
      <c r="L7" s="116">
        <f t="shared" si="2"/>
        <v>597485</v>
      </c>
      <c r="M7" s="116">
        <f t="shared" si="3"/>
        <v>0</v>
      </c>
      <c r="N7" s="115">
        <v>2598761</v>
      </c>
      <c r="O7" s="118">
        <v>90838150.785999998</v>
      </c>
      <c r="P7" s="113">
        <f t="shared" si="4"/>
        <v>5.9965167995006237</v>
      </c>
      <c r="Q7" s="116">
        <f t="shared" si="5"/>
        <v>83342500.446047217</v>
      </c>
      <c r="R7" s="116">
        <v>12713686.068</v>
      </c>
      <c r="S7" s="116">
        <v>3288341.0584531999</v>
      </c>
      <c r="T7" s="118">
        <v>17161490.754453201</v>
      </c>
      <c r="U7" s="113">
        <f t="shared" si="6"/>
        <v>4.8922105834280263</v>
      </c>
      <c r="V7" s="114"/>
      <c r="W7" s="114"/>
      <c r="X7" s="116">
        <f>N7*5.1890047538+L7*5.5017049523</f>
        <v>16772169.366415009</v>
      </c>
      <c r="Y7" s="116">
        <f t="shared" si="7"/>
        <v>13484983.182990042</v>
      </c>
      <c r="Z7" s="116">
        <f t="shared" si="8"/>
        <v>3287186.1834249655</v>
      </c>
    </row>
    <row r="8" spans="1:64" x14ac:dyDescent="0.2">
      <c r="B8" s="114"/>
      <c r="C8" s="113">
        <f>C4+1</f>
        <v>2015</v>
      </c>
      <c r="D8" s="113">
        <f>D4</f>
        <v>1</v>
      </c>
      <c r="E8" s="113">
        <v>1001</v>
      </c>
      <c r="F8" s="115">
        <v>16507879</v>
      </c>
      <c r="G8" s="115">
        <v>15853349</v>
      </c>
      <c r="H8" s="116">
        <f t="shared" si="0"/>
        <v>16507879</v>
      </c>
      <c r="I8" s="116">
        <f t="shared" si="1"/>
        <v>15853349</v>
      </c>
      <c r="J8" s="117"/>
      <c r="K8" s="117"/>
      <c r="L8" s="116">
        <f t="shared" si="2"/>
        <v>654530</v>
      </c>
      <c r="M8" s="116">
        <f t="shared" si="3"/>
        <v>0</v>
      </c>
      <c r="N8" s="115">
        <v>3002195</v>
      </c>
      <c r="O8" s="118">
        <v>81897043.967565298</v>
      </c>
      <c r="P8" s="113">
        <f t="shared" si="4"/>
        <v>5.1659144050613719</v>
      </c>
      <c r="Q8" s="116">
        <f t="shared" si="5"/>
        <v>87220448.703840256</v>
      </c>
      <c r="R8" s="116">
        <v>13986686.083893999</v>
      </c>
      <c r="S8" s="116">
        <v>2964672.9916258599</v>
      </c>
      <c r="T8" s="118">
        <v>18231627.4986104</v>
      </c>
      <c r="U8" s="113">
        <f t="shared" si="6"/>
        <v>4.6588199913376709</v>
      </c>
      <c r="V8" s="114"/>
      <c r="W8" s="114"/>
      <c r="X8" s="116">
        <f>N8*5.1890047538+L8*5.5017049523</f>
        <v>19179435.06926351</v>
      </c>
      <c r="Y8" s="116">
        <f t="shared" si="7"/>
        <v>15578404.12683459</v>
      </c>
      <c r="Z8" s="116">
        <f t="shared" si="8"/>
        <v>3601030.942428919</v>
      </c>
    </row>
    <row r="9" spans="1:64" x14ac:dyDescent="0.2">
      <c r="B9" s="114"/>
      <c r="C9" s="113">
        <f>C5+1</f>
        <v>2015</v>
      </c>
      <c r="D9" s="113">
        <f>D5</f>
        <v>2</v>
      </c>
      <c r="E9" s="113">
        <v>1000</v>
      </c>
      <c r="F9" s="115">
        <v>17877475</v>
      </c>
      <c r="G9" s="115">
        <v>17180984</v>
      </c>
      <c r="H9" s="116">
        <f t="shared" si="0"/>
        <v>17877475</v>
      </c>
      <c r="I9" s="116">
        <f t="shared" si="1"/>
        <v>17180984</v>
      </c>
      <c r="J9" s="117"/>
      <c r="K9" s="117"/>
      <c r="L9" s="116">
        <f t="shared" si="2"/>
        <v>696491</v>
      </c>
      <c r="M9" s="116">
        <f t="shared" si="3"/>
        <v>0</v>
      </c>
      <c r="N9" s="115">
        <v>2371185</v>
      </c>
      <c r="O9" s="118">
        <v>104523364.33665401</v>
      </c>
      <c r="P9" s="113">
        <f t="shared" si="4"/>
        <v>6.0836657747108083</v>
      </c>
      <c r="Q9" s="116">
        <f t="shared" si="5"/>
        <v>94524704.758187056</v>
      </c>
      <c r="R9" s="116">
        <v>14339828.676914699</v>
      </c>
      <c r="S9" s="116">
        <v>3783745.7889868701</v>
      </c>
      <c r="T9" s="118">
        <v>19687951.529640902</v>
      </c>
      <c r="U9" s="113">
        <f t="shared" si="6"/>
        <v>6.0475368547433872</v>
      </c>
      <c r="V9" s="114"/>
      <c r="W9" s="114"/>
      <c r="X9" s="116">
        <f>N9*5.1890047538+L9*5.5017049523</f>
        <v>16135978.221071633</v>
      </c>
      <c r="Y9" s="116">
        <f t="shared" si="7"/>
        <v>12304090.237139253</v>
      </c>
      <c r="Z9" s="116">
        <f t="shared" si="8"/>
        <v>3831887.9839323792</v>
      </c>
    </row>
    <row r="10" spans="1:64" x14ac:dyDescent="0.2">
      <c r="B10" s="114"/>
      <c r="C10" s="113">
        <v>2016</v>
      </c>
      <c r="D10" s="113">
        <v>2</v>
      </c>
      <c r="E10" s="113">
        <v>996</v>
      </c>
      <c r="F10" s="115">
        <v>18529945</v>
      </c>
      <c r="G10" s="115">
        <v>17797215</v>
      </c>
      <c r="H10" s="116">
        <f t="shared" si="0"/>
        <v>18529945</v>
      </c>
      <c r="I10" s="116">
        <f t="shared" si="1"/>
        <v>17797215</v>
      </c>
      <c r="J10" s="117"/>
      <c r="K10" s="117"/>
      <c r="L10" s="116">
        <f t="shared" si="2"/>
        <v>732730</v>
      </c>
      <c r="M10" s="116">
        <f t="shared" si="3"/>
        <v>0</v>
      </c>
      <c r="N10" s="117"/>
      <c r="O10" s="114"/>
      <c r="P10" s="114"/>
      <c r="Q10" s="116">
        <f t="shared" si="5"/>
        <v>97915025.902647838</v>
      </c>
      <c r="R10" s="116"/>
      <c r="S10" s="116"/>
      <c r="T10" s="114"/>
      <c r="U10" s="114"/>
      <c r="V10" s="114"/>
      <c r="W10" s="114"/>
      <c r="X10" s="116"/>
      <c r="Y10" s="116"/>
      <c r="Z10" s="116"/>
    </row>
    <row r="11" spans="1:64" x14ac:dyDescent="0.2">
      <c r="B11" s="114"/>
      <c r="C11" s="113">
        <v>2016</v>
      </c>
      <c r="D11" s="113">
        <v>3</v>
      </c>
      <c r="E11" s="113">
        <v>995</v>
      </c>
      <c r="F11" s="115">
        <v>19118239</v>
      </c>
      <c r="G11" s="115">
        <v>18342944</v>
      </c>
      <c r="H11" s="116">
        <f t="shared" si="0"/>
        <v>19118239</v>
      </c>
      <c r="I11" s="116">
        <f t="shared" si="1"/>
        <v>18342944</v>
      </c>
      <c r="J11" s="117"/>
      <c r="K11" s="117"/>
      <c r="L11" s="116">
        <f t="shared" si="2"/>
        <v>775295</v>
      </c>
      <c r="M11" s="116">
        <f t="shared" si="3"/>
        <v>0</v>
      </c>
      <c r="N11" s="117"/>
      <c r="O11" s="114"/>
      <c r="P11" s="114"/>
      <c r="Q11" s="116">
        <f t="shared" si="5"/>
        <v>100917465.84456156</v>
      </c>
      <c r="R11" s="116"/>
      <c r="S11" s="116"/>
      <c r="T11" s="114"/>
      <c r="U11" s="114"/>
      <c r="V11" s="114"/>
      <c r="W11" s="114"/>
      <c r="X11" s="116"/>
      <c r="Y11" s="116"/>
      <c r="Z11" s="116"/>
    </row>
    <row r="12" spans="1:64" x14ac:dyDescent="0.2">
      <c r="B12" s="114"/>
      <c r="C12" s="113">
        <v>2016</v>
      </c>
      <c r="D12" s="113">
        <v>4</v>
      </c>
      <c r="E12" s="113">
        <v>994</v>
      </c>
      <c r="F12" s="115">
        <v>20592277</v>
      </c>
      <c r="G12" s="115">
        <v>19759371</v>
      </c>
      <c r="H12" s="116">
        <f t="shared" si="0"/>
        <v>20592277</v>
      </c>
      <c r="I12" s="116">
        <f t="shared" si="1"/>
        <v>19759371</v>
      </c>
      <c r="J12" s="117"/>
      <c r="K12" s="117"/>
      <c r="L12" s="116">
        <f t="shared" si="2"/>
        <v>832906</v>
      </c>
      <c r="M12" s="116">
        <f t="shared" si="3"/>
        <v>0</v>
      </c>
      <c r="N12" s="117"/>
      <c r="O12" s="114"/>
      <c r="P12" s="114" t="s">
        <v>145</v>
      </c>
      <c r="Q12" s="116">
        <f t="shared" si="5"/>
        <v>108710229.285033</v>
      </c>
      <c r="R12" s="116"/>
      <c r="S12" s="116"/>
      <c r="T12" s="114"/>
      <c r="U12" s="113">
        <f>AVERAGE(U4:U9)</f>
        <v>5.1890047537613802</v>
      </c>
      <c r="V12" s="114"/>
      <c r="W12" s="114"/>
      <c r="X12" s="116"/>
      <c r="Y12" s="116"/>
      <c r="Z12" s="116"/>
    </row>
    <row r="13" spans="1:64" x14ac:dyDescent="0.2">
      <c r="B13" s="114"/>
      <c r="C13" s="113">
        <v>2017</v>
      </c>
      <c r="D13" s="113">
        <v>1</v>
      </c>
      <c r="E13" s="113">
        <v>993</v>
      </c>
      <c r="F13" s="115">
        <v>20242858</v>
      </c>
      <c r="G13" s="115">
        <v>19409870</v>
      </c>
      <c r="H13" s="116">
        <f t="shared" si="0"/>
        <v>20242858</v>
      </c>
      <c r="I13" s="116">
        <f t="shared" si="1"/>
        <v>19409870</v>
      </c>
      <c r="J13" s="117"/>
      <c r="K13" s="117"/>
      <c r="L13" s="116">
        <f t="shared" si="2"/>
        <v>832988</v>
      </c>
      <c r="M13" s="116">
        <f t="shared" si="3"/>
        <v>0</v>
      </c>
      <c r="N13" s="117"/>
      <c r="O13" s="114"/>
      <c r="P13" s="113">
        <f>AVERAGE(P4:P9)</f>
        <v>5.501704952293454</v>
      </c>
      <c r="Q13" s="116">
        <f t="shared" si="5"/>
        <v>106787377.9024992</v>
      </c>
      <c r="R13" s="116"/>
      <c r="S13" s="116"/>
      <c r="T13" s="114"/>
      <c r="U13" s="114"/>
      <c r="V13" s="114"/>
      <c r="W13" s="114"/>
      <c r="X13" s="116"/>
      <c r="Y13" s="116"/>
      <c r="Z13" s="116"/>
    </row>
    <row r="14" spans="1:64" x14ac:dyDescent="0.2">
      <c r="A14" s="119" t="s">
        <v>146</v>
      </c>
      <c r="B14" s="5"/>
      <c r="C14" s="119">
        <v>2015</v>
      </c>
      <c r="D14" s="119">
        <v>1</v>
      </c>
      <c r="E14" s="119">
        <v>161</v>
      </c>
      <c r="F14" s="120">
        <f>low_v2_m!B2+temporary_pension_bonus_low!B2</f>
        <v>17715091.297121499</v>
      </c>
      <c r="G14" s="120">
        <f>low_v2_m!C2+temporary_pension_bonus_low!B2</f>
        <v>17023151.853301901</v>
      </c>
      <c r="H14" s="8">
        <f t="shared" si="0"/>
        <v>17715091.297121499</v>
      </c>
      <c r="I14" s="8">
        <f t="shared" si="1"/>
        <v>17023151.853301901</v>
      </c>
      <c r="J14" s="121">
        <f>low_v2_m!J2</f>
        <v>0</v>
      </c>
      <c r="K14" s="121">
        <f>low_v2_m!K2</f>
        <v>0</v>
      </c>
      <c r="L14" s="8">
        <f t="shared" si="2"/>
        <v>691939.44381959736</v>
      </c>
      <c r="M14" s="8">
        <f t="shared" si="3"/>
        <v>0</v>
      </c>
      <c r="N14" s="121">
        <f>SUM(low_v5_m!C2:J2)</f>
        <v>2735454.9936135854</v>
      </c>
      <c r="O14" s="5"/>
      <c r="P14" s="5"/>
      <c r="Q14" s="8">
        <f t="shared" si="5"/>
        <v>93656358.855065987</v>
      </c>
      <c r="R14" s="8"/>
      <c r="S14" s="8"/>
      <c r="T14" s="5"/>
      <c r="U14" s="5"/>
      <c r="V14" s="8">
        <f>K14*P13</f>
        <v>0</v>
      </c>
      <c r="W14" s="8">
        <f t="shared" ref="W14:W45" si="9">M14*5.5017049523</f>
        <v>0</v>
      </c>
      <c r="X14" s="8">
        <f t="shared" ref="X14:X45" si="10">N14*5.1890047538+L14*5.5017049523</f>
        <v>18001135.63042083</v>
      </c>
      <c r="Y14" s="8">
        <f t="shared" ref="Y14:Y45" si="11">N14*5.1890047538</f>
        <v>14194288.965666844</v>
      </c>
      <c r="Z14" s="8">
        <f t="shared" ref="Z14:Z45" si="12">L14*5.5017049523</f>
        <v>3806846.6647539865</v>
      </c>
      <c r="AA14" s="119"/>
      <c r="AB14" s="119"/>
      <c r="AC14" s="119"/>
      <c r="AD14" s="119"/>
      <c r="AE14" s="119"/>
      <c r="AF14" s="119"/>
      <c r="AG14" s="119"/>
      <c r="AH14" s="119"/>
      <c r="AI14" s="119"/>
      <c r="AJ14" s="119"/>
      <c r="AK14" s="119"/>
      <c r="AL14" s="119"/>
      <c r="AM14" s="119"/>
      <c r="AN14" s="119"/>
      <c r="AO14" s="119"/>
      <c r="AP14" s="119"/>
      <c r="AQ14" s="119"/>
      <c r="AR14" s="119"/>
      <c r="AS14" s="119"/>
      <c r="AT14" s="119"/>
      <c r="AU14" s="119"/>
      <c r="AV14" s="119"/>
      <c r="AW14" s="119"/>
      <c r="AX14" s="119"/>
      <c r="AY14" s="119"/>
      <c r="AZ14" s="119"/>
      <c r="BA14" s="119"/>
      <c r="BB14" s="119"/>
      <c r="BC14" s="119"/>
      <c r="BD14" s="119"/>
      <c r="BE14" s="119"/>
      <c r="BF14" s="119"/>
      <c r="BG14" s="119"/>
      <c r="BH14" s="119"/>
      <c r="BI14" s="119"/>
      <c r="BJ14" s="119"/>
      <c r="BK14" s="119"/>
      <c r="BL14" s="119"/>
    </row>
    <row r="15" spans="1:64" x14ac:dyDescent="0.2">
      <c r="A15" s="7"/>
      <c r="B15" s="7"/>
      <c r="C15" s="7">
        <v>2015</v>
      </c>
      <c r="D15" s="7">
        <v>2</v>
      </c>
      <c r="E15" s="7">
        <v>162</v>
      </c>
      <c r="F15" s="122">
        <f>low_v2_m!B3+temporary_pension_bonus_low!B3</f>
        <v>20422747.135097399</v>
      </c>
      <c r="G15" s="122">
        <f>low_v2_m!C3+temporary_pension_bonus_low!B3</f>
        <v>19622770.703860801</v>
      </c>
      <c r="H15" s="41">
        <f t="shared" si="0"/>
        <v>20422747.135097399</v>
      </c>
      <c r="I15" s="41">
        <f t="shared" si="1"/>
        <v>19622770.703860801</v>
      </c>
      <c r="J15" s="123">
        <f>low_v2_m!J3</f>
        <v>0</v>
      </c>
      <c r="K15" s="123">
        <f>low_v2_m!K3</f>
        <v>0</v>
      </c>
      <c r="L15" s="41">
        <f t="shared" si="2"/>
        <v>799976.43123659864</v>
      </c>
      <c r="M15" s="41">
        <f t="shared" si="3"/>
        <v>0</v>
      </c>
      <c r="N15" s="123">
        <f>SUM(low_v5_m!C3:J3)</f>
        <v>2478245.9090260332</v>
      </c>
      <c r="O15" s="7"/>
      <c r="P15" s="7"/>
      <c r="Q15" s="41">
        <f t="shared" si="5"/>
        <v>107958694.75927833</v>
      </c>
      <c r="R15" s="41"/>
      <c r="S15" s="41"/>
      <c r="T15" s="7"/>
      <c r="U15" s="7"/>
      <c r="V15" s="41">
        <f t="shared" ref="V15:V46" si="13">K15*5.5017049523</f>
        <v>0</v>
      </c>
      <c r="W15" s="41">
        <f t="shared" si="9"/>
        <v>0</v>
      </c>
      <c r="X15" s="41">
        <f t="shared" si="10"/>
        <v>17260864.096479163</v>
      </c>
      <c r="Y15" s="41">
        <f t="shared" si="11"/>
        <v>12859629.803021489</v>
      </c>
      <c r="Z15" s="41">
        <f t="shared" si="12"/>
        <v>4401234.2934576748</v>
      </c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</row>
    <row r="16" spans="1:64" x14ac:dyDescent="0.2">
      <c r="A16" s="7">
        <v>1000</v>
      </c>
      <c r="B16" s="7"/>
      <c r="C16" s="7">
        <v>2015</v>
      </c>
      <c r="D16" s="7">
        <v>3</v>
      </c>
      <c r="E16" s="7">
        <v>163</v>
      </c>
      <c r="F16" s="122">
        <f>low_v2_m!B4+temporary_pension_bonus_low!B4</f>
        <v>19803746.836479299</v>
      </c>
      <c r="G16" s="122">
        <f>low_v2_m!C4+temporary_pension_bonus_low!B4</f>
        <v>19026261.304787099</v>
      </c>
      <c r="H16" s="41">
        <f t="shared" si="0"/>
        <v>19803746.836479299</v>
      </c>
      <c r="I16" s="41">
        <f t="shared" si="1"/>
        <v>19026261.304787099</v>
      </c>
      <c r="J16" s="123">
        <f>low_v2_m!J4</f>
        <v>0</v>
      </c>
      <c r="K16" s="123">
        <f>low_v2_m!K4</f>
        <v>0</v>
      </c>
      <c r="L16" s="41">
        <f t="shared" si="2"/>
        <v>777485.53169219941</v>
      </c>
      <c r="M16" s="41">
        <f t="shared" si="3"/>
        <v>0</v>
      </c>
      <c r="N16" s="123">
        <f>SUM(low_v5_m!C4:J4)</f>
        <v>2919136.7623483003</v>
      </c>
      <c r="O16" s="124">
        <v>94527377.114245504</v>
      </c>
      <c r="Q16" s="41">
        <f t="shared" si="5"/>
        <v>104676876.04430105</v>
      </c>
      <c r="R16" s="41">
        <v>16695329.1346057</v>
      </c>
      <c r="S16" s="41">
        <v>3421891.0515356902</v>
      </c>
      <c r="T16" s="124">
        <v>22190060.635179099</v>
      </c>
      <c r="U16" s="7">
        <f>R22/N16</f>
        <v>7.1178312848403502</v>
      </c>
      <c r="V16" s="41">
        <f t="shared" si="13"/>
        <v>0</v>
      </c>
      <c r="W16" s="41">
        <f t="shared" si="9"/>
        <v>0</v>
      </c>
      <c r="X16" s="41">
        <f t="shared" si="10"/>
        <v>19424910.536870245</v>
      </c>
      <c r="Y16" s="41">
        <f t="shared" si="11"/>
        <v>15147414.536817672</v>
      </c>
      <c r="Z16" s="41">
        <f t="shared" si="12"/>
        <v>4277496.0000525722</v>
      </c>
    </row>
    <row r="17" spans="1:64" x14ac:dyDescent="0.2">
      <c r="B17" s="7"/>
      <c r="C17" s="7">
        <v>2015</v>
      </c>
      <c r="D17" s="7">
        <v>4</v>
      </c>
      <c r="E17" s="7">
        <v>164</v>
      </c>
      <c r="F17" s="122">
        <f>low_v2_m!B5+temporary_pension_bonus_low!B5</f>
        <v>21421804.3950487</v>
      </c>
      <c r="G17" s="122">
        <f>low_v2_m!C5+temporary_pension_bonus_low!B5</f>
        <v>20579647.3943859</v>
      </c>
      <c r="H17" s="41">
        <f t="shared" si="0"/>
        <v>21421804.3950487</v>
      </c>
      <c r="I17" s="41">
        <f t="shared" si="1"/>
        <v>20579647.3943859</v>
      </c>
      <c r="J17" s="123">
        <f>low_v2_m!J5</f>
        <v>0</v>
      </c>
      <c r="K17" s="123">
        <f>low_v2_m!K5</f>
        <v>0</v>
      </c>
      <c r="L17" s="41">
        <f t="shared" si="2"/>
        <v>842157.00066279992</v>
      </c>
      <c r="M17" s="41">
        <f t="shared" si="3"/>
        <v>0</v>
      </c>
      <c r="N17" s="123">
        <f>SUM(low_v5_m!C5:J5)</f>
        <v>2757062.569891395</v>
      </c>
      <c r="O17" s="124">
        <v>111875162.87552799</v>
      </c>
      <c r="Q17" s="41">
        <f t="shared" si="5"/>
        <v>113223147.98628069</v>
      </c>
      <c r="R17" s="41">
        <v>16337001.045735599</v>
      </c>
      <c r="S17" s="41">
        <v>4049880.8960941099</v>
      </c>
      <c r="T17" s="124">
        <v>22729747.8617584</v>
      </c>
      <c r="U17" s="7">
        <f>R23/N17</f>
        <v>6.7228626450621087</v>
      </c>
      <c r="V17" s="41">
        <f t="shared" si="13"/>
        <v>0</v>
      </c>
      <c r="W17" s="41">
        <f t="shared" si="9"/>
        <v>0</v>
      </c>
      <c r="X17" s="41">
        <f t="shared" si="10"/>
        <v>18939710.122851133</v>
      </c>
      <c r="Y17" s="41">
        <f t="shared" si="11"/>
        <v>14306410.781690493</v>
      </c>
      <c r="Z17" s="41">
        <f t="shared" si="12"/>
        <v>4633299.3411606411</v>
      </c>
    </row>
    <row r="18" spans="1:64" x14ac:dyDescent="0.2">
      <c r="A18" s="119"/>
      <c r="B18" s="5"/>
      <c r="C18" s="119">
        <f t="shared" ref="C18:C49" si="14">C14+1</f>
        <v>2016</v>
      </c>
      <c r="D18" s="119">
        <f t="shared" ref="D18:D49" si="15">D14</f>
        <v>1</v>
      </c>
      <c r="E18" s="119">
        <v>165</v>
      </c>
      <c r="F18" s="120">
        <f>low_v2_m!B6+temporary_pension_bonus_low!B6</f>
        <v>18798652.8327858</v>
      </c>
      <c r="G18" s="120">
        <f>low_v2_m!C6+temporary_pension_bonus_low!B6</f>
        <v>18061142.432745501</v>
      </c>
      <c r="H18" s="8">
        <f t="shared" si="0"/>
        <v>18798652.8327858</v>
      </c>
      <c r="I18" s="8">
        <f t="shared" si="1"/>
        <v>18061142.432745501</v>
      </c>
      <c r="J18" s="121">
        <f>low_v2_m!J6</f>
        <v>0</v>
      </c>
      <c r="K18" s="121">
        <f>low_v2_m!K6</f>
        <v>0</v>
      </c>
      <c r="L18" s="8">
        <f t="shared" si="2"/>
        <v>737510.4000402987</v>
      </c>
      <c r="M18" s="8">
        <f t="shared" si="3"/>
        <v>0</v>
      </c>
      <c r="N18" s="121">
        <f>SUM(low_v5_m!C6:J6)</f>
        <v>2795658.977222933</v>
      </c>
      <c r="O18" s="125">
        <v>91414555.230157301</v>
      </c>
      <c r="P18" s="5"/>
      <c r="Q18" s="8">
        <f t="shared" si="5"/>
        <v>99367076.7664316</v>
      </c>
      <c r="R18" s="8">
        <v>17527446.329621602</v>
      </c>
      <c r="S18" s="8">
        <v>3309206.8993316898</v>
      </c>
      <c r="T18" s="125">
        <v>22762488.820735902</v>
      </c>
      <c r="U18" s="5">
        <f>R24/N18</f>
        <v>6.6234030549105229</v>
      </c>
      <c r="V18" s="8">
        <f t="shared" si="13"/>
        <v>0</v>
      </c>
      <c r="W18" s="8">
        <f t="shared" si="9"/>
        <v>0</v>
      </c>
      <c r="X18" s="8">
        <f t="shared" si="10"/>
        <v>18564252.343087912</v>
      </c>
      <c r="Y18" s="8">
        <f t="shared" si="11"/>
        <v>14506687.722813444</v>
      </c>
      <c r="Z18" s="8">
        <f t="shared" si="12"/>
        <v>4057564.6202744655</v>
      </c>
      <c r="AA18" s="119"/>
      <c r="AB18" s="119"/>
      <c r="AC18" s="119"/>
      <c r="AD18" s="119"/>
      <c r="AE18" s="119"/>
      <c r="AF18" s="119"/>
      <c r="AG18" s="119"/>
      <c r="AH18" s="119"/>
      <c r="AI18" s="119"/>
      <c r="AJ18" s="119"/>
      <c r="AK18" s="119"/>
      <c r="AL18" s="119"/>
      <c r="AM18" s="119"/>
      <c r="AN18" s="119"/>
      <c r="AO18" s="119"/>
      <c r="AP18" s="119"/>
      <c r="AQ18" s="119"/>
      <c r="AR18" s="119"/>
      <c r="AS18" s="119"/>
      <c r="AT18" s="119"/>
      <c r="AU18" s="119"/>
      <c r="AV18" s="119"/>
      <c r="AW18" s="119"/>
      <c r="AX18" s="119"/>
      <c r="AY18" s="119"/>
      <c r="AZ18" s="119"/>
      <c r="BA18" s="119"/>
      <c r="BB18" s="119"/>
      <c r="BC18" s="119"/>
      <c r="BD18" s="119"/>
      <c r="BE18" s="119"/>
      <c r="BF18" s="119"/>
      <c r="BG18" s="119"/>
      <c r="BH18" s="119"/>
      <c r="BI18" s="119"/>
      <c r="BJ18" s="119"/>
      <c r="BK18" s="119"/>
      <c r="BL18" s="119"/>
    </row>
    <row r="19" spans="1:64" x14ac:dyDescent="0.2">
      <c r="A19" s="7"/>
      <c r="B19" s="7"/>
      <c r="C19" s="7">
        <f t="shared" si="14"/>
        <v>2016</v>
      </c>
      <c r="D19" s="7">
        <f t="shared" si="15"/>
        <v>2</v>
      </c>
      <c r="E19" s="7">
        <v>166</v>
      </c>
      <c r="F19" s="122">
        <f>low_v2_m!B7+temporary_pension_bonus_low!B7</f>
        <v>19381974.186819099</v>
      </c>
      <c r="G19" s="122">
        <f>low_v2_m!C7+temporary_pension_bonus_low!B7</f>
        <v>18619675.727424201</v>
      </c>
      <c r="H19" s="41">
        <f t="shared" si="0"/>
        <v>19381974.186819099</v>
      </c>
      <c r="I19" s="41">
        <f t="shared" si="1"/>
        <v>18619675.727424201</v>
      </c>
      <c r="J19" s="123">
        <f>low_v2_m!J7</f>
        <v>0</v>
      </c>
      <c r="K19" s="123">
        <f>low_v2_m!K7</f>
        <v>0</v>
      </c>
      <c r="L19" s="41">
        <f t="shared" si="2"/>
        <v>762298.45939489827</v>
      </c>
      <c r="M19" s="41">
        <f t="shared" si="3"/>
        <v>0</v>
      </c>
      <c r="N19" s="123">
        <f>SUM(low_v5_m!C7:J7)</f>
        <v>2828183.6863331911</v>
      </c>
      <c r="O19" s="124">
        <v>104116643.41114201</v>
      </c>
      <c r="P19" s="7"/>
      <c r="Q19" s="41">
        <f t="shared" si="5"/>
        <v>102439962.15978983</v>
      </c>
      <c r="R19" s="41">
        <v>18813591.301850099</v>
      </c>
      <c r="S19" s="41">
        <v>3769022.49148334</v>
      </c>
      <c r="T19" s="124">
        <v>24440890.5830178</v>
      </c>
      <c r="U19" s="7">
        <f t="shared" ref="U19:U24" si="16">R19/N19</f>
        <v>6.6521815371343074</v>
      </c>
      <c r="V19" s="41">
        <f t="shared" si="13"/>
        <v>0</v>
      </c>
      <c r="W19" s="41">
        <f t="shared" si="9"/>
        <v>0</v>
      </c>
      <c r="X19" s="41">
        <f t="shared" si="10"/>
        <v>18869399.802186109</v>
      </c>
      <c r="Y19" s="41">
        <f t="shared" si="11"/>
        <v>14675458.593002537</v>
      </c>
      <c r="Z19" s="41">
        <f t="shared" si="12"/>
        <v>4193941.2091835723</v>
      </c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</row>
    <row r="20" spans="1:64" x14ac:dyDescent="0.2">
      <c r="A20" s="7"/>
      <c r="B20" s="7"/>
      <c r="C20" s="7">
        <f t="shared" si="14"/>
        <v>2016</v>
      </c>
      <c r="D20" s="7">
        <f t="shared" si="15"/>
        <v>3</v>
      </c>
      <c r="E20" s="7">
        <v>167</v>
      </c>
      <c r="F20" s="123">
        <f>low_v2_m!D8+temporary_pension_bonus_low!B8</f>
        <v>18503713.210198801</v>
      </c>
      <c r="G20" s="123">
        <f>low_v2_m!E8+temporary_pension_bonus_low!B8</f>
        <v>17773463.863357902</v>
      </c>
      <c r="H20" s="41">
        <f t="shared" si="0"/>
        <v>18503713.210198801</v>
      </c>
      <c r="I20" s="41">
        <f t="shared" si="1"/>
        <v>17773463.863357902</v>
      </c>
      <c r="J20" s="123">
        <f>low_v2_m!J8</f>
        <v>0</v>
      </c>
      <c r="K20" s="123">
        <f>low_v2_m!K8</f>
        <v>0</v>
      </c>
      <c r="L20" s="41">
        <f t="shared" si="2"/>
        <v>730249.34684089944</v>
      </c>
      <c r="M20" s="41">
        <f t="shared" si="3"/>
        <v>0</v>
      </c>
      <c r="N20" s="123">
        <f>SUM(low_v5_m!C8:J8)</f>
        <v>2477813.0040905806</v>
      </c>
      <c r="O20" s="124">
        <v>90764685.857157201</v>
      </c>
      <c r="P20" s="7"/>
      <c r="Q20" s="41">
        <f t="shared" si="5"/>
        <v>97784354.156561255</v>
      </c>
      <c r="R20" s="41">
        <v>16989362.324853901</v>
      </c>
      <c r="S20" s="41">
        <v>3285681.6280290899</v>
      </c>
      <c r="T20" s="124">
        <v>22167728.6392591</v>
      </c>
      <c r="U20" s="7">
        <f t="shared" si="16"/>
        <v>6.8565958354429659</v>
      </c>
      <c r="V20" s="41">
        <f t="shared" si="13"/>
        <v>0</v>
      </c>
      <c r="W20" s="41">
        <f t="shared" si="9"/>
        <v>0</v>
      </c>
      <c r="X20" s="41">
        <f t="shared" si="10"/>
        <v>16874999.9051819</v>
      </c>
      <c r="Y20" s="41">
        <f t="shared" si="11"/>
        <v>12857383.457253482</v>
      </c>
      <c r="Z20" s="41">
        <f t="shared" si="12"/>
        <v>4017616.4479284165</v>
      </c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</row>
    <row r="21" spans="1:64" x14ac:dyDescent="0.2">
      <c r="A21" s="7"/>
      <c r="B21" s="7"/>
      <c r="C21" s="7">
        <f t="shared" si="14"/>
        <v>2016</v>
      </c>
      <c r="D21" s="7">
        <f t="shared" si="15"/>
        <v>4</v>
      </c>
      <c r="E21" s="7">
        <v>168</v>
      </c>
      <c r="F21" s="123">
        <f>low_v2_m!D9+temporary_pension_bonus_low!B9</f>
        <v>20254615.8512826</v>
      </c>
      <c r="G21" s="123">
        <f>low_v2_m!E9+temporary_pension_bonus_low!B9</f>
        <v>19452949.385827199</v>
      </c>
      <c r="H21" s="41">
        <f t="shared" si="0"/>
        <v>20217167.558486193</v>
      </c>
      <c r="I21" s="41">
        <f t="shared" si="1"/>
        <v>19416624.541814685</v>
      </c>
      <c r="J21" s="123">
        <f>low_v2_m!J9</f>
        <v>37448.292796407703</v>
      </c>
      <c r="K21" s="123">
        <f>low_v2_m!K9</f>
        <v>36324.844012515401</v>
      </c>
      <c r="L21" s="41">
        <f t="shared" si="2"/>
        <v>800543.01667150855</v>
      </c>
      <c r="M21" s="41">
        <f t="shared" si="3"/>
        <v>1123.4487838923014</v>
      </c>
      <c r="N21" s="123">
        <f>SUM(low_v5_m!C9:J9)</f>
        <v>3910348.4398605041</v>
      </c>
      <c r="O21" s="124">
        <v>112083822.294624</v>
      </c>
      <c r="P21" s="7"/>
      <c r="Q21" s="41">
        <f t="shared" si="5"/>
        <v>106824539.39865157</v>
      </c>
      <c r="R21" s="41">
        <v>21412355.855613802</v>
      </c>
      <c r="S21" s="41">
        <v>4057434.3670653901</v>
      </c>
      <c r="T21" s="124">
        <v>27652287.472387102</v>
      </c>
      <c r="U21" s="7">
        <f t="shared" si="16"/>
        <v>5.4758178676214477</v>
      </c>
      <c r="V21" s="41">
        <f t="shared" si="13"/>
        <v>199848.57419518099</v>
      </c>
      <c r="W21" s="41">
        <f t="shared" si="9"/>
        <v>6180.8837379956867</v>
      </c>
      <c r="X21" s="41">
        <f t="shared" si="10"/>
        <v>24695168.12280139</v>
      </c>
      <c r="Y21" s="41">
        <f t="shared" si="11"/>
        <v>20290816.643450569</v>
      </c>
      <c r="Z21" s="41">
        <f t="shared" si="12"/>
        <v>4404351.4793508202</v>
      </c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</row>
    <row r="22" spans="1:64" x14ac:dyDescent="0.2">
      <c r="A22" s="119"/>
      <c r="B22" s="5"/>
      <c r="C22" s="119">
        <f t="shared" si="14"/>
        <v>2017</v>
      </c>
      <c r="D22" s="119">
        <f t="shared" si="15"/>
        <v>1</v>
      </c>
      <c r="E22" s="119">
        <v>169</v>
      </c>
      <c r="F22" s="121">
        <f>low_v2_m!D10+temporary_pension_bonus_low!B10</f>
        <v>19377172.7510706</v>
      </c>
      <c r="G22" s="121">
        <f>low_v2_m!E10+temporary_pension_bonus_low!B10</f>
        <v>18610102.609675098</v>
      </c>
      <c r="H22" s="8">
        <f t="shared" si="0"/>
        <v>19308428.2669391</v>
      </c>
      <c r="I22" s="8">
        <f t="shared" si="1"/>
        <v>18543420.46006754</v>
      </c>
      <c r="J22" s="121">
        <f>low_v2_m!J10</f>
        <v>68744.484131501405</v>
      </c>
      <c r="K22" s="121">
        <f>low_v2_m!K10</f>
        <v>66682.149607556305</v>
      </c>
      <c r="L22" s="8">
        <f t="shared" si="2"/>
        <v>765007.80687155947</v>
      </c>
      <c r="M22" s="8">
        <f t="shared" si="3"/>
        <v>2062.334523945101</v>
      </c>
      <c r="N22" s="121">
        <f>SUM(low_v5_m!C10:J10)</f>
        <v>4299591.3674410377</v>
      </c>
      <c r="O22" s="125">
        <v>99073334.555400699</v>
      </c>
      <c r="P22" s="5"/>
      <c r="Q22" s="8">
        <f t="shared" si="5"/>
        <v>102020428.17773473</v>
      </c>
      <c r="R22" s="8">
        <v>20777922.971770301</v>
      </c>
      <c r="S22" s="8">
        <v>3586454.71090551</v>
      </c>
      <c r="T22" s="125">
        <v>25889654.834212899</v>
      </c>
      <c r="U22" s="5">
        <f t="shared" si="16"/>
        <v>4.8325343494529749</v>
      </c>
      <c r="V22" s="8">
        <f t="shared" si="13"/>
        <v>366865.51272590202</v>
      </c>
      <c r="W22" s="8">
        <f t="shared" si="9"/>
        <v>11346.356063688025</v>
      </c>
      <c r="X22" s="8">
        <f t="shared" si="10"/>
        <v>26519447.284662407</v>
      </c>
      <c r="Y22" s="8">
        <f t="shared" si="11"/>
        <v>22310600.045048986</v>
      </c>
      <c r="Z22" s="8">
        <f t="shared" si="12"/>
        <v>4208847.2396134203</v>
      </c>
      <c r="AA22" s="119"/>
      <c r="AB22" s="119"/>
      <c r="AC22" s="119"/>
      <c r="AD22" s="119"/>
      <c r="AE22" s="119"/>
      <c r="AF22" s="119"/>
      <c r="AG22" s="119"/>
      <c r="AH22" s="119"/>
      <c r="AI22" s="119"/>
      <c r="AJ22" s="119"/>
      <c r="AK22" s="119"/>
      <c r="AL22" s="119"/>
      <c r="AM22" s="119"/>
      <c r="AN22" s="119"/>
      <c r="AO22" s="119"/>
      <c r="AP22" s="119"/>
      <c r="AQ22" s="119"/>
      <c r="AR22" s="119"/>
      <c r="AS22" s="119"/>
      <c r="AT22" s="119"/>
      <c r="AU22" s="119"/>
      <c r="AV22" s="119"/>
      <c r="AW22" s="119"/>
      <c r="AX22" s="119"/>
      <c r="AY22" s="119"/>
      <c r="AZ22" s="119"/>
      <c r="BA22" s="119"/>
      <c r="BB22" s="119"/>
      <c r="BC22" s="119"/>
      <c r="BD22" s="119"/>
      <c r="BE22" s="119"/>
      <c r="BF22" s="119"/>
      <c r="BG22" s="119"/>
      <c r="BH22" s="119"/>
      <c r="BI22" s="119"/>
      <c r="BJ22" s="119"/>
      <c r="BK22" s="119"/>
      <c r="BL22" s="119"/>
    </row>
    <row r="23" spans="1:64" x14ac:dyDescent="0.2">
      <c r="A23" s="7"/>
      <c r="B23" s="7"/>
      <c r="C23" s="7">
        <f t="shared" si="14"/>
        <v>2017</v>
      </c>
      <c r="D23" s="7">
        <f t="shared" si="15"/>
        <v>2</v>
      </c>
      <c r="E23" s="7">
        <v>170</v>
      </c>
      <c r="F23" s="123">
        <f>low_v2_m!D11+temporary_pension_bonus_low!B11</f>
        <v>20709754.396226399</v>
      </c>
      <c r="G23" s="123">
        <f>low_v2_m!E11+temporary_pension_bonus_low!B11</f>
        <v>19888095.1774069</v>
      </c>
      <c r="H23" s="41">
        <f t="shared" si="0"/>
        <v>20604347.985849775</v>
      </c>
      <c r="I23" s="41">
        <f t="shared" si="1"/>
        <v>19785850.959341578</v>
      </c>
      <c r="J23" s="123">
        <f>low_v2_m!J11</f>
        <v>105406.41037662201</v>
      </c>
      <c r="K23" s="123">
        <f>low_v2_m!K11</f>
        <v>102244.218065323</v>
      </c>
      <c r="L23" s="41">
        <f t="shared" si="2"/>
        <v>818497.02650819719</v>
      </c>
      <c r="M23" s="41">
        <f t="shared" si="3"/>
        <v>3162.1923112990044</v>
      </c>
      <c r="N23" s="123">
        <f>SUM(low_v5_m!C11:J11)</f>
        <v>3939404.9843641627</v>
      </c>
      <c r="O23" s="124">
        <v>118311548.494431</v>
      </c>
      <c r="P23" s="7"/>
      <c r="Q23" s="41">
        <f t="shared" si="5"/>
        <v>108855914.20847927</v>
      </c>
      <c r="R23" s="41">
        <v>18535352.961221799</v>
      </c>
      <c r="S23" s="41">
        <v>4282878.0554983998</v>
      </c>
      <c r="T23" s="124">
        <v>24020927.786342502</v>
      </c>
      <c r="U23" s="7">
        <f t="shared" si="16"/>
        <v>4.7051148675473096</v>
      </c>
      <c r="V23" s="41">
        <f t="shared" si="13"/>
        <v>562517.52087402868</v>
      </c>
      <c r="W23" s="41">
        <f t="shared" si="9"/>
        <v>17397.449099198715</v>
      </c>
      <c r="X23" s="41">
        <f t="shared" si="10"/>
        <v>24944720.335192028</v>
      </c>
      <c r="Y23" s="41">
        <f t="shared" si="11"/>
        <v>20441591.191009056</v>
      </c>
      <c r="Z23" s="41">
        <f t="shared" si="12"/>
        <v>4503129.1441829726</v>
      </c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</row>
    <row r="24" spans="1:64" x14ac:dyDescent="0.2">
      <c r="A24" s="7"/>
      <c r="B24" s="7"/>
      <c r="C24" s="7">
        <f t="shared" si="14"/>
        <v>2017</v>
      </c>
      <c r="D24" s="7">
        <f t="shared" si="15"/>
        <v>3</v>
      </c>
      <c r="E24" s="7">
        <v>171</v>
      </c>
      <c r="F24" s="123">
        <f>low_v2_m!D12+temporary_pension_bonus_low!B12</f>
        <v>19896829.3534218</v>
      </c>
      <c r="G24" s="123">
        <f>low_v2_m!E12+temporary_pension_bonus_low!B12</f>
        <v>19106774.747813001</v>
      </c>
      <c r="H24" s="41">
        <f t="shared" si="0"/>
        <v>19743761.082281232</v>
      </c>
      <c r="I24" s="41">
        <f t="shared" si="1"/>
        <v>18958298.524806652</v>
      </c>
      <c r="J24" s="123">
        <f>low_v2_m!J12</f>
        <v>153068.271140567</v>
      </c>
      <c r="K24" s="123">
        <f>low_v2_m!K12</f>
        <v>148476.22300634999</v>
      </c>
      <c r="L24" s="41">
        <f t="shared" si="2"/>
        <v>785462.55747457966</v>
      </c>
      <c r="M24" s="41">
        <f t="shared" si="3"/>
        <v>4592.0481342170096</v>
      </c>
      <c r="N24" s="123">
        <f>SUM(low_v5_m!C12:J12)</f>
        <v>3599614.5523328749</v>
      </c>
      <c r="O24" s="124">
        <v>103254577.73677801</v>
      </c>
      <c r="P24" s="7"/>
      <c r="Q24" s="41">
        <f t="shared" si="5"/>
        <v>104302964.88111053</v>
      </c>
      <c r="R24" s="41">
        <v>18516776.210226402</v>
      </c>
      <c r="S24" s="41">
        <v>3737815.71407136</v>
      </c>
      <c r="T24" s="124">
        <v>24278813.710319798</v>
      </c>
      <c r="U24" s="7">
        <f t="shared" si="16"/>
        <v>5.1440997198507992</v>
      </c>
      <c r="V24" s="41">
        <f t="shared" si="13"/>
        <v>816872.37141283497</v>
      </c>
      <c r="W24" s="41">
        <f t="shared" si="9"/>
        <v>25264.093961221697</v>
      </c>
      <c r="X24" s="41">
        <f t="shared" si="10"/>
        <v>22999800.266207062</v>
      </c>
      <c r="Y24" s="41">
        <f t="shared" si="11"/>
        <v>18678417.023902945</v>
      </c>
      <c r="Z24" s="41">
        <f t="shared" si="12"/>
        <v>4321383.2423041184</v>
      </c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</row>
    <row r="25" spans="1:64" x14ac:dyDescent="0.2">
      <c r="A25" s="7"/>
      <c r="B25" s="7"/>
      <c r="C25" s="7">
        <f t="shared" si="14"/>
        <v>2017</v>
      </c>
      <c r="D25" s="7">
        <f t="shared" si="15"/>
        <v>4</v>
      </c>
      <c r="E25" s="7">
        <v>172</v>
      </c>
      <c r="F25" s="123">
        <f>low_v2_m!D13+temporary_pension_bonus_low!B13</f>
        <v>21657648.394075502</v>
      </c>
      <c r="G25" s="123">
        <f>low_v2_m!E13+temporary_pension_bonus_low!B13</f>
        <v>20795351.177516401</v>
      </c>
      <c r="H25" s="41">
        <f t="shared" si="0"/>
        <v>21461931.40978428</v>
      </c>
      <c r="I25" s="41">
        <f t="shared" si="1"/>
        <v>20605505.702753916</v>
      </c>
      <c r="J25" s="123">
        <f>low_v2_m!J13</f>
        <v>195716.984291222</v>
      </c>
      <c r="K25" s="123">
        <f>low_v2_m!K13</f>
        <v>189845.474762486</v>
      </c>
      <c r="L25" s="41">
        <f t="shared" si="2"/>
        <v>856425.70703036338</v>
      </c>
      <c r="M25" s="41">
        <f t="shared" si="3"/>
        <v>5871.5095287360018</v>
      </c>
      <c r="N25" s="123">
        <f>SUM(low_v5_m!C13:J13)</f>
        <v>4012507.368122709</v>
      </c>
      <c r="O25" s="126">
        <v>124728426.72428501</v>
      </c>
      <c r="Q25" s="41">
        <f t="shared" si="5"/>
        <v>113365412.76948711</v>
      </c>
      <c r="R25" s="41">
        <v>18747481.398794301</v>
      </c>
      <c r="S25" s="41">
        <v>4515169.0474191196</v>
      </c>
      <c r="T25" s="126">
        <v>24785174.047673602</v>
      </c>
      <c r="V25" s="41">
        <f t="shared" si="13"/>
        <v>1044473.7886725139</v>
      </c>
      <c r="W25" s="41">
        <f t="shared" si="9"/>
        <v>32303.3130517235</v>
      </c>
      <c r="X25" s="41">
        <f t="shared" si="10"/>
        <v>25532721.361492243</v>
      </c>
      <c r="Y25" s="41">
        <f t="shared" si="11"/>
        <v>20820919.807846263</v>
      </c>
      <c r="Z25" s="41">
        <f t="shared" si="12"/>
        <v>4711801.5536459787</v>
      </c>
    </row>
    <row r="26" spans="1:64" x14ac:dyDescent="0.2">
      <c r="A26" s="119"/>
      <c r="B26" s="5"/>
      <c r="C26" s="119">
        <f t="shared" si="14"/>
        <v>2018</v>
      </c>
      <c r="D26" s="119">
        <f t="shared" si="15"/>
        <v>1</v>
      </c>
      <c r="E26" s="119">
        <v>173</v>
      </c>
      <c r="F26" s="121">
        <f>low_v2_m!D14+temporary_pension_bonus_low!B14</f>
        <v>20172881.22473</v>
      </c>
      <c r="G26" s="121">
        <f>low_v2_m!E14+temporary_pension_bonus_low!B14</f>
        <v>19369680.225263201</v>
      </c>
      <c r="H26" s="8">
        <f t="shared" si="0"/>
        <v>19973260.123661939</v>
      </c>
      <c r="I26" s="8">
        <f t="shared" si="1"/>
        <v>19176047.757227182</v>
      </c>
      <c r="J26" s="121">
        <f>low_v2_m!J14</f>
        <v>199621.10106806</v>
      </c>
      <c r="K26" s="121">
        <f>low_v2_m!K14</f>
        <v>193632.46803601799</v>
      </c>
      <c r="L26" s="8">
        <f t="shared" si="2"/>
        <v>797212.36643475667</v>
      </c>
      <c r="M26" s="8">
        <f t="shared" si="3"/>
        <v>5988.6330320420093</v>
      </c>
      <c r="N26" s="121">
        <f>SUM(low_v5_m!C14:J14)</f>
        <v>4266228.999600837</v>
      </c>
      <c r="O26" s="5"/>
      <c r="P26" s="5"/>
      <c r="Q26" s="8">
        <f t="shared" si="5"/>
        <v>105500956.9114781</v>
      </c>
      <c r="R26" s="8"/>
      <c r="S26" s="8"/>
      <c r="T26" s="5"/>
      <c r="U26" s="5"/>
      <c r="V26" s="8">
        <f t="shared" si="13"/>
        <v>1065308.7083198316</v>
      </c>
      <c r="W26" s="8">
        <f t="shared" si="9"/>
        <v>32947.692009892889</v>
      </c>
      <c r="X26" s="8">
        <f t="shared" si="10"/>
        <v>26523509.784177065</v>
      </c>
      <c r="Y26" s="8">
        <f t="shared" si="11"/>
        <v>22137482.559728161</v>
      </c>
      <c r="Z26" s="8">
        <f t="shared" si="12"/>
        <v>4386027.2244489025</v>
      </c>
      <c r="AA26" s="119"/>
      <c r="AB26" s="119"/>
      <c r="AC26" s="119"/>
      <c r="AD26" s="119"/>
      <c r="AE26" s="119"/>
      <c r="AF26" s="119"/>
      <c r="AG26" s="119"/>
      <c r="AH26" s="119"/>
      <c r="AI26" s="119"/>
      <c r="AJ26" s="119"/>
      <c r="AK26" s="119"/>
      <c r="AL26" s="119"/>
      <c r="AM26" s="119"/>
      <c r="AN26" s="119"/>
      <c r="AO26" s="119"/>
      <c r="AP26" s="119"/>
      <c r="AQ26" s="119"/>
      <c r="AR26" s="119"/>
      <c r="AS26" s="119"/>
      <c r="AT26" s="119"/>
      <c r="AU26" s="119"/>
      <c r="AV26" s="119"/>
      <c r="AW26" s="119"/>
      <c r="AX26" s="119"/>
      <c r="AY26" s="119"/>
      <c r="AZ26" s="119"/>
      <c r="BA26" s="119"/>
      <c r="BB26" s="119"/>
      <c r="BC26" s="119"/>
      <c r="BD26" s="119"/>
      <c r="BE26" s="119"/>
      <c r="BF26" s="119"/>
      <c r="BG26" s="119"/>
      <c r="BH26" s="119"/>
      <c r="BI26" s="119"/>
      <c r="BJ26" s="119"/>
      <c r="BK26" s="119"/>
      <c r="BL26" s="119"/>
    </row>
    <row r="27" spans="1:64" x14ac:dyDescent="0.2">
      <c r="A27" s="7"/>
      <c r="B27" s="7"/>
      <c r="C27" s="7">
        <f t="shared" si="14"/>
        <v>2018</v>
      </c>
      <c r="D27" s="7">
        <f t="shared" si="15"/>
        <v>2</v>
      </c>
      <c r="E27" s="7">
        <v>174</v>
      </c>
      <c r="F27" s="123">
        <f>low_v2_m!D15+temporary_pension_bonus_low!B15</f>
        <v>20312507.492299169</v>
      </c>
      <c r="G27" s="123">
        <f>low_v2_m!E15+temporary_pension_bonus_low!B15</f>
        <v>19515063.360460669</v>
      </c>
      <c r="H27" s="41">
        <f t="shared" si="0"/>
        <v>20094745.593718279</v>
      </c>
      <c r="I27" s="41">
        <f t="shared" si="1"/>
        <v>19303834.318837203</v>
      </c>
      <c r="J27" s="123">
        <f>low_v2_m!J15</f>
        <v>217761.89858089099</v>
      </c>
      <c r="K27" s="123">
        <f>low_v2_m!K15</f>
        <v>211229.041623464</v>
      </c>
      <c r="L27" s="41">
        <f t="shared" si="2"/>
        <v>790911.27488107607</v>
      </c>
      <c r="M27" s="41">
        <f t="shared" si="3"/>
        <v>6532.8569574269932</v>
      </c>
      <c r="N27" s="123">
        <f>SUM(low_v5_m!C15:J15)</f>
        <v>3381171.9076419496</v>
      </c>
      <c r="O27" s="7"/>
      <c r="P27" s="7"/>
      <c r="Q27" s="41">
        <f t="shared" si="5"/>
        <v>106204000.87032534</v>
      </c>
      <c r="R27" s="41"/>
      <c r="S27" s="41"/>
      <c r="T27" s="7"/>
      <c r="U27" s="7"/>
      <c r="V27" s="41">
        <f t="shared" si="13"/>
        <v>1162119.8643693947</v>
      </c>
      <c r="W27" s="41">
        <f t="shared" si="9"/>
        <v>35941.851475343596</v>
      </c>
      <c r="X27" s="41">
        <f t="shared" si="10"/>
        <v>21896277.58001221</v>
      </c>
      <c r="Y27" s="41">
        <f t="shared" si="11"/>
        <v>17544917.102169089</v>
      </c>
      <c r="Z27" s="41">
        <f t="shared" si="12"/>
        <v>4351360.4778431226</v>
      </c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</row>
    <row r="28" spans="1:64" x14ac:dyDescent="0.2">
      <c r="A28" s="7"/>
      <c r="B28" s="7"/>
      <c r="C28" s="7">
        <f t="shared" si="14"/>
        <v>2018</v>
      </c>
      <c r="D28" s="7">
        <f t="shared" si="15"/>
        <v>3</v>
      </c>
      <c r="E28" s="7">
        <v>175</v>
      </c>
      <c r="F28" s="123">
        <f>low_v2_m!D16+temporary_pension_bonus_low!B16</f>
        <v>19049763.422166701</v>
      </c>
      <c r="G28" s="123">
        <f>low_v2_m!E16+temporary_pension_bonus_low!B16</f>
        <v>18291807.8709222</v>
      </c>
      <c r="H28" s="41">
        <f t="shared" si="0"/>
        <v>18814716.298942529</v>
      </c>
      <c r="I28" s="41">
        <f t="shared" si="1"/>
        <v>18063812.161394753</v>
      </c>
      <c r="J28" s="123">
        <f>low_v2_m!J16</f>
        <v>235047.12322417201</v>
      </c>
      <c r="K28" s="123">
        <f>low_v2_m!K16</f>
        <v>227995.70952744599</v>
      </c>
      <c r="L28" s="41">
        <f t="shared" si="2"/>
        <v>750904.1375477761</v>
      </c>
      <c r="M28" s="41">
        <f t="shared" si="3"/>
        <v>7051.4136967260274</v>
      </c>
      <c r="N28" s="123">
        <f>SUM(low_v5_m!C16:J16)</f>
        <v>3202211.134178625</v>
      </c>
      <c r="O28" s="7"/>
      <c r="P28" s="7"/>
      <c r="Q28" s="41">
        <f t="shared" si="5"/>
        <v>99381764.82576248</v>
      </c>
      <c r="R28" s="41"/>
      <c r="S28" s="41"/>
      <c r="T28" s="7"/>
      <c r="U28" s="7"/>
      <c r="V28" s="41">
        <f t="shared" si="13"/>
        <v>1254365.1242103018</v>
      </c>
      <c r="W28" s="41">
        <f t="shared" si="9"/>
        <v>38794.797655993636</v>
      </c>
      <c r="X28" s="41">
        <f t="shared" si="10"/>
        <v>20747541.810173333</v>
      </c>
      <c r="Y28" s="41">
        <f t="shared" si="11"/>
        <v>16616288.797924174</v>
      </c>
      <c r="Z28" s="41">
        <f t="shared" si="12"/>
        <v>4131253.0122491601</v>
      </c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</row>
    <row r="29" spans="1:64" x14ac:dyDescent="0.2">
      <c r="A29" s="7"/>
      <c r="B29" s="7"/>
      <c r="C29" s="7">
        <f t="shared" si="14"/>
        <v>2018</v>
      </c>
      <c r="D29" s="7">
        <f t="shared" si="15"/>
        <v>4</v>
      </c>
      <c r="E29" s="7">
        <v>176</v>
      </c>
      <c r="F29" s="123">
        <f>low_v2_m!D17+temporary_pension_bonus_low!B17</f>
        <v>17489467.647106901</v>
      </c>
      <c r="G29" s="123">
        <f>low_v2_m!E17+temporary_pension_bonus_low!B17</f>
        <v>16795460.030510701</v>
      </c>
      <c r="H29" s="41">
        <f t="shared" si="0"/>
        <v>17249076.325069834</v>
      </c>
      <c r="I29" s="41">
        <f t="shared" si="1"/>
        <v>16562280.448134745</v>
      </c>
      <c r="J29" s="123">
        <f>low_v2_m!J17</f>
        <v>240391.32203706901</v>
      </c>
      <c r="K29" s="123">
        <f>low_v2_m!K17</f>
        <v>233179.582375956</v>
      </c>
      <c r="L29" s="41">
        <f t="shared" si="2"/>
        <v>686795.87693508901</v>
      </c>
      <c r="M29" s="41">
        <f t="shared" si="3"/>
        <v>7211.7396611130098</v>
      </c>
      <c r="N29" s="123">
        <f>SUM(low_v5_m!C17:J17)</f>
        <v>3094461.0022649867</v>
      </c>
      <c r="O29" s="7"/>
      <c r="P29" s="7"/>
      <c r="Q29" s="41">
        <f t="shared" si="5"/>
        <v>91120780.362884387</v>
      </c>
      <c r="R29" s="41"/>
      <c r="S29" s="41"/>
      <c r="T29" s="7"/>
      <c r="U29" s="7"/>
      <c r="V29" s="41">
        <f t="shared" si="13"/>
        <v>1282885.263133043</v>
      </c>
      <c r="W29" s="41">
        <f t="shared" si="9"/>
        <v>39676.863808243768</v>
      </c>
      <c r="X29" s="41">
        <f t="shared" si="10"/>
        <v>19835721.128554728</v>
      </c>
      <c r="Y29" s="41">
        <f t="shared" si="11"/>
        <v>16057172.851201728</v>
      </c>
      <c r="Z29" s="41">
        <f t="shared" si="12"/>
        <v>3778548.2773530004</v>
      </c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</row>
    <row r="30" spans="1:64" x14ac:dyDescent="0.2">
      <c r="A30" s="119"/>
      <c r="B30" s="5"/>
      <c r="C30" s="119">
        <f t="shared" si="14"/>
        <v>2019</v>
      </c>
      <c r="D30" s="119">
        <f t="shared" si="15"/>
        <v>1</v>
      </c>
      <c r="E30" s="119">
        <v>177</v>
      </c>
      <c r="F30" s="121">
        <f>low_v2_m!D18+temporary_pension_bonus_low!B18</f>
        <v>17348358.693918802</v>
      </c>
      <c r="G30" s="121">
        <f>low_v2_m!E18+temporary_pension_bonus_low!B18</f>
        <v>16659067.618081599</v>
      </c>
      <c r="H30" s="8">
        <f t="shared" si="0"/>
        <v>17152606.163148616</v>
      </c>
      <c r="I30" s="8">
        <f t="shared" si="1"/>
        <v>16469187.663234519</v>
      </c>
      <c r="J30" s="121">
        <f>low_v2_m!J18</f>
        <v>195752.530770185</v>
      </c>
      <c r="K30" s="121">
        <f>low_v2_m!K18</f>
        <v>189879.95484707999</v>
      </c>
      <c r="L30" s="8">
        <f t="shared" si="2"/>
        <v>683418.49991409667</v>
      </c>
      <c r="M30" s="8">
        <f t="shared" si="3"/>
        <v>5872.5759231050033</v>
      </c>
      <c r="N30" s="121">
        <f>SUM(low_v5_m!C18:J18)</f>
        <v>3259887.1306636832</v>
      </c>
      <c r="O30" s="5"/>
      <c r="P30" s="5"/>
      <c r="Q30" s="8">
        <f t="shared" si="5"/>
        <v>90608611.327175409</v>
      </c>
      <c r="R30" s="8"/>
      <c r="S30" s="8"/>
      <c r="T30" s="5"/>
      <c r="U30" s="5"/>
      <c r="V30" s="8">
        <f t="shared" si="13"/>
        <v>1044663.4879246803</v>
      </c>
      <c r="W30" s="8">
        <f t="shared" si="9"/>
        <v>32309.180038904538</v>
      </c>
      <c r="X30" s="8">
        <f t="shared" si="10"/>
        <v>20675536.763336115</v>
      </c>
      <c r="Y30" s="8">
        <f t="shared" si="11"/>
        <v>16915569.817865293</v>
      </c>
      <c r="Z30" s="8">
        <f t="shared" si="12"/>
        <v>3759966.9454708225</v>
      </c>
      <c r="AA30" s="119"/>
      <c r="AB30" s="119"/>
      <c r="AC30" s="119"/>
      <c r="AD30" s="119"/>
      <c r="AE30" s="119"/>
      <c r="AF30" s="119"/>
      <c r="AG30" s="119"/>
      <c r="AH30" s="119"/>
      <c r="AI30" s="119"/>
      <c r="AJ30" s="119"/>
      <c r="AK30" s="119"/>
      <c r="AL30" s="119"/>
      <c r="AM30" s="119"/>
      <c r="AN30" s="119"/>
      <c r="AO30" s="119"/>
      <c r="AP30" s="119"/>
      <c r="AQ30" s="119"/>
      <c r="AR30" s="119"/>
      <c r="AS30" s="119"/>
      <c r="AT30" s="119"/>
      <c r="AU30" s="119"/>
      <c r="AV30" s="119"/>
      <c r="AW30" s="119"/>
      <c r="AX30" s="119"/>
      <c r="AY30" s="119"/>
      <c r="AZ30" s="119"/>
      <c r="BA30" s="119"/>
      <c r="BB30" s="119"/>
      <c r="BC30" s="119"/>
      <c r="BD30" s="119"/>
      <c r="BE30" s="119"/>
      <c r="BF30" s="119"/>
      <c r="BG30" s="119"/>
      <c r="BH30" s="119"/>
      <c r="BI30" s="119"/>
      <c r="BJ30" s="119"/>
      <c r="BK30" s="119"/>
      <c r="BL30" s="119"/>
    </row>
    <row r="31" spans="1:64" x14ac:dyDescent="0.2">
      <c r="A31" s="7"/>
      <c r="B31" s="7"/>
      <c r="C31" s="7">
        <f t="shared" si="14"/>
        <v>2019</v>
      </c>
      <c r="D31" s="7">
        <f t="shared" si="15"/>
        <v>2</v>
      </c>
      <c r="E31" s="7">
        <v>178</v>
      </c>
      <c r="F31" s="123">
        <f>low_v2_m!D19+temporary_pension_bonus_low!B19</f>
        <v>17520608.053850599</v>
      </c>
      <c r="G31" s="123">
        <f>low_v2_m!E19+temporary_pension_bonus_low!B19</f>
        <v>16823490.0275895</v>
      </c>
      <c r="H31" s="41">
        <f t="shared" si="0"/>
        <v>17321999.211738706</v>
      </c>
      <c r="I31" s="41">
        <f t="shared" si="1"/>
        <v>16630839.450740963</v>
      </c>
      <c r="J31" s="123">
        <f>low_v2_m!J19</f>
        <v>198608.842111893</v>
      </c>
      <c r="K31" s="123">
        <f>low_v2_m!K19</f>
        <v>192650.576848536</v>
      </c>
      <c r="L31" s="41">
        <f t="shared" si="2"/>
        <v>691159.76099774241</v>
      </c>
      <c r="M31" s="41">
        <f t="shared" si="3"/>
        <v>5958.265263356996</v>
      </c>
      <c r="N31" s="123">
        <f>SUM(low_v5_m!C19:J19)</f>
        <v>2983997.2260328452</v>
      </c>
      <c r="O31" s="7"/>
      <c r="P31" s="7"/>
      <c r="Q31" s="41">
        <f t="shared" si="5"/>
        <v>91497971.767047763</v>
      </c>
      <c r="R31" s="41"/>
      <c r="S31" s="41"/>
      <c r="T31" s="7"/>
      <c r="U31" s="7"/>
      <c r="V31" s="41">
        <f t="shared" si="13"/>
        <v>1059906.6327110422</v>
      </c>
      <c r="W31" s="41">
        <f t="shared" si="9"/>
        <v>32780.617506528251</v>
      </c>
      <c r="X31" s="41">
        <f t="shared" si="10"/>
        <v>19286532.871122211</v>
      </c>
      <c r="Y31" s="41">
        <f t="shared" si="11"/>
        <v>15483975.791210447</v>
      </c>
      <c r="Z31" s="41">
        <f t="shared" si="12"/>
        <v>3802557.0799117638</v>
      </c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</row>
    <row r="32" spans="1:64" x14ac:dyDescent="0.2">
      <c r="A32" s="7"/>
      <c r="B32" s="7"/>
      <c r="C32" s="7">
        <f t="shared" si="14"/>
        <v>2019</v>
      </c>
      <c r="D32" s="7">
        <f t="shared" si="15"/>
        <v>3</v>
      </c>
      <c r="E32" s="7">
        <v>179</v>
      </c>
      <c r="F32" s="123">
        <f>low_v2_m!D20+temporary_pension_bonus_low!B20</f>
        <v>17903798.820140898</v>
      </c>
      <c r="G32" s="123">
        <f>low_v2_m!E20+temporary_pension_bonus_low!B20</f>
        <v>17189881.692823999</v>
      </c>
      <c r="H32" s="41">
        <f t="shared" si="0"/>
        <v>17714224.23567282</v>
      </c>
      <c r="I32" s="41">
        <f t="shared" si="1"/>
        <v>17005994.345889963</v>
      </c>
      <c r="J32" s="123">
        <f>low_v2_m!J20</f>
        <v>189574.584468079</v>
      </c>
      <c r="K32" s="123">
        <f>low_v2_m!K20</f>
        <v>183887.34693403699</v>
      </c>
      <c r="L32" s="41">
        <f t="shared" si="2"/>
        <v>708229.88978285715</v>
      </c>
      <c r="M32" s="41">
        <f t="shared" si="3"/>
        <v>5687.2375340420112</v>
      </c>
      <c r="N32" s="123">
        <f>SUM(low_v5_m!C20:J20)</f>
        <v>2899259.2346299156</v>
      </c>
      <c r="O32" s="7"/>
      <c r="P32" s="7"/>
      <c r="Q32" s="41">
        <f t="shared" si="5"/>
        <v>93561963.311568603</v>
      </c>
      <c r="R32" s="41"/>
      <c r="S32" s="41"/>
      <c r="T32" s="7"/>
      <c r="U32" s="7"/>
      <c r="V32" s="41">
        <f t="shared" si="13"/>
        <v>1011693.9272922996</v>
      </c>
      <c r="W32" s="41">
        <f t="shared" si="9"/>
        <v>31289.502905945374</v>
      </c>
      <c r="X32" s="41">
        <f t="shared" si="10"/>
        <v>18940741.84297841</v>
      </c>
      <c r="Y32" s="41">
        <f t="shared" si="11"/>
        <v>15044269.950993182</v>
      </c>
      <c r="Z32" s="41">
        <f t="shared" si="12"/>
        <v>3896471.8919852283</v>
      </c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</row>
    <row r="33" spans="1:64" x14ac:dyDescent="0.2">
      <c r="A33" s="7"/>
      <c r="B33" s="7"/>
      <c r="C33" s="7">
        <f t="shared" si="14"/>
        <v>2019</v>
      </c>
      <c r="D33" s="7">
        <f t="shared" si="15"/>
        <v>4</v>
      </c>
      <c r="E33" s="7">
        <v>180</v>
      </c>
      <c r="F33" s="123">
        <f>low_v2_m!D21+temporary_pension_bonus_low!B21</f>
        <v>17683142.557788201</v>
      </c>
      <c r="G33" s="123">
        <f>low_v2_m!E21+temporary_pension_bonus_low!B21</f>
        <v>16977085.901208598</v>
      </c>
      <c r="H33" s="41">
        <f t="shared" si="0"/>
        <v>17486907.305889484</v>
      </c>
      <c r="I33" s="41">
        <f t="shared" si="1"/>
        <v>16786737.706866842</v>
      </c>
      <c r="J33" s="123">
        <f>low_v2_m!J21</f>
        <v>196235.25189871801</v>
      </c>
      <c r="K33" s="123">
        <f>low_v2_m!K21</f>
        <v>190348.194341756</v>
      </c>
      <c r="L33" s="41">
        <f t="shared" si="2"/>
        <v>700169.59902264178</v>
      </c>
      <c r="M33" s="41">
        <f t="shared" si="3"/>
        <v>5887.0575569620123</v>
      </c>
      <c r="N33" s="123">
        <f>SUM(low_v5_m!C21:J21)</f>
        <v>3099283.3893298707</v>
      </c>
      <c r="O33" s="7"/>
      <c r="P33" s="7"/>
      <c r="Q33" s="41">
        <f t="shared" si="5"/>
        <v>92355677.974830449</v>
      </c>
      <c r="R33" s="41"/>
      <c r="S33" s="41"/>
      <c r="T33" s="7"/>
      <c r="U33" s="7"/>
      <c r="V33" s="41">
        <f t="shared" si="13"/>
        <v>1047239.6034714017</v>
      </c>
      <c r="W33" s="41">
        <f t="shared" si="9"/>
        <v>32388.853715613041</v>
      </c>
      <c r="X33" s="41">
        <f t="shared" si="10"/>
        <v>19934322.79099885</v>
      </c>
      <c r="Y33" s="41">
        <f t="shared" si="11"/>
        <v>16082196.240606075</v>
      </c>
      <c r="Z33" s="41">
        <f t="shared" si="12"/>
        <v>3852126.5503927735</v>
      </c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</row>
    <row r="34" spans="1:64" x14ac:dyDescent="0.2">
      <c r="A34" s="119"/>
      <c r="B34" s="5"/>
      <c r="C34" s="119">
        <f t="shared" si="14"/>
        <v>2020</v>
      </c>
      <c r="D34" s="119">
        <f t="shared" si="15"/>
        <v>1</v>
      </c>
      <c r="E34" s="119">
        <v>181</v>
      </c>
      <c r="F34" s="121">
        <f>low_v2_m!D22+temporary_pension_bonus_low!B22</f>
        <v>19560140.836885922</v>
      </c>
      <c r="G34" s="121">
        <f>low_v2_m!E22+temporary_pension_bonus_low!B22</f>
        <v>18861172.278862521</v>
      </c>
      <c r="H34" s="8">
        <f t="shared" si="0"/>
        <v>19342782.749792662</v>
      </c>
      <c r="I34" s="8">
        <f t="shared" si="1"/>
        <v>18650334.934382059</v>
      </c>
      <c r="J34" s="121">
        <f>low_v2_m!J22</f>
        <v>217358.08709325999</v>
      </c>
      <c r="K34" s="121">
        <f>low_v2_m!K22</f>
        <v>210837.34448046199</v>
      </c>
      <c r="L34" s="8">
        <f t="shared" si="2"/>
        <v>692447.81541060284</v>
      </c>
      <c r="M34" s="8">
        <f t="shared" si="3"/>
        <v>6520.7426127979998</v>
      </c>
      <c r="N34" s="121">
        <f>SUM(low_v5_m!C22:J22)</f>
        <v>3411531.2786598648</v>
      </c>
      <c r="O34" s="5"/>
      <c r="P34" s="5"/>
      <c r="Q34" s="8">
        <f t="shared" si="5"/>
        <v>102608640.07054347</v>
      </c>
      <c r="R34" s="8"/>
      <c r="S34" s="8"/>
      <c r="T34" s="5"/>
      <c r="U34" s="5"/>
      <c r="V34" s="8">
        <f t="shared" si="13"/>
        <v>1159964.8622579388</v>
      </c>
      <c r="W34" s="8">
        <f t="shared" si="9"/>
        <v>35875.201925504392</v>
      </c>
      <c r="X34" s="8">
        <f t="shared" si="10"/>
        <v>21512095.597957261</v>
      </c>
      <c r="Y34" s="8">
        <f t="shared" si="11"/>
        <v>17702452.022703432</v>
      </c>
      <c r="Z34" s="8">
        <f t="shared" si="12"/>
        <v>3809643.5752538298</v>
      </c>
      <c r="AA34" s="119"/>
      <c r="AB34" s="119"/>
      <c r="AC34" s="119"/>
      <c r="AD34" s="119"/>
      <c r="AE34" s="119"/>
      <c r="AF34" s="119"/>
      <c r="AG34" s="119"/>
      <c r="AH34" s="119"/>
      <c r="AI34" s="119"/>
      <c r="AJ34" s="119"/>
      <c r="AK34" s="119"/>
      <c r="AL34" s="119"/>
      <c r="AM34" s="119"/>
      <c r="AN34" s="119"/>
      <c r="AO34" s="119"/>
      <c r="AP34" s="119"/>
      <c r="AQ34" s="119"/>
      <c r="AR34" s="119"/>
      <c r="AS34" s="119"/>
      <c r="AT34" s="119"/>
      <c r="AU34" s="119"/>
      <c r="AV34" s="119"/>
      <c r="AW34" s="119"/>
      <c r="AX34" s="119"/>
      <c r="AY34" s="119"/>
      <c r="AZ34" s="119"/>
      <c r="BA34" s="119"/>
      <c r="BB34" s="119"/>
      <c r="BC34" s="119"/>
      <c r="BD34" s="119"/>
      <c r="BE34" s="119"/>
      <c r="BF34" s="119"/>
      <c r="BG34" s="119"/>
      <c r="BH34" s="119"/>
      <c r="BI34" s="119"/>
      <c r="BJ34" s="119"/>
      <c r="BK34" s="119"/>
      <c r="BL34" s="119"/>
    </row>
    <row r="35" spans="1:64" x14ac:dyDescent="0.2">
      <c r="A35" s="7"/>
      <c r="B35" s="7"/>
      <c r="C35" s="7">
        <f t="shared" si="14"/>
        <v>2020</v>
      </c>
      <c r="D35" s="7">
        <f t="shared" si="15"/>
        <v>2</v>
      </c>
      <c r="E35" s="7">
        <v>182</v>
      </c>
      <c r="F35" s="123">
        <f>low_v2_m!D23+temporary_pension_bonus_low!B23</f>
        <v>17610713.2762964</v>
      </c>
      <c r="G35" s="123">
        <f>low_v2_m!E23+temporary_pension_bonus_low!B23</f>
        <v>16905736.226718798</v>
      </c>
      <c r="H35" s="41">
        <f t="shared" si="0"/>
        <v>17366180.471839413</v>
      </c>
      <c r="I35" s="41">
        <f t="shared" si="1"/>
        <v>16668539.406395521</v>
      </c>
      <c r="J35" s="123">
        <f>low_v2_m!J23</f>
        <v>244532.804456988</v>
      </c>
      <c r="K35" s="123">
        <f>low_v2_m!K23</f>
        <v>237196.82032327799</v>
      </c>
      <c r="L35" s="41">
        <f t="shared" si="2"/>
        <v>697641.06544389203</v>
      </c>
      <c r="M35" s="41">
        <f t="shared" si="3"/>
        <v>7335.9841337100079</v>
      </c>
      <c r="N35" s="123">
        <f>SUM(low_v5_m!C23:J23)</f>
        <v>2533858.3173709111</v>
      </c>
      <c r="O35" s="7"/>
      <c r="P35" s="7"/>
      <c r="Q35" s="41">
        <f t="shared" si="5"/>
        <v>91705385.799773932</v>
      </c>
      <c r="R35" s="41"/>
      <c r="S35" s="41"/>
      <c r="T35" s="7"/>
      <c r="U35" s="7"/>
      <c r="V35" s="41">
        <f t="shared" si="13"/>
        <v>1304986.9210423918</v>
      </c>
      <c r="W35" s="41">
        <f t="shared" si="9"/>
        <v>40360.420238426574</v>
      </c>
      <c r="X35" s="41">
        <f t="shared" si="10"/>
        <v>16986418.158973835</v>
      </c>
      <c r="Y35" s="41">
        <f t="shared" si="11"/>
        <v>13148202.854293326</v>
      </c>
      <c r="Z35" s="41">
        <f t="shared" si="12"/>
        <v>3838215.304680509</v>
      </c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</row>
    <row r="36" spans="1:64" x14ac:dyDescent="0.2">
      <c r="A36" s="7"/>
      <c r="B36" s="7"/>
      <c r="C36" s="7">
        <f t="shared" si="14"/>
        <v>2020</v>
      </c>
      <c r="D36" s="7">
        <f t="shared" si="15"/>
        <v>3</v>
      </c>
      <c r="E36" s="7">
        <v>183</v>
      </c>
      <c r="F36" s="123">
        <f>low_v2_m!D24+temporary_pension_bonus_low!B24</f>
        <v>17418405.3972896</v>
      </c>
      <c r="G36" s="123">
        <f>low_v2_m!E24+temporary_pension_bonus_low!B24</f>
        <v>16719905.160243601</v>
      </c>
      <c r="H36" s="41">
        <f t="shared" ref="H36:H67" si="17">F36-J36</f>
        <v>17153049.271490019</v>
      </c>
      <c r="I36" s="41">
        <f t="shared" ref="I36:I67" si="18">G36-K36</f>
        <v>16462509.718218004</v>
      </c>
      <c r="J36" s="123">
        <f>low_v2_m!J24</f>
        <v>265356.12579958298</v>
      </c>
      <c r="K36" s="123">
        <f>low_v2_m!K24</f>
        <v>257395.44202559601</v>
      </c>
      <c r="L36" s="41">
        <f t="shared" ref="L36:L67" si="19">H36-I36</f>
        <v>690539.55327201448</v>
      </c>
      <c r="M36" s="41">
        <f t="shared" ref="M36:M67" si="20">J36-K36</f>
        <v>7960.6837739869661</v>
      </c>
      <c r="N36" s="123">
        <f>SUM(low_v5_m!C24:J24)</f>
        <v>2503086.0535381949</v>
      </c>
      <c r="O36" s="7"/>
      <c r="P36" s="7"/>
      <c r="Q36" s="41">
        <f t="shared" ref="Q36:Q67" si="21">I36*5.5017049523</f>
        <v>90571871.244006872</v>
      </c>
      <c r="R36" s="41"/>
      <c r="S36" s="41"/>
      <c r="T36" s="7"/>
      <c r="U36" s="7"/>
      <c r="V36" s="41">
        <f t="shared" si="13"/>
        <v>1416113.7780916691</v>
      </c>
      <c r="W36" s="41">
        <f t="shared" si="9"/>
        <v>43797.333343038343</v>
      </c>
      <c r="X36" s="41">
        <f t="shared" si="10"/>
        <v>16787670.310975846</v>
      </c>
      <c r="Y36" s="41">
        <f t="shared" si="11"/>
        <v>12988525.430980174</v>
      </c>
      <c r="Z36" s="41">
        <f t="shared" si="12"/>
        <v>3799144.8799956716</v>
      </c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</row>
    <row r="37" spans="1:64" x14ac:dyDescent="0.2">
      <c r="A37" s="7"/>
      <c r="B37" s="7"/>
      <c r="C37" s="7">
        <f t="shared" si="14"/>
        <v>2020</v>
      </c>
      <c r="D37" s="7">
        <f t="shared" si="15"/>
        <v>4</v>
      </c>
      <c r="E37" s="7">
        <v>184</v>
      </c>
      <c r="F37" s="123">
        <f>low_v2_m!D25+temporary_pension_bonus_low!B25</f>
        <v>17729657.2109708</v>
      </c>
      <c r="G37" s="123">
        <f>low_v2_m!E25+temporary_pension_bonus_low!B25</f>
        <v>17017283.8586188</v>
      </c>
      <c r="H37" s="41">
        <f t="shared" si="17"/>
        <v>17437680.730308559</v>
      </c>
      <c r="I37" s="41">
        <f t="shared" si="18"/>
        <v>16734066.672376428</v>
      </c>
      <c r="J37" s="123">
        <f>low_v2_m!J25</f>
        <v>291976.48066224001</v>
      </c>
      <c r="K37" s="123">
        <f>low_v2_m!K25</f>
        <v>283217.18624237197</v>
      </c>
      <c r="L37" s="41">
        <f t="shared" si="19"/>
        <v>703614.05793213099</v>
      </c>
      <c r="M37" s="41">
        <f t="shared" si="20"/>
        <v>8759.2944198680343</v>
      </c>
      <c r="N37" s="123">
        <f>SUM(low_v5_m!C25:J25)</f>
        <v>2459961.1946990644</v>
      </c>
      <c r="O37" s="7"/>
      <c r="P37" s="7"/>
      <c r="Q37" s="41">
        <f t="shared" si="21"/>
        <v>92065897.483531773</v>
      </c>
      <c r="R37" s="41"/>
      <c r="S37" s="41"/>
      <c r="T37" s="7"/>
      <c r="U37" s="7"/>
      <c r="V37" s="41">
        <f t="shared" si="13"/>
        <v>1558177.3961261292</v>
      </c>
      <c r="W37" s="41">
        <f t="shared" si="9"/>
        <v>48191.053488441721</v>
      </c>
      <c r="X37" s="41">
        <f t="shared" si="10"/>
        <v>16635827.280490076</v>
      </c>
      <c r="Y37" s="41">
        <f t="shared" si="11"/>
        <v>12764750.333456973</v>
      </c>
      <c r="Z37" s="41">
        <f t="shared" si="12"/>
        <v>3871076.947033104</v>
      </c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</row>
    <row r="38" spans="1:64" x14ac:dyDescent="0.2">
      <c r="A38" s="119"/>
      <c r="B38" s="5"/>
      <c r="C38" s="119">
        <f t="shared" si="14"/>
        <v>2021</v>
      </c>
      <c r="D38" s="119">
        <f t="shared" si="15"/>
        <v>1</v>
      </c>
      <c r="E38" s="119">
        <v>185</v>
      </c>
      <c r="F38" s="121">
        <f>low_v2_m!D26+temporary_pension_bonus_low!B26</f>
        <v>18857975.258619498</v>
      </c>
      <c r="G38" s="121">
        <f>low_v2_m!E26+temporary_pension_bonus_low!B26</f>
        <v>18097486.318917301</v>
      </c>
      <c r="H38" s="8">
        <f t="shared" si="17"/>
        <v>18524242.020217825</v>
      </c>
      <c r="I38" s="8">
        <f t="shared" si="18"/>
        <v>17773765.077667676</v>
      </c>
      <c r="J38" s="121">
        <f>low_v2_m!J26</f>
        <v>333733.23840167403</v>
      </c>
      <c r="K38" s="121">
        <f>low_v2_m!K26</f>
        <v>323721.241249624</v>
      </c>
      <c r="L38" s="8">
        <f t="shared" si="19"/>
        <v>750476.94255014881</v>
      </c>
      <c r="M38" s="8">
        <f t="shared" si="20"/>
        <v>10011.997152050026</v>
      </c>
      <c r="N38" s="121">
        <f>SUM(low_v5_m!C26:J26)</f>
        <v>3011236.8013581913</v>
      </c>
      <c r="O38" s="5"/>
      <c r="P38" s="5"/>
      <c r="Q38" s="8">
        <f t="shared" si="21"/>
        <v>97786011.348821044</v>
      </c>
      <c r="R38" s="8"/>
      <c r="S38" s="8"/>
      <c r="T38" s="5"/>
      <c r="U38" s="5"/>
      <c r="V38" s="8">
        <f t="shared" si="13"/>
        <v>1781018.7561477593</v>
      </c>
      <c r="W38" s="8">
        <f t="shared" si="9"/>
        <v>55083.054313847118</v>
      </c>
      <c r="X38" s="8">
        <f t="shared" si="10"/>
        <v>19754224.788480278</v>
      </c>
      <c r="Y38" s="8">
        <f t="shared" si="11"/>
        <v>15625322.07706516</v>
      </c>
      <c r="Z38" s="8">
        <f t="shared" si="12"/>
        <v>4128902.7114151162</v>
      </c>
      <c r="AA38" s="119"/>
      <c r="AB38" s="119"/>
      <c r="AC38" s="119"/>
      <c r="AD38" s="119"/>
      <c r="AE38" s="119"/>
      <c r="AF38" s="119"/>
      <c r="AG38" s="119"/>
      <c r="AH38" s="119"/>
      <c r="AI38" s="119"/>
      <c r="AJ38" s="119"/>
      <c r="AK38" s="119"/>
      <c r="AL38" s="119"/>
      <c r="AM38" s="119"/>
      <c r="AN38" s="119"/>
      <c r="AO38" s="119"/>
      <c r="AP38" s="119"/>
      <c r="AQ38" s="119"/>
      <c r="AR38" s="119"/>
      <c r="AS38" s="119"/>
      <c r="AT38" s="119"/>
      <c r="AU38" s="119"/>
      <c r="AV38" s="119"/>
      <c r="AW38" s="119"/>
      <c r="AX38" s="119"/>
      <c r="AY38" s="119"/>
      <c r="AZ38" s="119"/>
      <c r="BA38" s="119"/>
      <c r="BB38" s="119"/>
      <c r="BC38" s="119"/>
      <c r="BD38" s="119"/>
      <c r="BE38" s="119"/>
      <c r="BF38" s="119"/>
      <c r="BG38" s="119"/>
      <c r="BH38" s="119"/>
      <c r="BI38" s="119"/>
      <c r="BJ38" s="119"/>
      <c r="BK38" s="119"/>
      <c r="BL38" s="119"/>
    </row>
    <row r="39" spans="1:64" x14ac:dyDescent="0.2">
      <c r="A39" s="7"/>
      <c r="B39" s="7"/>
      <c r="C39" s="7">
        <f t="shared" si="14"/>
        <v>2021</v>
      </c>
      <c r="D39" s="7">
        <f t="shared" si="15"/>
        <v>2</v>
      </c>
      <c r="E39" s="7">
        <v>186</v>
      </c>
      <c r="F39" s="123">
        <f>low_v2_m!D27+temporary_pension_bonus_low!B27</f>
        <v>18760522.8292077</v>
      </c>
      <c r="G39" s="123">
        <f>low_v2_m!E27+temporary_pension_bonus_low!B27</f>
        <v>18001919.389614802</v>
      </c>
      <c r="H39" s="41">
        <f t="shared" si="17"/>
        <v>18416963.181646377</v>
      </c>
      <c r="I39" s="41">
        <f t="shared" si="18"/>
        <v>17668666.53148032</v>
      </c>
      <c r="J39" s="123">
        <f>low_v2_m!J27</f>
        <v>343559.64756132301</v>
      </c>
      <c r="K39" s="123">
        <f>low_v2_m!K27</f>
        <v>333252.85813448299</v>
      </c>
      <c r="L39" s="41">
        <f t="shared" si="19"/>
        <v>748296.65016605705</v>
      </c>
      <c r="M39" s="41">
        <f t="shared" si="20"/>
        <v>10306.789426840027</v>
      </c>
      <c r="N39" s="123">
        <f>SUM(low_v5_m!C27:J27)</f>
        <v>2731889.3115534447</v>
      </c>
      <c r="O39" s="7"/>
      <c r="P39" s="7"/>
      <c r="Q39" s="41">
        <f t="shared" si="21"/>
        <v>97207790.156782538</v>
      </c>
      <c r="R39" s="41"/>
      <c r="S39" s="41"/>
      <c r="T39" s="7"/>
      <c r="U39" s="7"/>
      <c r="V39" s="41">
        <f t="shared" si="13"/>
        <v>1833458.8999666143</v>
      </c>
      <c r="W39" s="41">
        <f t="shared" si="9"/>
        <v>56704.914431959056</v>
      </c>
      <c r="X39" s="41">
        <f t="shared" si="10"/>
        <v>18292694.01051433</v>
      </c>
      <c r="Y39" s="41">
        <f t="shared" si="11"/>
        <v>14175786.624506233</v>
      </c>
      <c r="Z39" s="41">
        <f t="shared" si="12"/>
        <v>4116907.3860080964</v>
      </c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</row>
    <row r="40" spans="1:64" x14ac:dyDescent="0.2">
      <c r="A40" s="7"/>
      <c r="B40" s="7"/>
      <c r="C40" s="7">
        <f t="shared" si="14"/>
        <v>2021</v>
      </c>
      <c r="D40" s="7">
        <f t="shared" si="15"/>
        <v>3</v>
      </c>
      <c r="E40" s="7">
        <v>187</v>
      </c>
      <c r="F40" s="123">
        <f>low_v2_m!D28+temporary_pension_bonus_low!B28</f>
        <v>18911234.982248899</v>
      </c>
      <c r="G40" s="123">
        <f>low_v2_m!E28+temporary_pension_bonus_low!B28</f>
        <v>18144784.428559601</v>
      </c>
      <c r="H40" s="41">
        <f t="shared" si="17"/>
        <v>18536673.681031559</v>
      </c>
      <c r="I40" s="41">
        <f t="shared" si="18"/>
        <v>17781459.966378782</v>
      </c>
      <c r="J40" s="123">
        <f>low_v2_m!J28</f>
        <v>374561.30121733999</v>
      </c>
      <c r="K40" s="123">
        <f>low_v2_m!K28</f>
        <v>363324.46218081901</v>
      </c>
      <c r="L40" s="41">
        <f t="shared" si="19"/>
        <v>755213.71465277672</v>
      </c>
      <c r="M40" s="41">
        <f t="shared" si="20"/>
        <v>11236.839036520978</v>
      </c>
      <c r="N40" s="123">
        <f>SUM(low_v5_m!C28:J28)</f>
        <v>2623962.5626999247</v>
      </c>
      <c r="O40" s="7"/>
      <c r="P40" s="7"/>
      <c r="Q40" s="41">
        <f t="shared" si="21"/>
        <v>97828346.356150329</v>
      </c>
      <c r="R40" s="41"/>
      <c r="S40" s="41"/>
      <c r="T40" s="7"/>
      <c r="U40" s="7"/>
      <c r="V40" s="41">
        <f t="shared" si="13"/>
        <v>1998903.992871946</v>
      </c>
      <c r="W40" s="41">
        <f t="shared" si="9"/>
        <v>61821.772975425425</v>
      </c>
      <c r="X40" s="41">
        <f t="shared" si="10"/>
        <v>17770717.245593198</v>
      </c>
      <c r="Y40" s="41">
        <f t="shared" si="11"/>
        <v>13615754.211643139</v>
      </c>
      <c r="Z40" s="41">
        <f t="shared" si="12"/>
        <v>4154963.0339500606</v>
      </c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</row>
    <row r="41" spans="1:64" x14ac:dyDescent="0.2">
      <c r="A41" s="7"/>
      <c r="B41" s="7"/>
      <c r="C41" s="7">
        <f t="shared" si="14"/>
        <v>2021</v>
      </c>
      <c r="D41" s="7">
        <f t="shared" si="15"/>
        <v>4</v>
      </c>
      <c r="E41" s="7">
        <v>188</v>
      </c>
      <c r="F41" s="123">
        <f>low_v2_m!D29+temporary_pension_bonus_low!B29</f>
        <v>19141980.4598989</v>
      </c>
      <c r="G41" s="123">
        <f>low_v2_m!E29+temporary_pension_bonus_low!B29</f>
        <v>18364871.197668198</v>
      </c>
      <c r="H41" s="41">
        <f t="shared" si="17"/>
        <v>18755310.487900481</v>
      </c>
      <c r="I41" s="41">
        <f t="shared" si="18"/>
        <v>17989801.324829731</v>
      </c>
      <c r="J41" s="123">
        <f>low_v2_m!J29</f>
        <v>386669.97199841897</v>
      </c>
      <c r="K41" s="123">
        <f>low_v2_m!K29</f>
        <v>375069.87283846701</v>
      </c>
      <c r="L41" s="41">
        <f t="shared" si="19"/>
        <v>765509.16307074949</v>
      </c>
      <c r="M41" s="41">
        <f t="shared" si="20"/>
        <v>11600.099159951962</v>
      </c>
      <c r="N41" s="123">
        <f>SUM(low_v5_m!C29:J29)</f>
        <v>2663491.1281825784</v>
      </c>
      <c r="O41" s="7"/>
      <c r="P41" s="7"/>
      <c r="Q41" s="41">
        <f t="shared" si="21"/>
        <v>98974579.039708838</v>
      </c>
      <c r="R41" s="41"/>
      <c r="S41" s="41"/>
      <c r="T41" s="7"/>
      <c r="U41" s="7"/>
      <c r="V41" s="41">
        <f t="shared" si="13"/>
        <v>2063523.7768539251</v>
      </c>
      <c r="W41" s="41">
        <f t="shared" si="9"/>
        <v>63820.322995478775</v>
      </c>
      <c r="X41" s="41">
        <f t="shared" si="10"/>
        <v>18032473.679340895</v>
      </c>
      <c r="Y41" s="41">
        <f t="shared" si="11"/>
        <v>13820868.125843525</v>
      </c>
      <c r="Z41" s="41">
        <f t="shared" si="12"/>
        <v>4211605.5534973703</v>
      </c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</row>
    <row r="42" spans="1:64" x14ac:dyDescent="0.2">
      <c r="A42" s="119"/>
      <c r="B42" s="5"/>
      <c r="C42" s="119">
        <f t="shared" si="14"/>
        <v>2022</v>
      </c>
      <c r="D42" s="119">
        <f t="shared" si="15"/>
        <v>1</v>
      </c>
      <c r="E42" s="119">
        <v>189</v>
      </c>
      <c r="F42" s="121">
        <f>low_v2_m!D30+temporary_pension_bonus_low!B30</f>
        <v>19334502.839756001</v>
      </c>
      <c r="G42" s="121">
        <f>low_v2_m!E30+temporary_pension_bonus_low!B30</f>
        <v>18547722.678441402</v>
      </c>
      <c r="H42" s="8">
        <f t="shared" si="17"/>
        <v>18924489.977746159</v>
      </c>
      <c r="I42" s="8">
        <f t="shared" si="18"/>
        <v>18150010.202291854</v>
      </c>
      <c r="J42" s="121">
        <f>low_v2_m!J30</f>
        <v>410012.86200984201</v>
      </c>
      <c r="K42" s="121">
        <f>low_v2_m!K30</f>
        <v>397712.47614954697</v>
      </c>
      <c r="L42" s="8">
        <f t="shared" si="19"/>
        <v>774479.77545430511</v>
      </c>
      <c r="M42" s="8">
        <f t="shared" si="20"/>
        <v>12300.385860295035</v>
      </c>
      <c r="N42" s="121">
        <f>SUM(low_v5_m!C30:J30)</f>
        <v>3169397.6914012828</v>
      </c>
      <c r="O42" s="5"/>
      <c r="P42" s="5"/>
      <c r="Q42" s="8">
        <f t="shared" si="21"/>
        <v>99856001.014244616</v>
      </c>
      <c r="R42" s="8"/>
      <c r="S42" s="8"/>
      <c r="T42" s="5"/>
      <c r="U42" s="5"/>
      <c r="V42" s="8">
        <f t="shared" si="13"/>
        <v>2188096.6996234581</v>
      </c>
      <c r="W42" s="8">
        <f t="shared" si="9"/>
        <v>67673.093802786083</v>
      </c>
      <c r="X42" s="8">
        <f t="shared" si="10"/>
        <v>20706978.903437145</v>
      </c>
      <c r="Y42" s="8">
        <f t="shared" si="11"/>
        <v>16446019.687364001</v>
      </c>
      <c r="Z42" s="8">
        <f t="shared" si="12"/>
        <v>4260959.2160731424</v>
      </c>
      <c r="AA42" s="119"/>
      <c r="AB42" s="119"/>
      <c r="AC42" s="119"/>
      <c r="AD42" s="119"/>
      <c r="AE42" s="119"/>
      <c r="AF42" s="119"/>
      <c r="AG42" s="119"/>
      <c r="AH42" s="119"/>
      <c r="AI42" s="119"/>
      <c r="AJ42" s="119"/>
      <c r="AK42" s="119"/>
      <c r="AL42" s="119"/>
      <c r="AM42" s="119"/>
      <c r="AN42" s="119"/>
      <c r="AO42" s="119"/>
      <c r="AP42" s="119"/>
      <c r="AQ42" s="119"/>
      <c r="AR42" s="119"/>
      <c r="AS42" s="119"/>
      <c r="AT42" s="119"/>
      <c r="AU42" s="119"/>
      <c r="AV42" s="119"/>
      <c r="AW42" s="119"/>
      <c r="AX42" s="119"/>
      <c r="AY42" s="119"/>
      <c r="AZ42" s="119"/>
      <c r="BA42" s="119"/>
      <c r="BB42" s="119"/>
      <c r="BC42" s="119"/>
      <c r="BD42" s="119"/>
      <c r="BE42" s="119"/>
      <c r="BF42" s="119"/>
      <c r="BG42" s="119"/>
      <c r="BH42" s="119"/>
      <c r="BI42" s="119"/>
      <c r="BJ42" s="119"/>
      <c r="BK42" s="119"/>
      <c r="BL42" s="119"/>
    </row>
    <row r="43" spans="1:64" x14ac:dyDescent="0.2">
      <c r="A43" s="7"/>
      <c r="B43" s="7"/>
      <c r="C43" s="7">
        <f t="shared" si="14"/>
        <v>2022</v>
      </c>
      <c r="D43" s="7">
        <f t="shared" si="15"/>
        <v>2</v>
      </c>
      <c r="E43" s="7">
        <v>190</v>
      </c>
      <c r="F43" s="123">
        <f>low_v2_m!D31+temporary_pension_bonus_low!B31</f>
        <v>19632162.0706589</v>
      </c>
      <c r="G43" s="123">
        <f>low_v2_m!E31+temporary_pension_bonus_low!B31</f>
        <v>18831752.663272198</v>
      </c>
      <c r="H43" s="41">
        <f t="shared" si="17"/>
        <v>19190312.337376077</v>
      </c>
      <c r="I43" s="41">
        <f t="shared" si="18"/>
        <v>18403158.421987861</v>
      </c>
      <c r="J43" s="123">
        <f>low_v2_m!J31</f>
        <v>441849.73328282201</v>
      </c>
      <c r="K43" s="123">
        <f>low_v2_m!K31</f>
        <v>428594.24128433701</v>
      </c>
      <c r="L43" s="41">
        <f t="shared" si="19"/>
        <v>787153.91538821533</v>
      </c>
      <c r="M43" s="41">
        <f t="shared" si="20"/>
        <v>13255.491998484998</v>
      </c>
      <c r="N43" s="123">
        <f>SUM(low_v5_m!C31:J31)</f>
        <v>2725074.8105574013</v>
      </c>
      <c r="O43" s="7"/>
      <c r="P43" s="7"/>
      <c r="Q43" s="41">
        <f t="shared" si="21"/>
        <v>101248747.82821207</v>
      </c>
      <c r="R43" s="41"/>
      <c r="S43" s="41"/>
      <c r="T43" s="7"/>
      <c r="U43" s="7"/>
      <c r="V43" s="41">
        <f t="shared" si="13"/>
        <v>2357999.0598012982</v>
      </c>
      <c r="W43" s="41">
        <f t="shared" si="9"/>
        <v>72927.805973237933</v>
      </c>
      <c r="X43" s="41">
        <f t="shared" si="10"/>
        <v>18471114.740956668</v>
      </c>
      <c r="Y43" s="41">
        <f t="shared" si="11"/>
        <v>14140426.146442989</v>
      </c>
      <c r="Z43" s="41">
        <f t="shared" si="12"/>
        <v>4330688.5945136799</v>
      </c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</row>
    <row r="44" spans="1:64" x14ac:dyDescent="0.2">
      <c r="A44" s="7"/>
      <c r="B44" s="7"/>
      <c r="C44" s="7">
        <f t="shared" si="14"/>
        <v>2022</v>
      </c>
      <c r="D44" s="7">
        <f t="shared" si="15"/>
        <v>3</v>
      </c>
      <c r="E44" s="7">
        <v>191</v>
      </c>
      <c r="F44" s="123">
        <f>low_v2_m!D32+temporary_pension_bonus_low!B32</f>
        <v>19855447.6280316</v>
      </c>
      <c r="G44" s="123">
        <f>low_v2_m!E32+temporary_pension_bonus_low!B32</f>
        <v>19044690.0781058</v>
      </c>
      <c r="H44" s="41">
        <f t="shared" si="17"/>
        <v>19381297.223045703</v>
      </c>
      <c r="I44" s="41">
        <f t="shared" si="18"/>
        <v>18584764.185269479</v>
      </c>
      <c r="J44" s="123">
        <f>low_v2_m!J32</f>
        <v>474150.404985898</v>
      </c>
      <c r="K44" s="123">
        <f>low_v2_m!K32</f>
        <v>459925.89283632103</v>
      </c>
      <c r="L44" s="41">
        <f t="shared" si="19"/>
        <v>796533.03777622432</v>
      </c>
      <c r="M44" s="41">
        <f t="shared" si="20"/>
        <v>14224.512149576971</v>
      </c>
      <c r="N44" s="123">
        <f>SUM(low_v5_m!C32:J32)</f>
        <v>2672794.0733626201</v>
      </c>
      <c r="O44" s="7"/>
      <c r="P44" s="7"/>
      <c r="Q44" s="41">
        <f t="shared" si="21"/>
        <v>102247889.15542476</v>
      </c>
      <c r="R44" s="41"/>
      <c r="S44" s="41"/>
      <c r="T44" s="7"/>
      <c r="U44" s="7"/>
      <c r="V44" s="41">
        <f t="shared" si="13"/>
        <v>2530376.5623085867</v>
      </c>
      <c r="W44" s="41">
        <f t="shared" si="9"/>
        <v>78259.068937379139</v>
      </c>
      <c r="X44" s="41">
        <f t="shared" si="10"/>
        <v>18251430.911211118</v>
      </c>
      <c r="Y44" s="41">
        <f t="shared" si="11"/>
        <v>13869141.152607102</v>
      </c>
      <c r="Z44" s="41">
        <f t="shared" si="12"/>
        <v>4382289.7586040162</v>
      </c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</row>
    <row r="45" spans="1:64" x14ac:dyDescent="0.2">
      <c r="A45" s="7"/>
      <c r="B45" s="7"/>
      <c r="C45" s="7">
        <f t="shared" si="14"/>
        <v>2022</v>
      </c>
      <c r="D45" s="7">
        <f t="shared" si="15"/>
        <v>4</v>
      </c>
      <c r="E45" s="7">
        <v>192</v>
      </c>
      <c r="F45" s="123">
        <f>low_v2_m!D33+temporary_pension_bonus_low!B33</f>
        <v>20111482.296240099</v>
      </c>
      <c r="G45" s="123">
        <f>low_v2_m!E33+temporary_pension_bonus_low!B33</f>
        <v>19288973.6111403</v>
      </c>
      <c r="H45" s="41">
        <f t="shared" si="17"/>
        <v>19604479.398835428</v>
      </c>
      <c r="I45" s="41">
        <f t="shared" si="18"/>
        <v>18797180.800657768</v>
      </c>
      <c r="J45" s="123">
        <f>low_v2_m!J33</f>
        <v>507002.89740467101</v>
      </c>
      <c r="K45" s="123">
        <f>low_v2_m!K33</f>
        <v>491792.81048253097</v>
      </c>
      <c r="L45" s="41">
        <f t="shared" si="19"/>
        <v>807298.59817766026</v>
      </c>
      <c r="M45" s="41">
        <f t="shared" si="20"/>
        <v>15210.086922140035</v>
      </c>
      <c r="N45" s="123">
        <f>SUM(low_v5_m!C33:J33)</f>
        <v>2706895.2238295348</v>
      </c>
      <c r="O45" s="7"/>
      <c r="P45" s="7"/>
      <c r="Q45" s="41">
        <f t="shared" si="21"/>
        <v>103416542.70025732</v>
      </c>
      <c r="R45" s="41"/>
      <c r="S45" s="41"/>
      <c r="T45" s="7"/>
      <c r="U45" s="7"/>
      <c r="V45" s="41">
        <f t="shared" si="13"/>
        <v>2705698.940937276</v>
      </c>
      <c r="W45" s="41">
        <f t="shared" si="9"/>
        <v>83681.410544451297</v>
      </c>
      <c r="X45" s="41">
        <f t="shared" si="10"/>
        <v>18487610.880068853</v>
      </c>
      <c r="Y45" s="41">
        <f t="shared" si="11"/>
        <v>14046092.184489971</v>
      </c>
      <c r="Z45" s="41">
        <f t="shared" si="12"/>
        <v>4441518.6955788815</v>
      </c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</row>
    <row r="46" spans="1:64" x14ac:dyDescent="0.2">
      <c r="A46" s="119"/>
      <c r="B46" s="5"/>
      <c r="C46" s="119">
        <f t="shared" si="14"/>
        <v>2023</v>
      </c>
      <c r="D46" s="119">
        <f t="shared" si="15"/>
        <v>1</v>
      </c>
      <c r="E46" s="119">
        <v>193</v>
      </c>
      <c r="F46" s="121">
        <f>low_v2_m!D34+temporary_pension_bonus_low!B34</f>
        <v>20300807.4101687</v>
      </c>
      <c r="G46" s="121">
        <f>low_v2_m!E34+temporary_pension_bonus_low!B34</f>
        <v>19468908.591366999</v>
      </c>
      <c r="H46" s="8">
        <f t="shared" si="17"/>
        <v>19784459.086281937</v>
      </c>
      <c r="I46" s="8">
        <f t="shared" si="18"/>
        <v>18968050.717196837</v>
      </c>
      <c r="J46" s="121">
        <f>low_v2_m!J34</f>
        <v>516348.32388676301</v>
      </c>
      <c r="K46" s="121">
        <f>low_v2_m!K34</f>
        <v>500857.87417015998</v>
      </c>
      <c r="L46" s="8">
        <f t="shared" si="19"/>
        <v>816408.36908509955</v>
      </c>
      <c r="M46" s="8">
        <f t="shared" si="20"/>
        <v>15490.449716603034</v>
      </c>
      <c r="N46" s="121">
        <f>SUM(low_v5_m!C34:J34)</f>
        <v>3304154.7390162409</v>
      </c>
      <c r="O46" s="5"/>
      <c r="P46" s="5"/>
      <c r="Q46" s="8">
        <f t="shared" si="21"/>
        <v>104356618.5662794</v>
      </c>
      <c r="R46" s="8"/>
      <c r="S46" s="8"/>
      <c r="T46" s="5"/>
      <c r="U46" s="5"/>
      <c r="V46" s="8">
        <f t="shared" si="13"/>
        <v>2755572.2467204193</v>
      </c>
      <c r="W46" s="8">
        <f t="shared" ref="W46:W77" si="22">M46*5.5017049523</f>
        <v>85223.883919189044</v>
      </c>
      <c r="X46" s="8">
        <f t="shared" ref="X46:X77" si="23">N46*5.1890047538+L46*5.5017049523</f>
        <v>21636912.615340732</v>
      </c>
      <c r="Y46" s="8">
        <f t="shared" ref="Y46:Y77" si="24">N46*5.1890047538</f>
        <v>17145274.648046073</v>
      </c>
      <c r="Z46" s="8">
        <f t="shared" ref="Z46:Z77" si="25">L46*5.5017049523</f>
        <v>4491637.9672946585</v>
      </c>
      <c r="AA46" s="119"/>
      <c r="AB46" s="119"/>
      <c r="AC46" s="119"/>
      <c r="AD46" s="119"/>
      <c r="AE46" s="119"/>
      <c r="AF46" s="119"/>
      <c r="AG46" s="119"/>
      <c r="AH46" s="119"/>
      <c r="AI46" s="119"/>
      <c r="AJ46" s="119"/>
      <c r="AK46" s="119"/>
      <c r="AL46" s="119"/>
      <c r="AM46" s="119"/>
      <c r="AN46" s="119"/>
      <c r="AO46" s="119"/>
      <c r="AP46" s="119"/>
      <c r="AQ46" s="119"/>
      <c r="AR46" s="119"/>
      <c r="AS46" s="119"/>
      <c r="AT46" s="119"/>
      <c r="AU46" s="119"/>
      <c r="AV46" s="119"/>
      <c r="AW46" s="119"/>
      <c r="AX46" s="119"/>
      <c r="AY46" s="119"/>
      <c r="AZ46" s="119"/>
      <c r="BA46" s="119"/>
      <c r="BB46" s="119"/>
      <c r="BC46" s="119"/>
      <c r="BD46" s="119"/>
      <c r="BE46" s="119"/>
      <c r="BF46" s="119"/>
      <c r="BG46" s="119"/>
      <c r="BH46" s="119"/>
      <c r="BI46" s="119"/>
      <c r="BJ46" s="119"/>
      <c r="BK46" s="119"/>
      <c r="BL46" s="119"/>
    </row>
    <row r="47" spans="1:64" x14ac:dyDescent="0.2">
      <c r="A47" s="7"/>
      <c r="B47" s="7"/>
      <c r="C47" s="7">
        <f t="shared" si="14"/>
        <v>2023</v>
      </c>
      <c r="D47" s="7">
        <f t="shared" si="15"/>
        <v>2</v>
      </c>
      <c r="E47" s="7">
        <v>194</v>
      </c>
      <c r="F47" s="123">
        <f>low_v2_m!D35+temporary_pension_bonus_low!B35</f>
        <v>20406977.302225001</v>
      </c>
      <c r="G47" s="123">
        <f>low_v2_m!E35+temporary_pension_bonus_low!B35</f>
        <v>19569931.4615</v>
      </c>
      <c r="H47" s="41">
        <f t="shared" si="17"/>
        <v>19888359.416193683</v>
      </c>
      <c r="I47" s="41">
        <f t="shared" si="18"/>
        <v>19066872.112049621</v>
      </c>
      <c r="J47" s="123">
        <f>low_v2_m!J35</f>
        <v>518617.88603131898</v>
      </c>
      <c r="K47" s="123">
        <f>low_v2_m!K35</f>
        <v>503059.34945038002</v>
      </c>
      <c r="L47" s="41">
        <f t="shared" si="19"/>
        <v>821487.3041440621</v>
      </c>
      <c r="M47" s="41">
        <f t="shared" si="20"/>
        <v>15558.536580938962</v>
      </c>
      <c r="N47" s="123">
        <f>SUM(low_v5_m!C35:J35)</f>
        <v>2770321.7752339067</v>
      </c>
      <c r="O47" s="7"/>
      <c r="P47" s="7"/>
      <c r="Q47" s="41">
        <f t="shared" si="21"/>
        <v>104900304.72373416</v>
      </c>
      <c r="R47" s="41"/>
      <c r="S47" s="41"/>
      <c r="T47" s="7"/>
      <c r="U47" s="7"/>
      <c r="V47" s="41">
        <f t="shared" ref="V47:V78" si="26">K47*5.5017049523</f>
        <v>2767684.114171972</v>
      </c>
      <c r="W47" s="41">
        <f t="shared" si="22"/>
        <v>85598.4777578926</v>
      </c>
      <c r="X47" s="41">
        <f t="shared" si="23"/>
        <v>18894793.63070536</v>
      </c>
      <c r="Y47" s="41">
        <f t="shared" si="24"/>
        <v>14375212.861244397</v>
      </c>
      <c r="Z47" s="41">
        <f t="shared" si="25"/>
        <v>4519580.7694609631</v>
      </c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</row>
    <row r="48" spans="1:64" x14ac:dyDescent="0.2">
      <c r="A48" s="7"/>
      <c r="B48" s="7"/>
      <c r="C48" s="7">
        <f t="shared" si="14"/>
        <v>2023</v>
      </c>
      <c r="D48" s="7">
        <f t="shared" si="15"/>
        <v>3</v>
      </c>
      <c r="E48" s="7">
        <v>195</v>
      </c>
      <c r="F48" s="123">
        <f>low_v2_m!D36+temporary_pension_bonus_low!B36</f>
        <v>20595760.443882398</v>
      </c>
      <c r="G48" s="123">
        <f>low_v2_m!E36+temporary_pension_bonus_low!B36</f>
        <v>19749275.7414423</v>
      </c>
      <c r="H48" s="41">
        <f t="shared" si="17"/>
        <v>20051540.643738769</v>
      </c>
      <c r="I48" s="41">
        <f t="shared" si="18"/>
        <v>19221382.535302978</v>
      </c>
      <c r="J48" s="123">
        <f>low_v2_m!J36</f>
        <v>544219.80014363094</v>
      </c>
      <c r="K48" s="123">
        <f>low_v2_m!K36</f>
        <v>527893.20613932202</v>
      </c>
      <c r="L48" s="41">
        <f t="shared" si="19"/>
        <v>830158.10843579099</v>
      </c>
      <c r="M48" s="41">
        <f t="shared" si="20"/>
        <v>16326.594004308921</v>
      </c>
      <c r="N48" s="123">
        <f>SUM(low_v5_m!C36:J36)</f>
        <v>2746794.1710352646</v>
      </c>
      <c r="O48" s="7"/>
      <c r="P48" s="7"/>
      <c r="Q48" s="41">
        <f t="shared" si="21"/>
        <v>105750375.48452912</v>
      </c>
      <c r="R48" s="41"/>
      <c r="S48" s="41"/>
      <c r="T48" s="7"/>
      <c r="U48" s="7"/>
      <c r="V48" s="41">
        <f t="shared" si="26"/>
        <v>2904312.6665022327</v>
      </c>
      <c r="W48" s="41">
        <f t="shared" si="22"/>
        <v>89824.103087697877</v>
      </c>
      <c r="X48" s="41">
        <f t="shared" si="23"/>
        <v>18820412.98758531</v>
      </c>
      <c r="Y48" s="41">
        <f t="shared" si="24"/>
        <v>14253128.011212118</v>
      </c>
      <c r="Z48" s="41">
        <f t="shared" si="25"/>
        <v>4567284.9763731919</v>
      </c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</row>
    <row r="49" spans="1:64" x14ac:dyDescent="0.2">
      <c r="A49" s="7"/>
      <c r="B49" s="7"/>
      <c r="C49" s="7">
        <f t="shared" si="14"/>
        <v>2023</v>
      </c>
      <c r="D49" s="7">
        <f t="shared" si="15"/>
        <v>4</v>
      </c>
      <c r="E49" s="7">
        <v>196</v>
      </c>
      <c r="F49" s="123">
        <f>low_v2_m!D37+temporary_pension_bonus_low!B37</f>
        <v>20735710.797604199</v>
      </c>
      <c r="G49" s="123">
        <f>low_v2_m!E37+temporary_pension_bonus_low!B37</f>
        <v>19882765.360507801</v>
      </c>
      <c r="H49" s="41">
        <f t="shared" si="17"/>
        <v>20172463.009320151</v>
      </c>
      <c r="I49" s="41">
        <f t="shared" si="18"/>
        <v>19336415.005872276</v>
      </c>
      <c r="J49" s="123">
        <f>low_v2_m!J37</f>
        <v>563247.78828404704</v>
      </c>
      <c r="K49" s="123">
        <f>low_v2_m!K37</f>
        <v>546350.35463552503</v>
      </c>
      <c r="L49" s="41">
        <f t="shared" si="19"/>
        <v>836048.00344787538</v>
      </c>
      <c r="M49" s="41">
        <f t="shared" si="20"/>
        <v>16897.433648522012</v>
      </c>
      <c r="N49" s="123">
        <f>SUM(low_v5_m!C37:J37)</f>
        <v>2763205.1873656618</v>
      </c>
      <c r="O49" s="7"/>
      <c r="P49" s="7"/>
      <c r="Q49" s="41">
        <f t="shared" si="21"/>
        <v>106383250.19753553</v>
      </c>
      <c r="R49" s="41"/>
      <c r="S49" s="41"/>
      <c r="T49" s="7"/>
      <c r="U49" s="7"/>
      <c r="V49" s="41">
        <f t="shared" si="26"/>
        <v>3005858.4517891291</v>
      </c>
      <c r="W49" s="41">
        <f t="shared" si="22"/>
        <v>92964.694385234208</v>
      </c>
      <c r="X49" s="41">
        <f t="shared" si="23"/>
        <v>18937974.293894943</v>
      </c>
      <c r="Y49" s="41">
        <f t="shared" si="24"/>
        <v>14338284.852965239</v>
      </c>
      <c r="Z49" s="41">
        <f t="shared" si="25"/>
        <v>4599689.4409297034</v>
      </c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</row>
    <row r="50" spans="1:64" x14ac:dyDescent="0.2">
      <c r="A50" s="119"/>
      <c r="B50" s="5"/>
      <c r="C50" s="119">
        <f t="shared" ref="C50:C81" si="27">C46+1</f>
        <v>2024</v>
      </c>
      <c r="D50" s="119">
        <f t="shared" ref="D50:D81" si="28">D46</f>
        <v>1</v>
      </c>
      <c r="E50" s="119">
        <v>197</v>
      </c>
      <c r="F50" s="121">
        <f>low_v2_m!D38+temporary_pension_bonus_low!B38</f>
        <v>20988677.138944801</v>
      </c>
      <c r="G50" s="121">
        <f>low_v2_m!E38+temporary_pension_bonus_low!B38</f>
        <v>20124070.108830199</v>
      </c>
      <c r="H50" s="8">
        <f t="shared" si="17"/>
        <v>20403661.773677085</v>
      </c>
      <c r="I50" s="8">
        <f t="shared" si="18"/>
        <v>19556605.204520516</v>
      </c>
      <c r="J50" s="121">
        <f>low_v2_m!J38</f>
        <v>585015.365267716</v>
      </c>
      <c r="K50" s="121">
        <f>low_v2_m!K38</f>
        <v>567464.90430968395</v>
      </c>
      <c r="L50" s="8">
        <f t="shared" si="19"/>
        <v>847056.5691565685</v>
      </c>
      <c r="M50" s="8">
        <f t="shared" si="20"/>
        <v>17550.460958032054</v>
      </c>
      <c r="N50" s="121">
        <f>SUM(low_v5_m!C38:J38)</f>
        <v>3378100.664125565</v>
      </c>
      <c r="O50" s="5"/>
      <c r="P50" s="5"/>
      <c r="Q50" s="8">
        <f t="shared" si="21"/>
        <v>107594671.70388648</v>
      </c>
      <c r="R50" s="8"/>
      <c r="S50" s="8"/>
      <c r="T50" s="5"/>
      <c r="U50" s="5"/>
      <c r="V50" s="8">
        <f t="shared" si="26"/>
        <v>3122024.4742970336</v>
      </c>
      <c r="W50" s="8">
        <f t="shared" si="22"/>
        <v>96557.457967952752</v>
      </c>
      <c r="X50" s="8">
        <f t="shared" si="23"/>
        <v>22189235.726369433</v>
      </c>
      <c r="Y50" s="8">
        <f t="shared" si="24"/>
        <v>17528980.404962495</v>
      </c>
      <c r="Z50" s="8">
        <f t="shared" si="25"/>
        <v>4660255.32140694</v>
      </c>
      <c r="AA50" s="119"/>
      <c r="AB50" s="119"/>
      <c r="AC50" s="119"/>
      <c r="AD50" s="119"/>
      <c r="AE50" s="119"/>
      <c r="AF50" s="119"/>
      <c r="AG50" s="119"/>
      <c r="AH50" s="119"/>
      <c r="AI50" s="119"/>
      <c r="AJ50" s="119"/>
      <c r="AK50" s="119"/>
      <c r="AL50" s="119"/>
      <c r="AM50" s="119"/>
      <c r="AN50" s="119"/>
      <c r="AO50" s="119"/>
      <c r="AP50" s="119"/>
      <c r="AQ50" s="119"/>
      <c r="AR50" s="119"/>
      <c r="AS50" s="119"/>
      <c r="AT50" s="119"/>
      <c r="AU50" s="119"/>
      <c r="AV50" s="119"/>
      <c r="AW50" s="119"/>
      <c r="AX50" s="119"/>
      <c r="AY50" s="119"/>
      <c r="AZ50" s="119"/>
      <c r="BA50" s="119"/>
      <c r="BB50" s="119"/>
      <c r="BC50" s="119"/>
      <c r="BD50" s="119"/>
      <c r="BE50" s="119"/>
      <c r="BF50" s="119"/>
      <c r="BG50" s="119"/>
      <c r="BH50" s="119"/>
      <c r="BI50" s="119"/>
      <c r="BJ50" s="119"/>
      <c r="BK50" s="119"/>
      <c r="BL50" s="119"/>
    </row>
    <row r="51" spans="1:64" x14ac:dyDescent="0.2">
      <c r="A51" s="7"/>
      <c r="B51" s="7"/>
      <c r="C51" s="7">
        <f t="shared" si="27"/>
        <v>2024</v>
      </c>
      <c r="D51" s="7">
        <f t="shared" si="28"/>
        <v>2</v>
      </c>
      <c r="E51" s="7">
        <v>198</v>
      </c>
      <c r="F51" s="123">
        <f>low_v2_m!D39+temporary_pension_bonus_low!B39</f>
        <v>21149114.455262199</v>
      </c>
      <c r="G51" s="123">
        <f>low_v2_m!E39+temporary_pension_bonus_low!B39</f>
        <v>20276135.3350848</v>
      </c>
      <c r="H51" s="41">
        <f t="shared" si="17"/>
        <v>20545632.518036779</v>
      </c>
      <c r="I51" s="41">
        <f t="shared" si="18"/>
        <v>19690757.855976142</v>
      </c>
      <c r="J51" s="123">
        <f>low_v2_m!J39</f>
        <v>603481.93722542096</v>
      </c>
      <c r="K51" s="123">
        <f>low_v2_m!K39</f>
        <v>585377.47910865804</v>
      </c>
      <c r="L51" s="41">
        <f t="shared" si="19"/>
        <v>854874.66206063703</v>
      </c>
      <c r="M51" s="41">
        <f t="shared" si="20"/>
        <v>18104.458116762922</v>
      </c>
      <c r="N51" s="123">
        <f>SUM(low_v5_m!C39:J39)</f>
        <v>2754938.0986749176</v>
      </c>
      <c r="O51" s="7"/>
      <c r="P51" s="7"/>
      <c r="Q51" s="41">
        <f t="shared" si="21"/>
        <v>108332740.01076406</v>
      </c>
      <c r="R51" s="41"/>
      <c r="S51" s="41"/>
      <c r="T51" s="7"/>
      <c r="U51" s="7"/>
      <c r="V51" s="41">
        <f t="shared" si="26"/>
        <v>3220574.1757769939</v>
      </c>
      <c r="W51" s="41">
        <f t="shared" si="22"/>
        <v>99605.386879702492</v>
      </c>
      <c r="X51" s="41">
        <f t="shared" si="23"/>
        <v>18998655.052303676</v>
      </c>
      <c r="Y51" s="41">
        <f t="shared" si="24"/>
        <v>14295386.890448881</v>
      </c>
      <c r="Z51" s="41">
        <f t="shared" si="25"/>
        <v>4703268.1618547952</v>
      </c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</row>
    <row r="52" spans="1:64" x14ac:dyDescent="0.2">
      <c r="A52" s="7"/>
      <c r="B52" s="7"/>
      <c r="C52" s="7">
        <f t="shared" si="27"/>
        <v>2024</v>
      </c>
      <c r="D52" s="7">
        <f t="shared" si="28"/>
        <v>3</v>
      </c>
      <c r="E52" s="7">
        <v>199</v>
      </c>
      <c r="F52" s="123">
        <f>low_v2_m!D40+temporary_pension_bonus_low!B40</f>
        <v>21404980.260737199</v>
      </c>
      <c r="G52" s="123">
        <f>low_v2_m!E40+temporary_pension_bonus_low!B40</f>
        <v>20519480.837352999</v>
      </c>
      <c r="H52" s="41">
        <f t="shared" si="17"/>
        <v>20771070.744461462</v>
      </c>
      <c r="I52" s="41">
        <f t="shared" si="18"/>
        <v>19904588.606565535</v>
      </c>
      <c r="J52" s="123">
        <f>low_v2_m!J40</f>
        <v>633909.51627573802</v>
      </c>
      <c r="K52" s="123">
        <f>low_v2_m!K40</f>
        <v>614892.230787465</v>
      </c>
      <c r="L52" s="41">
        <f t="shared" si="19"/>
        <v>866482.13789592683</v>
      </c>
      <c r="M52" s="41">
        <f t="shared" si="20"/>
        <v>19017.285488273017</v>
      </c>
      <c r="N52" s="123">
        <f>SUM(low_v5_m!C40:J40)</f>
        <v>2773603.6101403376</v>
      </c>
      <c r="O52" s="7"/>
      <c r="P52" s="7"/>
      <c r="Q52" s="41">
        <f t="shared" si="21"/>
        <v>109509173.71023576</v>
      </c>
      <c r="R52" s="41"/>
      <c r="S52" s="41"/>
      <c r="T52" s="7"/>
      <c r="U52" s="7"/>
      <c r="V52" s="41">
        <f t="shared" si="26"/>
        <v>3382955.6312541906</v>
      </c>
      <c r="W52" s="41">
        <f t="shared" si="22"/>
        <v>104627.49375013458</v>
      </c>
      <c r="X52" s="41">
        <f t="shared" si="23"/>
        <v>19159371.387316566</v>
      </c>
      <c r="Y52" s="41">
        <f t="shared" si="24"/>
        <v>14392242.318175053</v>
      </c>
      <c r="Z52" s="41">
        <f t="shared" si="25"/>
        <v>4767129.0691415118</v>
      </c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</row>
    <row r="53" spans="1:64" x14ac:dyDescent="0.2">
      <c r="A53" s="7"/>
      <c r="B53" s="7"/>
      <c r="C53" s="7">
        <f t="shared" si="27"/>
        <v>2024</v>
      </c>
      <c r="D53" s="7">
        <f t="shared" si="28"/>
        <v>4</v>
      </c>
      <c r="E53" s="7">
        <v>200</v>
      </c>
      <c r="F53" s="123">
        <f>low_v2_m!D41+temporary_pension_bonus_low!B41</f>
        <v>21628251.0936165</v>
      </c>
      <c r="G53" s="123">
        <f>low_v2_m!E41+temporary_pension_bonus_low!B41</f>
        <v>20732411.2894485</v>
      </c>
      <c r="H53" s="41">
        <f t="shared" si="17"/>
        <v>20922997.937319174</v>
      </c>
      <c r="I53" s="41">
        <f t="shared" si="18"/>
        <v>20048315.727840092</v>
      </c>
      <c r="J53" s="123">
        <f>low_v2_m!J41</f>
        <v>705253.15629732795</v>
      </c>
      <c r="K53" s="123">
        <f>low_v2_m!K41</f>
        <v>684095.561608408</v>
      </c>
      <c r="L53" s="41">
        <f t="shared" si="19"/>
        <v>874682.20947908238</v>
      </c>
      <c r="M53" s="41">
        <f t="shared" si="20"/>
        <v>21157.594688919955</v>
      </c>
      <c r="N53" s="123">
        <f>SUM(low_v5_m!C41:J41)</f>
        <v>2788120.6147508086</v>
      </c>
      <c r="O53" s="7"/>
      <c r="P53" s="7"/>
      <c r="Q53" s="41">
        <f t="shared" si="21"/>
        <v>110299917.92513181</v>
      </c>
      <c r="R53" s="41"/>
      <c r="S53" s="41"/>
      <c r="T53" s="7"/>
      <c r="U53" s="7"/>
      <c r="V53" s="41">
        <f t="shared" si="26"/>
        <v>3763691.9391474281</v>
      </c>
      <c r="W53" s="41">
        <f t="shared" si="22"/>
        <v>116402.84347878709</v>
      </c>
      <c r="X53" s="41">
        <f t="shared" si="23"/>
        <v>19279814.567689497</v>
      </c>
      <c r="Y53" s="41">
        <f t="shared" si="24"/>
        <v>14467571.124109725</v>
      </c>
      <c r="Z53" s="41">
        <f t="shared" si="25"/>
        <v>4812243.4435797734</v>
      </c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</row>
    <row r="54" spans="1:64" x14ac:dyDescent="0.2">
      <c r="A54" s="119"/>
      <c r="B54" s="5"/>
      <c r="C54" s="119">
        <f t="shared" si="27"/>
        <v>2025</v>
      </c>
      <c r="D54" s="119">
        <f t="shared" si="28"/>
        <v>1</v>
      </c>
      <c r="E54" s="119">
        <v>201</v>
      </c>
      <c r="F54" s="121">
        <f>low_v2_m!D42+temporary_pension_bonus_low!B42</f>
        <v>21853360.798025999</v>
      </c>
      <c r="G54" s="121">
        <f>low_v2_m!E42+temporary_pension_bonus_low!B42</f>
        <v>20946784.622141</v>
      </c>
      <c r="H54" s="8">
        <f t="shared" si="17"/>
        <v>21080326.288991697</v>
      </c>
      <c r="I54" s="8">
        <f t="shared" si="18"/>
        <v>20196941.148377724</v>
      </c>
      <c r="J54" s="121">
        <f>low_v2_m!J42</f>
        <v>773034.50903430302</v>
      </c>
      <c r="K54" s="121">
        <f>low_v2_m!K42</f>
        <v>749843.47376327403</v>
      </c>
      <c r="L54" s="8">
        <f t="shared" si="19"/>
        <v>883385.14061397314</v>
      </c>
      <c r="M54" s="8">
        <f t="shared" si="20"/>
        <v>23191.035271028988</v>
      </c>
      <c r="N54" s="121">
        <f>SUM(low_v5_m!C42:J42)</f>
        <v>3402395.6687264489</v>
      </c>
      <c r="O54" s="5"/>
      <c r="P54" s="5"/>
      <c r="Q54" s="8">
        <f t="shared" si="21"/>
        <v>111117611.13734137</v>
      </c>
      <c r="R54" s="8"/>
      <c r="S54" s="8"/>
      <c r="T54" s="5"/>
      <c r="U54" s="5"/>
      <c r="V54" s="8">
        <f t="shared" si="26"/>
        <v>4125417.5530532398</v>
      </c>
      <c r="W54" s="8">
        <f t="shared" si="22"/>
        <v>127590.23359958416</v>
      </c>
      <c r="X54" s="8">
        <f t="shared" si="23"/>
        <v>22515171.702234201</v>
      </c>
      <c r="Y54" s="8">
        <f t="shared" si="24"/>
        <v>17655047.299330074</v>
      </c>
      <c r="Z54" s="8">
        <f t="shared" si="25"/>
        <v>4860124.4029041277</v>
      </c>
      <c r="AA54" s="119"/>
      <c r="AB54" s="119"/>
      <c r="AC54" s="119"/>
      <c r="AD54" s="119"/>
      <c r="AE54" s="119"/>
      <c r="AF54" s="119"/>
      <c r="AG54" s="119"/>
      <c r="AH54" s="119"/>
      <c r="AI54" s="119"/>
      <c r="AJ54" s="119"/>
      <c r="AK54" s="119"/>
      <c r="AL54" s="119"/>
      <c r="AM54" s="119"/>
      <c r="AN54" s="119"/>
      <c r="AO54" s="119"/>
      <c r="AP54" s="119"/>
      <c r="AQ54" s="119"/>
      <c r="AR54" s="119"/>
      <c r="AS54" s="119"/>
      <c r="AT54" s="119"/>
      <c r="AU54" s="119"/>
      <c r="AV54" s="119"/>
      <c r="AW54" s="119"/>
      <c r="AX54" s="119"/>
      <c r="AY54" s="119"/>
      <c r="AZ54" s="119"/>
      <c r="BA54" s="119"/>
      <c r="BB54" s="119"/>
      <c r="BC54" s="119"/>
      <c r="BD54" s="119"/>
      <c r="BE54" s="119"/>
      <c r="BF54" s="119"/>
      <c r="BG54" s="119"/>
      <c r="BH54" s="119"/>
      <c r="BI54" s="119"/>
      <c r="BJ54" s="119"/>
      <c r="BK54" s="119"/>
      <c r="BL54" s="119"/>
    </row>
    <row r="55" spans="1:64" x14ac:dyDescent="0.2">
      <c r="A55" s="7"/>
      <c r="B55" s="7"/>
      <c r="C55" s="7">
        <f t="shared" si="27"/>
        <v>2025</v>
      </c>
      <c r="D55" s="7">
        <f t="shared" si="28"/>
        <v>2</v>
      </c>
      <c r="E55" s="7">
        <v>202</v>
      </c>
      <c r="F55" s="123">
        <f>low_v2_m!D43+temporary_pension_bonus_low!B43</f>
        <v>22084116.988538198</v>
      </c>
      <c r="G55" s="123">
        <f>low_v2_m!E43+temporary_pension_bonus_low!B43</f>
        <v>21166313.362091001</v>
      </c>
      <c r="H55" s="41">
        <f t="shared" si="17"/>
        <v>21225285.35586888</v>
      </c>
      <c r="I55" s="41">
        <f t="shared" si="18"/>
        <v>20333246.678401761</v>
      </c>
      <c r="J55" s="123">
        <f>low_v2_m!J43</f>
        <v>858831.63266931905</v>
      </c>
      <c r="K55" s="123">
        <f>low_v2_m!K43</f>
        <v>833066.68368924002</v>
      </c>
      <c r="L55" s="41">
        <f t="shared" si="19"/>
        <v>892038.67746711895</v>
      </c>
      <c r="M55" s="41">
        <f t="shared" si="20"/>
        <v>25764.948980079032</v>
      </c>
      <c r="N55" s="123">
        <f>SUM(low_v5_m!C43:J43)</f>
        <v>2803532.7404338596</v>
      </c>
      <c r="O55" s="7"/>
      <c r="P55" s="7"/>
      <c r="Q55" s="41">
        <f t="shared" si="21"/>
        <v>111867523.94690049</v>
      </c>
      <c r="R55" s="41"/>
      <c r="S55" s="41"/>
      <c r="T55" s="7"/>
      <c r="U55" s="7"/>
      <c r="V55" s="41">
        <f t="shared" si="26"/>
        <v>4583287.0992492298</v>
      </c>
      <c r="W55" s="41">
        <f t="shared" si="22"/>
        <v>141751.14739945764</v>
      </c>
      <c r="X55" s="41">
        <f t="shared" si="23"/>
        <v>19455278.327009231</v>
      </c>
      <c r="Y55" s="41">
        <f t="shared" si="24"/>
        <v>14547544.717545239</v>
      </c>
      <c r="Z55" s="41">
        <f t="shared" si="25"/>
        <v>4907733.6094639907</v>
      </c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</row>
    <row r="56" spans="1:64" x14ac:dyDescent="0.2">
      <c r="A56" s="7"/>
      <c r="B56" s="7"/>
      <c r="C56" s="7">
        <f t="shared" si="27"/>
        <v>2025</v>
      </c>
      <c r="D56" s="7">
        <f t="shared" si="28"/>
        <v>3</v>
      </c>
      <c r="E56" s="7">
        <v>203</v>
      </c>
      <c r="F56" s="123">
        <f>low_v2_m!D44+temporary_pension_bonus_low!B44</f>
        <v>22377589.5911212</v>
      </c>
      <c r="G56" s="123">
        <f>low_v2_m!E44+temporary_pension_bonus_low!B44</f>
        <v>21446537.559985399</v>
      </c>
      <c r="H56" s="41">
        <f t="shared" si="17"/>
        <v>21476054.094901308</v>
      </c>
      <c r="I56" s="41">
        <f t="shared" si="18"/>
        <v>20572048.128652103</v>
      </c>
      <c r="J56" s="123">
        <f>low_v2_m!J44</f>
        <v>901535.49621989299</v>
      </c>
      <c r="K56" s="123">
        <f>low_v2_m!K44</f>
        <v>874489.43133329705</v>
      </c>
      <c r="L56" s="41">
        <f t="shared" si="19"/>
        <v>904005.96624920517</v>
      </c>
      <c r="M56" s="41">
        <f t="shared" si="20"/>
        <v>27046.064886595937</v>
      </c>
      <c r="N56" s="123">
        <f>SUM(low_v5_m!C44:J44)</f>
        <v>2804765.1000123639</v>
      </c>
      <c r="O56" s="7"/>
      <c r="P56" s="7"/>
      <c r="Q56" s="41">
        <f t="shared" si="21"/>
        <v>113181339.06835923</v>
      </c>
      <c r="R56" s="41"/>
      <c r="S56" s="41"/>
      <c r="T56" s="7"/>
      <c r="U56" s="7"/>
      <c r="V56" s="41">
        <f t="shared" si="26"/>
        <v>4811182.8351004114</v>
      </c>
      <c r="W56" s="41">
        <f t="shared" si="22"/>
        <v>148799.46912681201</v>
      </c>
      <c r="X56" s="41">
        <f t="shared" si="23"/>
        <v>19527513.53867849</v>
      </c>
      <c r="Y56" s="41">
        <f t="shared" si="24"/>
        <v>14553939.437256489</v>
      </c>
      <c r="Z56" s="41">
        <f t="shared" si="25"/>
        <v>4973574.1014219988</v>
      </c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</row>
    <row r="57" spans="1:64" x14ac:dyDescent="0.2">
      <c r="A57" s="7"/>
      <c r="B57" s="7"/>
      <c r="C57" s="7">
        <f t="shared" si="27"/>
        <v>2025</v>
      </c>
      <c r="D57" s="7">
        <f t="shared" si="28"/>
        <v>4</v>
      </c>
      <c r="E57" s="7">
        <v>204</v>
      </c>
      <c r="F57" s="123">
        <f>low_v2_m!D45+temporary_pension_bonus_low!B45</f>
        <v>22590245.352066901</v>
      </c>
      <c r="G57" s="123">
        <f>low_v2_m!E45+temporary_pension_bonus_low!B45</f>
        <v>21649978.7389226</v>
      </c>
      <c r="H57" s="41">
        <f t="shared" si="17"/>
        <v>21595364.744647179</v>
      </c>
      <c r="I57" s="41">
        <f t="shared" si="18"/>
        <v>20684944.549725473</v>
      </c>
      <c r="J57" s="123">
        <f>low_v2_m!J45</f>
        <v>994880.60741972004</v>
      </c>
      <c r="K57" s="123">
        <f>low_v2_m!K45</f>
        <v>965034.18919712806</v>
      </c>
      <c r="L57" s="41">
        <f t="shared" si="19"/>
        <v>910420.19492170587</v>
      </c>
      <c r="M57" s="41">
        <f t="shared" si="20"/>
        <v>29846.418222591979</v>
      </c>
      <c r="N57" s="123">
        <f>SUM(low_v5_m!C45:J45)</f>
        <v>2828906.3926469926</v>
      </c>
      <c r="O57" s="7"/>
      <c r="P57" s="7"/>
      <c r="Q57" s="41">
        <f t="shared" si="21"/>
        <v>113802461.86727552</v>
      </c>
      <c r="R57" s="41"/>
      <c r="S57" s="41"/>
      <c r="T57" s="7"/>
      <c r="U57" s="7"/>
      <c r="V57" s="41">
        <f t="shared" si="26"/>
        <v>5309333.377844654</v>
      </c>
      <c r="W57" s="41">
        <f t="shared" si="22"/>
        <v>164206.18694365126</v>
      </c>
      <c r="X57" s="41">
        <f t="shared" si="23"/>
        <v>19688072.014575135</v>
      </c>
      <c r="Y57" s="41">
        <f t="shared" si="24"/>
        <v>14679208.719500454</v>
      </c>
      <c r="Z57" s="41">
        <f t="shared" si="25"/>
        <v>5008863.2950746808</v>
      </c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</row>
    <row r="58" spans="1:64" x14ac:dyDescent="0.2">
      <c r="A58" s="119"/>
      <c r="B58" s="5"/>
      <c r="C58" s="119">
        <f t="shared" si="27"/>
        <v>2026</v>
      </c>
      <c r="D58" s="119">
        <f t="shared" si="28"/>
        <v>1</v>
      </c>
      <c r="E58" s="119">
        <v>205</v>
      </c>
      <c r="F58" s="121">
        <f>low_v2_m!D46+temporary_pension_bonus_low!B46</f>
        <v>22718060.765985601</v>
      </c>
      <c r="G58" s="121">
        <f>low_v2_m!E46+temporary_pension_bonus_low!B46</f>
        <v>21772383.964990102</v>
      </c>
      <c r="H58" s="8">
        <f t="shared" si="17"/>
        <v>21650631.446932431</v>
      </c>
      <c r="I58" s="8">
        <f t="shared" si="18"/>
        <v>20736977.52550853</v>
      </c>
      <c r="J58" s="121">
        <f>low_v2_m!J46</f>
        <v>1067429.31905317</v>
      </c>
      <c r="K58" s="121">
        <f>low_v2_m!K46</f>
        <v>1035406.43948157</v>
      </c>
      <c r="L58" s="8">
        <f t="shared" si="19"/>
        <v>913653.92142390087</v>
      </c>
      <c r="M58" s="8">
        <f t="shared" si="20"/>
        <v>32022.879571600002</v>
      </c>
      <c r="N58" s="121">
        <f>SUM(low_v5_m!C46:J46)</f>
        <v>3414116.6817726847</v>
      </c>
      <c r="O58" s="5"/>
      <c r="P58" s="5"/>
      <c r="Q58" s="8">
        <f t="shared" si="21"/>
        <v>114088731.94782408</v>
      </c>
      <c r="R58" s="8"/>
      <c r="S58" s="8"/>
      <c r="T58" s="5"/>
      <c r="U58" s="5"/>
      <c r="V58" s="8">
        <f t="shared" si="26"/>
        <v>5696500.7357390644</v>
      </c>
      <c r="W58" s="8">
        <f t="shared" si="22"/>
        <v>176180.43512597823</v>
      </c>
      <c r="X58" s="8">
        <f t="shared" si="23"/>
        <v>22742521.995932534</v>
      </c>
      <c r="Y58" s="8">
        <f t="shared" si="24"/>
        <v>17715867.691746343</v>
      </c>
      <c r="Z58" s="8">
        <f t="shared" si="25"/>
        <v>5026654.3041861905</v>
      </c>
      <c r="AA58" s="119"/>
      <c r="AB58" s="119"/>
      <c r="AC58" s="119"/>
      <c r="AD58" s="119"/>
      <c r="AE58" s="119"/>
      <c r="AF58" s="119"/>
      <c r="AG58" s="119"/>
      <c r="AH58" s="119"/>
      <c r="AI58" s="119"/>
      <c r="AJ58" s="119"/>
      <c r="AK58" s="119"/>
      <c r="AL58" s="119"/>
      <c r="AM58" s="119"/>
      <c r="AN58" s="119"/>
      <c r="AO58" s="119"/>
      <c r="AP58" s="119"/>
      <c r="AQ58" s="119"/>
      <c r="AR58" s="119"/>
      <c r="AS58" s="119"/>
      <c r="AT58" s="119"/>
      <c r="AU58" s="119"/>
      <c r="AV58" s="119"/>
      <c r="AW58" s="119"/>
      <c r="AX58" s="119"/>
      <c r="AY58" s="119"/>
      <c r="AZ58" s="119"/>
      <c r="BA58" s="119"/>
      <c r="BB58" s="119"/>
      <c r="BC58" s="119"/>
      <c r="BD58" s="119"/>
      <c r="BE58" s="119"/>
      <c r="BF58" s="119"/>
      <c r="BG58" s="119"/>
      <c r="BH58" s="119"/>
      <c r="BI58" s="119"/>
      <c r="BJ58" s="119"/>
      <c r="BK58" s="119"/>
      <c r="BL58" s="119"/>
    </row>
    <row r="59" spans="1:64" x14ac:dyDescent="0.2">
      <c r="A59" s="7"/>
      <c r="B59" s="7"/>
      <c r="C59" s="7">
        <f t="shared" si="27"/>
        <v>2026</v>
      </c>
      <c r="D59" s="7">
        <f t="shared" si="28"/>
        <v>2</v>
      </c>
      <c r="E59" s="7">
        <v>206</v>
      </c>
      <c r="F59" s="123">
        <f>low_v2_m!D47+temporary_pension_bonus_low!B47</f>
        <v>22849548.208697401</v>
      </c>
      <c r="G59" s="123">
        <f>low_v2_m!E47+temporary_pension_bonus_low!B47</f>
        <v>21897735.082895301</v>
      </c>
      <c r="H59" s="41">
        <f t="shared" si="17"/>
        <v>21687188.817578699</v>
      </c>
      <c r="I59" s="41">
        <f t="shared" si="18"/>
        <v>20770246.473510161</v>
      </c>
      <c r="J59" s="123">
        <f>low_v2_m!J47</f>
        <v>1162359.3911186999</v>
      </c>
      <c r="K59" s="123">
        <f>low_v2_m!K47</f>
        <v>1127488.60938514</v>
      </c>
      <c r="L59" s="41">
        <f t="shared" si="19"/>
        <v>916942.3440685384</v>
      </c>
      <c r="M59" s="41">
        <f t="shared" si="20"/>
        <v>34870.78173355991</v>
      </c>
      <c r="N59" s="123">
        <f>SUM(low_v5_m!C47:J47)</f>
        <v>2815084.5545920539</v>
      </c>
      <c r="O59" s="7"/>
      <c r="P59" s="7"/>
      <c r="Q59" s="41">
        <f t="shared" si="21"/>
        <v>114271767.88380246</v>
      </c>
      <c r="R59" s="41"/>
      <c r="S59" s="41"/>
      <c r="T59" s="7"/>
      <c r="U59" s="7"/>
      <c r="V59" s="41">
        <f t="shared" si="26"/>
        <v>6203109.6659160648</v>
      </c>
      <c r="W59" s="41">
        <f t="shared" si="22"/>
        <v>191848.75255409893</v>
      </c>
      <c r="X59" s="41">
        <f t="shared" si="23"/>
        <v>19652233.371462572</v>
      </c>
      <c r="Y59" s="41">
        <f t="shared" si="24"/>
        <v>14607487.136127124</v>
      </c>
      <c r="Z59" s="41">
        <f t="shared" si="25"/>
        <v>5044746.2353354478</v>
      </c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</row>
    <row r="60" spans="1:64" x14ac:dyDescent="0.2">
      <c r="A60" s="7"/>
      <c r="B60" s="7"/>
      <c r="C60" s="7">
        <f t="shared" si="27"/>
        <v>2026</v>
      </c>
      <c r="D60" s="7">
        <f t="shared" si="28"/>
        <v>3</v>
      </c>
      <c r="E60" s="7">
        <v>207</v>
      </c>
      <c r="F60" s="123">
        <f>low_v2_m!D48+temporary_pension_bonus_low!B48</f>
        <v>22936383.608121902</v>
      </c>
      <c r="G60" s="123">
        <f>low_v2_m!E48+temporary_pension_bonus_low!B48</f>
        <v>21980574.657052699</v>
      </c>
      <c r="H60" s="41">
        <f t="shared" si="17"/>
        <v>21704388.385517024</v>
      </c>
      <c r="I60" s="41">
        <f t="shared" si="18"/>
        <v>20785539.291125968</v>
      </c>
      <c r="J60" s="123">
        <f>low_v2_m!J48</f>
        <v>1231995.2226048801</v>
      </c>
      <c r="K60" s="123">
        <f>low_v2_m!K48</f>
        <v>1195035.36592673</v>
      </c>
      <c r="L60" s="41">
        <f t="shared" si="19"/>
        <v>918849.09439105541</v>
      </c>
      <c r="M60" s="41">
        <f t="shared" si="20"/>
        <v>36959.856678150129</v>
      </c>
      <c r="N60" s="123">
        <f>SUM(low_v5_m!C48:J48)</f>
        <v>2781515.4462036062</v>
      </c>
      <c r="O60" s="7"/>
      <c r="P60" s="7"/>
      <c r="Q60" s="41">
        <f t="shared" si="21"/>
        <v>114355904.45421396</v>
      </c>
      <c r="R60" s="41"/>
      <c r="S60" s="41"/>
      <c r="T60" s="7"/>
      <c r="U60" s="7"/>
      <c r="V60" s="41">
        <f t="shared" si="26"/>
        <v>6574731.9908927325</v>
      </c>
      <c r="W60" s="41">
        <f t="shared" si="22"/>
        <v>203342.22652247679</v>
      </c>
      <c r="X60" s="41">
        <f t="shared" si="23"/>
        <v>19488533.486146279</v>
      </c>
      <c r="Y60" s="41">
        <f t="shared" si="24"/>
        <v>14433296.873118641</v>
      </c>
      <c r="Z60" s="41">
        <f t="shared" si="25"/>
        <v>5055236.6130276397</v>
      </c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</row>
    <row r="61" spans="1:64" x14ac:dyDescent="0.2">
      <c r="A61" s="7"/>
      <c r="B61" s="7"/>
      <c r="C61" s="7">
        <f t="shared" si="27"/>
        <v>2026</v>
      </c>
      <c r="D61" s="7">
        <f t="shared" si="28"/>
        <v>4</v>
      </c>
      <c r="E61" s="7">
        <v>208</v>
      </c>
      <c r="F61" s="123">
        <f>low_v2_m!D49+temporary_pension_bonus_low!B49</f>
        <v>23139231.736041401</v>
      </c>
      <c r="G61" s="123">
        <f>low_v2_m!E49+temporary_pension_bonus_low!B49</f>
        <v>22172649.526617698</v>
      </c>
      <c r="H61" s="41">
        <f t="shared" si="17"/>
        <v>21870117.104540199</v>
      </c>
      <c r="I61" s="41">
        <f t="shared" si="18"/>
        <v>20941608.334061537</v>
      </c>
      <c r="J61" s="123">
        <f>low_v2_m!J49</f>
        <v>1269114.6315011999</v>
      </c>
      <c r="K61" s="123">
        <f>low_v2_m!K49</f>
        <v>1231041.19255616</v>
      </c>
      <c r="L61" s="41">
        <f t="shared" si="19"/>
        <v>928508.7704786621</v>
      </c>
      <c r="M61" s="41">
        <f t="shared" si="20"/>
        <v>38073.438945039874</v>
      </c>
      <c r="N61" s="123">
        <f>SUM(low_v5_m!C49:J49)</f>
        <v>2753324.917931797</v>
      </c>
      <c r="O61" s="7"/>
      <c r="P61" s="7"/>
      <c r="Q61" s="41">
        <f t="shared" si="21"/>
        <v>115214550.28063332</v>
      </c>
      <c r="R61" s="41"/>
      <c r="S61" s="41"/>
      <c r="T61" s="7"/>
      <c r="U61" s="7"/>
      <c r="V61" s="41">
        <f t="shared" si="26"/>
        <v>6772825.4255715236</v>
      </c>
      <c r="W61" s="41">
        <f t="shared" si="22"/>
        <v>209468.82759501756</v>
      </c>
      <c r="X61" s="41">
        <f t="shared" si="23"/>
        <v>19395397.38870053</v>
      </c>
      <c r="Y61" s="41">
        <f t="shared" si="24"/>
        <v>14287016.08790409</v>
      </c>
      <c r="Z61" s="41">
        <f t="shared" si="25"/>
        <v>5108381.3007964389</v>
      </c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</row>
    <row r="62" spans="1:64" x14ac:dyDescent="0.2">
      <c r="A62" s="119"/>
      <c r="B62" s="5"/>
      <c r="C62" s="119">
        <f t="shared" si="27"/>
        <v>2027</v>
      </c>
      <c r="D62" s="119">
        <f t="shared" si="28"/>
        <v>1</v>
      </c>
      <c r="E62" s="119">
        <v>209</v>
      </c>
      <c r="F62" s="121">
        <f>low_v2_m!D50+temporary_pension_bonus_low!B50</f>
        <v>23283482.727816701</v>
      </c>
      <c r="G62" s="121">
        <f>low_v2_m!E50+temporary_pension_bonus_low!B50</f>
        <v>22309714.833934899</v>
      </c>
      <c r="H62" s="8">
        <f t="shared" si="17"/>
        <v>21915632.306338042</v>
      </c>
      <c r="I62" s="8">
        <f t="shared" si="18"/>
        <v>20982899.925100598</v>
      </c>
      <c r="J62" s="121">
        <f>low_v2_m!J50</f>
        <v>1367850.4214786601</v>
      </c>
      <c r="K62" s="121">
        <f>low_v2_m!K50</f>
        <v>1326814.9088343</v>
      </c>
      <c r="L62" s="8">
        <f t="shared" si="19"/>
        <v>932732.38123744354</v>
      </c>
      <c r="M62" s="8">
        <f t="shared" si="20"/>
        <v>41035.512644360075</v>
      </c>
      <c r="N62" s="121">
        <f>SUM(low_v5_m!C50:J50)</f>
        <v>3392807.3938551042</v>
      </c>
      <c r="O62" s="5"/>
      <c r="P62" s="5"/>
      <c r="Q62" s="8">
        <f t="shared" si="21"/>
        <v>115441724.43154126</v>
      </c>
      <c r="R62" s="8"/>
      <c r="S62" s="8"/>
      <c r="T62" s="5"/>
      <c r="U62" s="5"/>
      <c r="V62" s="8">
        <f t="shared" si="26"/>
        <v>7299744.1547191413</v>
      </c>
      <c r="W62" s="8">
        <f t="shared" si="22"/>
        <v>225765.28313564509</v>
      </c>
      <c r="X62" s="8">
        <f t="shared" si="23"/>
        <v>22736912.056466538</v>
      </c>
      <c r="Y62" s="8">
        <f t="shared" si="24"/>
        <v>17605293.695441924</v>
      </c>
      <c r="Z62" s="8">
        <f t="shared" si="25"/>
        <v>5131618.3610246144</v>
      </c>
      <c r="AA62" s="119"/>
      <c r="AB62" s="119"/>
      <c r="AC62" s="119"/>
      <c r="AD62" s="119"/>
      <c r="AE62" s="119"/>
      <c r="AF62" s="119"/>
      <c r="AG62" s="119"/>
      <c r="AH62" s="119"/>
      <c r="AI62" s="119"/>
      <c r="AJ62" s="119"/>
      <c r="AK62" s="119"/>
      <c r="AL62" s="119"/>
      <c r="AM62" s="119"/>
      <c r="AN62" s="119"/>
      <c r="AO62" s="119"/>
      <c r="AP62" s="119"/>
      <c r="AQ62" s="119"/>
      <c r="AR62" s="119"/>
      <c r="AS62" s="119"/>
      <c r="AT62" s="119"/>
      <c r="AU62" s="119"/>
      <c r="AV62" s="119"/>
      <c r="AW62" s="119"/>
      <c r="AX62" s="119"/>
      <c r="AY62" s="119"/>
      <c r="AZ62" s="119"/>
      <c r="BA62" s="119"/>
      <c r="BB62" s="119"/>
      <c r="BC62" s="119"/>
      <c r="BD62" s="119"/>
      <c r="BE62" s="119"/>
      <c r="BF62" s="119"/>
      <c r="BG62" s="119"/>
      <c r="BH62" s="119"/>
      <c r="BI62" s="119"/>
      <c r="BJ62" s="119"/>
      <c r="BK62" s="119"/>
      <c r="BL62" s="119"/>
    </row>
    <row r="63" spans="1:64" x14ac:dyDescent="0.2">
      <c r="A63" s="7"/>
      <c r="B63" s="7"/>
      <c r="C63" s="7">
        <f t="shared" si="27"/>
        <v>2027</v>
      </c>
      <c r="D63" s="7">
        <f t="shared" si="28"/>
        <v>2</v>
      </c>
      <c r="E63" s="7">
        <v>210</v>
      </c>
      <c r="F63" s="123">
        <f>low_v2_m!D51+temporary_pension_bonus_low!B51</f>
        <v>23304682.078816101</v>
      </c>
      <c r="G63" s="123">
        <f>low_v2_m!E51+temporary_pension_bonus_low!B51</f>
        <v>22329843.224374998</v>
      </c>
      <c r="H63" s="41">
        <f t="shared" si="17"/>
        <v>21908402.554228261</v>
      </c>
      <c r="I63" s="41">
        <f t="shared" si="18"/>
        <v>20975452.08552479</v>
      </c>
      <c r="J63" s="123">
        <f>low_v2_m!J51</f>
        <v>1396279.5245878401</v>
      </c>
      <c r="K63" s="123">
        <f>low_v2_m!K51</f>
        <v>1354391.13885021</v>
      </c>
      <c r="L63" s="41">
        <f t="shared" si="19"/>
        <v>932950.46870347112</v>
      </c>
      <c r="M63" s="41">
        <f t="shared" si="20"/>
        <v>41888.385737630073</v>
      </c>
      <c r="N63" s="123">
        <f>SUM(low_v5_m!C51:J51)</f>
        <v>2748150.171882262</v>
      </c>
      <c r="O63" s="7"/>
      <c r="P63" s="7"/>
      <c r="Q63" s="41">
        <f t="shared" si="21"/>
        <v>115400748.6156631</v>
      </c>
      <c r="R63" s="41"/>
      <c r="S63" s="41"/>
      <c r="T63" s="7"/>
      <c r="U63" s="7"/>
      <c r="V63" s="41">
        <f t="shared" si="26"/>
        <v>7451460.435963437</v>
      </c>
      <c r="W63" s="41">
        <f t="shared" si="22"/>
        <v>230457.53925657205</v>
      </c>
      <c r="X63" s="41">
        <f t="shared" si="23"/>
        <v>19392982.519969836</v>
      </c>
      <c r="Y63" s="41">
        <f t="shared" si="24"/>
        <v>14260164.306053344</v>
      </c>
      <c r="Z63" s="41">
        <f t="shared" si="25"/>
        <v>5132818.2139164936</v>
      </c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</row>
    <row r="64" spans="1:64" x14ac:dyDescent="0.2">
      <c r="A64" s="7"/>
      <c r="B64" s="7"/>
      <c r="C64" s="7">
        <f t="shared" si="27"/>
        <v>2027</v>
      </c>
      <c r="D64" s="7">
        <f t="shared" si="28"/>
        <v>3</v>
      </c>
      <c r="E64" s="7">
        <v>211</v>
      </c>
      <c r="F64" s="123">
        <f>low_v2_m!D52+temporary_pension_bonus_low!B52</f>
        <v>23424884.594599999</v>
      </c>
      <c r="G64" s="123">
        <f>low_v2_m!E52+temporary_pension_bonus_low!B52</f>
        <v>22443778.265726201</v>
      </c>
      <c r="H64" s="41">
        <f t="shared" si="17"/>
        <v>21951436.27094344</v>
      </c>
      <c r="I64" s="41">
        <f t="shared" si="18"/>
        <v>21014533.391779341</v>
      </c>
      <c r="J64" s="123">
        <f>low_v2_m!J52</f>
        <v>1473448.3236565599</v>
      </c>
      <c r="K64" s="123">
        <f>low_v2_m!K52</f>
        <v>1429244.87394686</v>
      </c>
      <c r="L64" s="41">
        <f t="shared" si="19"/>
        <v>936902.87916409969</v>
      </c>
      <c r="M64" s="41">
        <f t="shared" si="20"/>
        <v>44203.449709699955</v>
      </c>
      <c r="N64" s="123">
        <f>SUM(low_v5_m!C52:J52)</f>
        <v>2747938.5480801081</v>
      </c>
      <c r="O64" s="7"/>
      <c r="P64" s="7"/>
      <c r="Q64" s="41">
        <f t="shared" si="21"/>
        <v>115615762.43182611</v>
      </c>
      <c r="R64" s="41"/>
      <c r="S64" s="41"/>
      <c r="T64" s="7"/>
      <c r="U64" s="7"/>
      <c r="V64" s="41">
        <f t="shared" si="26"/>
        <v>7863283.6010428285</v>
      </c>
      <c r="W64" s="41">
        <f t="shared" si="22"/>
        <v>243194.33817660023</v>
      </c>
      <c r="X64" s="41">
        <f t="shared" si="23"/>
        <v>19413629.399259206</v>
      </c>
      <c r="Y64" s="41">
        <f t="shared" si="24"/>
        <v>14259066.189137951</v>
      </c>
      <c r="Z64" s="41">
        <f t="shared" si="25"/>
        <v>5154563.2101212554</v>
      </c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</row>
    <row r="65" spans="1:64" x14ac:dyDescent="0.2">
      <c r="A65" s="7"/>
      <c r="B65" s="7"/>
      <c r="C65" s="7">
        <f t="shared" si="27"/>
        <v>2027</v>
      </c>
      <c r="D65" s="7">
        <f t="shared" si="28"/>
        <v>4</v>
      </c>
      <c r="E65" s="7">
        <v>212</v>
      </c>
      <c r="F65" s="123">
        <f>low_v2_m!D53+temporary_pension_bonus_low!B53</f>
        <v>23588052.149258099</v>
      </c>
      <c r="G65" s="123">
        <f>low_v2_m!E53+temporary_pension_bonus_low!B53</f>
        <v>22599454.307613399</v>
      </c>
      <c r="H65" s="41">
        <f t="shared" si="17"/>
        <v>22030476.964779101</v>
      </c>
      <c r="I65" s="41">
        <f t="shared" si="18"/>
        <v>21088606.37866877</v>
      </c>
      <c r="J65" s="123">
        <f>low_v2_m!J53</f>
        <v>1557575.184479</v>
      </c>
      <c r="K65" s="123">
        <f>low_v2_m!K53</f>
        <v>1510847.9289446301</v>
      </c>
      <c r="L65" s="41">
        <f t="shared" si="19"/>
        <v>941870.58611033112</v>
      </c>
      <c r="M65" s="41">
        <f t="shared" si="20"/>
        <v>46727.255534369964</v>
      </c>
      <c r="N65" s="123">
        <f>SUM(low_v5_m!C53:J53)</f>
        <v>2782078.5310808993</v>
      </c>
      <c r="O65" s="7"/>
      <c r="P65" s="7"/>
      <c r="Q65" s="41">
        <f t="shared" si="21"/>
        <v>116023290.15062734</v>
      </c>
      <c r="R65" s="41"/>
      <c r="S65" s="41"/>
      <c r="T65" s="7"/>
      <c r="U65" s="7"/>
      <c r="V65" s="41">
        <f t="shared" si="26"/>
        <v>8312239.5328468699</v>
      </c>
      <c r="W65" s="41">
        <f t="shared" si="22"/>
        <v>257079.5731808308</v>
      </c>
      <c r="X65" s="41">
        <f t="shared" si="23"/>
        <v>19618112.791252621</v>
      </c>
      <c r="Y65" s="41">
        <f t="shared" si="24"/>
        <v>14436218.723223707</v>
      </c>
      <c r="Z65" s="41">
        <f t="shared" si="25"/>
        <v>5181894.0680289119</v>
      </c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</row>
    <row r="66" spans="1:64" x14ac:dyDescent="0.2">
      <c r="A66" s="119"/>
      <c r="B66" s="5"/>
      <c r="C66" s="119">
        <f t="shared" si="27"/>
        <v>2028</v>
      </c>
      <c r="D66" s="119">
        <f t="shared" si="28"/>
        <v>1</v>
      </c>
      <c r="E66" s="119">
        <v>213</v>
      </c>
      <c r="F66" s="121">
        <f>low_v2_m!D54+temporary_pension_bonus_low!B54</f>
        <v>23752749.735629901</v>
      </c>
      <c r="G66" s="121">
        <f>low_v2_m!E54+temporary_pension_bonus_low!B54</f>
        <v>22756128.5022076</v>
      </c>
      <c r="H66" s="8">
        <f t="shared" si="17"/>
        <v>22108097.937987283</v>
      </c>
      <c r="I66" s="8">
        <f t="shared" si="18"/>
        <v>21160816.258494258</v>
      </c>
      <c r="J66" s="121">
        <f>low_v2_m!J54</f>
        <v>1644651.79764262</v>
      </c>
      <c r="K66" s="121">
        <f>low_v2_m!K54</f>
        <v>1595312.24371334</v>
      </c>
      <c r="L66" s="8">
        <f t="shared" si="19"/>
        <v>947281.67949302495</v>
      </c>
      <c r="M66" s="8">
        <f t="shared" si="20"/>
        <v>49339.553929280024</v>
      </c>
      <c r="N66" s="121">
        <f>SUM(low_v5_m!C54:J54)</f>
        <v>3329532.1157018035</v>
      </c>
      <c r="O66" s="5"/>
      <c r="P66" s="5"/>
      <c r="Q66" s="8">
        <f t="shared" si="21"/>
        <v>116420567.60406822</v>
      </c>
      <c r="R66" s="8"/>
      <c r="S66" s="8"/>
      <c r="T66" s="5"/>
      <c r="U66" s="5"/>
      <c r="V66" s="8">
        <f t="shared" si="26"/>
        <v>8776937.2717025075</v>
      </c>
      <c r="W66" s="8">
        <f t="shared" si="22"/>
        <v>271451.66819699283</v>
      </c>
      <c r="X66" s="8">
        <f t="shared" si="23"/>
        <v>22488622.28359627</v>
      </c>
      <c r="Y66" s="8">
        <f t="shared" si="24"/>
        <v>17276957.976306431</v>
      </c>
      <c r="Z66" s="8">
        <f t="shared" si="25"/>
        <v>5211664.3072898369</v>
      </c>
      <c r="AA66" s="119"/>
      <c r="AB66" s="119"/>
      <c r="AC66" s="119"/>
      <c r="AD66" s="119"/>
      <c r="AE66" s="119"/>
      <c r="AF66" s="119"/>
      <c r="AG66" s="119"/>
      <c r="AH66" s="119"/>
      <c r="AI66" s="119"/>
      <c r="AJ66" s="119"/>
      <c r="AK66" s="119"/>
      <c r="AL66" s="119"/>
      <c r="AM66" s="119"/>
      <c r="AN66" s="119"/>
      <c r="AO66" s="119"/>
      <c r="AP66" s="119"/>
      <c r="AQ66" s="119"/>
      <c r="AR66" s="119"/>
      <c r="AS66" s="119"/>
      <c r="AT66" s="119"/>
      <c r="AU66" s="119"/>
      <c r="AV66" s="119"/>
      <c r="AW66" s="119"/>
      <c r="AX66" s="119"/>
      <c r="AY66" s="119"/>
      <c r="AZ66" s="119"/>
      <c r="BA66" s="119"/>
      <c r="BB66" s="119"/>
      <c r="BC66" s="119"/>
      <c r="BD66" s="119"/>
      <c r="BE66" s="119"/>
      <c r="BF66" s="119"/>
      <c r="BG66" s="119"/>
      <c r="BH66" s="119"/>
      <c r="BI66" s="119"/>
      <c r="BJ66" s="119"/>
      <c r="BK66" s="119"/>
      <c r="BL66" s="119"/>
    </row>
    <row r="67" spans="1:64" x14ac:dyDescent="0.2">
      <c r="A67" s="7"/>
      <c r="B67" s="7"/>
      <c r="C67" s="7">
        <f t="shared" si="27"/>
        <v>2028</v>
      </c>
      <c r="D67" s="7">
        <f t="shared" si="28"/>
        <v>2</v>
      </c>
      <c r="E67" s="7">
        <v>214</v>
      </c>
      <c r="F67" s="123">
        <f>low_v2_m!D55+temporary_pension_bonus_low!B55</f>
        <v>23884471.936474301</v>
      </c>
      <c r="G67" s="123">
        <f>low_v2_m!E55+temporary_pension_bonus_low!B55</f>
        <v>22881664.8077516</v>
      </c>
      <c r="H67" s="41">
        <f t="shared" si="17"/>
        <v>22184045.051175952</v>
      </c>
      <c r="I67" s="41">
        <f t="shared" si="18"/>
        <v>21232250.729012199</v>
      </c>
      <c r="J67" s="123">
        <f>low_v2_m!J55</f>
        <v>1700426.8852983499</v>
      </c>
      <c r="K67" s="123">
        <f>low_v2_m!K55</f>
        <v>1649414.0787394</v>
      </c>
      <c r="L67" s="41">
        <f t="shared" si="19"/>
        <v>951794.32216375321</v>
      </c>
      <c r="M67" s="41">
        <f t="shared" si="20"/>
        <v>51012.806558949873</v>
      </c>
      <c r="N67" s="123">
        <f>SUM(low_v5_m!C55:J55)</f>
        <v>2684688.3661129517</v>
      </c>
      <c r="O67" s="7"/>
      <c r="P67" s="7"/>
      <c r="Q67" s="41">
        <f t="shared" si="21"/>
        <v>116813578.9842817</v>
      </c>
      <c r="R67" s="41"/>
      <c r="S67" s="41"/>
      <c r="T67" s="7"/>
      <c r="U67" s="7"/>
      <c r="V67" s="41">
        <f t="shared" si="26"/>
        <v>9074589.6053938996</v>
      </c>
      <c r="W67" s="41">
        <f t="shared" si="22"/>
        <v>280657.41047609644</v>
      </c>
      <c r="X67" s="41">
        <f t="shared" si="23"/>
        <v>19167352.230051003</v>
      </c>
      <c r="Y67" s="41">
        <f t="shared" si="24"/>
        <v>13930860.694231661</v>
      </c>
      <c r="Z67" s="41">
        <f t="shared" si="25"/>
        <v>5236491.5358193424</v>
      </c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</row>
    <row r="68" spans="1:64" x14ac:dyDescent="0.2">
      <c r="A68" s="7"/>
      <c r="B68" s="7"/>
      <c r="C68" s="7">
        <f t="shared" si="27"/>
        <v>2028</v>
      </c>
      <c r="D68" s="7">
        <f t="shared" si="28"/>
        <v>3</v>
      </c>
      <c r="E68" s="7">
        <v>215</v>
      </c>
      <c r="F68" s="123">
        <f>low_v2_m!D56+temporary_pension_bonus_low!B56</f>
        <v>24063735.7913303</v>
      </c>
      <c r="G68" s="123">
        <f>low_v2_m!E56+temporary_pension_bonus_low!B56</f>
        <v>23051603.091234699</v>
      </c>
      <c r="H68" s="41">
        <f t="shared" ref="H68:H99" si="29">F68-J68</f>
        <v>22302634.502343182</v>
      </c>
      <c r="I68" s="41">
        <f t="shared" ref="I68:I99" si="30">G68-K68</f>
        <v>21343334.840917189</v>
      </c>
      <c r="J68" s="123">
        <f>low_v2_m!J56</f>
        <v>1761101.2889871199</v>
      </c>
      <c r="K68" s="123">
        <f>low_v2_m!K56</f>
        <v>1708268.25031751</v>
      </c>
      <c r="L68" s="41">
        <f t="shared" ref="L68:L99" si="31">H68-I68</f>
        <v>959299.66142599285</v>
      </c>
      <c r="M68" s="41">
        <f t="shared" ref="M68:M99" si="32">J68-K68</f>
        <v>52833.03866960993</v>
      </c>
      <c r="N68" s="123">
        <f>SUM(low_v5_m!C56:J56)</f>
        <v>2678684.5817178297</v>
      </c>
      <c r="O68" s="7"/>
      <c r="P68" s="7"/>
      <c r="Q68" s="41">
        <f t="shared" ref="Q68:Q99" si="33">I68*5.5017049523</f>
        <v>117424730.99287122</v>
      </c>
      <c r="R68" s="41"/>
      <c r="S68" s="41"/>
      <c r="T68" s="7"/>
      <c r="U68" s="7"/>
      <c r="V68" s="41">
        <f t="shared" si="26"/>
        <v>9398387.8926287014</v>
      </c>
      <c r="W68" s="41">
        <f t="shared" si="22"/>
        <v>290671.79049365036</v>
      </c>
      <c r="X68" s="41">
        <f t="shared" si="23"/>
        <v>19177490.726471681</v>
      </c>
      <c r="Y68" s="41">
        <f t="shared" si="24"/>
        <v>13899707.028464582</v>
      </c>
      <c r="Z68" s="41">
        <f t="shared" si="25"/>
        <v>5277783.6980070984</v>
      </c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</row>
    <row r="69" spans="1:64" x14ac:dyDescent="0.2">
      <c r="A69" s="7"/>
      <c r="B69" s="7"/>
      <c r="C69" s="7">
        <f t="shared" si="27"/>
        <v>2028</v>
      </c>
      <c r="D69" s="7">
        <f t="shared" si="28"/>
        <v>4</v>
      </c>
      <c r="E69" s="7">
        <v>216</v>
      </c>
      <c r="F69" s="123">
        <f>low_v2_m!D57+temporary_pension_bonus_low!B57</f>
        <v>24253959.977298699</v>
      </c>
      <c r="G69" s="123">
        <f>low_v2_m!E57+temporary_pension_bonus_low!B57</f>
        <v>23232665.192338102</v>
      </c>
      <c r="H69" s="41">
        <f t="shared" si="29"/>
        <v>22394700.86818115</v>
      </c>
      <c r="I69" s="41">
        <f t="shared" si="30"/>
        <v>21429183.85649408</v>
      </c>
      <c r="J69" s="123">
        <f>low_v2_m!J57</f>
        <v>1859259.1091175501</v>
      </c>
      <c r="K69" s="123">
        <f>low_v2_m!K57</f>
        <v>1803481.3358440199</v>
      </c>
      <c r="L69" s="41">
        <f t="shared" si="31"/>
        <v>965517.01168707013</v>
      </c>
      <c r="M69" s="41">
        <f t="shared" si="32"/>
        <v>55777.773273530183</v>
      </c>
      <c r="N69" s="123">
        <f>SUM(low_v5_m!C57:J57)</f>
        <v>2627003.9704274535</v>
      </c>
      <c r="O69" s="7"/>
      <c r="P69" s="7"/>
      <c r="Q69" s="41">
        <f t="shared" si="33"/>
        <v>117897046.94702069</v>
      </c>
      <c r="R69" s="41"/>
      <c r="S69" s="41"/>
      <c r="T69" s="7"/>
      <c r="U69" s="7"/>
      <c r="V69" s="41">
        <f t="shared" si="26"/>
        <v>9922222.1967936642</v>
      </c>
      <c r="W69" s="41">
        <f t="shared" si="22"/>
        <v>306872.85144724761</v>
      </c>
      <c r="X69" s="41">
        <f t="shared" si="23"/>
        <v>18943525.81552818</v>
      </c>
      <c r="Y69" s="41">
        <f t="shared" si="24"/>
        <v>13631536.090799531</v>
      </c>
      <c r="Z69" s="41">
        <f t="shared" si="25"/>
        <v>5311989.7247286504</v>
      </c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</row>
    <row r="70" spans="1:64" x14ac:dyDescent="0.2">
      <c r="A70" s="119"/>
      <c r="B70" s="5"/>
      <c r="C70" s="119">
        <f t="shared" si="27"/>
        <v>2029</v>
      </c>
      <c r="D70" s="119">
        <f t="shared" si="28"/>
        <v>1</v>
      </c>
      <c r="E70" s="119">
        <v>217</v>
      </c>
      <c r="F70" s="121">
        <f>low_v2_m!D58+temporary_pension_bonus_low!B58</f>
        <v>24356242.9406223</v>
      </c>
      <c r="G70" s="121">
        <f>low_v2_m!E58+temporary_pension_bonus_low!B58</f>
        <v>23329833.4414078</v>
      </c>
      <c r="H70" s="8">
        <f t="shared" si="29"/>
        <v>22452842.161757778</v>
      </c>
      <c r="I70" s="8">
        <f t="shared" si="30"/>
        <v>21483534.685909212</v>
      </c>
      <c r="J70" s="121">
        <f>low_v2_m!J58</f>
        <v>1903400.7788645199</v>
      </c>
      <c r="K70" s="121">
        <f>low_v2_m!K58</f>
        <v>1846298.7554985899</v>
      </c>
      <c r="L70" s="8">
        <f t="shared" si="31"/>
        <v>969307.47584856674</v>
      </c>
      <c r="M70" s="8">
        <f t="shared" si="32"/>
        <v>57102.023365929956</v>
      </c>
      <c r="N70" s="121">
        <f>SUM(low_v5_m!C58:J58)</f>
        <v>3237652.6857314268</v>
      </c>
      <c r="O70" s="5"/>
      <c r="P70" s="5"/>
      <c r="Q70" s="8">
        <f t="shared" si="33"/>
        <v>118196069.17437553</v>
      </c>
      <c r="R70" s="8"/>
      <c r="S70" s="8"/>
      <c r="T70" s="5"/>
      <c r="U70" s="5"/>
      <c r="V70" s="8">
        <f t="shared" si="26"/>
        <v>10157791.00655192</v>
      </c>
      <c r="W70" s="8">
        <f t="shared" si="22"/>
        <v>314158.48473868717</v>
      </c>
      <c r="X70" s="8">
        <f t="shared" si="23"/>
        <v>22133038.917591181</v>
      </c>
      <c r="Y70" s="8">
        <f t="shared" si="24"/>
        <v>16800195.177413709</v>
      </c>
      <c r="Z70" s="8">
        <f t="shared" si="25"/>
        <v>5332843.7401774721</v>
      </c>
      <c r="AA70" s="119"/>
      <c r="AB70" s="119"/>
      <c r="AC70" s="119"/>
      <c r="AD70" s="119"/>
      <c r="AE70" s="119"/>
      <c r="AF70" s="119"/>
      <c r="AG70" s="119"/>
      <c r="AH70" s="119"/>
      <c r="AI70" s="119"/>
      <c r="AJ70" s="119"/>
      <c r="AK70" s="119"/>
      <c r="AL70" s="119"/>
      <c r="AM70" s="119"/>
      <c r="AN70" s="119"/>
      <c r="AO70" s="119"/>
      <c r="AP70" s="119"/>
      <c r="AQ70" s="119"/>
      <c r="AR70" s="119"/>
      <c r="AS70" s="119"/>
      <c r="AT70" s="119"/>
      <c r="AU70" s="119"/>
      <c r="AV70" s="119"/>
      <c r="AW70" s="119"/>
      <c r="AX70" s="119"/>
      <c r="AY70" s="119"/>
      <c r="AZ70" s="119"/>
      <c r="BA70" s="119"/>
      <c r="BB70" s="119"/>
      <c r="BC70" s="119"/>
      <c r="BD70" s="119"/>
      <c r="BE70" s="119"/>
      <c r="BF70" s="119"/>
      <c r="BG70" s="119"/>
      <c r="BH70" s="119"/>
      <c r="BI70" s="119"/>
      <c r="BJ70" s="119"/>
      <c r="BK70" s="119"/>
      <c r="BL70" s="119"/>
    </row>
    <row r="71" spans="1:64" x14ac:dyDescent="0.2">
      <c r="A71" s="7"/>
      <c r="B71" s="7"/>
      <c r="C71" s="7">
        <f t="shared" si="27"/>
        <v>2029</v>
      </c>
      <c r="D71" s="7">
        <f t="shared" si="28"/>
        <v>2</v>
      </c>
      <c r="E71" s="7">
        <v>218</v>
      </c>
      <c r="F71" s="123">
        <f>low_v2_m!D59+temporary_pension_bonus_low!B59</f>
        <v>24449477.032971799</v>
      </c>
      <c r="G71" s="123">
        <f>low_v2_m!E59+temporary_pension_bonus_low!B59</f>
        <v>23419411.062607799</v>
      </c>
      <c r="H71" s="41">
        <f t="shared" si="29"/>
        <v>22466987.323259138</v>
      </c>
      <c r="I71" s="41">
        <f t="shared" si="30"/>
        <v>21496396.044186518</v>
      </c>
      <c r="J71" s="123">
        <f>low_v2_m!J59</f>
        <v>1982489.7097126599</v>
      </c>
      <c r="K71" s="123">
        <f>low_v2_m!K59</f>
        <v>1923015.01842128</v>
      </c>
      <c r="L71" s="41">
        <f t="shared" si="31"/>
        <v>970591.27907261997</v>
      </c>
      <c r="M71" s="41">
        <f t="shared" si="32"/>
        <v>59474.691291379975</v>
      </c>
      <c r="N71" s="123">
        <f>SUM(low_v5_m!C59:J59)</f>
        <v>2639511.6447403277</v>
      </c>
      <c r="O71" s="7"/>
      <c r="P71" s="7"/>
      <c r="Q71" s="41">
        <f t="shared" si="33"/>
        <v>118266828.5729031</v>
      </c>
      <c r="R71" s="41"/>
      <c r="S71" s="41"/>
      <c r="T71" s="7"/>
      <c r="U71" s="7"/>
      <c r="V71" s="41">
        <f t="shared" si="26"/>
        <v>10579861.250195632</v>
      </c>
      <c r="W71" s="41">
        <f t="shared" si="22"/>
        <v>327212.20361429889</v>
      </c>
      <c r="X71" s="41">
        <f t="shared" si="23"/>
        <v>19036345.319001041</v>
      </c>
      <c r="Y71" s="41">
        <f t="shared" si="24"/>
        <v>13696438.472268017</v>
      </c>
      <c r="Z71" s="41">
        <f t="shared" si="25"/>
        <v>5339906.8467330243</v>
      </c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</row>
    <row r="72" spans="1:64" x14ac:dyDescent="0.2">
      <c r="A72" s="7"/>
      <c r="B72" s="7"/>
      <c r="C72" s="7">
        <f t="shared" si="27"/>
        <v>2029</v>
      </c>
      <c r="D72" s="7">
        <f t="shared" si="28"/>
        <v>3</v>
      </c>
      <c r="E72" s="7">
        <v>219</v>
      </c>
      <c r="F72" s="123">
        <f>low_v2_m!D60+temporary_pension_bonus_low!B60</f>
        <v>24646377.394094199</v>
      </c>
      <c r="G72" s="123">
        <f>low_v2_m!E60+temporary_pension_bonus_low!B60</f>
        <v>23606803.921482399</v>
      </c>
      <c r="H72" s="41">
        <f t="shared" si="29"/>
        <v>22637449.77692657</v>
      </c>
      <c r="I72" s="41">
        <f t="shared" si="30"/>
        <v>21658144.1328298</v>
      </c>
      <c r="J72" s="123">
        <f>low_v2_m!J60</f>
        <v>2008927.61716763</v>
      </c>
      <c r="K72" s="123">
        <f>low_v2_m!K60</f>
        <v>1948659.7886526</v>
      </c>
      <c r="L72" s="41">
        <f t="shared" si="31"/>
        <v>979305.64409676939</v>
      </c>
      <c r="M72" s="41">
        <f t="shared" si="32"/>
        <v>60267.828515029978</v>
      </c>
      <c r="N72" s="123">
        <f>SUM(low_v5_m!C60:J60)</f>
        <v>2673470.4036585344</v>
      </c>
      <c r="O72" s="7"/>
      <c r="P72" s="7"/>
      <c r="Q72" s="41">
        <f t="shared" si="33"/>
        <v>119156718.83321691</v>
      </c>
      <c r="R72" s="41"/>
      <c r="S72" s="41"/>
      <c r="T72" s="7"/>
      <c r="U72" s="7"/>
      <c r="V72" s="41">
        <f t="shared" si="26"/>
        <v>10720951.209577881</v>
      </c>
      <c r="W72" s="41">
        <f t="shared" si="22"/>
        <v>331575.81060550758</v>
      </c>
      <c r="X72" s="41">
        <f t="shared" si="23"/>
        <v>19260501.345670279</v>
      </c>
      <c r="Y72" s="41">
        <f t="shared" si="24"/>
        <v>13872650.63372774</v>
      </c>
      <c r="Z72" s="41">
        <f t="shared" si="25"/>
        <v>5387850.7119425377</v>
      </c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</row>
    <row r="73" spans="1:64" x14ac:dyDescent="0.2">
      <c r="A73" s="7"/>
      <c r="B73" s="7"/>
      <c r="C73" s="7">
        <f t="shared" si="27"/>
        <v>2029</v>
      </c>
      <c r="D73" s="7">
        <f t="shared" si="28"/>
        <v>4</v>
      </c>
      <c r="E73" s="7">
        <v>220</v>
      </c>
      <c r="F73" s="123">
        <f>low_v2_m!D61+temporary_pension_bonus_low!B61</f>
        <v>24654637.156212501</v>
      </c>
      <c r="G73" s="123">
        <f>low_v2_m!E61+temporary_pension_bonus_low!B61</f>
        <v>23615219.187172201</v>
      </c>
      <c r="H73" s="41">
        <f t="shared" si="29"/>
        <v>22578947.788246781</v>
      </c>
      <c r="I73" s="41">
        <f t="shared" si="30"/>
        <v>21601800.500245452</v>
      </c>
      <c r="J73" s="123">
        <f>low_v2_m!J61</f>
        <v>2075689.3679657199</v>
      </c>
      <c r="K73" s="123">
        <f>low_v2_m!K61</f>
        <v>2013418.68692675</v>
      </c>
      <c r="L73" s="41">
        <f t="shared" si="31"/>
        <v>977147.28800132871</v>
      </c>
      <c r="M73" s="41">
        <f t="shared" si="32"/>
        <v>62270.681038969895</v>
      </c>
      <c r="N73" s="123">
        <f>SUM(low_v5_m!C61:J61)</f>
        <v>2642647.7288186671</v>
      </c>
      <c r="O73" s="7"/>
      <c r="P73" s="7"/>
      <c r="Q73" s="41">
        <f t="shared" si="33"/>
        <v>118846732.79079702</v>
      </c>
      <c r="R73" s="41"/>
      <c r="S73" s="41"/>
      <c r="T73" s="7"/>
      <c r="U73" s="7"/>
      <c r="V73" s="41">
        <f t="shared" si="26"/>
        <v>11077235.560918264</v>
      </c>
      <c r="W73" s="41">
        <f t="shared" si="22"/>
        <v>342594.91425519437</v>
      </c>
      <c r="X73" s="41">
        <f t="shared" si="23"/>
        <v>19088687.700982261</v>
      </c>
      <c r="Y73" s="41">
        <f t="shared" si="24"/>
        <v>13712711.627458837</v>
      </c>
      <c r="Z73" s="41">
        <f t="shared" si="25"/>
        <v>5375976.0735234246</v>
      </c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</row>
    <row r="74" spans="1:64" x14ac:dyDescent="0.2">
      <c r="A74" s="119"/>
      <c r="B74" s="5"/>
      <c r="C74" s="119">
        <f t="shared" si="27"/>
        <v>2030</v>
      </c>
      <c r="D74" s="119">
        <f t="shared" si="28"/>
        <v>1</v>
      </c>
      <c r="E74" s="119">
        <v>221</v>
      </c>
      <c r="F74" s="121">
        <f>low_v2_m!D62+temporary_pension_bonus_low!B62</f>
        <v>24798634.8284407</v>
      </c>
      <c r="G74" s="121">
        <f>low_v2_m!E62+temporary_pension_bonus_low!B62</f>
        <v>23752164.8917224</v>
      </c>
      <c r="H74" s="8">
        <f t="shared" si="29"/>
        <v>22652666.95988138</v>
      </c>
      <c r="I74" s="8">
        <f t="shared" si="30"/>
        <v>21670576.05921986</v>
      </c>
      <c r="J74" s="121">
        <f>low_v2_m!J62</f>
        <v>2145967.86855932</v>
      </c>
      <c r="K74" s="121">
        <f>low_v2_m!K62</f>
        <v>2081588.83250254</v>
      </c>
      <c r="L74" s="8">
        <f t="shared" si="31"/>
        <v>982090.90066152066</v>
      </c>
      <c r="M74" s="8">
        <f t="shared" si="32"/>
        <v>64379.036056780024</v>
      </c>
      <c r="N74" s="121">
        <f>SUM(low_v5_m!C62:J62)</f>
        <v>3151973.3004407166</v>
      </c>
      <c r="O74" s="5"/>
      <c r="P74" s="5"/>
      <c r="Q74" s="8">
        <f t="shared" si="33"/>
        <v>119225115.62420371</v>
      </c>
      <c r="R74" s="8"/>
      <c r="S74" s="8"/>
      <c r="T74" s="5"/>
      <c r="U74" s="5"/>
      <c r="V74" s="8">
        <f t="shared" si="26"/>
        <v>11452287.588431599</v>
      </c>
      <c r="W74" s="8">
        <f t="shared" si="22"/>
        <v>354194.46149788692</v>
      </c>
      <c r="X74" s="8">
        <f t="shared" si="23"/>
        <v>21758778.81161581</v>
      </c>
      <c r="Y74" s="8">
        <f t="shared" si="24"/>
        <v>16355604.439837554</v>
      </c>
      <c r="Z74" s="8">
        <f t="shared" si="25"/>
        <v>5403174.3717782553</v>
      </c>
      <c r="AA74" s="119"/>
      <c r="AB74" s="119"/>
      <c r="AC74" s="119"/>
      <c r="AD74" s="119"/>
      <c r="AE74" s="119"/>
      <c r="AF74" s="119"/>
      <c r="AG74" s="119"/>
      <c r="AH74" s="119"/>
      <c r="AI74" s="119"/>
      <c r="AJ74" s="119"/>
      <c r="AK74" s="119"/>
      <c r="AL74" s="119"/>
      <c r="AM74" s="119"/>
      <c r="AN74" s="119"/>
      <c r="AO74" s="119"/>
      <c r="AP74" s="119"/>
      <c r="AQ74" s="119"/>
      <c r="AR74" s="119"/>
      <c r="AS74" s="119"/>
      <c r="AT74" s="119"/>
      <c r="AU74" s="119"/>
      <c r="AV74" s="119"/>
      <c r="AW74" s="119"/>
      <c r="AX74" s="119"/>
      <c r="AY74" s="119"/>
      <c r="AZ74" s="119"/>
      <c r="BA74" s="119"/>
      <c r="BB74" s="119"/>
      <c r="BC74" s="119"/>
      <c r="BD74" s="119"/>
      <c r="BE74" s="119"/>
      <c r="BF74" s="119"/>
      <c r="BG74" s="119"/>
      <c r="BH74" s="119"/>
      <c r="BI74" s="119"/>
      <c r="BJ74" s="119"/>
      <c r="BK74" s="119"/>
      <c r="BL74" s="119"/>
    </row>
    <row r="75" spans="1:64" x14ac:dyDescent="0.2">
      <c r="A75" s="7"/>
      <c r="B75" s="7"/>
      <c r="C75" s="7">
        <f t="shared" si="27"/>
        <v>2030</v>
      </c>
      <c r="D75" s="7">
        <f t="shared" si="28"/>
        <v>2</v>
      </c>
      <c r="E75" s="7">
        <v>222</v>
      </c>
      <c r="F75" s="123">
        <f>low_v2_m!D63+temporary_pension_bonus_low!B63</f>
        <v>24899327.685959399</v>
      </c>
      <c r="G75" s="123">
        <f>low_v2_m!E63+temporary_pension_bonus_low!B63</f>
        <v>23848363.476178098</v>
      </c>
      <c r="H75" s="41">
        <f t="shared" si="29"/>
        <v>22696737.57725263</v>
      </c>
      <c r="I75" s="41">
        <f t="shared" si="30"/>
        <v>21711851.070732538</v>
      </c>
      <c r="J75" s="123">
        <f>low_v2_m!J63</f>
        <v>2202590.10870677</v>
      </c>
      <c r="K75" s="123">
        <f>low_v2_m!K63</f>
        <v>2136512.4054455599</v>
      </c>
      <c r="L75" s="41">
        <f t="shared" si="31"/>
        <v>984886.50652009249</v>
      </c>
      <c r="M75" s="41">
        <f t="shared" si="32"/>
        <v>66077.703261210117</v>
      </c>
      <c r="N75" s="123">
        <f>SUM(low_v5_m!C63:J63)</f>
        <v>2522670.734251081</v>
      </c>
      <c r="O75" s="7"/>
      <c r="P75" s="7"/>
      <c r="Q75" s="41">
        <f t="shared" si="33"/>
        <v>119452198.55944926</v>
      </c>
      <c r="R75" s="41"/>
      <c r="S75" s="41"/>
      <c r="T75" s="7"/>
      <c r="U75" s="7"/>
      <c r="V75" s="41">
        <f t="shared" si="26"/>
        <v>11754460.881690223</v>
      </c>
      <c r="W75" s="41">
        <f t="shared" si="22"/>
        <v>363540.02726880956</v>
      </c>
      <c r="X75" s="41">
        <f t="shared" si="23"/>
        <v>18508705.402676035</v>
      </c>
      <c r="Y75" s="41">
        <f t="shared" si="24"/>
        <v>13090150.432300996</v>
      </c>
      <c r="Z75" s="41">
        <f t="shared" si="25"/>
        <v>5418554.9703750387</v>
      </c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</row>
    <row r="76" spans="1:64" x14ac:dyDescent="0.2">
      <c r="A76" s="7"/>
      <c r="B76" s="7"/>
      <c r="C76" s="7">
        <f t="shared" si="27"/>
        <v>2030</v>
      </c>
      <c r="D76" s="7">
        <f t="shared" si="28"/>
        <v>3</v>
      </c>
      <c r="E76" s="7">
        <v>223</v>
      </c>
      <c r="F76" s="123">
        <f>low_v2_m!D64+temporary_pension_bonus_low!B64</f>
        <v>25039836.938676398</v>
      </c>
      <c r="G76" s="123">
        <f>low_v2_m!E64+temporary_pension_bonus_low!B64</f>
        <v>23981493.3996526</v>
      </c>
      <c r="H76" s="41">
        <f t="shared" si="29"/>
        <v>22801238.8206007</v>
      </c>
      <c r="I76" s="41">
        <f t="shared" si="30"/>
        <v>21810053.22511917</v>
      </c>
      <c r="J76" s="123">
        <f>low_v2_m!J64</f>
        <v>2238598.1180757</v>
      </c>
      <c r="K76" s="123">
        <f>low_v2_m!K64</f>
        <v>2171440.17453343</v>
      </c>
      <c r="L76" s="41">
        <f t="shared" si="31"/>
        <v>991185.59548152983</v>
      </c>
      <c r="M76" s="41">
        <f t="shared" si="32"/>
        <v>67157.94354226999</v>
      </c>
      <c r="N76" s="123">
        <f>SUM(low_v5_m!C64:J64)</f>
        <v>2567460.9132934939</v>
      </c>
      <c r="O76" s="7"/>
      <c r="P76" s="7"/>
      <c r="Q76" s="41">
        <f t="shared" si="33"/>
        <v>119992477.83856472</v>
      </c>
      <c r="R76" s="41"/>
      <c r="S76" s="41"/>
      <c r="T76" s="7"/>
      <c r="U76" s="7"/>
      <c r="V76" s="41">
        <f t="shared" si="26"/>
        <v>11946623.161853747</v>
      </c>
      <c r="W76" s="41">
        <f t="shared" si="22"/>
        <v>369483.19057279063</v>
      </c>
      <c r="X76" s="41">
        <f t="shared" si="23"/>
        <v>18775777.583584785</v>
      </c>
      <c r="Y76" s="41">
        <f t="shared" si="24"/>
        <v>13322566.88427563</v>
      </c>
      <c r="Z76" s="41">
        <f t="shared" si="25"/>
        <v>5453210.6993091572</v>
      </c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</row>
    <row r="77" spans="1:64" x14ac:dyDescent="0.2">
      <c r="A77" s="7"/>
      <c r="B77" s="7"/>
      <c r="C77" s="7">
        <f t="shared" si="27"/>
        <v>2030</v>
      </c>
      <c r="D77" s="7">
        <f t="shared" si="28"/>
        <v>4</v>
      </c>
      <c r="E77" s="7">
        <v>224</v>
      </c>
      <c r="F77" s="123">
        <f>low_v2_m!D65+temporary_pension_bonus_low!B65</f>
        <v>25173271.474553201</v>
      </c>
      <c r="G77" s="123">
        <f>low_v2_m!E65+temporary_pension_bonus_low!B65</f>
        <v>24108364.259585701</v>
      </c>
      <c r="H77" s="41">
        <f t="shared" si="29"/>
        <v>22888259.867919061</v>
      </c>
      <c r="I77" s="41">
        <f t="shared" si="30"/>
        <v>21891903.001150589</v>
      </c>
      <c r="J77" s="123">
        <f>low_v2_m!J65</f>
        <v>2285011.60663414</v>
      </c>
      <c r="K77" s="123">
        <f>low_v2_m!K65</f>
        <v>2216461.2584351101</v>
      </c>
      <c r="L77" s="41">
        <f t="shared" si="31"/>
        <v>996356.8667684719</v>
      </c>
      <c r="M77" s="41">
        <f t="shared" si="32"/>
        <v>68550.348199029919</v>
      </c>
      <c r="N77" s="123">
        <f>SUM(low_v5_m!C65:J65)</f>
        <v>2554396.3924474297</v>
      </c>
      <c r="O77" s="7"/>
      <c r="P77" s="7"/>
      <c r="Q77" s="41">
        <f t="shared" si="33"/>
        <v>120442791.15670143</v>
      </c>
      <c r="R77" s="41"/>
      <c r="S77" s="41"/>
      <c r="T77" s="7"/>
      <c r="U77" s="7"/>
      <c r="V77" s="41">
        <f t="shared" si="26"/>
        <v>12194315.882113535</v>
      </c>
      <c r="W77" s="41">
        <f t="shared" si="22"/>
        <v>377143.7901684923</v>
      </c>
      <c r="X77" s="41">
        <f t="shared" si="23"/>
        <v>18736436.531657495</v>
      </c>
      <c r="Y77" s="41">
        <f t="shared" si="24"/>
        <v>13254775.023499282</v>
      </c>
      <c r="Z77" s="41">
        <f t="shared" si="25"/>
        <v>5481661.5081582135</v>
      </c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</row>
    <row r="78" spans="1:64" x14ac:dyDescent="0.2">
      <c r="A78" s="119"/>
      <c r="B78" s="5"/>
      <c r="C78" s="119">
        <f t="shared" si="27"/>
        <v>2031</v>
      </c>
      <c r="D78" s="119">
        <f t="shared" si="28"/>
        <v>1</v>
      </c>
      <c r="E78" s="119">
        <v>225</v>
      </c>
      <c r="F78" s="121">
        <f>low_v2_m!D66+temporary_pension_bonus_low!B66</f>
        <v>25303343.183996901</v>
      </c>
      <c r="G78" s="121">
        <f>low_v2_m!E66+temporary_pension_bonus_low!B66</f>
        <v>24232581.548701499</v>
      </c>
      <c r="H78" s="8">
        <f t="shared" si="29"/>
        <v>22981516.164472111</v>
      </c>
      <c r="I78" s="8">
        <f t="shared" si="30"/>
        <v>21980409.339762457</v>
      </c>
      <c r="J78" s="121">
        <f>low_v2_m!J66</f>
        <v>2321827.0195247899</v>
      </c>
      <c r="K78" s="121">
        <f>low_v2_m!K66</f>
        <v>2252172.2089390401</v>
      </c>
      <c r="L78" s="8">
        <f t="shared" si="31"/>
        <v>1001106.8247096539</v>
      </c>
      <c r="M78" s="8">
        <f t="shared" si="32"/>
        <v>69654.810585749801</v>
      </c>
      <c r="N78" s="121">
        <f>SUM(low_v5_m!C66:J66)</f>
        <v>3137506.6753943474</v>
      </c>
      <c r="O78" s="5"/>
      <c r="P78" s="5"/>
      <c r="Q78" s="8">
        <f t="shared" si="33"/>
        <v>120929726.91815227</v>
      </c>
      <c r="R78" s="8"/>
      <c r="S78" s="8"/>
      <c r="T78" s="5"/>
      <c r="U78" s="5"/>
      <c r="V78" s="8">
        <f t="shared" si="26"/>
        <v>12390786.995352346</v>
      </c>
      <c r="W78" s="8">
        <f t="shared" ref="W78:W109" si="34">M78*5.5017049523</f>
        <v>383220.21635113814</v>
      </c>
      <c r="X78" s="8">
        <f t="shared" ref="X78:X109" si="35">N78*5.1890047538+L78*5.5017049523</f>
        <v>21788331.428986929</v>
      </c>
      <c r="Y78" s="8">
        <f t="shared" ref="Y78:Y109" si="36">N78*5.1890047538</f>
        <v>16280537.053700501</v>
      </c>
      <c r="Z78" s="8">
        <f t="shared" ref="Z78:Z109" si="37">L78*5.5017049523</f>
        <v>5507794.3752864301</v>
      </c>
      <c r="AA78" s="119"/>
      <c r="AB78" s="119"/>
      <c r="AC78" s="119"/>
      <c r="AD78" s="119"/>
      <c r="AE78" s="119"/>
      <c r="AF78" s="119"/>
      <c r="AG78" s="119"/>
      <c r="AH78" s="119"/>
      <c r="AI78" s="119"/>
      <c r="AJ78" s="119"/>
      <c r="AK78" s="119"/>
      <c r="AL78" s="119"/>
      <c r="AM78" s="119"/>
      <c r="AN78" s="119"/>
      <c r="AO78" s="119"/>
      <c r="AP78" s="119"/>
      <c r="AQ78" s="119"/>
      <c r="AR78" s="119"/>
      <c r="AS78" s="119"/>
      <c r="AT78" s="119"/>
      <c r="AU78" s="119"/>
      <c r="AV78" s="119"/>
      <c r="AW78" s="119"/>
      <c r="AX78" s="119"/>
      <c r="AY78" s="119"/>
      <c r="AZ78" s="119"/>
      <c r="BA78" s="119"/>
      <c r="BB78" s="119"/>
      <c r="BC78" s="119"/>
      <c r="BD78" s="119"/>
      <c r="BE78" s="119"/>
      <c r="BF78" s="119"/>
      <c r="BG78" s="119"/>
      <c r="BH78" s="119"/>
      <c r="BI78" s="119"/>
      <c r="BJ78" s="119"/>
      <c r="BK78" s="119"/>
      <c r="BL78" s="119"/>
    </row>
    <row r="79" spans="1:64" x14ac:dyDescent="0.2">
      <c r="A79" s="7"/>
      <c r="B79" s="7"/>
      <c r="C79" s="7">
        <f t="shared" si="27"/>
        <v>2031</v>
      </c>
      <c r="D79" s="7">
        <f t="shared" si="28"/>
        <v>2</v>
      </c>
      <c r="E79" s="7">
        <v>226</v>
      </c>
      <c r="F79" s="123">
        <f>low_v2_m!D67+temporary_pension_bonus_low!B67</f>
        <v>25394214.682425</v>
      </c>
      <c r="G79" s="123">
        <f>low_v2_m!E67+temporary_pension_bonus_low!B67</f>
        <v>24319118.064982999</v>
      </c>
      <c r="H79" s="41">
        <f t="shared" si="29"/>
        <v>23021471.8168175</v>
      </c>
      <c r="I79" s="41">
        <f t="shared" si="30"/>
        <v>22017557.485343717</v>
      </c>
      <c r="J79" s="123">
        <f>low_v2_m!J67</f>
        <v>2372742.8656075001</v>
      </c>
      <c r="K79" s="123">
        <f>low_v2_m!K67</f>
        <v>2301560.5796392802</v>
      </c>
      <c r="L79" s="41">
        <f t="shared" si="31"/>
        <v>1003914.3314737827</v>
      </c>
      <c r="M79" s="41">
        <f t="shared" si="32"/>
        <v>71182.285968219861</v>
      </c>
      <c r="N79" s="123">
        <f>SUM(low_v5_m!C67:J67)</f>
        <v>2475402.3023911864</v>
      </c>
      <c r="O79" s="7"/>
      <c r="P79" s="7"/>
      <c r="Q79" s="41">
        <f t="shared" si="33"/>
        <v>121134105.05466546</v>
      </c>
      <c r="R79" s="41"/>
      <c r="S79" s="41"/>
      <c r="T79" s="7"/>
      <c r="U79" s="7"/>
      <c r="V79" s="41">
        <f t="shared" ref="V79:V110" si="38">K79*5.5017049523</f>
        <v>12662507.239019886</v>
      </c>
      <c r="W79" s="41">
        <f t="shared" si="34"/>
        <v>391623.93522739003</v>
      </c>
      <c r="X79" s="41">
        <f t="shared" si="35"/>
        <v>18368114.763829585</v>
      </c>
      <c r="Y79" s="41">
        <f t="shared" si="36"/>
        <v>12844874.314675331</v>
      </c>
      <c r="Z79" s="41">
        <f t="shared" si="37"/>
        <v>5523240.449154254</v>
      </c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</row>
    <row r="80" spans="1:64" x14ac:dyDescent="0.2">
      <c r="A80" s="7"/>
      <c r="B80" s="7"/>
      <c r="C80" s="7">
        <f t="shared" si="27"/>
        <v>2031</v>
      </c>
      <c r="D80" s="7">
        <f t="shared" si="28"/>
        <v>3</v>
      </c>
      <c r="E80" s="7">
        <v>227</v>
      </c>
      <c r="F80" s="123">
        <f>low_v2_m!D68+temporary_pension_bonus_low!B68</f>
        <v>25543366.7071256</v>
      </c>
      <c r="G80" s="123">
        <f>low_v2_m!E68+temporary_pension_bonus_low!B68</f>
        <v>24460491.988050699</v>
      </c>
      <c r="H80" s="41">
        <f t="shared" si="29"/>
        <v>23114539.679549161</v>
      </c>
      <c r="I80" s="41">
        <f t="shared" si="30"/>
        <v>22104529.771301549</v>
      </c>
      <c r="J80" s="123">
        <f>low_v2_m!J68</f>
        <v>2428827.02757644</v>
      </c>
      <c r="K80" s="123">
        <f>low_v2_m!K68</f>
        <v>2355962.2167491498</v>
      </c>
      <c r="L80" s="41">
        <f t="shared" si="31"/>
        <v>1010009.9082476124</v>
      </c>
      <c r="M80" s="41">
        <f t="shared" si="32"/>
        <v>72864.810827290174</v>
      </c>
      <c r="N80" s="123">
        <f>SUM(low_v5_m!C68:J68)</f>
        <v>2540435.2304025819</v>
      </c>
      <c r="O80" s="7"/>
      <c r="P80" s="7"/>
      <c r="Q80" s="41">
        <f t="shared" si="33"/>
        <v>121612600.91103251</v>
      </c>
      <c r="R80" s="41"/>
      <c r="S80" s="41"/>
      <c r="T80" s="7"/>
      <c r="U80" s="7"/>
      <c r="V80" s="41">
        <f t="shared" si="38"/>
        <v>12961808.995320484</v>
      </c>
      <c r="W80" s="41">
        <f t="shared" si="34"/>
        <v>400880.69057690498</v>
      </c>
      <c r="X80" s="41">
        <f t="shared" si="35"/>
        <v>18739107.001357954</v>
      </c>
      <c r="Y80" s="41">
        <f t="shared" si="36"/>
        <v>13182330.487279996</v>
      </c>
      <c r="Z80" s="41">
        <f t="shared" si="37"/>
        <v>5556776.5140779577</v>
      </c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</row>
    <row r="81" spans="1:64" x14ac:dyDescent="0.2">
      <c r="A81" s="7"/>
      <c r="B81" s="7"/>
      <c r="C81" s="7">
        <f t="shared" si="27"/>
        <v>2031</v>
      </c>
      <c r="D81" s="7">
        <f t="shared" si="28"/>
        <v>4</v>
      </c>
      <c r="E81" s="7">
        <v>228</v>
      </c>
      <c r="F81" s="123">
        <f>low_v2_m!D69+temporary_pension_bonus_low!B69</f>
        <v>25707844.0861574</v>
      </c>
      <c r="G81" s="123">
        <f>low_v2_m!E69+temporary_pension_bonus_low!B69</f>
        <v>24617501.383186501</v>
      </c>
      <c r="H81" s="41">
        <f t="shared" si="29"/>
        <v>23183477.949980259</v>
      </c>
      <c r="I81" s="41">
        <f t="shared" si="30"/>
        <v>22168866.231094681</v>
      </c>
      <c r="J81" s="123">
        <f>low_v2_m!J69</f>
        <v>2524366.1361771398</v>
      </c>
      <c r="K81" s="123">
        <f>low_v2_m!K69</f>
        <v>2448635.1520918198</v>
      </c>
      <c r="L81" s="41">
        <f t="shared" si="31"/>
        <v>1014611.7188855782</v>
      </c>
      <c r="M81" s="41">
        <f t="shared" si="32"/>
        <v>75730.984085320029</v>
      </c>
      <c r="N81" s="123">
        <f>SUM(low_v5_m!C69:J69)</f>
        <v>2502076.5445017363</v>
      </c>
      <c r="O81" s="7"/>
      <c r="P81" s="7"/>
      <c r="Q81" s="41">
        <f t="shared" si="33"/>
        <v>121966561.13048984</v>
      </c>
      <c r="R81" s="41"/>
      <c r="S81" s="41"/>
      <c r="T81" s="7"/>
      <c r="U81" s="7"/>
      <c r="V81" s="41">
        <f t="shared" si="38"/>
        <v>13471668.142639428</v>
      </c>
      <c r="W81" s="41">
        <f t="shared" si="34"/>
        <v>416649.53018475766</v>
      </c>
      <c r="X81" s="41">
        <f t="shared" si="35"/>
        <v>18565381.402245387</v>
      </c>
      <c r="Y81" s="41">
        <f t="shared" si="36"/>
        <v>12983287.083790986</v>
      </c>
      <c r="Z81" s="41">
        <f t="shared" si="37"/>
        <v>5582094.3184544006</v>
      </c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</row>
    <row r="82" spans="1:64" x14ac:dyDescent="0.2">
      <c r="A82" s="119"/>
      <c r="B82" s="5"/>
      <c r="C82" s="119">
        <f t="shared" ref="C82:C113" si="39">C78+1</f>
        <v>2032</v>
      </c>
      <c r="D82" s="119">
        <f t="shared" ref="D82:D113" si="40">D78</f>
        <v>1</v>
      </c>
      <c r="E82" s="119">
        <v>229</v>
      </c>
      <c r="F82" s="121">
        <f>low_v2_m!D70+temporary_pension_bonus_low!B70</f>
        <v>25862868.800701499</v>
      </c>
      <c r="G82" s="121">
        <f>low_v2_m!E70+temporary_pension_bonus_low!B70</f>
        <v>24765028.0880532</v>
      </c>
      <c r="H82" s="8">
        <f t="shared" si="29"/>
        <v>23275477.72286259</v>
      </c>
      <c r="I82" s="8">
        <f t="shared" si="30"/>
        <v>22255258.742549449</v>
      </c>
      <c r="J82" s="121">
        <f>low_v2_m!J70</f>
        <v>2587391.0778389098</v>
      </c>
      <c r="K82" s="121">
        <f>low_v2_m!K70</f>
        <v>2509769.3455037498</v>
      </c>
      <c r="L82" s="8">
        <f t="shared" si="31"/>
        <v>1020218.9803131409</v>
      </c>
      <c r="M82" s="8">
        <f t="shared" si="32"/>
        <v>77621.732335160021</v>
      </c>
      <c r="N82" s="121">
        <f>SUM(low_v5_m!C70:J70)</f>
        <v>3076776.4379827734</v>
      </c>
      <c r="O82" s="5"/>
      <c r="P82" s="5"/>
      <c r="Q82" s="8">
        <f t="shared" si="33"/>
        <v>122441867.23860218</v>
      </c>
      <c r="R82" s="8"/>
      <c r="S82" s="8"/>
      <c r="T82" s="5"/>
      <c r="U82" s="5"/>
      <c r="V82" s="8">
        <f t="shared" si="38"/>
        <v>13808010.437288709</v>
      </c>
      <c r="W82" s="8">
        <f t="shared" si="34"/>
        <v>427051.86919445492</v>
      </c>
      <c r="X82" s="8">
        <f t="shared" si="35"/>
        <v>21578351.379491705</v>
      </c>
      <c r="Y82" s="8">
        <f t="shared" si="36"/>
        <v>15965407.563072441</v>
      </c>
      <c r="Z82" s="8">
        <f t="shared" si="37"/>
        <v>5612943.8164192634</v>
      </c>
      <c r="AA82" s="119"/>
      <c r="AB82" s="119"/>
      <c r="AC82" s="119"/>
      <c r="AD82" s="119"/>
      <c r="AE82" s="119"/>
      <c r="AF82" s="119"/>
      <c r="AG82" s="119"/>
      <c r="AH82" s="119"/>
      <c r="AI82" s="119"/>
      <c r="AJ82" s="119"/>
      <c r="AK82" s="119"/>
      <c r="AL82" s="119"/>
      <c r="AM82" s="119"/>
      <c r="AN82" s="119"/>
      <c r="AO82" s="119"/>
      <c r="AP82" s="119"/>
      <c r="AQ82" s="119"/>
      <c r="AR82" s="119"/>
      <c r="AS82" s="119"/>
      <c r="AT82" s="119"/>
      <c r="AU82" s="119"/>
      <c r="AV82" s="119"/>
      <c r="AW82" s="119"/>
      <c r="AX82" s="119"/>
      <c r="AY82" s="119"/>
      <c r="AZ82" s="119"/>
      <c r="BA82" s="119"/>
      <c r="BB82" s="119"/>
      <c r="BC82" s="119"/>
      <c r="BD82" s="119"/>
      <c r="BE82" s="119"/>
      <c r="BF82" s="119"/>
      <c r="BG82" s="119"/>
      <c r="BH82" s="119"/>
      <c r="BI82" s="119"/>
      <c r="BJ82" s="119"/>
      <c r="BK82" s="119"/>
      <c r="BL82" s="119"/>
    </row>
    <row r="83" spans="1:64" x14ac:dyDescent="0.2">
      <c r="A83" s="7"/>
      <c r="B83" s="7"/>
      <c r="C83" s="7">
        <f t="shared" si="39"/>
        <v>2032</v>
      </c>
      <c r="D83" s="7">
        <f t="shared" si="40"/>
        <v>2</v>
      </c>
      <c r="E83" s="7">
        <v>230</v>
      </c>
      <c r="F83" s="123">
        <f>low_v2_m!D71+temporary_pension_bonus_low!B71</f>
        <v>25984986.011167001</v>
      </c>
      <c r="G83" s="123">
        <f>low_v2_m!E71+temporary_pension_bonus_low!B71</f>
        <v>24880782.815492999</v>
      </c>
      <c r="H83" s="41">
        <f t="shared" si="29"/>
        <v>23324181.05130145</v>
      </c>
      <c r="I83" s="41">
        <f t="shared" si="30"/>
        <v>22299802.00442341</v>
      </c>
      <c r="J83" s="123">
        <f>low_v2_m!J71</f>
        <v>2660804.95986555</v>
      </c>
      <c r="K83" s="123">
        <f>low_v2_m!K71</f>
        <v>2580980.81106959</v>
      </c>
      <c r="L83" s="41">
        <f t="shared" si="31"/>
        <v>1024379.0468780398</v>
      </c>
      <c r="M83" s="41">
        <f t="shared" si="32"/>
        <v>79824.148795960005</v>
      </c>
      <c r="N83" s="123">
        <f>SUM(low_v5_m!C71:J71)</f>
        <v>2462093.5509211118</v>
      </c>
      <c r="O83" s="7"/>
      <c r="P83" s="7"/>
      <c r="Q83" s="41">
        <f t="shared" si="33"/>
        <v>122686931.12304574</v>
      </c>
      <c r="R83" s="41"/>
      <c r="S83" s="41"/>
      <c r="T83" s="7"/>
      <c r="U83" s="7"/>
      <c r="V83" s="41">
        <f t="shared" si="38"/>
        <v>14199794.910052834</v>
      </c>
      <c r="W83" s="41">
        <f t="shared" si="34"/>
        <v>439168.91474386526</v>
      </c>
      <c r="X83" s="41">
        <f t="shared" si="35"/>
        <v>18411646.415271237</v>
      </c>
      <c r="Y83" s="41">
        <f t="shared" si="36"/>
        <v>12775815.140029971</v>
      </c>
      <c r="Z83" s="41">
        <f t="shared" si="37"/>
        <v>5635831.2752412651</v>
      </c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</row>
    <row r="84" spans="1:64" x14ac:dyDescent="0.2">
      <c r="A84" s="7"/>
      <c r="B84" s="7"/>
      <c r="C84" s="7">
        <f t="shared" si="39"/>
        <v>2032</v>
      </c>
      <c r="D84" s="7">
        <f t="shared" si="40"/>
        <v>3</v>
      </c>
      <c r="E84" s="7">
        <v>231</v>
      </c>
      <c r="F84" s="123">
        <f>low_v2_m!D72+temporary_pension_bonus_low!B72</f>
        <v>26158453.698593199</v>
      </c>
      <c r="G84" s="123">
        <f>low_v2_m!E72+temporary_pension_bonus_low!B72</f>
        <v>25045493.614339098</v>
      </c>
      <c r="H84" s="41">
        <f t="shared" si="29"/>
        <v>23393503.75334239</v>
      </c>
      <c r="I84" s="41">
        <f t="shared" si="30"/>
        <v>22363492.167445809</v>
      </c>
      <c r="J84" s="123">
        <f>low_v2_m!J72</f>
        <v>2764949.9452508101</v>
      </c>
      <c r="K84" s="123">
        <f>low_v2_m!K72</f>
        <v>2682001.4468932902</v>
      </c>
      <c r="L84" s="41">
        <f t="shared" si="31"/>
        <v>1030011.5858965814</v>
      </c>
      <c r="M84" s="41">
        <f t="shared" si="32"/>
        <v>82948.498357519973</v>
      </c>
      <c r="N84" s="123">
        <f>SUM(low_v5_m!C72:J72)</f>
        <v>2483121.0243971534</v>
      </c>
      <c r="O84" s="7"/>
      <c r="P84" s="7"/>
      <c r="Q84" s="41">
        <f t="shared" si="33"/>
        <v>123037335.60835886</v>
      </c>
      <c r="R84" s="41"/>
      <c r="S84" s="41"/>
      <c r="T84" s="7"/>
      <c r="U84" s="7"/>
      <c r="V84" s="41">
        <f t="shared" si="38"/>
        <v>14755580.64244858</v>
      </c>
      <c r="W84" s="41">
        <f t="shared" si="34"/>
        <v>456358.16419941606</v>
      </c>
      <c r="X84" s="41">
        <f t="shared" si="35"/>
        <v>18551746.642911155</v>
      </c>
      <c r="Y84" s="41">
        <f t="shared" si="36"/>
        <v>12884926.799857555</v>
      </c>
      <c r="Z84" s="41">
        <f t="shared" si="37"/>
        <v>5666819.8430535989</v>
      </c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</row>
    <row r="85" spans="1:64" x14ac:dyDescent="0.2">
      <c r="A85" s="7"/>
      <c r="B85" s="7"/>
      <c r="C85" s="7">
        <f t="shared" si="39"/>
        <v>2032</v>
      </c>
      <c r="D85" s="7">
        <f t="shared" si="40"/>
        <v>4</v>
      </c>
      <c r="E85" s="7">
        <v>232</v>
      </c>
      <c r="F85" s="123">
        <f>low_v2_m!D73+temporary_pension_bonus_low!B73</f>
        <v>26278467.1170903</v>
      </c>
      <c r="G85" s="123">
        <f>low_v2_m!E73+temporary_pension_bonus_low!B73</f>
        <v>25159885.301081199</v>
      </c>
      <c r="H85" s="41">
        <f t="shared" si="29"/>
        <v>23424630.853023808</v>
      </c>
      <c r="I85" s="41">
        <f t="shared" si="30"/>
        <v>22391664.1249367</v>
      </c>
      <c r="J85" s="123">
        <f>low_v2_m!J73</f>
        <v>2853836.2640664899</v>
      </c>
      <c r="K85" s="123">
        <f>low_v2_m!K73</f>
        <v>2768221.1761444998</v>
      </c>
      <c r="L85" s="41">
        <f t="shared" si="31"/>
        <v>1032966.7280871086</v>
      </c>
      <c r="M85" s="41">
        <f t="shared" si="32"/>
        <v>85615.087921990082</v>
      </c>
      <c r="N85" s="123">
        <f>SUM(low_v5_m!C73:J73)</f>
        <v>2510449.1859525465</v>
      </c>
      <c r="O85" s="7"/>
      <c r="P85" s="7"/>
      <c r="Q85" s="41">
        <f t="shared" si="33"/>
        <v>123192329.40640248</v>
      </c>
      <c r="R85" s="41"/>
      <c r="S85" s="41"/>
      <c r="T85" s="7"/>
      <c r="U85" s="7"/>
      <c r="V85" s="41">
        <f t="shared" si="38"/>
        <v>15229936.153855925</v>
      </c>
      <c r="W85" s="41">
        <f t="shared" si="34"/>
        <v>471028.95321201271</v>
      </c>
      <c r="X85" s="41">
        <f t="shared" si="35"/>
        <v>18709810.923559077</v>
      </c>
      <c r="Y85" s="41">
        <f t="shared" si="36"/>
        <v>13026732.760081103</v>
      </c>
      <c r="Z85" s="41">
        <f t="shared" si="37"/>
        <v>5683078.1634779731</v>
      </c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</row>
    <row r="86" spans="1:64" x14ac:dyDescent="0.2">
      <c r="A86" s="119"/>
      <c r="B86" s="5"/>
      <c r="C86" s="119">
        <f t="shared" si="39"/>
        <v>2033</v>
      </c>
      <c r="D86" s="119">
        <f t="shared" si="40"/>
        <v>1</v>
      </c>
      <c r="E86" s="119">
        <v>233</v>
      </c>
      <c r="F86" s="121">
        <f>low_v2_m!D74+temporary_pension_bonus_low!B74</f>
        <v>26325171.583705701</v>
      </c>
      <c r="G86" s="121">
        <f>low_v2_m!E74+temporary_pension_bonus_low!B74</f>
        <v>25204505.003318299</v>
      </c>
      <c r="H86" s="8">
        <f t="shared" si="29"/>
        <v>23396947.1732646</v>
      </c>
      <c r="I86" s="8">
        <f t="shared" si="30"/>
        <v>22364127.32519044</v>
      </c>
      <c r="J86" s="121">
        <f>low_v2_m!J74</f>
        <v>2928224.4104411001</v>
      </c>
      <c r="K86" s="121">
        <f>low_v2_m!K74</f>
        <v>2840377.6781278602</v>
      </c>
      <c r="L86" s="8">
        <f t="shared" si="31"/>
        <v>1032819.8480741605</v>
      </c>
      <c r="M86" s="8">
        <f t="shared" si="32"/>
        <v>87846.732313239947</v>
      </c>
      <c r="N86" s="121">
        <f>SUM(low_v5_m!C74:J74)</f>
        <v>3048597.3307829895</v>
      </c>
      <c r="O86" s="5"/>
      <c r="P86" s="5"/>
      <c r="Q86" s="8">
        <f t="shared" si="33"/>
        <v>123040830.05886799</v>
      </c>
      <c r="R86" s="8"/>
      <c r="S86" s="8"/>
      <c r="T86" s="5"/>
      <c r="U86" s="5"/>
      <c r="V86" s="8">
        <f t="shared" si="38"/>
        <v>15626919.938158423</v>
      </c>
      <c r="W86" s="8">
        <f t="shared" si="34"/>
        <v>483306.80221112462</v>
      </c>
      <c r="X86" s="8">
        <f t="shared" si="35"/>
        <v>21501456.114838265</v>
      </c>
      <c r="Y86" s="8">
        <f t="shared" si="36"/>
        <v>15819186.041854924</v>
      </c>
      <c r="Z86" s="8">
        <f t="shared" si="37"/>
        <v>5682270.0729833422</v>
      </c>
      <c r="AA86" s="119"/>
      <c r="AB86" s="119"/>
      <c r="AC86" s="119"/>
      <c r="AD86" s="119"/>
      <c r="AE86" s="119"/>
      <c r="AF86" s="119"/>
      <c r="AG86" s="119"/>
      <c r="AH86" s="119"/>
      <c r="AI86" s="119"/>
      <c r="AJ86" s="119"/>
      <c r="AK86" s="119"/>
      <c r="AL86" s="119"/>
      <c r="AM86" s="119"/>
      <c r="AN86" s="119"/>
      <c r="AO86" s="119"/>
      <c r="AP86" s="119"/>
      <c r="AQ86" s="119"/>
      <c r="AR86" s="119"/>
      <c r="AS86" s="119"/>
      <c r="AT86" s="119"/>
      <c r="AU86" s="119"/>
      <c r="AV86" s="119"/>
      <c r="AW86" s="119"/>
      <c r="AX86" s="119"/>
      <c r="AY86" s="119"/>
      <c r="AZ86" s="119"/>
      <c r="BA86" s="119"/>
      <c r="BB86" s="119"/>
      <c r="BC86" s="119"/>
      <c r="BD86" s="119"/>
      <c r="BE86" s="119"/>
      <c r="BF86" s="119"/>
      <c r="BG86" s="119"/>
      <c r="BH86" s="119"/>
      <c r="BI86" s="119"/>
      <c r="BJ86" s="119"/>
      <c r="BK86" s="119"/>
      <c r="BL86" s="119"/>
    </row>
    <row r="87" spans="1:64" x14ac:dyDescent="0.2">
      <c r="A87" s="7"/>
      <c r="B87" s="7"/>
      <c r="C87" s="7">
        <f t="shared" si="39"/>
        <v>2033</v>
      </c>
      <c r="D87" s="7">
        <f t="shared" si="40"/>
        <v>2</v>
      </c>
      <c r="E87" s="7">
        <v>234</v>
      </c>
      <c r="F87" s="123">
        <f>low_v2_m!D75+temporary_pension_bonus_low!B75</f>
        <v>26428564.925864201</v>
      </c>
      <c r="G87" s="123">
        <f>low_v2_m!E75+temporary_pension_bonus_low!B75</f>
        <v>25303857.5289688</v>
      </c>
      <c r="H87" s="41">
        <f t="shared" si="29"/>
        <v>23402316.956976052</v>
      </c>
      <c r="I87" s="41">
        <f t="shared" si="30"/>
        <v>22368396.9991473</v>
      </c>
      <c r="J87" s="123">
        <f>low_v2_m!J75</f>
        <v>3026247.9688881501</v>
      </c>
      <c r="K87" s="123">
        <f>low_v2_m!K75</f>
        <v>2935460.5298215002</v>
      </c>
      <c r="L87" s="41">
        <f t="shared" si="31"/>
        <v>1033919.9578287527</v>
      </c>
      <c r="M87" s="41">
        <f t="shared" si="32"/>
        <v>90787.43906664988</v>
      </c>
      <c r="N87" s="123">
        <f>SUM(low_v5_m!C75:J75)</f>
        <v>2509375.453162095</v>
      </c>
      <c r="O87" s="7"/>
      <c r="P87" s="7"/>
      <c r="Q87" s="41">
        <f t="shared" si="33"/>
        <v>123064320.54522115</v>
      </c>
      <c r="R87" s="41"/>
      <c r="S87" s="41"/>
      <c r="T87" s="7"/>
      <c r="U87" s="7"/>
      <c r="V87" s="41">
        <f t="shared" si="38"/>
        <v>16150037.734200129</v>
      </c>
      <c r="W87" s="41">
        <f t="shared" si="34"/>
        <v>499485.70311962214</v>
      </c>
      <c r="X87" s="41">
        <f t="shared" si="35"/>
        <v>18709483.707795396</v>
      </c>
      <c r="Y87" s="41">
        <f t="shared" si="36"/>
        <v>13021161.155527141</v>
      </c>
      <c r="Z87" s="41">
        <f t="shared" si="37"/>
        <v>5688322.5522682555</v>
      </c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</row>
    <row r="88" spans="1:64" x14ac:dyDescent="0.2">
      <c r="A88" s="7"/>
      <c r="B88" s="7"/>
      <c r="C88" s="7">
        <f t="shared" si="39"/>
        <v>2033</v>
      </c>
      <c r="D88" s="7">
        <f t="shared" si="40"/>
        <v>3</v>
      </c>
      <c r="E88" s="7">
        <v>235</v>
      </c>
      <c r="F88" s="123">
        <f>low_v2_m!D76+temporary_pension_bonus_low!B76</f>
        <v>26478689.3316973</v>
      </c>
      <c r="G88" s="123">
        <f>low_v2_m!E76+temporary_pension_bonus_low!B76</f>
        <v>25351728.0064108</v>
      </c>
      <c r="H88" s="41">
        <f t="shared" si="29"/>
        <v>23387078.38759923</v>
      </c>
      <c r="I88" s="41">
        <f t="shared" si="30"/>
        <v>22352865.390635669</v>
      </c>
      <c r="J88" s="123">
        <f>low_v2_m!J76</f>
        <v>3091610.9440980698</v>
      </c>
      <c r="K88" s="123">
        <f>low_v2_m!K76</f>
        <v>2998862.6157751302</v>
      </c>
      <c r="L88" s="41">
        <f t="shared" si="31"/>
        <v>1034212.9969635606</v>
      </c>
      <c r="M88" s="41">
        <f t="shared" si="32"/>
        <v>92748.328322939575</v>
      </c>
      <c r="N88" s="123">
        <f>SUM(low_v5_m!C76:J76)</f>
        <v>2475098.0548413177</v>
      </c>
      <c r="O88" s="7"/>
      <c r="P88" s="7"/>
      <c r="Q88" s="41">
        <f t="shared" si="33"/>
        <v>122978870.21775553</v>
      </c>
      <c r="R88" s="41"/>
      <c r="S88" s="41"/>
      <c r="T88" s="7"/>
      <c r="U88" s="7"/>
      <c r="V88" s="41">
        <f t="shared" si="38"/>
        <v>16498857.304477366</v>
      </c>
      <c r="W88" s="41">
        <f t="shared" si="34"/>
        <v>510273.93725186301</v>
      </c>
      <c r="X88" s="41">
        <f t="shared" si="35"/>
        <v>18533230.339820176</v>
      </c>
      <c r="Y88" s="41">
        <f t="shared" si="36"/>
        <v>12843295.572692731</v>
      </c>
      <c r="Z88" s="41">
        <f t="shared" si="37"/>
        <v>5689934.7671274459</v>
      </c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</row>
    <row r="89" spans="1:64" x14ac:dyDescent="0.2">
      <c r="A89" s="7"/>
      <c r="B89" s="7"/>
      <c r="C89" s="7">
        <f t="shared" si="39"/>
        <v>2033</v>
      </c>
      <c r="D89" s="7">
        <f t="shared" si="40"/>
        <v>4</v>
      </c>
      <c r="E89" s="7">
        <v>236</v>
      </c>
      <c r="F89" s="123">
        <f>low_v2_m!D77+temporary_pension_bonus_low!B77</f>
        <v>26580167.826065201</v>
      </c>
      <c r="G89" s="123">
        <f>low_v2_m!E77+temporary_pension_bonus_low!B77</f>
        <v>25447657.450486101</v>
      </c>
      <c r="H89" s="41">
        <f t="shared" si="29"/>
        <v>23430075.446651101</v>
      </c>
      <c r="I89" s="41">
        <f t="shared" si="30"/>
        <v>22392067.842454422</v>
      </c>
      <c r="J89" s="123">
        <f>low_v2_m!J77</f>
        <v>3150092.3794141002</v>
      </c>
      <c r="K89" s="123">
        <f>low_v2_m!K77</f>
        <v>3055589.6080316799</v>
      </c>
      <c r="L89" s="41">
        <f t="shared" si="31"/>
        <v>1038007.6041966788</v>
      </c>
      <c r="M89" s="41">
        <f t="shared" si="32"/>
        <v>94502.771382420324</v>
      </c>
      <c r="N89" s="123">
        <f>SUM(low_v5_m!C77:J77)</f>
        <v>2506007.260110802</v>
      </c>
      <c r="O89" s="7"/>
      <c r="P89" s="7"/>
      <c r="Q89" s="41">
        <f t="shared" si="33"/>
        <v>123194550.54106908</v>
      </c>
      <c r="R89" s="41"/>
      <c r="S89" s="41"/>
      <c r="T89" s="7"/>
      <c r="U89" s="7"/>
      <c r="V89" s="41">
        <f t="shared" si="38"/>
        <v>16810952.478704307</v>
      </c>
      <c r="W89" s="41">
        <f t="shared" si="34"/>
        <v>519926.3653207366</v>
      </c>
      <c r="X89" s="41">
        <f t="shared" si="35"/>
        <v>18714495.16230619</v>
      </c>
      <c r="Y89" s="41">
        <f t="shared" si="36"/>
        <v>13003683.585772265</v>
      </c>
      <c r="Z89" s="41">
        <f t="shared" si="37"/>
        <v>5710811.5765339257</v>
      </c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</row>
    <row r="90" spans="1:64" x14ac:dyDescent="0.2">
      <c r="A90" s="119"/>
      <c r="B90" s="5"/>
      <c r="C90" s="119">
        <f t="shared" si="39"/>
        <v>2034</v>
      </c>
      <c r="D90" s="119">
        <f t="shared" si="40"/>
        <v>1</v>
      </c>
      <c r="E90" s="119">
        <v>237</v>
      </c>
      <c r="F90" s="121">
        <f>low_v2_m!D78+temporary_pension_bonus_low!B78</f>
        <v>26727798.285870999</v>
      </c>
      <c r="G90" s="121">
        <f>low_v2_m!E78+temporary_pension_bonus_low!B78</f>
        <v>25588797.382518299</v>
      </c>
      <c r="H90" s="8">
        <f t="shared" si="29"/>
        <v>23512411.087579649</v>
      </c>
      <c r="I90" s="8">
        <f t="shared" si="30"/>
        <v>22469871.800175689</v>
      </c>
      <c r="J90" s="121">
        <f>low_v2_m!J78</f>
        <v>3215387.1982913502</v>
      </c>
      <c r="K90" s="121">
        <f>low_v2_m!K78</f>
        <v>3118925.5823426102</v>
      </c>
      <c r="L90" s="8">
        <f t="shared" si="31"/>
        <v>1042539.2874039598</v>
      </c>
      <c r="M90" s="8">
        <f t="shared" si="32"/>
        <v>96461.615948739927</v>
      </c>
      <c r="N90" s="121">
        <f>SUM(low_v5_m!C78:J78)</f>
        <v>2959710.6552882846</v>
      </c>
      <c r="O90" s="5"/>
      <c r="P90" s="5"/>
      <c r="Q90" s="8">
        <f t="shared" si="33"/>
        <v>123622604.9605727</v>
      </c>
      <c r="R90" s="8"/>
      <c r="S90" s="8"/>
      <c r="T90" s="5"/>
      <c r="U90" s="5"/>
      <c r="V90" s="8">
        <f t="shared" si="38"/>
        <v>17159408.322229501</v>
      </c>
      <c r="W90" s="8">
        <f t="shared" si="34"/>
        <v>530703.35017204308</v>
      </c>
      <c r="X90" s="8">
        <f t="shared" si="35"/>
        <v>21093696.220641099</v>
      </c>
      <c r="Y90" s="8">
        <f t="shared" si="36"/>
        <v>15357952.660163421</v>
      </c>
      <c r="Z90" s="8">
        <f t="shared" si="37"/>
        <v>5735743.5604776787</v>
      </c>
      <c r="AA90" s="119"/>
      <c r="AB90" s="119"/>
      <c r="AC90" s="119"/>
      <c r="AD90" s="119"/>
      <c r="AE90" s="119"/>
      <c r="AF90" s="119"/>
      <c r="AG90" s="119"/>
      <c r="AH90" s="119"/>
      <c r="AI90" s="119"/>
      <c r="AJ90" s="119"/>
      <c r="AK90" s="119"/>
      <c r="AL90" s="119"/>
      <c r="AM90" s="119"/>
      <c r="AN90" s="119"/>
      <c r="AO90" s="119"/>
      <c r="AP90" s="119"/>
      <c r="AQ90" s="119"/>
      <c r="AR90" s="119"/>
      <c r="AS90" s="119"/>
      <c r="AT90" s="119"/>
      <c r="AU90" s="119"/>
      <c r="AV90" s="119"/>
      <c r="AW90" s="119"/>
      <c r="AX90" s="119"/>
      <c r="AY90" s="119"/>
      <c r="AZ90" s="119"/>
      <c r="BA90" s="119"/>
      <c r="BB90" s="119"/>
      <c r="BC90" s="119"/>
      <c r="BD90" s="119"/>
      <c r="BE90" s="119"/>
      <c r="BF90" s="119"/>
      <c r="BG90" s="119"/>
      <c r="BH90" s="119"/>
      <c r="BI90" s="119"/>
      <c r="BJ90" s="119"/>
      <c r="BK90" s="119"/>
      <c r="BL90" s="119"/>
    </row>
    <row r="91" spans="1:64" x14ac:dyDescent="0.2">
      <c r="A91" s="7"/>
      <c r="B91" s="7"/>
      <c r="C91" s="7">
        <f t="shared" si="39"/>
        <v>2034</v>
      </c>
      <c r="D91" s="7">
        <f t="shared" si="40"/>
        <v>2</v>
      </c>
      <c r="E91" s="7">
        <v>238</v>
      </c>
      <c r="F91" s="123">
        <f>low_v2_m!D79+temporary_pension_bonus_low!B79</f>
        <v>26944993.2489198</v>
      </c>
      <c r="G91" s="123">
        <f>low_v2_m!E79+temporary_pension_bonus_low!B79</f>
        <v>25795731.9238193</v>
      </c>
      <c r="H91" s="41">
        <f t="shared" si="29"/>
        <v>23678879.85007095</v>
      </c>
      <c r="I91" s="41">
        <f t="shared" si="30"/>
        <v>22627601.926935919</v>
      </c>
      <c r="J91" s="123">
        <f>low_v2_m!J79</f>
        <v>3266113.3988488498</v>
      </c>
      <c r="K91" s="123">
        <f>low_v2_m!K79</f>
        <v>3168129.9968833802</v>
      </c>
      <c r="L91" s="41">
        <f t="shared" si="31"/>
        <v>1051277.923135031</v>
      </c>
      <c r="M91" s="41">
        <f t="shared" si="32"/>
        <v>97983.401965469588</v>
      </c>
      <c r="N91" s="123">
        <f>SUM(low_v5_m!C79:J79)</f>
        <v>2384503.7593790893</v>
      </c>
      <c r="O91" s="7"/>
      <c r="P91" s="7"/>
      <c r="Q91" s="41">
        <f t="shared" si="33"/>
        <v>124490389.58009636</v>
      </c>
      <c r="R91" s="41"/>
      <c r="S91" s="41"/>
      <c r="T91" s="7"/>
      <c r="U91" s="7"/>
      <c r="V91" s="41">
        <f t="shared" si="38"/>
        <v>17430116.493383475</v>
      </c>
      <c r="W91" s="41">
        <f t="shared" si="34"/>
        <v>539075.76783662557</v>
      </c>
      <c r="X91" s="41">
        <f t="shared" si="35"/>
        <v>18157022.298827726</v>
      </c>
      <c r="Y91" s="41">
        <f t="shared" si="36"/>
        <v>12373201.342872066</v>
      </c>
      <c r="Z91" s="41">
        <f t="shared" si="37"/>
        <v>5783820.955955659</v>
      </c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</row>
    <row r="92" spans="1:64" x14ac:dyDescent="0.2">
      <c r="A92" s="7"/>
      <c r="B92" s="7"/>
      <c r="C92" s="7">
        <f t="shared" si="39"/>
        <v>2034</v>
      </c>
      <c r="D92" s="7">
        <f t="shared" si="40"/>
        <v>3</v>
      </c>
      <c r="E92" s="7">
        <v>239</v>
      </c>
      <c r="F92" s="123">
        <f>low_v2_m!D80+temporary_pension_bonus_low!B80</f>
        <v>27029528.775538001</v>
      </c>
      <c r="G92" s="123">
        <f>low_v2_m!E80+temporary_pension_bonus_low!B80</f>
        <v>25875983.355346899</v>
      </c>
      <c r="H92" s="41">
        <f t="shared" si="29"/>
        <v>23756905.347681142</v>
      </c>
      <c r="I92" s="41">
        <f t="shared" si="30"/>
        <v>22701538.630325738</v>
      </c>
      <c r="J92" s="123">
        <f>low_v2_m!J80</f>
        <v>3272623.4278568602</v>
      </c>
      <c r="K92" s="123">
        <f>low_v2_m!K80</f>
        <v>3174444.7250211602</v>
      </c>
      <c r="L92" s="41">
        <f t="shared" si="31"/>
        <v>1055366.717355404</v>
      </c>
      <c r="M92" s="41">
        <f t="shared" si="32"/>
        <v>98178.702835700009</v>
      </c>
      <c r="N92" s="123">
        <f>SUM(low_v5_m!C80:J80)</f>
        <v>2439313.2811877802</v>
      </c>
      <c r="O92" s="7"/>
      <c r="P92" s="7"/>
      <c r="Q92" s="41">
        <f t="shared" si="33"/>
        <v>124897167.50729287</v>
      </c>
      <c r="R92" s="41"/>
      <c r="S92" s="41"/>
      <c r="T92" s="7"/>
      <c r="U92" s="7"/>
      <c r="V92" s="41">
        <f t="shared" si="38"/>
        <v>17464858.26445153</v>
      </c>
      <c r="W92" s="41">
        <f t="shared" si="34"/>
        <v>540150.25560156081</v>
      </c>
      <c r="X92" s="41">
        <f t="shared" si="35"/>
        <v>18463924.507457688</v>
      </c>
      <c r="Y92" s="41">
        <f t="shared" si="36"/>
        <v>12657608.212090867</v>
      </c>
      <c r="Z92" s="41">
        <f t="shared" si="37"/>
        <v>5806316.2953668209</v>
      </c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</row>
    <row r="93" spans="1:64" x14ac:dyDescent="0.2">
      <c r="A93" s="7"/>
      <c r="B93" s="7"/>
      <c r="C93" s="7">
        <f t="shared" si="39"/>
        <v>2034</v>
      </c>
      <c r="D93" s="7">
        <f t="shared" si="40"/>
        <v>4</v>
      </c>
      <c r="E93" s="7">
        <v>240</v>
      </c>
      <c r="F93" s="123">
        <f>low_v2_m!D81+temporary_pension_bonus_low!B81</f>
        <v>27127371.537645299</v>
      </c>
      <c r="G93" s="123">
        <f>low_v2_m!E81+temporary_pension_bonus_low!B81</f>
        <v>25969133.110070702</v>
      </c>
      <c r="H93" s="41">
        <f t="shared" si="29"/>
        <v>23803294.679512579</v>
      </c>
      <c r="I93" s="41">
        <f t="shared" si="30"/>
        <v>22744778.557681963</v>
      </c>
      <c r="J93" s="123">
        <f>low_v2_m!J81</f>
        <v>3324076.85813272</v>
      </c>
      <c r="K93" s="123">
        <f>low_v2_m!K81</f>
        <v>3224354.5523887398</v>
      </c>
      <c r="L93" s="41">
        <f t="shared" si="31"/>
        <v>1058516.1218306161</v>
      </c>
      <c r="M93" s="41">
        <f t="shared" si="32"/>
        <v>99722.305743980221</v>
      </c>
      <c r="N93" s="123">
        <f>SUM(low_v5_m!C81:J81)</f>
        <v>2444565.9819413815</v>
      </c>
      <c r="O93" s="7"/>
      <c r="P93" s="7"/>
      <c r="Q93" s="41">
        <f t="shared" si="33"/>
        <v>125135060.82976571</v>
      </c>
      <c r="R93" s="41"/>
      <c r="S93" s="41"/>
      <c r="T93" s="7"/>
      <c r="U93" s="7"/>
      <c r="V93" s="41">
        <f t="shared" si="38"/>
        <v>17739447.408848178</v>
      </c>
      <c r="W93" s="41">
        <f t="shared" si="34"/>
        <v>548642.70336643071</v>
      </c>
      <c r="X93" s="41">
        <f t="shared" si="35"/>
        <v>18508507.890836485</v>
      </c>
      <c r="Y93" s="41">
        <f t="shared" si="36"/>
        <v>12684864.501271592</v>
      </c>
      <c r="Z93" s="41">
        <f t="shared" si="37"/>
        <v>5823643.3895648913</v>
      </c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</row>
    <row r="94" spans="1:64" x14ac:dyDescent="0.2">
      <c r="A94" s="119"/>
      <c r="B94" s="5"/>
      <c r="C94" s="119">
        <f t="shared" si="39"/>
        <v>2035</v>
      </c>
      <c r="D94" s="119">
        <f t="shared" si="40"/>
        <v>1</v>
      </c>
      <c r="E94" s="119">
        <v>241</v>
      </c>
      <c r="F94" s="121">
        <f>low_v2_m!D82+temporary_pension_bonus_low!B82</f>
        <v>27289440.897983301</v>
      </c>
      <c r="G94" s="121">
        <f>low_v2_m!E82+temporary_pension_bonus_low!B82</f>
        <v>26124007.613557398</v>
      </c>
      <c r="H94" s="8">
        <f t="shared" si="29"/>
        <v>23906338.658631232</v>
      </c>
      <c r="I94" s="8">
        <f t="shared" si="30"/>
        <v>22842398.441385888</v>
      </c>
      <c r="J94" s="121">
        <f>low_v2_m!J82</f>
        <v>3383102.2393520698</v>
      </c>
      <c r="K94" s="121">
        <f>low_v2_m!K82</f>
        <v>3281609.1721715098</v>
      </c>
      <c r="L94" s="8">
        <f t="shared" si="31"/>
        <v>1063940.2172453441</v>
      </c>
      <c r="M94" s="8">
        <f t="shared" si="32"/>
        <v>101493.06718055997</v>
      </c>
      <c r="N94" s="121">
        <f>SUM(low_v5_m!C82:J82)</f>
        <v>2958326.8395168651</v>
      </c>
      <c r="O94" s="5"/>
      <c r="P94" s="5"/>
      <c r="Q94" s="8">
        <f t="shared" si="33"/>
        <v>125672136.62738253</v>
      </c>
      <c r="R94" s="8"/>
      <c r="S94" s="8"/>
      <c r="T94" s="5"/>
      <c r="U94" s="5"/>
      <c r="V94" s="8">
        <f t="shared" si="38"/>
        <v>18054445.4340491</v>
      </c>
      <c r="W94" s="8">
        <f t="shared" si="34"/>
        <v>558384.91033140337</v>
      </c>
      <c r="X94" s="8">
        <f t="shared" si="35"/>
        <v>21204257.195716992</v>
      </c>
      <c r="Y94" s="8">
        <f t="shared" si="36"/>
        <v>15350772.033547143</v>
      </c>
      <c r="Z94" s="8">
        <f t="shared" si="37"/>
        <v>5853485.1621698476</v>
      </c>
      <c r="AA94" s="119"/>
      <c r="AB94" s="119"/>
      <c r="AC94" s="119"/>
      <c r="AD94" s="119"/>
      <c r="AE94" s="119"/>
      <c r="AF94" s="119"/>
      <c r="AG94" s="119"/>
      <c r="AH94" s="119"/>
      <c r="AI94" s="119"/>
      <c r="AJ94" s="119"/>
      <c r="AK94" s="119"/>
      <c r="AL94" s="119"/>
      <c r="AM94" s="119"/>
      <c r="AN94" s="119"/>
      <c r="AO94" s="119"/>
      <c r="AP94" s="119"/>
      <c r="AQ94" s="119"/>
      <c r="AR94" s="119"/>
      <c r="AS94" s="119"/>
      <c r="AT94" s="119"/>
      <c r="AU94" s="119"/>
      <c r="AV94" s="119"/>
      <c r="AW94" s="119"/>
      <c r="AX94" s="119"/>
      <c r="AY94" s="119"/>
      <c r="AZ94" s="119"/>
      <c r="BA94" s="119"/>
      <c r="BB94" s="119"/>
      <c r="BC94" s="119"/>
      <c r="BD94" s="119"/>
      <c r="BE94" s="119"/>
      <c r="BF94" s="119"/>
      <c r="BG94" s="119"/>
      <c r="BH94" s="119"/>
      <c r="BI94" s="119"/>
      <c r="BJ94" s="119"/>
      <c r="BK94" s="119"/>
      <c r="BL94" s="119"/>
    </row>
    <row r="95" spans="1:64" x14ac:dyDescent="0.2">
      <c r="A95" s="7"/>
      <c r="B95" s="7"/>
      <c r="C95" s="7">
        <f t="shared" si="39"/>
        <v>2035</v>
      </c>
      <c r="D95" s="7">
        <f t="shared" si="40"/>
        <v>2</v>
      </c>
      <c r="E95" s="7">
        <v>242</v>
      </c>
      <c r="F95" s="123">
        <f>low_v2_m!D83+temporary_pension_bonus_low!B83</f>
        <v>27422950.718006998</v>
      </c>
      <c r="G95" s="123">
        <f>low_v2_m!E83+temporary_pension_bonus_low!B83</f>
        <v>26251563.855988599</v>
      </c>
      <c r="H95" s="41">
        <f t="shared" si="29"/>
        <v>23977171.40491768</v>
      </c>
      <c r="I95" s="41">
        <f t="shared" si="30"/>
        <v>22909157.922291961</v>
      </c>
      <c r="J95" s="123">
        <f>low_v2_m!J83</f>
        <v>3445779.31308932</v>
      </c>
      <c r="K95" s="123">
        <f>low_v2_m!K83</f>
        <v>3342405.9336966402</v>
      </c>
      <c r="L95" s="41">
        <f t="shared" si="31"/>
        <v>1068013.4826257192</v>
      </c>
      <c r="M95" s="41">
        <f t="shared" si="32"/>
        <v>103373.37939267978</v>
      </c>
      <c r="N95" s="123">
        <f>SUM(low_v5_m!C83:J83)</f>
        <v>2462128.376485832</v>
      </c>
      <c r="O95" s="7"/>
      <c r="P95" s="7"/>
      <c r="Q95" s="41">
        <f t="shared" si="33"/>
        <v>126039427.59409645</v>
      </c>
      <c r="R95" s="41"/>
      <c r="S95" s="41"/>
      <c r="T95" s="7"/>
      <c r="U95" s="7"/>
      <c r="V95" s="41">
        <f t="shared" si="38"/>
        <v>18388931.27801571</v>
      </c>
      <c r="W95" s="41">
        <f t="shared" si="34"/>
        <v>568729.83334069315</v>
      </c>
      <c r="X95" s="41">
        <f t="shared" si="35"/>
        <v>18651890.916535947</v>
      </c>
      <c r="Y95" s="41">
        <f t="shared" si="36"/>
        <v>12775995.850050859</v>
      </c>
      <c r="Z95" s="41">
        <f t="shared" si="37"/>
        <v>5875895.0664850892</v>
      </c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</row>
    <row r="96" spans="1:64" x14ac:dyDescent="0.2">
      <c r="A96" s="7"/>
      <c r="B96" s="7"/>
      <c r="C96" s="7">
        <f t="shared" si="39"/>
        <v>2035</v>
      </c>
      <c r="D96" s="7">
        <f t="shared" si="40"/>
        <v>3</v>
      </c>
      <c r="E96" s="7">
        <v>243</v>
      </c>
      <c r="F96" s="123">
        <f>low_v2_m!D84+temporary_pension_bonus_low!B84</f>
        <v>27557872.9681173</v>
      </c>
      <c r="G96" s="123">
        <f>low_v2_m!E84+temporary_pension_bonus_low!B84</f>
        <v>26379759.840263199</v>
      </c>
      <c r="H96" s="41">
        <f t="shared" si="29"/>
        <v>24065264.166195571</v>
      </c>
      <c r="I96" s="41">
        <f t="shared" si="30"/>
        <v>22991929.302399117</v>
      </c>
      <c r="J96" s="123">
        <f>low_v2_m!J84</f>
        <v>3492608.8019217299</v>
      </c>
      <c r="K96" s="123">
        <f>low_v2_m!K84</f>
        <v>3387830.5378640802</v>
      </c>
      <c r="L96" s="41">
        <f t="shared" si="31"/>
        <v>1073334.8637964539</v>
      </c>
      <c r="M96" s="41">
        <f t="shared" si="32"/>
        <v>104778.26405764977</v>
      </c>
      <c r="N96" s="123">
        <f>SUM(low_v5_m!C84:J84)</f>
        <v>2466815.7035412672</v>
      </c>
      <c r="O96" s="7"/>
      <c r="P96" s="7"/>
      <c r="Q96" s="41">
        <f t="shared" si="33"/>
        <v>126494811.3059407</v>
      </c>
      <c r="R96" s="41"/>
      <c r="S96" s="41"/>
      <c r="T96" s="7"/>
      <c r="U96" s="7"/>
      <c r="V96" s="41">
        <f t="shared" si="38"/>
        <v>18638844.047719982</v>
      </c>
      <c r="W96" s="41">
        <f t="shared" si="34"/>
        <v>576459.09425936884</v>
      </c>
      <c r="X96" s="41">
        <f t="shared" si="35"/>
        <v>18705490.148049325</v>
      </c>
      <c r="Y96" s="41">
        <f t="shared" si="36"/>
        <v>12800318.412424127</v>
      </c>
      <c r="Z96" s="41">
        <f t="shared" si="37"/>
        <v>5905171.7356251962</v>
      </c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</row>
    <row r="97" spans="1:64" x14ac:dyDescent="0.2">
      <c r="A97" s="7"/>
      <c r="B97" s="7"/>
      <c r="C97" s="7">
        <f t="shared" si="39"/>
        <v>2035</v>
      </c>
      <c r="D97" s="7">
        <f t="shared" si="40"/>
        <v>4</v>
      </c>
      <c r="E97" s="7">
        <v>244</v>
      </c>
      <c r="F97" s="123">
        <f>low_v2_m!D85+temporary_pension_bonus_low!B85</f>
        <v>27630311.306931201</v>
      </c>
      <c r="G97" s="123">
        <f>low_v2_m!E85+temporary_pension_bonus_low!B85</f>
        <v>26449008.620168701</v>
      </c>
      <c r="H97" s="41">
        <f t="shared" si="29"/>
        <v>24104863.692084942</v>
      </c>
      <c r="I97" s="41">
        <f t="shared" si="30"/>
        <v>23029324.433767833</v>
      </c>
      <c r="J97" s="123">
        <f>low_v2_m!J85</f>
        <v>3525447.6148462598</v>
      </c>
      <c r="K97" s="123">
        <f>low_v2_m!K85</f>
        <v>3419684.1864008699</v>
      </c>
      <c r="L97" s="41">
        <f t="shared" si="31"/>
        <v>1075539.2583171092</v>
      </c>
      <c r="M97" s="41">
        <f t="shared" si="32"/>
        <v>105763.42844538996</v>
      </c>
      <c r="N97" s="123">
        <f>SUM(low_v5_m!C85:J85)</f>
        <v>2447434.0028982442</v>
      </c>
      <c r="O97" s="7"/>
      <c r="P97" s="7"/>
      <c r="Q97" s="41">
        <f t="shared" si="33"/>
        <v>126700548.28538388</v>
      </c>
      <c r="R97" s="41"/>
      <c r="S97" s="41"/>
      <c r="T97" s="7"/>
      <c r="U97" s="7"/>
      <c r="V97" s="41">
        <f t="shared" si="38"/>
        <v>18814093.423623662</v>
      </c>
      <c r="W97" s="41">
        <f t="shared" si="34"/>
        <v>581879.17805022863</v>
      </c>
      <c r="X97" s="41">
        <f t="shared" si="35"/>
        <v>18617046.339527059</v>
      </c>
      <c r="Y97" s="41">
        <f t="shared" si="36"/>
        <v>12699746.675650751</v>
      </c>
      <c r="Z97" s="41">
        <f t="shared" si="37"/>
        <v>5917299.6638763081</v>
      </c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</row>
    <row r="98" spans="1:64" x14ac:dyDescent="0.2">
      <c r="A98" s="119"/>
      <c r="B98" s="5"/>
      <c r="C98" s="119">
        <f t="shared" si="39"/>
        <v>2036</v>
      </c>
      <c r="D98" s="119">
        <f t="shared" si="40"/>
        <v>1</v>
      </c>
      <c r="E98" s="119">
        <v>245</v>
      </c>
      <c r="F98" s="121">
        <f>low_v2_m!D86+temporary_pension_bonus_low!B86</f>
        <v>27811802.664389201</v>
      </c>
      <c r="G98" s="121">
        <f>low_v2_m!E86+temporary_pension_bonus_low!B86</f>
        <v>26622525.080964699</v>
      </c>
      <c r="H98" s="8">
        <f t="shared" si="29"/>
        <v>24214445.242747102</v>
      </c>
      <c r="I98" s="8">
        <f t="shared" si="30"/>
        <v>23133088.381971858</v>
      </c>
      <c r="J98" s="121">
        <f>low_v2_m!J86</f>
        <v>3597357.4216421</v>
      </c>
      <c r="K98" s="121">
        <f>low_v2_m!K86</f>
        <v>3489436.69899284</v>
      </c>
      <c r="L98" s="8">
        <f t="shared" si="31"/>
        <v>1081356.8607752435</v>
      </c>
      <c r="M98" s="8">
        <f t="shared" si="32"/>
        <v>107920.72264925996</v>
      </c>
      <c r="N98" s="121">
        <f>SUM(low_v5_m!C86:J86)</f>
        <v>2918317.1808319706</v>
      </c>
      <c r="O98" s="5"/>
      <c r="P98" s="5"/>
      <c r="Q98" s="8">
        <f t="shared" si="33"/>
        <v>127271426.91308816</v>
      </c>
      <c r="R98" s="8"/>
      <c r="S98" s="8"/>
      <c r="T98" s="5"/>
      <c r="U98" s="5"/>
      <c r="V98" s="8">
        <f t="shared" si="38"/>
        <v>19197851.167586271</v>
      </c>
      <c r="W98" s="8">
        <f t="shared" si="34"/>
        <v>593747.9742552283</v>
      </c>
      <c r="X98" s="8">
        <f t="shared" si="35"/>
        <v>21092468.120564051</v>
      </c>
      <c r="Y98" s="8">
        <f t="shared" si="36"/>
        <v>15143161.72443331</v>
      </c>
      <c r="Z98" s="8">
        <f t="shared" si="37"/>
        <v>5949306.3961307388</v>
      </c>
      <c r="AA98" s="119"/>
      <c r="AB98" s="119"/>
      <c r="AC98" s="119"/>
      <c r="AD98" s="119"/>
      <c r="AE98" s="119"/>
      <c r="AF98" s="119"/>
      <c r="AG98" s="119"/>
      <c r="AH98" s="119"/>
      <c r="AI98" s="119"/>
      <c r="AJ98" s="119"/>
      <c r="AK98" s="119"/>
      <c r="AL98" s="119"/>
      <c r="AM98" s="119"/>
      <c r="AN98" s="119"/>
      <c r="AO98" s="119"/>
      <c r="AP98" s="119"/>
      <c r="AQ98" s="119"/>
      <c r="AR98" s="119"/>
      <c r="AS98" s="119"/>
      <c r="AT98" s="119"/>
      <c r="AU98" s="119"/>
      <c r="AV98" s="119"/>
      <c r="AW98" s="119"/>
      <c r="AX98" s="119"/>
      <c r="AY98" s="119"/>
      <c r="AZ98" s="119"/>
      <c r="BA98" s="119"/>
      <c r="BB98" s="119"/>
      <c r="BC98" s="119"/>
      <c r="BD98" s="119"/>
      <c r="BE98" s="119"/>
      <c r="BF98" s="119"/>
      <c r="BG98" s="119"/>
      <c r="BH98" s="119"/>
      <c r="BI98" s="119"/>
      <c r="BJ98" s="119"/>
      <c r="BK98" s="119"/>
      <c r="BL98" s="119"/>
    </row>
    <row r="99" spans="1:64" x14ac:dyDescent="0.2">
      <c r="A99" s="7"/>
      <c r="B99" s="7"/>
      <c r="C99" s="7">
        <f t="shared" si="39"/>
        <v>2036</v>
      </c>
      <c r="D99" s="7">
        <f t="shared" si="40"/>
        <v>2</v>
      </c>
      <c r="E99" s="7">
        <v>246</v>
      </c>
      <c r="F99" s="123">
        <f>low_v2_m!D87+temporary_pension_bonus_low!B87</f>
        <v>27911437.473548401</v>
      </c>
      <c r="G99" s="123">
        <f>low_v2_m!E87+temporary_pension_bonus_low!B87</f>
        <v>26717475.694433901</v>
      </c>
      <c r="H99" s="41">
        <f t="shared" si="29"/>
        <v>24250923.081836492</v>
      </c>
      <c r="I99" s="41">
        <f t="shared" si="30"/>
        <v>23166776.73447334</v>
      </c>
      <c r="J99" s="123">
        <f>low_v2_m!J87</f>
        <v>3660514.3917119098</v>
      </c>
      <c r="K99" s="123">
        <f>low_v2_m!K87</f>
        <v>3550698.9599605598</v>
      </c>
      <c r="L99" s="41">
        <f t="shared" si="31"/>
        <v>1084146.3473631516</v>
      </c>
      <c r="M99" s="41">
        <f t="shared" si="32"/>
        <v>109815.43175134994</v>
      </c>
      <c r="N99" s="123">
        <f>SUM(low_v5_m!C87:J87)</f>
        <v>2384555.8909282507</v>
      </c>
      <c r="O99" s="7"/>
      <c r="P99" s="7"/>
      <c r="Q99" s="41">
        <f t="shared" si="33"/>
        <v>127456770.28888039</v>
      </c>
      <c r="R99" s="41"/>
      <c r="S99" s="41"/>
      <c r="T99" s="7"/>
      <c r="U99" s="7"/>
      <c r="V99" s="41">
        <f t="shared" si="38"/>
        <v>19534898.052141473</v>
      </c>
      <c r="W99" s="41">
        <f t="shared" si="34"/>
        <v>604172.10470536468</v>
      </c>
      <c r="X99" s="41">
        <f t="shared" si="35"/>
        <v>18338125.182034295</v>
      </c>
      <c r="Y99" s="41">
        <f t="shared" si="36"/>
        <v>12373471.853728488</v>
      </c>
      <c r="Z99" s="41">
        <f t="shared" si="37"/>
        <v>5964653.328305807</v>
      </c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</row>
    <row r="100" spans="1:64" x14ac:dyDescent="0.2">
      <c r="A100" s="7"/>
      <c r="B100" s="7"/>
      <c r="C100" s="7">
        <f t="shared" si="39"/>
        <v>2036</v>
      </c>
      <c r="D100" s="7">
        <f t="shared" si="40"/>
        <v>3</v>
      </c>
      <c r="E100" s="7">
        <v>247</v>
      </c>
      <c r="F100" s="123">
        <f>low_v2_m!D88+temporary_pension_bonus_low!B88</f>
        <v>28033309.460372198</v>
      </c>
      <c r="G100" s="123">
        <f>low_v2_m!E88+temporary_pension_bonus_low!B88</f>
        <v>26834569.812008802</v>
      </c>
      <c r="H100" s="41">
        <f t="shared" ref="H100:H117" si="41">F100-J100</f>
        <v>24322951.12286615</v>
      </c>
      <c r="I100" s="41">
        <f t="shared" ref="I100:I117" si="42">G100-K100</f>
        <v>23235522.224627931</v>
      </c>
      <c r="J100" s="123">
        <f>low_v2_m!J88</f>
        <v>3710358.3375060498</v>
      </c>
      <c r="K100" s="123">
        <f>low_v2_m!K88</f>
        <v>3599047.5873808698</v>
      </c>
      <c r="L100" s="41">
        <f t="shared" ref="L100:L117" si="43">H100-I100</f>
        <v>1087428.8982382193</v>
      </c>
      <c r="M100" s="41">
        <f t="shared" ref="M100:M117" si="44">J100-K100</f>
        <v>111310.75012518</v>
      </c>
      <c r="N100" s="123">
        <f>SUM(low_v5_m!C88:J88)</f>
        <v>2397948.3481325409</v>
      </c>
      <c r="O100" s="7"/>
      <c r="P100" s="7"/>
      <c r="Q100" s="41">
        <f t="shared" ref="Q100:Q117" si="45">I100*5.5017049523</f>
        <v>127834987.6925122</v>
      </c>
      <c r="R100" s="41"/>
      <c r="S100" s="41"/>
      <c r="T100" s="7"/>
      <c r="U100" s="7"/>
      <c r="V100" s="41">
        <f t="shared" si="38"/>
        <v>19800897.935056698</v>
      </c>
      <c r="W100" s="41">
        <f t="shared" si="34"/>
        <v>612398.9052079306</v>
      </c>
      <c r="X100" s="41">
        <f t="shared" si="35"/>
        <v>18425678.332537957</v>
      </c>
      <c r="Y100" s="41">
        <f t="shared" si="36"/>
        <v>12442965.377826612</v>
      </c>
      <c r="Z100" s="41">
        <f t="shared" si="37"/>
        <v>5982712.9547113441</v>
      </c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</row>
    <row r="101" spans="1:64" x14ac:dyDescent="0.2">
      <c r="A101" s="7"/>
      <c r="B101" s="7"/>
      <c r="C101" s="7">
        <f t="shared" si="39"/>
        <v>2036</v>
      </c>
      <c r="D101" s="7">
        <f t="shared" si="40"/>
        <v>4</v>
      </c>
      <c r="E101" s="7">
        <v>248</v>
      </c>
      <c r="F101" s="123">
        <f>low_v2_m!D89+temporary_pension_bonus_low!B89</f>
        <v>28148319.743646499</v>
      </c>
      <c r="G101" s="123">
        <f>low_v2_m!E89+temporary_pension_bonus_low!B89</f>
        <v>26944482.6350304</v>
      </c>
      <c r="H101" s="41">
        <f t="shared" si="41"/>
        <v>24373665.729274869</v>
      </c>
      <c r="I101" s="41">
        <f t="shared" si="42"/>
        <v>23283068.24108991</v>
      </c>
      <c r="J101" s="123">
        <f>low_v2_m!J89</f>
        <v>3774654.0143716298</v>
      </c>
      <c r="K101" s="123">
        <f>low_v2_m!K89</f>
        <v>3661414.3939404902</v>
      </c>
      <c r="L101" s="41">
        <f t="shared" si="43"/>
        <v>1090597.4881849587</v>
      </c>
      <c r="M101" s="41">
        <f t="shared" si="44"/>
        <v>113239.6204311396</v>
      </c>
      <c r="N101" s="123">
        <f>SUM(low_v5_m!C89:J89)</f>
        <v>2411105.9594171676</v>
      </c>
      <c r="O101" s="7"/>
      <c r="P101" s="7"/>
      <c r="Q101" s="41">
        <f t="shared" si="45"/>
        <v>128096571.84674321</v>
      </c>
      <c r="R101" s="41"/>
      <c r="S101" s="41"/>
      <c r="T101" s="7"/>
      <c r="U101" s="7"/>
      <c r="V101" s="41">
        <f t="shared" si="38"/>
        <v>20144021.703564897</v>
      </c>
      <c r="W101" s="41">
        <f t="shared" si="34"/>
        <v>623010.98052257299</v>
      </c>
      <c r="X101" s="41">
        <f t="shared" si="35"/>
        <v>18511385.887044318</v>
      </c>
      <c r="Y101" s="41">
        <f t="shared" si="36"/>
        <v>12511240.285331191</v>
      </c>
      <c r="Z101" s="41">
        <f t="shared" si="37"/>
        <v>6000145.6017131275</v>
      </c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</row>
    <row r="102" spans="1:64" x14ac:dyDescent="0.2">
      <c r="A102" s="119"/>
      <c r="B102" s="5"/>
      <c r="C102" s="119">
        <f t="shared" si="39"/>
        <v>2037</v>
      </c>
      <c r="D102" s="119">
        <f t="shared" si="40"/>
        <v>1</v>
      </c>
      <c r="E102" s="119">
        <v>249</v>
      </c>
      <c r="F102" s="121">
        <f>low_v2_m!D90+temporary_pension_bonus_low!B90</f>
        <v>28294262.5441733</v>
      </c>
      <c r="G102" s="121">
        <f>low_v2_m!E90+temporary_pension_bonus_low!B90</f>
        <v>27084441.686023701</v>
      </c>
      <c r="H102" s="8">
        <f t="shared" si="41"/>
        <v>24439151.995038729</v>
      </c>
      <c r="I102" s="8">
        <f t="shared" si="42"/>
        <v>23344984.453363173</v>
      </c>
      <c r="J102" s="121">
        <f>low_v2_m!J90</f>
        <v>3855110.5491345702</v>
      </c>
      <c r="K102" s="121">
        <f>low_v2_m!K90</f>
        <v>3739457.2326605301</v>
      </c>
      <c r="L102" s="8">
        <f t="shared" si="43"/>
        <v>1094167.5416755565</v>
      </c>
      <c r="M102" s="8">
        <f t="shared" si="44"/>
        <v>115653.31647404004</v>
      </c>
      <c r="N102" s="121">
        <f>SUM(low_v5_m!C90:J90)</f>
        <v>2866959.0347199757</v>
      </c>
      <c r="O102" s="5"/>
      <c r="P102" s="5"/>
      <c r="Q102" s="8">
        <f t="shared" si="45"/>
        <v>128437216.57843468</v>
      </c>
      <c r="R102" s="8"/>
      <c r="S102" s="8"/>
      <c r="T102" s="5"/>
      <c r="U102" s="5"/>
      <c r="V102" s="8">
        <f t="shared" si="38"/>
        <v>20573390.375842493</v>
      </c>
      <c r="W102" s="8">
        <f t="shared" si="34"/>
        <v>636290.42399514525</v>
      </c>
      <c r="X102" s="8">
        <f t="shared" si="35"/>
        <v>20896451.042794138</v>
      </c>
      <c r="Y102" s="8">
        <f t="shared" si="36"/>
        <v>14876664.060111813</v>
      </c>
      <c r="Z102" s="8">
        <f t="shared" si="37"/>
        <v>6019786.9826823259</v>
      </c>
      <c r="AA102" s="119"/>
      <c r="AB102" s="119"/>
      <c r="AC102" s="119"/>
      <c r="AD102" s="119"/>
      <c r="AE102" s="119"/>
      <c r="AF102" s="119"/>
      <c r="AG102" s="119"/>
      <c r="AH102" s="119"/>
      <c r="AI102" s="119"/>
      <c r="AJ102" s="119"/>
      <c r="AK102" s="119"/>
      <c r="AL102" s="119"/>
      <c r="AM102" s="119"/>
      <c r="AN102" s="119"/>
      <c r="AO102" s="119"/>
      <c r="AP102" s="119"/>
      <c r="AQ102" s="119"/>
      <c r="AR102" s="119"/>
      <c r="AS102" s="119"/>
      <c r="AT102" s="119"/>
      <c r="AU102" s="119"/>
      <c r="AV102" s="119"/>
      <c r="AW102" s="119"/>
      <c r="AX102" s="119"/>
      <c r="AY102" s="119"/>
      <c r="AZ102" s="119"/>
      <c r="BA102" s="119"/>
      <c r="BB102" s="119"/>
      <c r="BC102" s="119"/>
      <c r="BD102" s="119"/>
      <c r="BE102" s="119"/>
      <c r="BF102" s="119"/>
      <c r="BG102" s="119"/>
      <c r="BH102" s="119"/>
      <c r="BI102" s="119"/>
      <c r="BJ102" s="119"/>
      <c r="BK102" s="119"/>
      <c r="BL102" s="119"/>
    </row>
    <row r="103" spans="1:64" x14ac:dyDescent="0.2">
      <c r="A103" s="7"/>
      <c r="B103" s="7"/>
      <c r="C103" s="7">
        <f t="shared" si="39"/>
        <v>2037</v>
      </c>
      <c r="D103" s="7">
        <f t="shared" si="40"/>
        <v>2</v>
      </c>
      <c r="E103" s="7">
        <v>250</v>
      </c>
      <c r="F103" s="123">
        <f>low_v2_m!D91+temporary_pension_bonus_low!B91</f>
        <v>28404290.0635936</v>
      </c>
      <c r="G103" s="123">
        <f>low_v2_m!E91+temporary_pension_bonus_low!B91</f>
        <v>27190044.5387724</v>
      </c>
      <c r="H103" s="41">
        <f t="shared" si="41"/>
        <v>24476492.646883871</v>
      </c>
      <c r="I103" s="41">
        <f t="shared" si="42"/>
        <v>23380081.04456396</v>
      </c>
      <c r="J103" s="123">
        <f>low_v2_m!J91</f>
        <v>3927797.4167097299</v>
      </c>
      <c r="K103" s="123">
        <f>low_v2_m!K91</f>
        <v>3809963.4942084402</v>
      </c>
      <c r="L103" s="41">
        <f t="shared" si="43"/>
        <v>1096411.6023199111</v>
      </c>
      <c r="M103" s="41">
        <f t="shared" si="44"/>
        <v>117833.92250128975</v>
      </c>
      <c r="N103" s="123">
        <f>SUM(low_v5_m!C91:J91)</f>
        <v>2379308.6127985949</v>
      </c>
      <c r="O103" s="7"/>
      <c r="P103" s="7"/>
      <c r="Q103" s="41">
        <f t="shared" si="45"/>
        <v>128630307.6680529</v>
      </c>
      <c r="R103" s="41"/>
      <c r="S103" s="41"/>
      <c r="T103" s="7"/>
      <c r="U103" s="7"/>
      <c r="V103" s="41">
        <f t="shared" si="38"/>
        <v>20961295.024168786</v>
      </c>
      <c r="W103" s="41">
        <f t="shared" si="34"/>
        <v>648287.47497428022</v>
      </c>
      <c r="X103" s="41">
        <f t="shared" si="35"/>
        <v>18378376.844811827</v>
      </c>
      <c r="Y103" s="41">
        <f t="shared" si="36"/>
        <v>12346243.702569192</v>
      </c>
      <c r="Z103" s="41">
        <f t="shared" si="37"/>
        <v>6032133.1422426328</v>
      </c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</row>
    <row r="104" spans="1:64" x14ac:dyDescent="0.2">
      <c r="A104" s="7"/>
      <c r="B104" s="7"/>
      <c r="C104" s="7">
        <f t="shared" si="39"/>
        <v>2037</v>
      </c>
      <c r="D104" s="7">
        <f t="shared" si="40"/>
        <v>3</v>
      </c>
      <c r="E104" s="7">
        <v>251</v>
      </c>
      <c r="F104" s="123">
        <f>low_v2_m!D92+temporary_pension_bonus_low!B92</f>
        <v>28513053.201581899</v>
      </c>
      <c r="G104" s="123">
        <f>low_v2_m!E92+temporary_pension_bonus_low!B92</f>
        <v>27294306.352558799</v>
      </c>
      <c r="H104" s="41">
        <f t="shared" si="41"/>
        <v>24520480.21964629</v>
      </c>
      <c r="I104" s="41">
        <f t="shared" si="42"/>
        <v>23421510.560081258</v>
      </c>
      <c r="J104" s="123">
        <f>low_v2_m!J92</f>
        <v>3992572.9819356101</v>
      </c>
      <c r="K104" s="123">
        <f>low_v2_m!K92</f>
        <v>3872795.7924775402</v>
      </c>
      <c r="L104" s="41">
        <f t="shared" si="43"/>
        <v>1098969.6595650315</v>
      </c>
      <c r="M104" s="41">
        <f t="shared" si="44"/>
        <v>119777.18945806986</v>
      </c>
      <c r="N104" s="123">
        <f>SUM(low_v5_m!C92:J92)</f>
        <v>2389155.9991336423</v>
      </c>
      <c r="O104" s="7"/>
      <c r="P104" s="7"/>
      <c r="Q104" s="41">
        <f t="shared" si="45"/>
        <v>128858240.6387458</v>
      </c>
      <c r="R104" s="41"/>
      <c r="S104" s="41"/>
      <c r="T104" s="7"/>
      <c r="U104" s="7"/>
      <c r="V104" s="41">
        <f t="shared" si="38"/>
        <v>21306979.790720284</v>
      </c>
      <c r="W104" s="41">
        <f t="shared" si="34"/>
        <v>658978.75641403825</v>
      </c>
      <c r="X104" s="41">
        <f t="shared" si="35"/>
        <v>18443548.655530639</v>
      </c>
      <c r="Y104" s="41">
        <f t="shared" si="36"/>
        <v>12397341.837074259</v>
      </c>
      <c r="Z104" s="41">
        <f t="shared" si="37"/>
        <v>6046206.8184563788</v>
      </c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</row>
    <row r="105" spans="1:64" x14ac:dyDescent="0.2">
      <c r="A105" s="7"/>
      <c r="B105" s="7"/>
      <c r="C105" s="7">
        <f t="shared" si="39"/>
        <v>2037</v>
      </c>
      <c r="D105" s="7">
        <f t="shared" si="40"/>
        <v>4</v>
      </c>
      <c r="E105" s="7">
        <v>252</v>
      </c>
      <c r="F105" s="123">
        <f>low_v2_m!D93+temporary_pension_bonus_low!B93</f>
        <v>28682834.718479101</v>
      </c>
      <c r="G105" s="123">
        <f>low_v2_m!E93+temporary_pension_bonus_low!B93</f>
        <v>27457006.455550302</v>
      </c>
      <c r="H105" s="41">
        <f t="shared" si="41"/>
        <v>24562147.03093347</v>
      </c>
      <c r="I105" s="41">
        <f t="shared" si="42"/>
        <v>23459939.398631044</v>
      </c>
      <c r="J105" s="123">
        <f>low_v2_m!J93</f>
        <v>4120687.6875456301</v>
      </c>
      <c r="K105" s="123">
        <f>low_v2_m!K93</f>
        <v>3997067.05691926</v>
      </c>
      <c r="L105" s="41">
        <f t="shared" si="43"/>
        <v>1102207.6323024258</v>
      </c>
      <c r="M105" s="41">
        <f t="shared" si="44"/>
        <v>123620.6306263702</v>
      </c>
      <c r="N105" s="123">
        <f>SUM(low_v5_m!C93:J93)</f>
        <v>2320629.2677208274</v>
      </c>
      <c r="O105" s="7"/>
      <c r="P105" s="7"/>
      <c r="Q105" s="41">
        <f t="shared" si="45"/>
        <v>129069664.7701063</v>
      </c>
      <c r="R105" s="41"/>
      <c r="S105" s="41"/>
      <c r="T105" s="7"/>
      <c r="U105" s="7"/>
      <c r="V105" s="41">
        <f t="shared" si="38"/>
        <v>21990683.621727876</v>
      </c>
      <c r="W105" s="41">
        <f t="shared" si="34"/>
        <v>680124.23572354997</v>
      </c>
      <c r="X105" s="41">
        <f t="shared" si="35"/>
        <v>18105777.491111897</v>
      </c>
      <c r="Y105" s="41">
        <f t="shared" si="36"/>
        <v>12041756.302010786</v>
      </c>
      <c r="Z105" s="41">
        <f t="shared" si="37"/>
        <v>6064021.189101113</v>
      </c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</row>
    <row r="106" spans="1:64" x14ac:dyDescent="0.2">
      <c r="A106" s="119"/>
      <c r="B106" s="5"/>
      <c r="C106" s="119">
        <f t="shared" si="39"/>
        <v>2038</v>
      </c>
      <c r="D106" s="119">
        <f t="shared" si="40"/>
        <v>1</v>
      </c>
      <c r="E106" s="119">
        <v>253</v>
      </c>
      <c r="F106" s="121">
        <f>low_v2_m!D94+temporary_pension_bonus_low!B94</f>
        <v>28660037.913430698</v>
      </c>
      <c r="G106" s="121">
        <f>low_v2_m!E94+temporary_pension_bonus_low!B94</f>
        <v>27436126.7218461</v>
      </c>
      <c r="H106" s="8">
        <f t="shared" si="41"/>
        <v>24475717.75168597</v>
      </c>
      <c r="I106" s="8">
        <f t="shared" si="42"/>
        <v>23377336.164953709</v>
      </c>
      <c r="J106" s="121">
        <f>low_v2_m!J94</f>
        <v>4184320.1617447301</v>
      </c>
      <c r="K106" s="121">
        <f>low_v2_m!K94</f>
        <v>4058790.5568923899</v>
      </c>
      <c r="L106" s="8">
        <f t="shared" si="43"/>
        <v>1098381.5867322609</v>
      </c>
      <c r="M106" s="8">
        <f t="shared" si="44"/>
        <v>125529.60485234018</v>
      </c>
      <c r="N106" s="121">
        <f>SUM(low_v5_m!C94:J94)</f>
        <v>2829977.8766247858</v>
      </c>
      <c r="O106" s="5"/>
      <c r="P106" s="5"/>
      <c r="Q106" s="8">
        <f t="shared" si="45"/>
        <v>128615206.1503077</v>
      </c>
      <c r="R106" s="8"/>
      <c r="S106" s="8"/>
      <c r="T106" s="5"/>
      <c r="U106" s="5"/>
      <c r="V106" s="8">
        <f t="shared" si="38"/>
        <v>22330268.107203335</v>
      </c>
      <c r="W106" s="8">
        <f t="shared" si="34"/>
        <v>690626.8486763821</v>
      </c>
      <c r="X106" s="8">
        <f t="shared" si="35"/>
        <v>20727740.070194855</v>
      </c>
      <c r="Y106" s="8">
        <f t="shared" si="36"/>
        <v>14684768.654954843</v>
      </c>
      <c r="Z106" s="8">
        <f t="shared" si="37"/>
        <v>6042971.4152400112</v>
      </c>
      <c r="AA106" s="119"/>
      <c r="AB106" s="119"/>
      <c r="AC106" s="119"/>
      <c r="AD106" s="119"/>
      <c r="AE106" s="119"/>
      <c r="AF106" s="119"/>
      <c r="AG106" s="119"/>
      <c r="AH106" s="119"/>
      <c r="AI106" s="119"/>
      <c r="AJ106" s="119"/>
      <c r="AK106" s="119"/>
      <c r="AL106" s="119"/>
      <c r="AM106" s="119"/>
      <c r="AN106" s="119"/>
      <c r="AO106" s="119"/>
      <c r="AP106" s="119"/>
      <c r="AQ106" s="119"/>
      <c r="AR106" s="119"/>
      <c r="AS106" s="119"/>
      <c r="AT106" s="119"/>
      <c r="AU106" s="119"/>
      <c r="AV106" s="119"/>
      <c r="AW106" s="119"/>
      <c r="AX106" s="119"/>
      <c r="AY106" s="119"/>
      <c r="AZ106" s="119"/>
      <c r="BA106" s="119"/>
      <c r="BB106" s="119"/>
      <c r="BC106" s="119"/>
      <c r="BD106" s="119"/>
      <c r="BE106" s="119"/>
      <c r="BF106" s="119"/>
      <c r="BG106" s="119"/>
      <c r="BH106" s="119"/>
      <c r="BI106" s="119"/>
      <c r="BJ106" s="119"/>
      <c r="BK106" s="119"/>
      <c r="BL106" s="119"/>
    </row>
    <row r="107" spans="1:64" x14ac:dyDescent="0.2">
      <c r="A107" s="7"/>
      <c r="B107" s="7"/>
      <c r="C107" s="7">
        <f t="shared" si="39"/>
        <v>2038</v>
      </c>
      <c r="D107" s="7">
        <f t="shared" si="40"/>
        <v>2</v>
      </c>
      <c r="E107" s="7">
        <v>254</v>
      </c>
      <c r="F107" s="123">
        <f>low_v2_m!D95+temporary_pension_bonus_low!B95</f>
        <v>28791418.377475802</v>
      </c>
      <c r="G107" s="123">
        <f>low_v2_m!E95+temporary_pension_bonus_low!B95</f>
        <v>27561818.7190389</v>
      </c>
      <c r="H107" s="41">
        <f t="shared" si="41"/>
        <v>24519785.129709892</v>
      </c>
      <c r="I107" s="41">
        <f t="shared" si="42"/>
        <v>23418334.46870596</v>
      </c>
      <c r="J107" s="123">
        <f>low_v2_m!J95</f>
        <v>4271633.2477659099</v>
      </c>
      <c r="K107" s="123">
        <f>low_v2_m!K95</f>
        <v>4143484.2503329399</v>
      </c>
      <c r="L107" s="41">
        <f t="shared" si="43"/>
        <v>1101450.6610039324</v>
      </c>
      <c r="M107" s="41">
        <f t="shared" si="44"/>
        <v>128148.99743296998</v>
      </c>
      <c r="N107" s="123">
        <f>SUM(low_v5_m!C95:J95)</f>
        <v>2323599.6054223799</v>
      </c>
      <c r="O107" s="7"/>
      <c r="P107" s="7"/>
      <c r="Q107" s="41">
        <f t="shared" si="45"/>
        <v>128840766.72109737</v>
      </c>
      <c r="R107" s="41"/>
      <c r="S107" s="41"/>
      <c r="T107" s="7"/>
      <c r="U107" s="7"/>
      <c r="V107" s="41">
        <f t="shared" si="38"/>
        <v>22796227.819833789</v>
      </c>
      <c r="W107" s="41">
        <f t="shared" si="34"/>
        <v>705037.97380925086</v>
      </c>
      <c r="X107" s="41">
        <f t="shared" si="35"/>
        <v>18117025.954823975</v>
      </c>
      <c r="Y107" s="41">
        <f t="shared" si="36"/>
        <v>12057169.398464533</v>
      </c>
      <c r="Z107" s="41">
        <f t="shared" si="37"/>
        <v>6059856.5563594429</v>
      </c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</row>
    <row r="108" spans="1:64" x14ac:dyDescent="0.2">
      <c r="A108" s="7"/>
      <c r="B108" s="7"/>
      <c r="C108" s="7">
        <f t="shared" si="39"/>
        <v>2038</v>
      </c>
      <c r="D108" s="7">
        <f t="shared" si="40"/>
        <v>3</v>
      </c>
      <c r="E108" s="7">
        <v>255</v>
      </c>
      <c r="F108" s="123">
        <f>low_v2_m!D96+temporary_pension_bonus_low!B96</f>
        <v>28897726.846830402</v>
      </c>
      <c r="G108" s="123">
        <f>low_v2_m!E96+temporary_pension_bonus_low!B96</f>
        <v>27663363.131101999</v>
      </c>
      <c r="H108" s="41">
        <f t="shared" si="41"/>
        <v>24563087.169113562</v>
      </c>
      <c r="I108" s="41">
        <f t="shared" si="42"/>
        <v>23458762.643716671</v>
      </c>
      <c r="J108" s="123">
        <f>low_v2_m!J96</f>
        <v>4334639.6777168401</v>
      </c>
      <c r="K108" s="123">
        <f>low_v2_m!K96</f>
        <v>4204600.4873853298</v>
      </c>
      <c r="L108" s="41">
        <f t="shared" si="43"/>
        <v>1104324.5253968909</v>
      </c>
      <c r="M108" s="41">
        <f t="shared" si="44"/>
        <v>130039.19033151027</v>
      </c>
      <c r="N108" s="123">
        <f>SUM(low_v5_m!C96:J96)</f>
        <v>2311373.7449880135</v>
      </c>
      <c r="O108" s="7"/>
      <c r="P108" s="7"/>
      <c r="Q108" s="41">
        <f t="shared" si="45"/>
        <v>129063190.61176625</v>
      </c>
      <c r="R108" s="41"/>
      <c r="S108" s="41"/>
      <c r="T108" s="7"/>
      <c r="U108" s="7"/>
      <c r="V108" s="41">
        <f t="shared" si="38"/>
        <v>23132471.323890861</v>
      </c>
      <c r="W108" s="41">
        <f t="shared" si="34"/>
        <v>715437.25743995234</v>
      </c>
      <c r="X108" s="41">
        <f t="shared" si="35"/>
        <v>18069397.060873732</v>
      </c>
      <c r="Y108" s="41">
        <f t="shared" si="36"/>
        <v>11993729.350551311</v>
      </c>
      <c r="Z108" s="41">
        <f t="shared" si="37"/>
        <v>6075667.710322422</v>
      </c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</row>
    <row r="109" spans="1:64" x14ac:dyDescent="0.2">
      <c r="A109" s="7"/>
      <c r="B109" s="7"/>
      <c r="C109" s="7">
        <f t="shared" si="39"/>
        <v>2038</v>
      </c>
      <c r="D109" s="7">
        <f t="shared" si="40"/>
        <v>4</v>
      </c>
      <c r="E109" s="7">
        <v>256</v>
      </c>
      <c r="F109" s="123">
        <f>low_v2_m!D97+temporary_pension_bonus_low!B97</f>
        <v>29020983.193513799</v>
      </c>
      <c r="G109" s="123">
        <f>low_v2_m!E97+temporary_pension_bonus_low!B97</f>
        <v>27780550.906232402</v>
      </c>
      <c r="H109" s="41">
        <f t="shared" si="41"/>
        <v>24677211.854677431</v>
      </c>
      <c r="I109" s="41">
        <f t="shared" si="42"/>
        <v>23567092.707561132</v>
      </c>
      <c r="J109" s="123">
        <f>low_v2_m!J97</f>
        <v>4343771.33883637</v>
      </c>
      <c r="K109" s="123">
        <f>low_v2_m!K97</f>
        <v>4213458.1986712702</v>
      </c>
      <c r="L109" s="41">
        <f t="shared" si="43"/>
        <v>1110119.1471162997</v>
      </c>
      <c r="M109" s="41">
        <f t="shared" si="44"/>
        <v>130313.14016509987</v>
      </c>
      <c r="N109" s="123">
        <f>SUM(low_v5_m!C97:J97)</f>
        <v>2256741.8350803889</v>
      </c>
      <c r="O109" s="7"/>
      <c r="P109" s="7"/>
      <c r="Q109" s="41">
        <f t="shared" si="45"/>
        <v>129659190.66050228</v>
      </c>
      <c r="R109" s="41"/>
      <c r="S109" s="41"/>
      <c r="T109" s="7"/>
      <c r="U109" s="7"/>
      <c r="V109" s="41">
        <f t="shared" si="38"/>
        <v>23181203.837938763</v>
      </c>
      <c r="W109" s="41">
        <f t="shared" si="34"/>
        <v>716944.44859609404</v>
      </c>
      <c r="X109" s="41">
        <f t="shared" si="35"/>
        <v>17817792.119664274</v>
      </c>
      <c r="Y109" s="41">
        <f t="shared" si="36"/>
        <v>11710244.110331474</v>
      </c>
      <c r="Z109" s="41">
        <f t="shared" si="37"/>
        <v>6107548.0093327984</v>
      </c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</row>
    <row r="110" spans="1:64" x14ac:dyDescent="0.2">
      <c r="A110" s="119"/>
      <c r="B110" s="5"/>
      <c r="C110" s="119">
        <f t="shared" si="39"/>
        <v>2039</v>
      </c>
      <c r="D110" s="119">
        <f t="shared" si="40"/>
        <v>1</v>
      </c>
      <c r="E110" s="119">
        <v>257</v>
      </c>
      <c r="F110" s="121">
        <f>low_v2_m!D98+temporary_pension_bonus_low!B98</f>
        <v>29239225.983959101</v>
      </c>
      <c r="G110" s="121">
        <f>low_v2_m!E98+temporary_pension_bonus_low!B98</f>
        <v>27990275.3159847</v>
      </c>
      <c r="H110" s="8">
        <f t="shared" si="41"/>
        <v>24783183.408390522</v>
      </c>
      <c r="I110" s="8">
        <f t="shared" si="42"/>
        <v>23667914.017683178</v>
      </c>
      <c r="J110" s="121">
        <f>low_v2_m!J98</f>
        <v>4456042.5755685801</v>
      </c>
      <c r="K110" s="121">
        <f>low_v2_m!K98</f>
        <v>4322361.2983015198</v>
      </c>
      <c r="L110" s="8">
        <f t="shared" si="43"/>
        <v>1115269.3907073438</v>
      </c>
      <c r="M110" s="8">
        <f t="shared" si="44"/>
        <v>133681.27726706024</v>
      </c>
      <c r="N110" s="121">
        <f>SUM(low_v5_m!C98:J98)</f>
        <v>2810166.2881128532</v>
      </c>
      <c r="O110" s="5"/>
      <c r="P110" s="5"/>
      <c r="Q110" s="8">
        <f t="shared" si="45"/>
        <v>130213879.76169813</v>
      </c>
      <c r="R110" s="8"/>
      <c r="S110" s="8"/>
      <c r="T110" s="5"/>
      <c r="U110" s="5"/>
      <c r="V110" s="8">
        <f t="shared" si="38"/>
        <v>23780356.560495328</v>
      </c>
      <c r="W110" s="8">
        <f t="shared" ref="W110:W117" si="46">M110*5.5017049523</f>
        <v>735474.9451699747</v>
      </c>
      <c r="X110" s="8">
        <f t="shared" ref="X110:X117" si="47">N110*5.1890047538+L110*5.5017049523</f>
        <v>20717849.357989293</v>
      </c>
      <c r="Y110" s="8">
        <f t="shared" ref="Y110:Y117" si="48">N110*5.1890047538</f>
        <v>14581966.227986095</v>
      </c>
      <c r="Z110" s="8">
        <f t="shared" ref="Z110:Z117" si="49">L110*5.5017049523</f>
        <v>6135883.1300031971</v>
      </c>
      <c r="AA110" s="119"/>
      <c r="AB110" s="119"/>
      <c r="AC110" s="119"/>
      <c r="AD110" s="119"/>
      <c r="AE110" s="119"/>
      <c r="AF110" s="119"/>
      <c r="AG110" s="119"/>
      <c r="AH110" s="119"/>
      <c r="AI110" s="119"/>
      <c r="AJ110" s="119"/>
      <c r="AK110" s="119"/>
      <c r="AL110" s="119"/>
      <c r="AM110" s="119"/>
      <c r="AN110" s="119"/>
      <c r="AO110" s="119"/>
      <c r="AP110" s="119"/>
      <c r="AQ110" s="119"/>
      <c r="AR110" s="119"/>
      <c r="AS110" s="119"/>
      <c r="AT110" s="119"/>
      <c r="AU110" s="119"/>
      <c r="AV110" s="119"/>
      <c r="AW110" s="119"/>
      <c r="AX110" s="119"/>
      <c r="AY110" s="119"/>
      <c r="AZ110" s="119"/>
      <c r="BA110" s="119"/>
      <c r="BB110" s="119"/>
      <c r="BC110" s="119"/>
      <c r="BD110" s="119"/>
      <c r="BE110" s="119"/>
      <c r="BF110" s="119"/>
      <c r="BG110" s="119"/>
      <c r="BH110" s="119"/>
      <c r="BI110" s="119"/>
      <c r="BJ110" s="119"/>
      <c r="BK110" s="119"/>
      <c r="BL110" s="119"/>
    </row>
    <row r="111" spans="1:64" x14ac:dyDescent="0.2">
      <c r="A111" s="7"/>
      <c r="B111" s="7"/>
      <c r="C111" s="7">
        <f t="shared" si="39"/>
        <v>2039</v>
      </c>
      <c r="D111" s="7">
        <f t="shared" si="40"/>
        <v>2</v>
      </c>
      <c r="E111" s="7">
        <v>258</v>
      </c>
      <c r="F111" s="123">
        <f>low_v2_m!D99+temporary_pension_bonus_low!B99</f>
        <v>29319256.134575799</v>
      </c>
      <c r="G111" s="123">
        <f>low_v2_m!E99+temporary_pension_bonus_low!B99</f>
        <v>28067544.097555701</v>
      </c>
      <c r="H111" s="41">
        <f t="shared" si="41"/>
        <v>24797450.655936278</v>
      </c>
      <c r="I111" s="41">
        <f t="shared" si="42"/>
        <v>23681392.78327537</v>
      </c>
      <c r="J111" s="123">
        <f>low_v2_m!J99</f>
        <v>4521805.4786395198</v>
      </c>
      <c r="K111" s="123">
        <f>low_v2_m!K99</f>
        <v>4386151.3142803302</v>
      </c>
      <c r="L111" s="41">
        <f t="shared" si="43"/>
        <v>1116057.8726609088</v>
      </c>
      <c r="M111" s="41">
        <f t="shared" si="44"/>
        <v>135654.16435918957</v>
      </c>
      <c r="N111" s="123">
        <f>SUM(low_v5_m!C99:J99)</f>
        <v>2301772.1659363084</v>
      </c>
      <c r="O111" s="7"/>
      <c r="P111" s="7"/>
      <c r="Q111" s="41">
        <f t="shared" si="45"/>
        <v>130288035.95310758</v>
      </c>
      <c r="R111" s="41"/>
      <c r="S111" s="41"/>
      <c r="T111" s="7"/>
      <c r="U111" s="7"/>
      <c r="V111" s="41">
        <f t="shared" ref="V111:V117" si="50">K111*5.5017049523</f>
        <v>24131310.407313246</v>
      </c>
      <c r="W111" s="41">
        <f t="shared" si="46"/>
        <v>746329.18785507139</v>
      </c>
      <c r="X111" s="41">
        <f t="shared" si="47"/>
        <v>18084127.836279951</v>
      </c>
      <c r="Y111" s="41">
        <f t="shared" si="48"/>
        <v>11943906.711208027</v>
      </c>
      <c r="Z111" s="41">
        <f t="shared" si="49"/>
        <v>6140221.1250719251</v>
      </c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</row>
    <row r="112" spans="1:64" x14ac:dyDescent="0.2">
      <c r="A112" s="7"/>
      <c r="B112" s="7"/>
      <c r="C112" s="7">
        <f t="shared" si="39"/>
        <v>2039</v>
      </c>
      <c r="D112" s="7">
        <f t="shared" si="40"/>
        <v>3</v>
      </c>
      <c r="E112" s="7">
        <v>259</v>
      </c>
      <c r="F112" s="123">
        <f>low_v2_m!D100+temporary_pension_bonus_low!B100</f>
        <v>29356704.072997302</v>
      </c>
      <c r="G112" s="123">
        <f>low_v2_m!E100+temporary_pension_bonus_low!B100</f>
        <v>28102770.146907501</v>
      </c>
      <c r="H112" s="41">
        <f t="shared" si="41"/>
        <v>24791439.307538241</v>
      </c>
      <c r="I112" s="41">
        <f t="shared" si="42"/>
        <v>23674463.324412212</v>
      </c>
      <c r="J112" s="123">
        <f>low_v2_m!J100</f>
        <v>4565264.7654590597</v>
      </c>
      <c r="K112" s="123">
        <f>low_v2_m!K100</f>
        <v>4428306.8224952901</v>
      </c>
      <c r="L112" s="41">
        <f t="shared" si="43"/>
        <v>1116975.9831260294</v>
      </c>
      <c r="M112" s="41">
        <f t="shared" si="44"/>
        <v>136957.94296376966</v>
      </c>
      <c r="N112" s="123">
        <f>SUM(low_v5_m!C100:J100)</f>
        <v>2307456.3439644538</v>
      </c>
      <c r="O112" s="7"/>
      <c r="P112" s="7"/>
      <c r="Q112" s="41">
        <f t="shared" si="45"/>
        <v>130249912.11496338</v>
      </c>
      <c r="R112" s="41"/>
      <c r="S112" s="41"/>
      <c r="T112" s="7"/>
      <c r="U112" s="7"/>
      <c r="V112" s="41">
        <f t="shared" si="50"/>
        <v>24363237.575626213</v>
      </c>
      <c r="W112" s="41">
        <f t="shared" si="46"/>
        <v>753502.19306059252</v>
      </c>
      <c r="X112" s="41">
        <f t="shared" si="47"/>
        <v>18118674.235982157</v>
      </c>
      <c r="Y112" s="41">
        <f t="shared" si="48"/>
        <v>11973401.938017519</v>
      </c>
      <c r="Z112" s="41">
        <f t="shared" si="49"/>
        <v>6145272.2979646372</v>
      </c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</row>
    <row r="113" spans="1:64" x14ac:dyDescent="0.2">
      <c r="A113" s="7"/>
      <c r="B113" s="7"/>
      <c r="C113" s="7">
        <f t="shared" si="39"/>
        <v>2039</v>
      </c>
      <c r="D113" s="7">
        <f t="shared" si="40"/>
        <v>4</v>
      </c>
      <c r="E113" s="7">
        <v>260</v>
      </c>
      <c r="F113" s="123">
        <f>low_v2_m!D101+temporary_pension_bonus_low!B101</f>
        <v>29492735.409923401</v>
      </c>
      <c r="G113" s="123">
        <f>low_v2_m!E101+temporary_pension_bonus_low!B101</f>
        <v>28232406.142793499</v>
      </c>
      <c r="H113" s="41">
        <f t="shared" si="41"/>
        <v>24844971.441308159</v>
      </c>
      <c r="I113" s="41">
        <f t="shared" si="42"/>
        <v>23724075.093236707</v>
      </c>
      <c r="J113" s="123">
        <f>low_v2_m!J101</f>
        <v>4647763.9686152404</v>
      </c>
      <c r="K113" s="123">
        <f>low_v2_m!K101</f>
        <v>4508331.0495567899</v>
      </c>
      <c r="L113" s="41">
        <f t="shared" si="43"/>
        <v>1120896.3480714522</v>
      </c>
      <c r="M113" s="41">
        <f t="shared" si="44"/>
        <v>139432.9190584505</v>
      </c>
      <c r="N113" s="123">
        <f>SUM(low_v5_m!C101:J101)</f>
        <v>2321226.7354101068</v>
      </c>
      <c r="O113" s="7"/>
      <c r="P113" s="7"/>
      <c r="Q113" s="41">
        <f t="shared" si="45"/>
        <v>130522861.42919748</v>
      </c>
      <c r="R113" s="41"/>
      <c r="S113" s="41"/>
      <c r="T113" s="7"/>
      <c r="U113" s="7"/>
      <c r="V113" s="41">
        <f t="shared" si="50"/>
        <v>24803507.261954449</v>
      </c>
      <c r="W113" s="41">
        <f t="shared" si="46"/>
        <v>767118.78129752213</v>
      </c>
      <c r="X113" s="41">
        <f t="shared" si="47"/>
        <v>18211697.553890392</v>
      </c>
      <c r="Y113" s="41">
        <f t="shared" si="48"/>
        <v>12044856.5646907</v>
      </c>
      <c r="Z113" s="41">
        <f t="shared" si="49"/>
        <v>6166840.9891996933</v>
      </c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  <c r="BJ113" s="7"/>
      <c r="BK113" s="7"/>
      <c r="BL113" s="7"/>
    </row>
    <row r="114" spans="1:64" x14ac:dyDescent="0.2">
      <c r="A114" s="119"/>
      <c r="B114" s="5"/>
      <c r="C114" s="119">
        <f t="shared" ref="C114:C117" si="51">C110+1</f>
        <v>2040</v>
      </c>
      <c r="D114" s="119">
        <f t="shared" ref="D114:D117" si="52">D110</f>
        <v>1</v>
      </c>
      <c r="E114" s="119">
        <v>261</v>
      </c>
      <c r="F114" s="121">
        <f>low_v2_m!D102+temporary_pension_bonus_low!B102</f>
        <v>29636136.350633901</v>
      </c>
      <c r="G114" s="121">
        <f>low_v2_m!E102+temporary_pension_bonus_low!B102</f>
        <v>28369780.769868098</v>
      </c>
      <c r="H114" s="8">
        <f t="shared" si="41"/>
        <v>24964262.345908768</v>
      </c>
      <c r="I114" s="8">
        <f t="shared" si="42"/>
        <v>23838062.985284727</v>
      </c>
      <c r="J114" s="121">
        <f>low_v2_m!J102</f>
        <v>4671874.0047251303</v>
      </c>
      <c r="K114" s="121">
        <f>low_v2_m!K102</f>
        <v>4531717.7845833702</v>
      </c>
      <c r="L114" s="8">
        <f t="shared" si="43"/>
        <v>1126199.3606240414</v>
      </c>
      <c r="M114" s="8">
        <f t="shared" si="44"/>
        <v>140156.22014176007</v>
      </c>
      <c r="N114" s="121">
        <f>SUM(low_v5_m!C102:J102)</f>
        <v>2808970.1601308677</v>
      </c>
      <c r="O114" s="5"/>
      <c r="P114" s="5"/>
      <c r="Q114" s="8">
        <f t="shared" si="45"/>
        <v>131149989.1793803</v>
      </c>
      <c r="R114" s="8"/>
      <c r="S114" s="8"/>
      <c r="T114" s="5"/>
      <c r="U114" s="5"/>
      <c r="V114" s="8">
        <f t="shared" si="50"/>
        <v>24932174.17786831</v>
      </c>
      <c r="W114" s="8">
        <f t="shared" si="46"/>
        <v>771098.1704495704</v>
      </c>
      <c r="X114" s="8">
        <f t="shared" si="47"/>
        <v>20771776.113823801</v>
      </c>
      <c r="Y114" s="8">
        <f t="shared" si="48"/>
        <v>14575759.514201419</v>
      </c>
      <c r="Z114" s="8">
        <f t="shared" si="49"/>
        <v>6196016.5996223819</v>
      </c>
      <c r="AA114" s="119"/>
      <c r="AB114" s="119"/>
      <c r="AC114" s="119"/>
      <c r="AD114" s="119"/>
      <c r="AE114" s="119"/>
      <c r="AF114" s="119"/>
      <c r="AG114" s="119"/>
      <c r="AH114" s="119"/>
      <c r="AI114" s="119"/>
      <c r="AJ114" s="119"/>
      <c r="AK114" s="119"/>
      <c r="AL114" s="119"/>
      <c r="AM114" s="119"/>
      <c r="AN114" s="119"/>
      <c r="AO114" s="119"/>
      <c r="AP114" s="119"/>
      <c r="AQ114" s="119"/>
      <c r="AR114" s="119"/>
      <c r="AS114" s="119"/>
      <c r="AT114" s="119"/>
      <c r="AU114" s="119"/>
      <c r="AV114" s="119"/>
      <c r="AW114" s="119"/>
      <c r="AX114" s="119"/>
      <c r="AY114" s="119"/>
      <c r="AZ114" s="119"/>
      <c r="BA114" s="119"/>
      <c r="BB114" s="119"/>
      <c r="BC114" s="119"/>
      <c r="BD114" s="119"/>
      <c r="BE114" s="119"/>
      <c r="BF114" s="119"/>
      <c r="BG114" s="119"/>
      <c r="BH114" s="119"/>
      <c r="BI114" s="119"/>
      <c r="BJ114" s="119"/>
      <c r="BK114" s="119"/>
      <c r="BL114" s="119"/>
    </row>
    <row r="115" spans="1:64" x14ac:dyDescent="0.2">
      <c r="A115" s="7"/>
      <c r="B115" s="7"/>
      <c r="C115" s="7">
        <f t="shared" si="51"/>
        <v>2040</v>
      </c>
      <c r="D115" s="7">
        <f t="shared" si="52"/>
        <v>2</v>
      </c>
      <c r="E115" s="7">
        <v>262</v>
      </c>
      <c r="F115" s="123">
        <f>low_v2_m!D103+temporary_pension_bonus_low!B103</f>
        <v>29712378.484926298</v>
      </c>
      <c r="G115" s="123">
        <f>low_v2_m!E103+temporary_pension_bonus_low!B103</f>
        <v>28442596.660413101</v>
      </c>
      <c r="H115" s="41">
        <f t="shared" si="41"/>
        <v>25000864.986625947</v>
      </c>
      <c r="I115" s="41">
        <f t="shared" si="42"/>
        <v>23872428.56706176</v>
      </c>
      <c r="J115" s="123">
        <f>low_v2_m!J103</f>
        <v>4711513.4983003503</v>
      </c>
      <c r="K115" s="123">
        <f>low_v2_m!K103</f>
        <v>4570168.0933513399</v>
      </c>
      <c r="L115" s="41">
        <f t="shared" si="43"/>
        <v>1128436.4195641875</v>
      </c>
      <c r="M115" s="41">
        <f t="shared" si="44"/>
        <v>141345.40494901035</v>
      </c>
      <c r="N115" s="123">
        <f>SUM(low_v5_m!C103:J103)</f>
        <v>2311122.8152182368</v>
      </c>
      <c r="O115" s="7"/>
      <c r="P115" s="7"/>
      <c r="Q115" s="41">
        <f t="shared" si="45"/>
        <v>131339058.47083168</v>
      </c>
      <c r="R115" s="41"/>
      <c r="S115" s="41"/>
      <c r="T115" s="7"/>
      <c r="U115" s="7"/>
      <c r="V115" s="41">
        <f t="shared" si="50"/>
        <v>25143716.432034515</v>
      </c>
      <c r="W115" s="41">
        <f t="shared" si="46"/>
        <v>777640.71439281921</v>
      </c>
      <c r="X115" s="41">
        <f t="shared" si="47"/>
        <v>18200751.512655042</v>
      </c>
      <c r="Y115" s="41">
        <f t="shared" si="48"/>
        <v>11992427.274783069</v>
      </c>
      <c r="Z115" s="41">
        <f t="shared" si="49"/>
        <v>6208324.237871971</v>
      </c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</row>
    <row r="116" spans="1:64" x14ac:dyDescent="0.2">
      <c r="A116" s="7"/>
      <c r="B116" s="7"/>
      <c r="C116" s="7">
        <f t="shared" si="51"/>
        <v>2040</v>
      </c>
      <c r="D116" s="7">
        <f t="shared" si="52"/>
        <v>3</v>
      </c>
      <c r="E116" s="7">
        <v>263</v>
      </c>
      <c r="F116" s="123">
        <f>low_v2_m!D104+temporary_pension_bonus_low!B104</f>
        <v>29832051.720487598</v>
      </c>
      <c r="G116" s="123">
        <f>low_v2_m!E104+temporary_pension_bonus_low!B104</f>
        <v>28557507.6891982</v>
      </c>
      <c r="H116" s="41">
        <f t="shared" si="41"/>
        <v>25008525.325005889</v>
      </c>
      <c r="I116" s="41">
        <f t="shared" si="42"/>
        <v>23878687.085580938</v>
      </c>
      <c r="J116" s="123">
        <f>low_v2_m!J104</f>
        <v>4823526.3954817103</v>
      </c>
      <c r="K116" s="123">
        <f>low_v2_m!K104</f>
        <v>4678820.6036172602</v>
      </c>
      <c r="L116" s="41">
        <f t="shared" si="43"/>
        <v>1129838.2394249514</v>
      </c>
      <c r="M116" s="41">
        <f t="shared" si="44"/>
        <v>144705.79186445009</v>
      </c>
      <c r="N116" s="123">
        <f>SUM(low_v5_m!C104:J104)</f>
        <v>2316091.7911085682</v>
      </c>
      <c r="O116" s="7"/>
      <c r="P116" s="7"/>
      <c r="Q116" s="41">
        <f t="shared" si="45"/>
        <v>131373490.99316269</v>
      </c>
      <c r="R116" s="41"/>
      <c r="S116" s="41"/>
      <c r="T116" s="7"/>
      <c r="U116" s="7"/>
      <c r="V116" s="41">
        <f t="shared" si="50"/>
        <v>25741490.485844355</v>
      </c>
      <c r="W116" s="41">
        <f t="shared" si="46"/>
        <v>796128.57172713813</v>
      </c>
      <c r="X116" s="41">
        <f t="shared" si="47"/>
        <v>18234247.951441683</v>
      </c>
      <c r="Y116" s="41">
        <f t="shared" si="48"/>
        <v>12018211.314299516</v>
      </c>
      <c r="Z116" s="41">
        <f t="shared" si="49"/>
        <v>6216036.6371421684</v>
      </c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</row>
    <row r="117" spans="1:64" x14ac:dyDescent="0.2">
      <c r="A117" s="7"/>
      <c r="B117" s="7"/>
      <c r="C117" s="7">
        <f t="shared" si="51"/>
        <v>2040</v>
      </c>
      <c r="D117" s="7">
        <f t="shared" si="52"/>
        <v>4</v>
      </c>
      <c r="E117" s="7">
        <v>264</v>
      </c>
      <c r="F117" s="123">
        <f>low_v2_m!D105+temporary_pension_bonus_low!B105</f>
        <v>30168808.0530685</v>
      </c>
      <c r="G117" s="123">
        <f>low_v2_m!E105+temporary_pension_bonus_low!B105</f>
        <v>28879530.616789501</v>
      </c>
      <c r="H117" s="41">
        <f t="shared" si="41"/>
        <v>25260825.698170729</v>
      </c>
      <c r="I117" s="41">
        <f t="shared" si="42"/>
        <v>24118787.732538663</v>
      </c>
      <c r="J117" s="123">
        <f>low_v2_m!J105</f>
        <v>4907982.3548977701</v>
      </c>
      <c r="K117" s="123">
        <f>low_v2_m!K105</f>
        <v>4760742.8842508402</v>
      </c>
      <c r="L117" s="41">
        <f t="shared" si="43"/>
        <v>1142037.9656320661</v>
      </c>
      <c r="M117" s="41">
        <f t="shared" si="44"/>
        <v>147239.47064692993</v>
      </c>
      <c r="N117" s="123">
        <f>SUM(low_v5_m!C105:J105)</f>
        <v>2253300.7661612076</v>
      </c>
      <c r="O117" s="7"/>
      <c r="P117" s="7"/>
      <c r="Q117" s="41">
        <f t="shared" si="45"/>
        <v>132694453.91158044</v>
      </c>
      <c r="R117" s="41"/>
      <c r="S117" s="41"/>
      <c r="T117" s="7"/>
      <c r="U117" s="7"/>
      <c r="V117" s="41">
        <f t="shared" si="50"/>
        <v>26192202.702909831</v>
      </c>
      <c r="W117" s="41">
        <f t="shared" si="46"/>
        <v>810068.12483224482</v>
      </c>
      <c r="X117" s="41">
        <f t="shared" si="47"/>
        <v>17975544.318584245</v>
      </c>
      <c r="Y117" s="41">
        <f t="shared" si="48"/>
        <v>11692388.387351688</v>
      </c>
      <c r="Z117" s="41">
        <f t="shared" si="49"/>
        <v>6283155.9312325558</v>
      </c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  <c r="BJ117" s="7"/>
      <c r="BK117" s="7"/>
      <c r="BL117" s="7"/>
    </row>
    <row r="122" spans="1:64" x14ac:dyDescent="0.2">
      <c r="N122">
        <v>1000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757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28</vt:i4>
      </vt:variant>
    </vt:vector>
  </HeadingPairs>
  <TitlesOfParts>
    <vt:vector size="28" baseType="lpstr">
      <vt:lpstr>GDP evolution by scenario</vt:lpstr>
      <vt:lpstr>Central scenario</vt:lpstr>
      <vt:lpstr>Low scenario</vt:lpstr>
      <vt:lpstr>High scenario</vt:lpstr>
      <vt:lpstr>Graphiques déficit</vt:lpstr>
      <vt:lpstr>Bismarckian Deficit</vt:lpstr>
      <vt:lpstr>Economic result</vt:lpstr>
      <vt:lpstr>High pensions</vt:lpstr>
      <vt:lpstr>Low pensions</vt:lpstr>
      <vt:lpstr>Central pensions</vt:lpstr>
      <vt:lpstr>Central SIPA income</vt:lpstr>
      <vt:lpstr>Low SIPA income</vt:lpstr>
      <vt:lpstr>High SIPA income</vt:lpstr>
      <vt:lpstr>workers_and_wage_central</vt:lpstr>
      <vt:lpstr>workers_and_wage_high</vt:lpstr>
      <vt:lpstr>workers_and_wage_low</vt:lpstr>
      <vt:lpstr>central_v2_m</vt:lpstr>
      <vt:lpstr>low_v2_m</vt:lpstr>
      <vt:lpstr>high_v2_m</vt:lpstr>
      <vt:lpstr>central_v5_m</vt:lpstr>
      <vt:lpstr>low_v5_m</vt:lpstr>
      <vt:lpstr>high_v5_m</vt:lpstr>
      <vt:lpstr>central_SIPA_income</vt:lpstr>
      <vt:lpstr>low_SIPA_income</vt:lpstr>
      <vt:lpstr>high_SIPA_income</vt:lpstr>
      <vt:lpstr>temporary_pension_bonus_central</vt:lpstr>
      <vt:lpstr>temporary_pension_bonus_low</vt:lpstr>
      <vt:lpstr>temporary_pension_bonus_high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Leonardo Calcagno</dc:creator>
  <dc:description/>
  <cp:lastModifiedBy>AG6</cp:lastModifiedBy>
  <cp:revision>276</cp:revision>
  <cp:lastPrinted>2018-07-09T16:45:56Z</cp:lastPrinted>
  <dcterms:created xsi:type="dcterms:W3CDTF">2018-03-19T16:55:05Z</dcterms:created>
  <dcterms:modified xsi:type="dcterms:W3CDTF">2020-03-09T14:34:08Z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