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IFERROR(__xludf.DUMMYFUNCTION("""COMPUTED_VALUE"""),"Rae Erlano")</f>
        <v>Rae Erlano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IFERROR(__xludf.DUMMYFUNCTION("""COMPUTED_VALUE"""),"Rae Erlano")</f>
        <v>Rae Erlano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IFERROR(__xludf.DUMMYFUNCTION("""COMPUTED_VALUE"""),"Rae Erlano")</f>
        <v>Rae Erlano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IFERROR(__xludf.DUMMYFUNCTION("""COMPUTED_VALUE"""),"Rae Erlano")</f>
        <v>Rae Erlano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IFERROR(__xludf.DUMMYFUNCTION("""COMPUTED_VALUE"""),"Vinz Lazaro")</f>
        <v>Vinz Lazaro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IFERROR(__xludf.DUMMYFUNCTION("""COMPUTED_VALUE"""),"Vinz Lazaro")</f>
        <v>Vinz Lazaro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IFERROR(__xludf.DUMMYFUNCTION("""COMPUTED_VALUE"""),"#N/A")</f>
        <v>#N/A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IFERROR(__xludf.DUMMYFUNCTION("""COMPUTED_VALUE"""),"#N/A")</f>
        <v>#N/A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IFERROR(__xludf.DUMMYFUNCTION("""COMPUTED_VALUE"""),"#N/A")</f>
        <v>#N/A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IFERROR(__xludf.DUMMYFUNCTION("""COMPUTED_VALUE"""),"#N/A")</f>
        <v>#N/A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/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/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IFERROR(__xludf.DUMMYFUNCTION("""COMPUTED_VALUE"""),"Vinz Lazaro")</f>
        <v>Vinz Lazaro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IFERROR(__xludf.DUMMYFUNCTION("""COMPUTED_VALUE"""),"Vinz Lazaro")</f>
        <v>Vinz Lazaro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IFERROR(__xludf.DUMMYFUNCTION("""COMPUTED_VALUE"""),"Admin Support")</f>
        <v>Admin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IFERROR(__xludf.DUMMYFUNCTION("""COMPUTED_VALUE"""),"AL Suarez")</f>
        <v>AL Suarez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IFERROR(__xludf.DUMMYFUNCTION("""COMPUTED_VALUE"""),"Admin Support")</f>
        <v>Admin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IFERROR(__xludf.DUMMYFUNCTION("""COMPUTED_VALUE"""),"AL Suarez")</f>
        <v>AL Suarez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IFERROR(__xludf.DUMMYFUNCTION("""COMPUTED_VALUE"""),"Admin Support")</f>
        <v>Admin Support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IFERROR(__xludf.DUMMYFUNCTION("""COMPUTED_VALUE"""),"Karla Mananghaya")</f>
        <v>Karla Mananghaya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IFERROR(__xludf.DUMMYFUNCTION("""COMPUTED_VALUE"""),"Admin Support")</f>
        <v>Admin Support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IFERROR(__xludf.DUMMYFUNCTION("""COMPUTED_VALUE"""),"Karla Mananghaya")</f>
        <v>Karla Mananghaya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IFERROR(__xludf.DUMMYFUNCTION("""COMPUTED_VALUE"""),"Admin Support")</f>
        <v>Admin Support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IFERROR(__xludf.DUMMYFUNCTION("""COMPUTED_VALUE"""),"Karla Mananghaya")</f>
        <v>Karla Mananghaya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IFERROR(__xludf.DUMMYFUNCTION("""COMPUTED_VALUE"""),"Admin Support")</f>
        <v>Admin Support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IFERROR(__xludf.DUMMYFUNCTION("""COMPUTED_VALUE"""),"Karla Mananghaya")</f>
        <v>Karla Mananghaya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IFERROR(__xludf.DUMMYFUNCTION("""COMPUTED_VALUE"""),"Vinz Lazaro")</f>
        <v>Vinz Lazaro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IFERROR(__xludf.DUMMYFUNCTION("""COMPUTED_VALUE"""),"Vinz Lazaro")</f>
        <v>Vinz Lazaro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IFERROR(__xludf.DUMMYFUNCTION("""COMPUTED_VALUE"""),"Vinz Lazaro")</f>
        <v>Vinz Lazaro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IFERROR(__xludf.DUMMYFUNCTION("""COMPUTED_VALUE"""),"Vinz Lazaro")</f>
        <v>Vinz Lazaro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IFERROR(__xludf.DUMMYFUNCTION("""COMPUTED_VALUE"""),"Xandy Azarcon")</f>
        <v>Xandy Azarcon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IFERROR(__xludf.DUMMYFUNCTION("""COMPUTED_VALUE"""),"Xandy Azarcon")</f>
        <v>Xandy Azarcon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IFERROR(__xludf.DUMMYFUNCTION("""COMPUTED_VALUE"""),"Vinz Lazaro")</f>
        <v>Vinz Lazaro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IFERROR(__xludf.DUMMYFUNCTION("""COMPUTED_VALUE"""),"Vinz Lazaro")</f>
        <v>Vinz Lazaro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IFERROR(__xludf.DUMMYFUNCTION("""COMPUTED_VALUE"""),"Karla Mananghaya")</f>
        <v>Karla Mananghaya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IFERROR(__xludf.DUMMYFUNCTION("""COMPUTED_VALUE"""),"Karla Mananghaya")</f>
        <v>Karla Mananghaya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IFERROR(__xludf.DUMMYFUNCTION("""COMPUTED_VALUE"""),"#N/A")</f>
        <v>#N/A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IFERROR(__xludf.DUMMYFUNCTION("""COMPUTED_VALUE"""),"#N/A")</f>
        <v>#N/A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IFERROR(__xludf.DUMMYFUNCTION("""COMPUTED_VALUE"""),"#N/A")</f>
        <v>#N/A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IFERROR(__xludf.DUMMYFUNCTION("""COMPUTED_VALUE"""),"#N/A")</f>
        <v>#N/A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IFERROR(__xludf.DUMMYFUNCTION("""COMPUTED_VALUE"""),"Vinz Lazaro")</f>
        <v>Vinz Lazaro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IFERROR(__xludf.DUMMYFUNCTION("""COMPUTED_VALUE"""),"Vinz Lazaro")</f>
        <v>Vinz Lazaro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IFERROR(__xludf.DUMMYFUNCTION("""COMPUTED_VALUE"""),"Abi Villajoaquin")</f>
        <v>Abi Villajoaquin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IFERROR(__xludf.DUMMYFUNCTION("""COMPUTED_VALUE"""),"Abi Villajoaquin")</f>
        <v>Abi Villajoaquin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IFERROR(__xludf.DUMMYFUNCTION("""COMPUTED_VALUE"""),"Rae Erlano")</f>
        <v>Rae Erlano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IFERROR(__xludf.DUMMYFUNCTION("""COMPUTED_VALUE"""),"Rae Erlano")</f>
        <v>Rae Erlano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IFERROR(__xludf.DUMMYFUNCTION("""COMPUTED_VALUE"""),"Rae Erlano")</f>
        <v>Rae Erlano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IFERROR(__xludf.DUMMYFUNCTION("""COMPUTED_VALUE"""),"Rae Erlano")</f>
        <v>Rae Erlano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IFERROR(__xludf.DUMMYFUNCTION("""COMPUTED_VALUE"""),"Vinz Lazaro")</f>
        <v>Vinz Lazaro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IFERROR(__xludf.DUMMYFUNCTION("""COMPUTED_VALUE"""),"Vinz Lazaro")</f>
        <v>Vinz Lazaro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IFERROR(__xludf.DUMMYFUNCTION("""COMPUTED_VALUE"""),"#N/A")</f>
        <v>#N/A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IFERROR(__xludf.DUMMYFUNCTION("""COMPUTED_VALUE"""),"#N/A")</f>
        <v>#N/A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IFERROR(__xludf.DUMMYFUNCTION("""COMPUTED_VALUE"""),"#N/A")</f>
        <v>#N/A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IFERROR(__xludf.DUMMYFUNCTION("""COMPUTED_VALUE"""),"#N/A")</f>
        <v>#N/A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/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/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IFERROR(__xludf.DUMMYFUNCTION("""COMPUTED_VALUE"""),"Vinz Lazaro")</f>
        <v>Vinz Lazaro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IFERROR(__xludf.DUMMYFUNCTION("""COMPUTED_VALUE"""),"Vinz Lazaro")</f>
        <v>Vinz Lazaro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IFERROR(__xludf.DUMMYFUNCTION("""COMPUTED_VALUE"""),"Admin Support")</f>
        <v>Admin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IFERROR(__xludf.DUMMYFUNCTION("""COMPUTED_VALUE"""),"AL Suarez")</f>
        <v>AL Suarez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IFERROR(__xludf.DUMMYFUNCTION("""COMPUTED_VALUE"""),"Admin Support")</f>
        <v>Admin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IFERROR(__xludf.DUMMYFUNCTION("""COMPUTED_VALUE"""),"AL Suarez")</f>
        <v>AL Suarez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IFERROR(__xludf.DUMMYFUNCTION("""COMPUTED_VALUE"""),"Admin Support")</f>
        <v>Admin Support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IFERROR(__xludf.DUMMYFUNCTION("""COMPUTED_VALUE"""),"Karla Mananghaya")</f>
        <v>Karla Mananghaya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IFERROR(__xludf.DUMMYFUNCTION("""COMPUTED_VALUE"""),"Admin Support")</f>
        <v>Admin Support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IFERROR(__xludf.DUMMYFUNCTION("""COMPUTED_VALUE"""),"Karla Mananghaya")</f>
        <v>Karla Mananghaya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IFERROR(__xludf.DUMMYFUNCTION("""COMPUTED_VALUE"""),"Admin Support")</f>
        <v>Admin Support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IFERROR(__xludf.DUMMYFUNCTION("""COMPUTED_VALUE"""),"Karla Mananghaya")</f>
        <v>Karla Mananghaya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IFERROR(__xludf.DUMMYFUNCTION("""COMPUTED_VALUE"""),"Admin Support")</f>
        <v>Admin Support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IFERROR(__xludf.DUMMYFUNCTION("""COMPUTED_VALUE"""),"Karla Mananghaya")</f>
        <v>Karla Mananghaya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IFERROR(__xludf.DUMMYFUNCTION("""COMPUTED_VALUE"""),"Vinz Lazaro")</f>
        <v>Vinz Lazaro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IFERROR(__xludf.DUMMYFUNCTION("""COMPUTED_VALUE"""),"Vinz Lazaro")</f>
        <v>Vinz Lazaro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IFERROR(__xludf.DUMMYFUNCTION("""COMPUTED_VALUE"""),"Vinz Lazaro")</f>
        <v>Vinz Lazaro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IFERROR(__xludf.DUMMYFUNCTION("""COMPUTED_VALUE"""),"Vinz Lazaro")</f>
        <v>Vinz Lazaro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IFERROR(__xludf.DUMMYFUNCTION("""COMPUTED_VALUE"""),"Xandy Azarcon")</f>
        <v>Xandy Azarcon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IFERROR(__xludf.DUMMYFUNCTION("""COMPUTED_VALUE"""),"Xandy Azarcon")</f>
        <v>Xandy Azarcon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IFERROR(__xludf.DUMMYFUNCTION("""COMPUTED_VALUE"""),"Vinz Lazaro")</f>
        <v>Vinz Lazaro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IFERROR(__xludf.DUMMYFUNCTION("""COMPUTED_VALUE"""),"Vinz Lazaro")</f>
        <v>Vinz Lazaro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IFERROR(__xludf.DUMMYFUNCTION("""COMPUTED_VALUE"""),"Karla Mananghaya")</f>
        <v>Karla Mananghaya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IFERROR(__xludf.DUMMYFUNCTION("""COMPUTED_VALUE"""),"Karla Mananghaya")</f>
        <v>Karla Mananghaya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IFERROR(__xludf.DUMMYFUNCTION("""COMPUTED_VALUE"""),"#N/A")</f>
        <v>#N/A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IFERROR(__xludf.DUMMYFUNCTION("""COMPUTED_VALUE"""),"#N/A")</f>
        <v>#N/A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IFERROR(__xludf.DUMMYFUNCTION("""COMPUTED_VALUE"""),"#N/A")</f>
        <v>#N/A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IFERROR(__xludf.DUMMYFUNCTION("""COMPUTED_VALUE"""),"#N/A")</f>
        <v>#N/A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IFERROR(__xludf.DUMMYFUNCTION("""COMPUTED_VALUE"""),"Vinz Lazaro")</f>
        <v>Vinz Lazaro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IFERROR(__xludf.DUMMYFUNCTION("""COMPUTED_VALUE"""),"Vinz Lazaro")</f>
        <v>Vinz Lazaro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IFERROR(__xludf.DUMMYFUNCTION("""COMPUTED_VALUE"""),"Abi Villajoaquin")</f>
        <v>Abi Villajoaquin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IFERROR(__xludf.DUMMYFUNCTION("""COMPUTED_VALUE"""),"Abi Villajoaquin")</f>
        <v>Abi Villajoaquin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IFERROR(__xludf.DUMMYFUNCTION("""COMPUTED_VALUE"""),"Rae Erlano")</f>
        <v>Rae Erlano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IFERROR(__xludf.DUMMYFUNCTION("""COMPUTED_VALUE"""),"Rae Erlano")</f>
        <v>Rae Erlano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IFERROR(__xludf.DUMMYFUNCTION("""COMPUTED_VALUE"""),"Rae Erlano")</f>
        <v>Rae Erlano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IFERROR(__xludf.DUMMYFUNCTION("""COMPUTED_VALUE"""),"Rae Erlano")</f>
        <v>Rae Erlano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IFERROR(__xludf.DUMMYFUNCTION("""COMPUTED_VALUE"""),"Vinz Lazaro")</f>
        <v>Vinz Lazaro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IFERROR(__xludf.DUMMYFUNCTION("""COMPUTED_VALUE"""),"Vinz Lazaro")</f>
        <v>Vinz Lazaro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IFERROR(__xludf.DUMMYFUNCTION("""COMPUTED_VALUE"""),"#N/A")</f>
        <v>#N/A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IFERROR(__xludf.DUMMYFUNCTION("""COMPUTED_VALUE"""),"#N/A")</f>
        <v>#N/A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IFERROR(__xludf.DUMMYFUNCTION("""COMPUTED_VALUE"""),"#N/A")</f>
        <v>#N/A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IFERROR(__xludf.DUMMYFUNCTION("""COMPUTED_VALUE"""),"#N/A")</f>
        <v>#N/A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/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/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IFERROR(__xludf.DUMMYFUNCTION("""COMPUTED_VALUE"""),"Vinz Lazaro")</f>
        <v>Vinz Lazaro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IFERROR(__xludf.DUMMYFUNCTION("""COMPUTED_VALUE"""),"Vinz Lazaro")</f>
        <v>Vinz Lazaro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IFERROR(__xludf.DUMMYFUNCTION("""COMPUTED_VALUE"""),"Admin Support")</f>
        <v>Admin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IFERROR(__xludf.DUMMYFUNCTION("""COMPUTED_VALUE"""),"AL Suarez")</f>
        <v>AL Suarez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IFERROR(__xludf.DUMMYFUNCTION("""COMPUTED_VALUE"""),"Admin Support")</f>
        <v>Admin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IFERROR(__xludf.DUMMYFUNCTION("""COMPUTED_VALUE"""),"AL Suarez")</f>
        <v>AL Suarez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IFERROR(__xludf.DUMMYFUNCTION("""COMPUTED_VALUE"""),"Admin Support")</f>
        <v>Admin Support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IFERROR(__xludf.DUMMYFUNCTION("""COMPUTED_VALUE"""),"Karla Mananghaya")</f>
        <v>Karla Mananghaya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IFERROR(__xludf.DUMMYFUNCTION("""COMPUTED_VALUE"""),"Admin Support")</f>
        <v>Admin Support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IFERROR(__xludf.DUMMYFUNCTION("""COMPUTED_VALUE"""),"Karla Mananghaya")</f>
        <v>Karla Mananghaya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IFERROR(__xludf.DUMMYFUNCTION("""COMPUTED_VALUE"""),"Admin Support")</f>
        <v>Admin Support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IFERROR(__xludf.DUMMYFUNCTION("""COMPUTED_VALUE"""),"Karla Mananghaya")</f>
        <v>Karla Mananghaya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IFERROR(__xludf.DUMMYFUNCTION("""COMPUTED_VALUE"""),"Admin Support")</f>
        <v>Admin Support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IFERROR(__xludf.DUMMYFUNCTION("""COMPUTED_VALUE"""),"Karla Mananghaya")</f>
        <v>Karla Mananghaya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IFERROR(__xludf.DUMMYFUNCTION("""COMPUTED_VALUE"""),"Vinz Lazaro")</f>
        <v>Vinz Lazaro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IFERROR(__xludf.DUMMYFUNCTION("""COMPUTED_VALUE"""),"Vinz Lazaro")</f>
        <v>Vinz Lazaro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IFERROR(__xludf.DUMMYFUNCTION("""COMPUTED_VALUE"""),"Vinz Lazaro")</f>
        <v>Vinz Lazaro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IFERROR(__xludf.DUMMYFUNCTION("""COMPUTED_VALUE"""),"Vinz Lazaro")</f>
        <v>Vinz Lazaro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IFERROR(__xludf.DUMMYFUNCTION("""COMPUTED_VALUE"""),"Xandy Azarcon")</f>
        <v>Xandy Azarcon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IFERROR(__xludf.DUMMYFUNCTION("""COMPUTED_VALUE"""),"Vinz Lazaro")</f>
        <v>Vinz Lazaro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IFERROR(__xludf.DUMMYFUNCTION("""COMPUTED_VALUE"""),"Xandy Azarcon")</f>
        <v>Xandy Azarcon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IFERROR(__xludf.DUMMYFUNCTION("""COMPUTED_VALUE"""),"Vinz Lazaro")</f>
        <v>Vinz Lazaro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IFERROR(__xludf.DUMMYFUNCTION("""COMPUTED_VALUE"""),"Karla Mananghaya")</f>
        <v>Karla Mananghaya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IFERROR(__xludf.DUMMYFUNCTION("""COMPUTED_VALUE"""),"Karla Mananghaya")</f>
        <v>Karla Mananghaya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IFERROR(__xludf.DUMMYFUNCTION("""COMPUTED_VALUE"""),"#N/A")</f>
        <v>#N/A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IFERROR(__xludf.DUMMYFUNCTION("""COMPUTED_VALUE"""),"#N/A")</f>
        <v>#N/A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IFERROR(__xludf.DUMMYFUNCTION("""COMPUTED_VALUE"""),"#N/A")</f>
        <v>#N/A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IFERROR(__xludf.DUMMYFUNCTION("""COMPUTED_VALUE"""),"#N/A")</f>
        <v>#N/A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IFERROR(__xludf.DUMMYFUNCTION("""COMPUTED_VALUE"""),"Vinz Lazaro")</f>
        <v>Vinz Lazaro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IFERROR(__xludf.DUMMYFUNCTION("""COMPUTED_VALUE"""),"Abi Villajoaquin")</f>
        <v>Abi Villajoaquin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IFERROR(__xludf.DUMMYFUNCTION("""COMPUTED_VALUE"""),"Vinz Lazaro")</f>
        <v>Vinz Lazaro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IFERROR(__xludf.DUMMYFUNCTION("""COMPUTED_VALUE"""),"Abi Villajoaquin")</f>
        <v>Abi Villajoaquin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IFERROR(__xludf.DUMMYFUNCTION("""COMPUTED_VALUE"""),"Rae Erlano")</f>
        <v>Rae Erlano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IFERROR(__xludf.DUMMYFUNCTION("""COMPUTED_VALUE"""),"Rae Erlano")</f>
        <v>Rae Erlano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IFERROR(__xludf.DUMMYFUNCTION("""COMPUTED_VALUE"""),"Rae Erlano")</f>
        <v>Rae Erlano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IFERROR(__xludf.DUMMYFUNCTION("""COMPUTED_VALUE"""),"Vinz Lazaro")</f>
        <v>Vinz Lazaro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IFERROR(__xludf.DUMMYFUNCTION("""COMPUTED_VALUE"""),"Rae Erlano")</f>
        <v>Rae Erlano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IFERROR(__xludf.DUMMYFUNCTION("""COMPUTED_VALUE"""),"Vinz Lazaro")</f>
        <v>Vinz Lazaro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IFERROR(__xludf.DUMMYFUNCTION("""COMPUTED_VALUE"""),"#N/A")</f>
        <v>#N/A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IFERROR(__xludf.DUMMYFUNCTION("""COMPUTED_VALUE"""),"#N/A")</f>
        <v>#N/A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IFERROR(__xludf.DUMMYFUNCTION("""COMPUTED_VALUE"""),"#N/A")</f>
        <v>#N/A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IFERROR(__xludf.DUMMYFUNCTION("""COMPUTED_VALUE"""),"#N/A")</f>
        <v>#N/A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/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/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IFERROR(__xludf.DUMMYFUNCTION("""COMPUTED_VALUE"""),"Vinz Lazaro")</f>
        <v>Vinz Lazaro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IFERROR(__xludf.DUMMYFUNCTION("""COMPUTED_VALUE"""),"Vinz Lazaro")</f>
        <v>Vinz Lazaro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IFERROR(__xludf.DUMMYFUNCTION("""COMPUTED_VALUE"""),"Admin Support")</f>
        <v>Admin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IFERROR(__xludf.DUMMYFUNCTION("""COMPUTED_VALUE"""),"AL Suarez")</f>
        <v>AL Suarez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IFERROR(__xludf.DUMMYFUNCTION("""COMPUTED_VALUE"""),"Admin Support")</f>
        <v>Admin Support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IFERROR(__xludf.DUMMYFUNCTION("""COMPUTED_VALUE"""),"Karla Mananghaya")</f>
        <v>Karla Mananghaya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IFERROR(__xludf.DUMMYFUNCTION("""COMPUTED_VALUE"""),"Admin Support")</f>
        <v>Admin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IFERROR(__xludf.DUMMYFUNCTION("""COMPUTED_VALUE"""),"AL Suarez")</f>
        <v>AL Suarez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IFERROR(__xludf.DUMMYFUNCTION("""COMPUTED_VALUE"""),"Admin Support")</f>
        <v>Admin Support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IFERROR(__xludf.DUMMYFUNCTION("""COMPUTED_VALUE"""),"Karla Mananghaya")</f>
        <v>Karla Mananghaya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IFERROR(__xludf.DUMMYFUNCTION("""COMPUTED_VALUE"""),"Admin Support")</f>
        <v>Admin Support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IFERROR(__xludf.DUMMYFUNCTION("""COMPUTED_VALUE"""),"Karla Mananghaya")</f>
        <v>Karla Mananghaya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IFERROR(__xludf.DUMMYFUNCTION("""COMPUTED_VALUE"""),"Admin Support")</f>
        <v>Admin Support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IFERROR(__xludf.DUMMYFUNCTION("""COMPUTED_VALUE"""),"Karla Mananghaya")</f>
        <v>Karla Mananghaya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IFERROR(__xludf.DUMMYFUNCTION("""COMPUTED_VALUE"""),"Vinz Lazaro")</f>
        <v>Vinz Lazaro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IFERROR(__xludf.DUMMYFUNCTION("""COMPUTED_VALUE"""),"Vinz Lazaro")</f>
        <v>Vinz Lazaro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IFERROR(__xludf.DUMMYFUNCTION("""COMPUTED_VALUE"""),"Vinz Lazaro")</f>
        <v>Vinz Lazaro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IFERROR(__xludf.DUMMYFUNCTION("""COMPUTED_VALUE"""),"Vinz Lazaro")</f>
        <v>Vinz Lazaro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IFERROR(__xludf.DUMMYFUNCTION("""COMPUTED_VALUE"""),"Xandy Azarcon")</f>
        <v>Xandy Azarcon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IFERROR(__xludf.DUMMYFUNCTION("""COMPUTED_VALUE"""),"Vinz Lazaro")</f>
        <v>Vinz Lazaro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IFERROR(__xludf.DUMMYFUNCTION("""COMPUTED_VALUE"""),"Karla Mananghaya")</f>
        <v>Karla Mananghaya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IFERROR(__xludf.DUMMYFUNCTION("""COMPUTED_VALUE"""),"Vinz Lazaro")</f>
        <v>Vinz Lazaro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IFERROR(__xludf.DUMMYFUNCTION("""COMPUTED_VALUE"""),"Karla Mananghaya")</f>
        <v>Karla Mananghaya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IFERROR(__xludf.DUMMYFUNCTION("""COMPUTED_VALUE"""),"#N/A")</f>
        <v>#N/A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IFERROR(__xludf.DUMMYFUNCTION("""COMPUTED_VALUE"""),"#N/A")</f>
        <v>#N/A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IFERROR(__xludf.DUMMYFUNCTION("""COMPUTED_VALUE"""),"#N/A")</f>
        <v>#N/A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IFERROR(__xludf.DUMMYFUNCTION("""COMPUTED_VALUE"""),"#N/A")</f>
        <v>#N/A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IFERROR(__xludf.DUMMYFUNCTION("""COMPUTED_VALUE"""),"Vinz Lazaro")</f>
        <v>Vinz Lazaro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IFERROR(__xludf.DUMMYFUNCTION("""COMPUTED_VALUE"""),"Abi Villajoaquin")</f>
        <v>Abi Villajoaquin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IFERROR(__xludf.DUMMYFUNCTION("""COMPUTED_VALUE"""),"Vinz Lazaro")</f>
        <v>Vinz Lazaro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IFERROR(__xludf.DUMMYFUNCTION("""COMPUTED_VALUE"""),"Abi Villajoaquin")</f>
        <v>Abi Villajoaquin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IFERROR(__xludf.DUMMYFUNCTION("""COMPUTED_VALUE"""),"Rae Erlano")</f>
        <v>Rae Erlano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IFERROR(__xludf.DUMMYFUNCTION("""COMPUTED_VALUE"""),"Rae Erlano")</f>
        <v>Rae Erlano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IFERROR(__xludf.DUMMYFUNCTION("""COMPUTED_VALUE"""),"Vinz Lazaro")</f>
        <v>Vinz Lazaro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IFERROR(__xludf.DUMMYFUNCTION("""COMPUTED_VALUE"""),"Rae Erlano")</f>
        <v>Rae Erlano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IFERROR(__xludf.DUMMYFUNCTION("""COMPUTED_VALUE"""),"Vinz Lazaro")</f>
        <v>Vinz Lazaro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IFERROR(__xludf.DUMMYFUNCTION("""COMPUTED_VALUE"""),"#N/A")</f>
        <v>#N/A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IFERROR(__xludf.DUMMYFUNCTION("""COMPUTED_VALUE"""),"#N/A")</f>
        <v>#N/A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IFERROR(__xludf.DUMMYFUNCTION("""COMPUTED_VALUE"""),"#N/A")</f>
        <v>#N/A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IFERROR(__xludf.DUMMYFUNCTION("""COMPUTED_VALUE"""),"#N/A")</f>
        <v>#N/A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/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IFERROR(__xludf.DUMMYFUNCTION("""COMPUTED_VALUE"""),"Vinz Lazaro")</f>
        <v>Vinz Lazaro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IFERROR(__xludf.DUMMYFUNCTION("""COMPUTED_VALUE"""),"Vinz Lazaro")</f>
        <v>Vinz Lazaro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IFERROR(__xludf.DUMMYFUNCTION("""COMPUTED_VALUE"""),"Admin Support")</f>
        <v>Admin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IFERROR(__xludf.DUMMYFUNCTION("""COMPUTED_VALUE"""),"AL Suarez")</f>
        <v>AL Suarez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IFERROR(__xludf.DUMMYFUNCTION("""COMPUTED_VALUE"""),"Admin Support")</f>
        <v>Admin Support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IFERROR(__xludf.DUMMYFUNCTION("""COMPUTED_VALUE"""),"Karla Mananghaya")</f>
        <v>Karla Mananghaya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IFERROR(__xludf.DUMMYFUNCTION("""COMPUTED_VALUE"""),"Admin Support")</f>
        <v>Admin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IFERROR(__xludf.DUMMYFUNCTION("""COMPUTED_VALUE"""),"AL Suarez")</f>
        <v>AL Suarez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IFERROR(__xludf.DUMMYFUNCTION("""COMPUTED_VALUE"""),"Admin Support")</f>
        <v>Admin Support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IFERROR(__xludf.DUMMYFUNCTION("""COMPUTED_VALUE"""),"Karla Mananghaya")</f>
        <v>Karla Mananghaya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IFERROR(__xludf.DUMMYFUNCTION("""COMPUTED_VALUE"""),"Admin Support")</f>
        <v>Admin Support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IFERROR(__xludf.DUMMYFUNCTION("""COMPUTED_VALUE"""),"Karla Mananghaya")</f>
        <v>Karla Mananghaya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IFERROR(__xludf.DUMMYFUNCTION("""COMPUTED_VALUE"""),"Admin Support")</f>
        <v>Admin Support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IFERROR(__xludf.DUMMYFUNCTION("""COMPUTED_VALUE"""),"Karla Mananghaya")</f>
        <v>Karla Mananghaya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IFERROR(__xludf.DUMMYFUNCTION("""COMPUTED_VALUE"""),"Vinz Lazaro")</f>
        <v>Vinz Lazaro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IFERROR(__xludf.DUMMYFUNCTION("""COMPUTED_VALUE"""),"Vinz Lazaro")</f>
        <v>Vinz Lazaro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IFERROR(__xludf.DUMMYFUNCTION("""COMPUTED_VALUE"""),"Vinz Lazaro")</f>
        <v>Vinz Lazaro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IFERROR(__xludf.DUMMYFUNCTION("""COMPUTED_VALUE"""),"Vinz Lazaro")</f>
        <v>Vinz Lazaro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IFERROR(__xludf.DUMMYFUNCTION("""COMPUTED_VALUE"""),"Xandy Azarcon")</f>
        <v>Xandy Azarcon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IFERROR(__xludf.DUMMYFUNCTION("""COMPUTED_VALUE"""),"Vinz Lazaro")</f>
        <v>Vinz Lazaro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IFERROR(__xludf.DUMMYFUNCTION("""COMPUTED_VALUE"""),"Karla Mananghaya")</f>
        <v>Karla Mananghaya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IFERROR(__xludf.DUMMYFUNCTION("""COMPUTED_VALUE"""),"Vinz Lazaro")</f>
        <v>Vinz Lazaro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IFERROR(__xludf.DUMMYFUNCTION("""COMPUTED_VALUE"""),"Karla Mananghaya")</f>
        <v>Karla Mananghaya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IFERROR(__xludf.DUMMYFUNCTION("""COMPUTED_VALUE"""),"#N/A")</f>
        <v>#N/A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IFERROR(__xludf.DUMMYFUNCTION("""COMPUTED_VALUE"""),"#N/A")</f>
        <v>#N/A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IFERROR(__xludf.DUMMYFUNCTION("""COMPUTED_VALUE"""),"#N/A")</f>
        <v>#N/A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IFERROR(__xludf.DUMMYFUNCTION("""COMPUTED_VALUE"""),"#N/A")</f>
        <v>#N/A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IFERROR(__xludf.DUMMYFUNCTION("""COMPUTED_VALUE"""),"Vinz Lazaro")</f>
        <v>Vinz Lazaro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IFERROR(__xludf.DUMMYFUNCTION("""COMPUTED_VALUE"""),"Abi Villajoaquin")</f>
        <v>Abi Villajoaquin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IFERROR(__xludf.DUMMYFUNCTION("""COMPUTED_VALUE"""),"Vinz Lazaro")</f>
        <v>Vinz Lazaro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IFERROR(__xludf.DUMMYFUNCTION("""COMPUTED_VALUE"""),"Abi Villajoaquin")</f>
        <v>Abi Villajoaquin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IFERROR(__xludf.DUMMYFUNCTION("""COMPUTED_VALUE"""),"Rae Erlano")</f>
        <v>Rae Erlano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/>
      <c r="T1416" s="1">
        <f>IFERROR(__xludf.DUMMYFUNCTION("""COMPUTED_VALUE"""),2.5)</f>
        <v>2.5</v>
      </c>
      <c r="U1416" s="3">
        <f>IFERROR(__xludf.DUMMYFUNCTION("""COMPUTED_VALUE"""),2.5)</f>
        <v>2.5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/>
      <c r="T1417" s="1">
        <f>IFERROR(__xludf.DUMMYFUNCTION("""COMPUTED_VALUE"""),2.75)</f>
        <v>2.75</v>
      </c>
      <c r="U1417" s="3">
        <f>IFERROR(__xludf.DUMMYFUNCTION("""COMPUTED_VALUE"""),2.75)</f>
        <v>2.75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IFERROR(__xludf.DUMMYFUNCTION("""COMPUTED_VALUE"""),"Rae Erlano")</f>
        <v>Rae Erlano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IFERROR(__xludf.DUMMYFUNCTION("""COMPUTED_VALUE"""),2.25)</f>
        <v>2.25</v>
      </c>
      <c r="U1418" s="3">
        <f>IFERROR(__xludf.DUMMYFUNCTION("""COMPUTED_VALUE"""),2.25)</f>
        <v>2.25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IFERROR(__xludf.DUMMYFUNCTION("""COMPUTED_VALUE"""),0.5)</f>
        <v>0.5</v>
      </c>
      <c r="T1419" s="1">
        <f>IFERROR(__xludf.DUMMYFUNCTION("""COMPUTED_VALUE"""),4.0)</f>
        <v>4</v>
      </c>
      <c r="U1419" s="3">
        <f>IFERROR(__xludf.DUMMYFUNCTION("""COMPUTED_VALUE"""),4.5)</f>
        <v>4.5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IFERROR(__xludf.DUMMYFUNCTION("""COMPUTED_VALUE"""),1.25)</f>
        <v>1.25</v>
      </c>
      <c r="U1420" s="3">
        <f>IFERROR(__xludf.DUMMYFUNCTION("""COMPUTED_VALUE"""),1.25)</f>
        <v>1.25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>
        <f>IFERROR(__xludf.DUMMYFUNCTION("""COMPUTED_VALUE"""),0.75)</f>
        <v>0.75</v>
      </c>
      <c r="U1421" s="3">
        <f>IFERROR(__xludf.DUMMYFUNCTION("""COMPUTED_VALUE"""),1.75)</f>
        <v>1.75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IFERROR(__xludf.DUMMYFUNCTION("""COMPUTED_VALUE"""),"Vinz Lazaro")</f>
        <v>Vinz Lazaro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IFERROR(__xludf.DUMMYFUNCTION("""COMPUTED_VALUE"""),1.0)</f>
        <v>1</v>
      </c>
      <c r="T1422" s="1">
        <f>IFERROR(__xludf.DUMMYFUNCTION("""COMPUTED_VALUE"""),0.75)</f>
        <v>0.75</v>
      </c>
      <c r="U1422" s="3">
        <f>IFERROR(__xludf.DUMMYFUNCTION("""COMPUTED_VALUE"""),1.75)</f>
        <v>1.75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IFERROR(__xludf.DUMMYFUNCTION("""COMPUTED_VALUE"""),15.0)</f>
        <v>15</v>
      </c>
      <c r="U1423" s="3">
        <f>IFERROR(__xludf.DUMMYFUNCTION("""COMPUTED_VALUE"""),15.0)</f>
        <v>15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IFERROR(__xludf.DUMMYFUNCTION("""COMPUTED_VALUE"""),4.17)</f>
        <v>4.17</v>
      </c>
      <c r="U1424" s="3">
        <f>IFERROR(__xludf.DUMMYFUNCTION("""COMPUTED_VALUE"""),4.17)</f>
        <v>4.17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IFERROR(__xludf.DUMMYFUNCTION("""COMPUTED_VALUE"""),8.0)</f>
        <v>8</v>
      </c>
      <c r="U1425" s="3">
        <f>IFERROR(__xludf.DUMMYFUNCTION("""COMPUTED_VALUE"""),10.5)</f>
        <v>10.5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IFERROR(__xludf.DUMMYFUNCTION("""COMPUTED_VALUE"""),3.75)</f>
        <v>3.75</v>
      </c>
      <c r="T1426" s="1">
        <f>IFERROR(__xludf.DUMMYFUNCTION("""COMPUTED_VALUE"""),7.82)</f>
        <v>7.82</v>
      </c>
      <c r="U1426" s="3">
        <f>IFERROR(__xludf.DUMMYFUNCTION("""COMPUTED_VALUE"""),11.57)</f>
        <v>11.57</v>
      </c>
      <c r="V1426" s="1" t="str">
        <f>IFERROR(__xludf.DUMMYFUNCTION("""COMPUTED_VALUE"""),"Rae Erlano")</f>
        <v>Rae Erlano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IFERROR(__xludf.DUMMYFUNCTION("""COMPUTED_VALUE"""),2.5)</f>
        <v>2.5</v>
      </c>
      <c r="U1427" s="3">
        <f>IFERROR(__xludf.DUMMYFUNCTION("""COMPUTED_VALUE"""),2.5)</f>
        <v>2.5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IFERROR(__xludf.DUMMYFUNCTION("""COMPUTED_VALUE"""),2.25)</f>
        <v>2.25</v>
      </c>
      <c r="U1428" s="3">
        <f>IFERROR(__xludf.DUMMYFUNCTION("""COMPUTED_VALUE"""),2.25)</f>
        <v>2.25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IFERROR(__xludf.DUMMYFUNCTION("""COMPUTED_VALUE"""),5.68)</f>
        <v>5.68</v>
      </c>
      <c r="U1429" s="3">
        <f>IFERROR(__xludf.DUMMYFUNCTION("""COMPUTED_VALUE"""),5.68)</f>
        <v>5.68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/>
      <c r="T1430" s="1">
        <f>IFERROR(__xludf.DUMMYFUNCTION("""COMPUTED_VALUE"""),2.0)</f>
        <v>2</v>
      </c>
      <c r="U1430" s="3">
        <f>IFERROR(__xludf.DUMMYFUNCTION("""COMPUTED_VALUE"""),2.0)</f>
        <v>2</v>
      </c>
      <c r="V1430" s="1" t="str">
        <f>IFERROR(__xludf.DUMMYFUNCTION("""COMPUTED_VALUE"""),"Vinz Lazaro")</f>
        <v>Vinz Lazaro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/>
      <c r="T1431" s="1">
        <f>IFERROR(__xludf.DUMMYFUNCTION("""COMPUTED_VALUE"""),14.75)</f>
        <v>14.75</v>
      </c>
      <c r="U1431" s="3">
        <f>IFERROR(__xludf.DUMMYFUNCTION("""COMPUTED_VALUE"""),14.75)</f>
        <v>14.75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IFERROR(__xludf.DUMMYFUNCTION("""COMPUTED_VALUE"""),20.25)</f>
        <v>20.25</v>
      </c>
      <c r="U1432" s="3">
        <f>IFERROR(__xludf.DUMMYFUNCTION("""COMPUTED_VALUE"""),20.25)</f>
        <v>20.25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IFERROR(__xludf.DUMMYFUNCTION("""COMPUTED_VALUE"""),10.75)</f>
        <v>10.75</v>
      </c>
      <c r="U1434" s="3">
        <f>IFERROR(__xludf.DUMMYFUNCTION("""COMPUTED_VALUE"""),11.25)</f>
        <v>11.25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>
        <f>IFERROR(__xludf.DUMMYFUNCTION("""COMPUTED_VALUE"""),2.83)</f>
        <v>2.83</v>
      </c>
      <c r="U1435" s="3">
        <f>IFERROR(__xludf.DUMMYFUNCTION("""COMPUTED_VALUE"""),2.83)</f>
        <v>2.83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IFERROR(__xludf.DUMMYFUNCTION("""COMPUTED_VALUE"""),0.5)</f>
        <v>0.5</v>
      </c>
      <c r="T1436" s="1">
        <f>IFERROR(__xludf.DUMMYFUNCTION("""COMPUTED_VALUE"""),2.42)</f>
        <v>2.42</v>
      </c>
      <c r="U1436" s="3">
        <f>IFERROR(__xludf.DUMMYFUNCTION("""COMPUTED_VALUE"""),2.92)</f>
        <v>2.92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IFERROR(__xludf.DUMMYFUNCTION("""COMPUTED_VALUE"""),7.28)</f>
        <v>7.28</v>
      </c>
      <c r="U1437" s="3">
        <f>IFERROR(__xludf.DUMMYFUNCTION("""COMPUTED_VALUE"""),7.28)</f>
        <v>7.28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IFERROR(__xludf.DUMMYFUNCTION("""COMPUTED_VALUE"""),"#N/A")</f>
        <v>#N/A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IFERROR(__xludf.DUMMYFUNCTION("""COMPUTED_VALUE"""),"#N/A")</f>
        <v>#N/A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IFERROR(__xludf.DUMMYFUNCTION("""COMPUTED_VALUE"""),2.75)</f>
        <v>2.75</v>
      </c>
      <c r="U1438" s="3">
        <f>IFERROR(__xludf.DUMMYFUNCTION("""COMPUTED_VALUE"""),2.75)</f>
        <v>2.75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IFERROR(__xludf.DUMMYFUNCTION("""COMPUTED_VALUE"""),6.25)</f>
        <v>6.25</v>
      </c>
      <c r="T1439" s="1">
        <f>IFERROR(__xludf.DUMMYFUNCTION("""COMPUTED_VALUE"""),1.75)</f>
        <v>1.75</v>
      </c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IFERROR(__xludf.DUMMYFUNCTION("""COMPUTED_VALUE"""),2.5)</f>
        <v>2.5</v>
      </c>
      <c r="U1440" s="3">
        <f>IFERROR(__xludf.DUMMYFUNCTION("""COMPUTED_VALUE"""),2.5)</f>
        <v>2.5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IFERROR(__xludf.DUMMYFUNCTION("""COMPUTED_VALUE"""),7.25)</f>
        <v>7.25</v>
      </c>
      <c r="T1441" s="1">
        <f>IFERROR(__xludf.DUMMYFUNCTION("""COMPUTED_VALUE"""),3.75)</f>
        <v>3.75</v>
      </c>
      <c r="U1441" s="3">
        <f>IFERROR(__xludf.DUMMYFUNCTION("""COMPUTED_VALUE"""),11.0)</f>
        <v>11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IFERROR(__xludf.DUMMYFUNCTION("""COMPUTED_VALUE"""),6.25)</f>
        <v>6.25</v>
      </c>
      <c r="U1442" s="3">
        <f>IFERROR(__xludf.DUMMYFUNCTION("""COMPUTED_VALUE"""),7.25)</f>
        <v>7.25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/>
      <c r="T1443" s="1">
        <f>IFERROR(__xludf.DUMMYFUNCTION("""COMPUTED_VALUE"""),6.35)</f>
        <v>6.35</v>
      </c>
      <c r="U1443" s="3">
        <f>IFERROR(__xludf.DUMMYFUNCTION("""COMPUTED_VALUE"""),6.35)</f>
        <v>6.35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IFERROR(__xludf.DUMMYFUNCTION("""COMPUTED_VALUE"""),2.5)</f>
        <v>2.5</v>
      </c>
      <c r="T1444" s="1">
        <f>IFERROR(__xludf.DUMMYFUNCTION("""COMPUTED_VALUE"""),12.75)</f>
        <v>12.75</v>
      </c>
      <c r="U1444" s="3">
        <f>IFERROR(__xludf.DUMMYFUNCTION("""COMPUTED_VALUE"""),15.25)</f>
        <v>15.25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IFERROR(__xludf.DUMMYFUNCTION("""COMPUTED_VALUE"""),"#N/A")</f>
        <v>#N/A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/>
      <c r="T1445" s="1">
        <f>IFERROR(__xludf.DUMMYFUNCTION("""COMPUTED_VALUE"""),1.75)</f>
        <v>1.75</v>
      </c>
      <c r="U1445" s="3">
        <f>IFERROR(__xludf.DUMMYFUNCTION("""COMPUTED_VALUE"""),1.75)</f>
        <v>1.75</v>
      </c>
      <c r="V1445" s="1" t="str">
        <f>IFERROR(__xludf.DUMMYFUNCTION("""COMPUTED_VALUE"""),"#N/A")</f>
        <v>#N/A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IFERROR(__xludf.DUMMYFUNCTION("""COMPUTED_VALUE"""),6.25)</f>
        <v>6.25</v>
      </c>
      <c r="T1446" s="1">
        <f>IFERROR(__xludf.DUMMYFUNCTION("""COMPUTED_VALUE"""),1.75)</f>
        <v>1.75</v>
      </c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IFERROR(__xludf.DUMMYFUNCTION("""COMPUTED_VALUE"""),2.75)</f>
        <v>2.75</v>
      </c>
      <c r="U1447" s="3">
        <f>IFERROR(__xludf.DUMMYFUNCTION("""COMPUTED_VALUE"""),2.75)</f>
        <v>2.75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IFERROR(__xludf.DUMMYFUNCTION("""COMPUTED_VALUE"""),0.5)</f>
        <v>0.5</v>
      </c>
      <c r="T1448" s="1">
        <f>IFERROR(__xludf.DUMMYFUNCTION("""COMPUTED_VALUE"""),2.42)</f>
        <v>2.42</v>
      </c>
      <c r="U1448" s="3">
        <f>IFERROR(__xludf.DUMMYFUNCTION("""COMPUTED_VALUE"""),2.92)</f>
        <v>2.92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IFERROR(__xludf.DUMMYFUNCTION("""COMPUTED_VALUE"""),4.67)</f>
        <v>4.67</v>
      </c>
      <c r="U1449" s="3">
        <f>IFERROR(__xludf.DUMMYFUNCTION("""COMPUTED_VALUE"""),4.67)</f>
        <v>4.67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IFERROR(__xludf.DUMMYFUNCTION("""COMPUTED_VALUE"""),5.25)</f>
        <v>5.25</v>
      </c>
      <c r="U1450" s="3">
        <f>IFERROR(__xludf.DUMMYFUNCTION("""COMPUTED_VALUE"""),5.25)</f>
        <v>5.25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IFERROR(__xludf.DUMMYFUNCTION("""COMPUTED_VALUE"""),3.75)</f>
        <v>3.75</v>
      </c>
      <c r="U1451" s="3">
        <f>IFERROR(__xludf.DUMMYFUNCTION("""COMPUTED_VALUE"""),4.25)</f>
        <v>4.25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IFERROR(__xludf.DUMMYFUNCTION("""COMPUTED_VALUE"""),20.55)</f>
        <v>20.55</v>
      </c>
      <c r="U1452" s="3">
        <f>IFERROR(__xludf.DUMMYFUNCTION("""COMPUTED_VALUE"""),20.55)</f>
        <v>20.55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IFERROR(__xludf.DUMMYFUNCTION("""COMPUTED_VALUE"""),2.75)</f>
        <v>2.75</v>
      </c>
      <c r="U1453" s="3">
        <f>IFERROR(__xludf.DUMMYFUNCTION("""COMPUTED_VALUE"""),3.75)</f>
        <v>3.75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IFERROR(__xludf.DUMMYFUNCTION("""COMPUTED_VALUE"""),2.75)</f>
        <v>2.75</v>
      </c>
      <c r="U1454" s="3">
        <f>IFERROR(__xludf.DUMMYFUNCTION("""COMPUTED_VALUE"""),2.75)</f>
        <v>2.75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IFERROR(__xludf.DUMMYFUNCTION("""COMPUTED_VALUE"""),3.25)</f>
        <v>3.25</v>
      </c>
      <c r="U1455" s="3">
        <f>IFERROR(__xludf.DUMMYFUNCTION("""COMPUTED_VALUE"""),4.25)</f>
        <v>4.25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IFERROR(__xludf.DUMMYFUNCTION("""COMPUTED_VALUE"""),2.25)</f>
        <v>2.25</v>
      </c>
      <c r="U1456" s="3">
        <f>IFERROR(__xludf.DUMMYFUNCTION("""COMPUTED_VALUE"""),2.25)</f>
        <v>2.25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IFERROR(__xludf.DUMMYFUNCTION("""COMPUTED_VALUE"""),8.25)</f>
        <v>8.25</v>
      </c>
      <c r="U1457" s="3">
        <f>IFERROR(__xludf.DUMMYFUNCTION("""COMPUTED_VALUE"""),8.25)</f>
        <v>8.25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IFERROR(__xludf.DUMMYFUNCTION("""COMPUTED_VALUE"""),10.67)</f>
        <v>10.67</v>
      </c>
      <c r="U1458" s="3">
        <f>IFERROR(__xludf.DUMMYFUNCTION("""COMPUTED_VALUE"""),12.17)</f>
        <v>12.17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IFERROR(__xludf.DUMMYFUNCTION("""COMPUTED_VALUE"""),2.83)</f>
        <v>2.83</v>
      </c>
      <c r="U1460" s="3">
        <f>IFERROR(__xludf.DUMMYFUNCTION("""COMPUTED_VALUE"""),2.83)</f>
        <v>2.83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IFERROR(__xludf.DUMMYFUNCTION("""COMPUTED_VALUE"""),6.0)</f>
        <v>6</v>
      </c>
      <c r="U1461" s="3">
        <f>IFERROR(__xludf.DUMMYFUNCTION("""COMPUTED_VALUE"""),6.0)</f>
        <v>6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IFERROR(__xludf.DUMMYFUNCTION("""COMPUTED_VALUE"""),1.0)</f>
        <v>1</v>
      </c>
      <c r="T1462" s="1">
        <f>IFERROR(__xludf.DUMMYFUNCTION("""COMPUTED_VALUE"""),3.42)</f>
        <v>3.42</v>
      </c>
      <c r="U1462" s="3">
        <f>IFERROR(__xludf.DUMMYFUNCTION("""COMPUTED_VALUE"""),4.42)</f>
        <v>4.42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IFERROR(__xludf.DUMMYFUNCTION("""COMPUTED_VALUE"""),2.75)</f>
        <v>2.75</v>
      </c>
      <c r="U1463" s="3">
        <f>IFERROR(__xludf.DUMMYFUNCTION("""COMPUTED_VALUE"""),2.75)</f>
        <v>2.75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>
        <f>IFERROR(__xludf.DUMMYFUNCTION("""COMPUTED_VALUE"""),1.75)</f>
        <v>1.75</v>
      </c>
      <c r="U1464" s="3">
        <f>IFERROR(__xludf.DUMMYFUNCTION("""COMPUTED_VALUE"""),1.75)</f>
        <v>1.75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>
        <f>IFERROR(__xludf.DUMMYFUNCTION("""COMPUTED_VALUE"""),2.42)</f>
        <v>2.42</v>
      </c>
      <c r="U1465" s="3">
        <f>IFERROR(__xludf.DUMMYFUNCTION("""COMPUTED_VALUE"""),2.42)</f>
        <v>2.42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/>
      <c r="T1466" s="1">
        <f>IFERROR(__xludf.DUMMYFUNCTION("""COMPUTED_VALUE"""),1.92)</f>
        <v>1.92</v>
      </c>
      <c r="U1466" s="3">
        <f>IFERROR(__xludf.DUMMYFUNCTION("""COMPUTED_VALUE"""),1.92)</f>
        <v>1.92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IFERROR(__xludf.DUMMYFUNCTION("""COMPUTED_VALUE"""),0.5)</f>
        <v>0.5</v>
      </c>
      <c r="T1467" s="1">
        <f>IFERROR(__xludf.DUMMYFUNCTION("""COMPUTED_VALUE"""),4.5)</f>
        <v>4.5</v>
      </c>
      <c r="U1467" s="3">
        <f>IFERROR(__xludf.DUMMYFUNCTION("""COMPUTED_VALUE"""),5.0)</f>
        <v>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/>
      <c r="T1468" s="1">
        <f>IFERROR(__xludf.DUMMYFUNCTION("""COMPUTED_VALUE"""),4.75)</f>
        <v>4.75</v>
      </c>
      <c r="U1468" s="3">
        <f>IFERROR(__xludf.DUMMYFUNCTION("""COMPUTED_VALUE"""),4.75)</f>
        <v>4.75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IFERROR(__xludf.DUMMYFUNCTION("""COMPUTED_VALUE"""),1.25)</f>
        <v>1.25</v>
      </c>
      <c r="U1469" s="3">
        <f>IFERROR(__xludf.DUMMYFUNCTION("""COMPUTED_VALUE"""),1.25)</f>
        <v>1.25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IFERROR(__xludf.DUMMYFUNCTION("""COMPUTED_VALUE"""),8.25)</f>
        <v>8.25</v>
      </c>
      <c r="U1470" s="3">
        <f>IFERROR(__xludf.DUMMYFUNCTION("""COMPUTED_VALUE"""),8.25)</f>
        <v>8.25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IFERROR(__xludf.DUMMYFUNCTION("""COMPUTED_VALUE"""),0.5)</f>
        <v>0.5</v>
      </c>
      <c r="T1471" s="1">
        <f>IFERROR(__xludf.DUMMYFUNCTION("""COMPUTED_VALUE"""),2.25)</f>
        <v>2.25</v>
      </c>
      <c r="U1471" s="3">
        <f>IFERROR(__xludf.DUMMYFUNCTION("""COMPUTED_VALUE"""),2.75)</f>
        <v>2.75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IFERROR(__xludf.DUMMYFUNCTION("""COMPUTED_VALUE"""),41.98)</f>
        <v>41.98</v>
      </c>
      <c r="U1472" s="3">
        <f>IFERROR(__xludf.DUMMYFUNCTION("""COMPUTED_VALUE"""),41.98)</f>
        <v>41.98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IFERROR(__xludf.DUMMYFUNCTION("""COMPUTED_VALUE"""),1.75)</f>
        <v>1.75</v>
      </c>
      <c r="U1473" s="3">
        <f>IFERROR(__xludf.DUMMYFUNCTION("""COMPUTED_VALUE"""),2.75)</f>
        <v>2.75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IFERROR(__xludf.DUMMYFUNCTION("""COMPUTED_VALUE"""),2.75)</f>
        <v>2.75</v>
      </c>
      <c r="U1474" s="3">
        <f>IFERROR(__xludf.DUMMYFUNCTION("""COMPUTED_VALUE"""),3.75)</f>
        <v>3.75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IFERROR(__xludf.DUMMYFUNCTION("""COMPUTED_VALUE"""),0.5)</f>
        <v>0.5</v>
      </c>
      <c r="T1475" s="1">
        <f>IFERROR(__xludf.DUMMYFUNCTION("""COMPUTED_VALUE"""),11.5)</f>
        <v>11.5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IFERROR(__xludf.DUMMYFUNCTION("""COMPUTED_VALUE"""),2.42)</f>
        <v>2.42</v>
      </c>
      <c r="U1476" s="3">
        <f>IFERROR(__xludf.DUMMYFUNCTION("""COMPUTED_VALUE"""),2.42)</f>
        <v>2.42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IFERROR(__xludf.DUMMYFUNCTION("""COMPUTED_VALUE"""),5.75)</f>
        <v>5.75</v>
      </c>
      <c r="U1477" s="3">
        <f>IFERROR(__xludf.DUMMYFUNCTION("""COMPUTED_VALUE"""),5.75)</f>
        <v>5.75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IFERROR(__xludf.DUMMYFUNCTION("""COMPUTED_VALUE"""),6.5)</f>
        <v>6.5</v>
      </c>
      <c r="U1479" s="3">
        <f>IFERROR(__xludf.DUMMYFUNCTION("""COMPUTED_VALUE"""),8.0)</f>
        <v>8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>
        <f>IFERROR(__xludf.DUMMYFUNCTION("""COMPUTED_VALUE"""),2.27)</f>
        <v>2.27</v>
      </c>
      <c r="U1481" s="3">
        <f>IFERROR(__xludf.DUMMYFUNCTION("""COMPUTED_VALUE"""),2.27)</f>
        <v>2.27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IFERROR(__xludf.DUMMYFUNCTION("""COMPUTED_VALUE"""),4.25)</f>
        <v>4.25</v>
      </c>
      <c r="T1482" s="1">
        <f>IFERROR(__xludf.DUMMYFUNCTION("""COMPUTED_VALUE"""),1.75)</f>
        <v>1.75</v>
      </c>
      <c r="U1482" s="3">
        <f>IFERROR(__xludf.DUMMYFUNCTION("""COMPUTED_VALUE"""),6.0)</f>
        <v>6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/>
      <c r="T1483" s="1">
        <f>IFERROR(__xludf.DUMMYFUNCTION("""COMPUTED_VALUE"""),1.92)</f>
        <v>1.92</v>
      </c>
      <c r="U1483" s="3">
        <f>IFERROR(__xludf.DUMMYFUNCTION("""COMPUTED_VALUE"""),1.92)</f>
        <v>1.92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IFERROR(__xludf.DUMMYFUNCTION("""COMPUTED_VALUE"""),40.5)</f>
        <v>40.5</v>
      </c>
      <c r="U1484" s="3">
        <f>IFERROR(__xludf.DUMMYFUNCTION("""COMPUTED_VALUE"""),40.5)</f>
        <v>40.5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IFERROR(__xludf.DUMMYFUNCTION("""COMPUTED_VALUE"""),22.75)</f>
        <v>22.75</v>
      </c>
      <c r="U1485" s="3">
        <f>IFERROR(__xludf.DUMMYFUNCTION("""COMPUTED_VALUE"""),22.75)</f>
        <v>22.75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IFERROR(__xludf.DUMMYFUNCTION("""COMPUTED_VALUE"""),11.75)</f>
        <v>11.75</v>
      </c>
      <c r="T1486" s="1">
        <f>IFERROR(__xludf.DUMMYFUNCTION("""COMPUTED_VALUE"""),4.0)</f>
        <v>4</v>
      </c>
      <c r="U1486" s="3">
        <f>IFERROR(__xludf.DUMMYFUNCTION("""COMPUTED_VALUE"""),15.75)</f>
        <v>15.75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IFERROR(__xludf.DUMMYFUNCTION("""COMPUTED_VALUE"""),5.0)</f>
        <v>5</v>
      </c>
      <c r="T1487" s="1">
        <f>IFERROR(__xludf.DUMMYFUNCTION("""COMPUTED_VALUE"""),3.5)</f>
        <v>3.5</v>
      </c>
      <c r="U1487" s="3">
        <f>IFERROR(__xludf.DUMMYFUNCTION("""COMPUTED_VALUE"""),8.5)</f>
        <v>8.5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>
        <f>IFERROR(__xludf.DUMMYFUNCTION("""COMPUTED_VALUE"""),1.75)</f>
        <v>1.75</v>
      </c>
      <c r="U1488" s="3">
        <f>IFERROR(__xludf.DUMMYFUNCTION("""COMPUTED_VALUE"""),1.75)</f>
        <v>1.75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IFERROR(__xludf.DUMMYFUNCTION("""COMPUTED_VALUE"""),2.75)</f>
        <v>2.75</v>
      </c>
      <c r="U1489" s="3">
        <f>IFERROR(__xludf.DUMMYFUNCTION("""COMPUTED_VALUE"""),3.25)</f>
        <v>3.25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IFERROR(__xludf.DUMMYFUNCTION("""COMPUTED_VALUE"""),20.5)</f>
        <v>20.5</v>
      </c>
      <c r="U1490" s="3">
        <f>IFERROR(__xludf.DUMMYFUNCTION("""COMPUTED_VALUE"""),20.5)</f>
        <v>20.5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IFERROR(__xludf.DUMMYFUNCTION("""COMPUTED_VALUE"""),1.0)</f>
        <v>1</v>
      </c>
      <c r="T1491" s="1">
        <f>IFERROR(__xludf.DUMMYFUNCTION("""COMPUTED_VALUE"""),12.42)</f>
        <v>12.42</v>
      </c>
      <c r="U1491" s="3">
        <f>IFERROR(__xludf.DUMMYFUNCTION("""COMPUTED_VALUE"""),13.42)</f>
        <v>13.42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IFERROR(__xludf.DUMMYFUNCTION("""COMPUTED_VALUE"""),1.18)</f>
        <v>1.18</v>
      </c>
      <c r="T1492" s="1">
        <f>IFERROR(__xludf.DUMMYFUNCTION("""COMPUTED_VALUE"""),2.5)</f>
        <v>2.5</v>
      </c>
      <c r="U1492" s="3">
        <f>IFERROR(__xludf.DUMMYFUNCTION("""COMPUTED_VALUE"""),3.6799999999999997)</f>
        <v>3.68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>
        <f>IFERROR(__xludf.DUMMYFUNCTION("""COMPUTED_VALUE"""),2.0)</f>
        <v>2</v>
      </c>
      <c r="U1493" s="3">
        <f>IFERROR(__xludf.DUMMYFUNCTION("""COMPUTED_VALUE"""),3.0)</f>
        <v>3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IFERROR(__xludf.DUMMYFUNCTION("""COMPUTED_VALUE"""),21.5)</f>
        <v>21.5</v>
      </c>
      <c r="U1494" s="3">
        <f>IFERROR(__xludf.DUMMYFUNCTION("""COMPUTED_VALUE"""),22.5)</f>
        <v>22.5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IFERROR(__xludf.DUMMYFUNCTION("""COMPUTED_VALUE"""),2.75)</f>
        <v>2.75</v>
      </c>
      <c r="U1496" s="3">
        <f>IFERROR(__xludf.DUMMYFUNCTION("""COMPUTED_VALUE"""),3.75)</f>
        <v>3.75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/>
      <c r="T1497" s="1">
        <f>IFERROR(__xludf.DUMMYFUNCTION("""COMPUTED_VALUE"""),2.33)</f>
        <v>2.33</v>
      </c>
      <c r="U1497" s="3">
        <f>IFERROR(__xludf.DUMMYFUNCTION("""COMPUTED_VALUE"""),2.33)</f>
        <v>2.33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IFERROR(__xludf.DUMMYFUNCTION("""COMPUTED_VALUE"""),19.75)</f>
        <v>19.75</v>
      </c>
      <c r="U1498" s="3">
        <f>IFERROR(__xludf.DUMMYFUNCTION("""COMPUTED_VALUE"""),19.75)</f>
        <v>19.75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IFERROR(__xludf.DUMMYFUNCTION("""COMPUTED_VALUE"""),2.75)</f>
        <v>2.75</v>
      </c>
      <c r="U1499" s="3">
        <f>IFERROR(__xludf.DUMMYFUNCTION("""COMPUTED_VALUE"""),2.75)</f>
        <v>2.75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IFERROR(__xludf.DUMMYFUNCTION("""COMPUTED_VALUE"""),1.0)</f>
        <v>1</v>
      </c>
      <c r="T1500" s="1">
        <f>IFERROR(__xludf.DUMMYFUNCTION("""COMPUTED_VALUE"""),3.42)</f>
        <v>3.42</v>
      </c>
      <c r="U1500" s="3">
        <f>IFERROR(__xludf.DUMMYFUNCTION("""COMPUTED_VALUE"""),4.42)</f>
        <v>4.42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IFERROR(__xludf.DUMMYFUNCTION("""COMPUTED_VALUE"""),34.88)</f>
        <v>34.88</v>
      </c>
      <c r="U1501" s="3">
        <f>IFERROR(__xludf.DUMMYFUNCTION("""COMPUTED_VALUE"""),34.88)</f>
        <v>34.88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IFERROR(__xludf.DUMMYFUNCTION("""COMPUTED_VALUE"""),3.25)</f>
        <v>3.25</v>
      </c>
      <c r="T1502" s="1">
        <f>IFERROR(__xludf.DUMMYFUNCTION("""COMPUTED_VALUE"""),1.5)</f>
        <v>1.5</v>
      </c>
      <c r="U1502" s="3">
        <f>IFERROR(__xludf.DUMMYFUNCTION("""COMPUTED_VALUE"""),4.75)</f>
        <v>4.75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IFERROR(__xludf.DUMMYFUNCTION("""COMPUTED_VALUE"""),2.0)</f>
        <v>2</v>
      </c>
      <c r="U1504" s="3">
        <f>IFERROR(__xludf.DUMMYFUNCTION("""COMPUTED_VALUE"""),2.5)</f>
        <v>2.5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IFERROR(__xludf.DUMMYFUNCTION("""COMPUTED_VALUE"""),2.25)</f>
        <v>2.25</v>
      </c>
      <c r="U1505" s="3">
        <f>IFERROR(__xludf.DUMMYFUNCTION("""COMPUTED_VALUE"""),2.25)</f>
        <v>2.25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/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IFERROR(__xludf.DUMMYFUNCTION("""COMPUTED_VALUE"""),2.0)</f>
        <v>2</v>
      </c>
      <c r="T1506" s="1">
        <f>IFERROR(__xludf.DUMMYFUNCTION("""COMPUTED_VALUE"""),3.25)</f>
        <v>3.25</v>
      </c>
      <c r="U1506" s="3">
        <f>IFERROR(__xludf.DUMMYFUNCTION("""COMPUTED_VALUE"""),5.25)</f>
        <v>5.25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IFERROR(__xludf.DUMMYFUNCTION("""COMPUTED_VALUE"""),2.75)</f>
        <v>2.75</v>
      </c>
      <c r="U1507" s="3">
        <f>IFERROR(__xludf.DUMMYFUNCTION("""COMPUTED_VALUE"""),15.75)</f>
        <v>15.75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/>
      <c r="T1508" s="1">
        <f>IFERROR(__xludf.DUMMYFUNCTION("""COMPUTED_VALUE"""),2.75)</f>
        <v>2.75</v>
      </c>
      <c r="U1508" s="3">
        <f>IFERROR(__xludf.DUMMYFUNCTION("""COMPUTED_VALUE"""),2.75)</f>
        <v>2.75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>
        <f>IFERROR(__xludf.DUMMYFUNCTION("""COMPUTED_VALUE"""),1.75)</f>
        <v>1.75</v>
      </c>
      <c r="U1509" s="3">
        <f>IFERROR(__xludf.DUMMYFUNCTION("""COMPUTED_VALUE"""),2.75)</f>
        <v>2.75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IFERROR(__xludf.DUMMYFUNCTION("""COMPUTED_VALUE"""),0.5)</f>
        <v>0.5</v>
      </c>
      <c r="T1510" s="1">
        <f>IFERROR(__xludf.DUMMYFUNCTION("""COMPUTED_VALUE"""),7.85)</f>
        <v>7.85</v>
      </c>
      <c r="U1510" s="3">
        <f>IFERROR(__xludf.DUMMYFUNCTION("""COMPUTED_VALUE"""),8.35)</f>
        <v>8.35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IFERROR(__xludf.DUMMYFUNCTION("""COMPUTED_VALUE"""),1.0)</f>
        <v>1</v>
      </c>
      <c r="T1511" s="1">
        <f>IFERROR(__xludf.DUMMYFUNCTION("""COMPUTED_VALUE"""),8.75)</f>
        <v>8.75</v>
      </c>
      <c r="U1511" s="3">
        <f>IFERROR(__xludf.DUMMYFUNCTION("""COMPUTED_VALUE"""),9.75)</f>
        <v>9.75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>
        <f>IFERROR(__xludf.DUMMYFUNCTION("""COMPUTED_VALUE"""),1.25)</f>
        <v>1.25</v>
      </c>
      <c r="U1512" s="3">
        <f>IFERROR(__xludf.DUMMYFUNCTION("""COMPUTED_VALUE"""),1.25)</f>
        <v>1.25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/>
      <c r="T1513" s="1">
        <f>IFERROR(__xludf.DUMMYFUNCTION("""COMPUTED_VALUE"""),9.55)</f>
        <v>9.55</v>
      </c>
      <c r="U1513" s="3">
        <f>IFERROR(__xludf.DUMMYFUNCTION("""COMPUTED_VALUE"""),9.55)</f>
        <v>9.55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IFERROR(__xludf.DUMMYFUNCTION("""COMPUTED_VALUE"""),1.75)</f>
        <v>1.75</v>
      </c>
      <c r="U1514" s="3">
        <f>IFERROR(__xludf.DUMMYFUNCTION("""COMPUTED_VALUE"""),1.75)</f>
        <v>1.75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IFERROR(__xludf.DUMMYFUNCTION("""COMPUTED_VALUE"""),0.5)</f>
        <v>0.5</v>
      </c>
      <c r="T1515" s="1">
        <f>IFERROR(__xludf.DUMMYFUNCTION("""COMPUTED_VALUE"""),3.42)</f>
        <v>3.42</v>
      </c>
      <c r="U1515" s="3">
        <f>IFERROR(__xludf.DUMMYFUNCTION("""COMPUTED_VALUE"""),3.92)</f>
        <v>3.92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IFERROR(__xludf.DUMMYFUNCTION("""COMPUTED_VALUE"""),3.25)</f>
        <v>3.25</v>
      </c>
      <c r="U1516" s="3">
        <f>IFERROR(__xludf.DUMMYFUNCTION("""COMPUTED_VALUE"""),4.75)</f>
        <v>4.75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IFERROR(__xludf.DUMMYFUNCTION("""COMPUTED_VALUE"""),3.25)</f>
        <v>3.25</v>
      </c>
      <c r="U1517" s="3">
        <f>IFERROR(__xludf.DUMMYFUNCTION("""COMPUTED_VALUE"""),3.75)</f>
        <v>3.75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/>
      <c r="T1518" s="1">
        <f>IFERROR(__xludf.DUMMYFUNCTION("""COMPUTED_VALUE"""),6.67)</f>
        <v>6.67</v>
      </c>
      <c r="U1518" s="3">
        <f>IFERROR(__xludf.DUMMYFUNCTION("""COMPUTED_VALUE"""),6.67)</f>
        <v>6.67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/>
      <c r="T1519" s="1"/>
      <c r="U1519" s="3">
        <f>IFERROR(__xludf.DUMMYFUNCTION("""COMPUTED_VALUE"""),0.0)</f>
        <v>0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>
        <f>IFERROR(__xludf.DUMMYFUNCTION("""COMPUTED_VALUE"""),0.75)</f>
        <v>0.75</v>
      </c>
      <c r="U1520" s="3">
        <f>IFERROR(__xludf.DUMMYFUNCTION("""COMPUTED_VALUE"""),1.25)</f>
        <v>1.25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/>
      <c r="T1521" s="1">
        <f>IFERROR(__xludf.DUMMYFUNCTION("""COMPUTED_VALUE"""),1.75)</f>
        <v>1.75</v>
      </c>
      <c r="U1521" s="3">
        <f>IFERROR(__xludf.DUMMYFUNCTION("""COMPUTED_VALUE"""),1.75)</f>
        <v>1.75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IFERROR(__xludf.DUMMYFUNCTION("""COMPUTED_VALUE"""),1.25)</f>
        <v>1.25</v>
      </c>
      <c r="U1522" s="3">
        <f>IFERROR(__xludf.DUMMYFUNCTION("""COMPUTED_VALUE"""),1.25)</f>
        <v>1.25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IFERROR(__xludf.DUMMYFUNCTION("""COMPUTED_VALUE"""),1.0)</f>
        <v>1</v>
      </c>
      <c r="T1523" s="1">
        <f>IFERROR(__xludf.DUMMYFUNCTION("""COMPUTED_VALUE"""),2.75)</f>
        <v>2.75</v>
      </c>
      <c r="U1523" s="3">
        <f>IFERROR(__xludf.DUMMYFUNCTION("""COMPUTED_VALUE"""),3.75)</f>
        <v>3.75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IFERROR(__xludf.DUMMYFUNCTION("""COMPUTED_VALUE"""),2.25)</f>
        <v>2.25</v>
      </c>
      <c r="U1524" s="3">
        <f>IFERROR(__xludf.DUMMYFUNCTION("""COMPUTED_VALUE"""),2.25)</f>
        <v>2.25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IFERROR(__xludf.DUMMYFUNCTION("""COMPUTED_VALUE"""),5.0)</f>
        <v>5</v>
      </c>
      <c r="T1525" s="1">
        <f>IFERROR(__xludf.DUMMYFUNCTION("""COMPUTED_VALUE"""),2.25)</f>
        <v>2.25</v>
      </c>
      <c r="U1525" s="3">
        <f>IFERROR(__xludf.DUMMYFUNCTION("""COMPUTED_VALUE"""),7.25)</f>
        <v>7.25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/>
      <c r="T1526" s="1">
        <f>IFERROR(__xludf.DUMMYFUNCTION("""COMPUTED_VALUE"""),2.08)</f>
        <v>2.08</v>
      </c>
      <c r="U1526" s="3">
        <f>IFERROR(__xludf.DUMMYFUNCTION("""COMPUTED_VALUE"""),2.08)</f>
        <v>2.08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>
        <f>IFERROR(__xludf.DUMMYFUNCTION("""COMPUTED_VALUE"""),2.42)</f>
        <v>2.42</v>
      </c>
      <c r="U1527" s="3">
        <f>IFERROR(__xludf.DUMMYFUNCTION("""COMPUTED_VALUE"""),2.42)</f>
        <v>2.42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IFERROR(__xludf.DUMMYFUNCTION("""COMPUTED_VALUE"""),9.25)</f>
        <v>9.25</v>
      </c>
      <c r="T1528" s="1">
        <f>IFERROR(__xludf.DUMMYFUNCTION("""COMPUTED_VALUE"""),2.75)</f>
        <v>2.75</v>
      </c>
      <c r="U1528" s="3">
        <f>IFERROR(__xludf.DUMMYFUNCTION("""COMPUTED_VALUE"""),12.0)</f>
        <v>12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>
        <f>IFERROR(__xludf.DUMMYFUNCTION("""COMPUTED_VALUE"""),0.75)</f>
        <v>0.75</v>
      </c>
      <c r="U1529" s="3">
        <f>IFERROR(__xludf.DUMMYFUNCTION("""COMPUTED_VALUE"""),1.75)</f>
        <v>1.75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IFERROR(__xludf.DUMMYFUNCTION("""COMPUTED_VALUE"""),6.75)</f>
        <v>6.75</v>
      </c>
      <c r="U1530" s="3">
        <f>IFERROR(__xludf.DUMMYFUNCTION("""COMPUTED_VALUE"""),6.75)</f>
        <v>6.75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IFERROR(__xludf.DUMMYFUNCTION("""COMPUTED_VALUE"""),13.13)</f>
        <v>13.13</v>
      </c>
      <c r="U1532" s="3">
        <f>IFERROR(__xludf.DUMMYFUNCTION("""COMPUTED_VALUE"""),15.13)</f>
        <v>15.13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IFERROR(__xludf.DUMMYFUNCTION("""COMPUTED_VALUE"""),0.92)</f>
        <v>0.92</v>
      </c>
      <c r="U1533" s="3">
        <f>IFERROR(__xludf.DUMMYFUNCTION("""COMPUTED_VALUE"""),1.92)</f>
        <v>1.92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IFERROR(__xludf.DUMMYFUNCTION("""COMPUTED_VALUE"""),1.25)</f>
        <v>1.25</v>
      </c>
      <c r="U1534" s="3">
        <f>IFERROR(__xludf.DUMMYFUNCTION("""COMPUTED_VALUE"""),1.25)</f>
        <v>1.25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IFERROR(__xludf.DUMMYFUNCTION("""COMPUTED_VALUE"""),2.25)</f>
        <v>2.25</v>
      </c>
      <c r="U1535" s="3">
        <f>IFERROR(__xludf.DUMMYFUNCTION("""COMPUTED_VALUE"""),2.25)</f>
        <v>2.25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IFERROR(__xludf.DUMMYFUNCTION("""COMPUTED_VALUE"""),3.25)</f>
        <v>3.25</v>
      </c>
      <c r="U1536" s="3">
        <f>IFERROR(__xludf.DUMMYFUNCTION("""COMPUTED_VALUE"""),3.25)</f>
        <v>3.25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IFERROR(__xludf.DUMMYFUNCTION("""COMPUTED_VALUE"""),"Vinz Lazaro")</f>
        <v>Vinz Lazaro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/>
      <c r="T1538" s="1">
        <f>IFERROR(__xludf.DUMMYFUNCTION("""COMPUTED_VALUE"""),0.75)</f>
        <v>0.75</v>
      </c>
      <c r="U1538" s="3">
        <f>IFERROR(__xludf.DUMMYFUNCTION("""COMPUTED_VALUE"""),0.75)</f>
        <v>0.75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IFERROR(__xludf.DUMMYFUNCTION("""COMPUTED_VALUE"""),0.5)</f>
        <v>0.5</v>
      </c>
      <c r="T1539" s="1">
        <f>IFERROR(__xludf.DUMMYFUNCTION("""COMPUTED_VALUE"""),4.83)</f>
        <v>4.83</v>
      </c>
      <c r="U1539" s="3">
        <f>IFERROR(__xludf.DUMMYFUNCTION("""COMPUTED_VALUE"""),5.33)</f>
        <v>5.33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IFERROR(__xludf.DUMMYFUNCTION("""COMPUTED_VALUE"""),7.52)</f>
        <v>7.52</v>
      </c>
      <c r="U1540" s="3">
        <f>IFERROR(__xludf.DUMMYFUNCTION("""COMPUTED_VALUE"""),9.02)</f>
        <v>9.02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IFERROR(__xludf.DUMMYFUNCTION("""COMPUTED_VALUE"""),10.48)</f>
        <v>10.48</v>
      </c>
      <c r="T1541" s="1">
        <f>IFERROR(__xludf.DUMMYFUNCTION("""COMPUTED_VALUE"""),8.2)</f>
        <v>8.2</v>
      </c>
      <c r="U1541" s="3">
        <f>IFERROR(__xludf.DUMMYFUNCTION("""COMPUTED_VALUE"""),18.68)</f>
        <v>18.68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IFERROR(__xludf.DUMMYFUNCTION("""COMPUTED_VALUE"""),2.25)</f>
        <v>2.25</v>
      </c>
      <c r="U1542" s="3">
        <f>IFERROR(__xludf.DUMMYFUNCTION("""COMPUTED_VALUE"""),2.25)</f>
        <v>2.25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IFERROR(__xludf.DUMMYFUNCTION("""COMPUTED_VALUE"""),1.75)</f>
        <v>1.75</v>
      </c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IFERROR(__xludf.DUMMYFUNCTION("""COMPUTED_VALUE"""),"Vinz Lazaro")</f>
        <v>Vinz Lazaro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IFERROR(__xludf.DUMMYFUNCTION("""COMPUTED_VALUE"""),0.5)</f>
        <v>0.5</v>
      </c>
      <c r="T1545" s="1">
        <f>IFERROR(__xludf.DUMMYFUNCTION("""COMPUTED_VALUE"""),4.75)</f>
        <v>4.75</v>
      </c>
      <c r="U1545" s="3">
        <f>IFERROR(__xludf.DUMMYFUNCTION("""COMPUTED_VALUE"""),5.25)</f>
        <v>5.25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/>
      <c r="T1546" s="1">
        <f>IFERROR(__xludf.DUMMYFUNCTION("""COMPUTED_VALUE"""),2.33)</f>
        <v>2.33</v>
      </c>
      <c r="U1546" s="3">
        <f>IFERROR(__xludf.DUMMYFUNCTION("""COMPUTED_VALUE"""),2.33)</f>
        <v>2.33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IFERROR(__xludf.DUMMYFUNCTION("""COMPUTED_VALUE"""),0.75)</f>
        <v>0.75</v>
      </c>
      <c r="T1547" s="1">
        <f>IFERROR(__xludf.DUMMYFUNCTION("""COMPUTED_VALUE"""),17.98)</f>
        <v>17.98</v>
      </c>
      <c r="U1547" s="3">
        <f>IFERROR(__xludf.DUMMYFUNCTION("""COMPUTED_VALUE"""),18.73)</f>
        <v>18.73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IFERROR(__xludf.DUMMYFUNCTION("""COMPUTED_VALUE"""),0.5)</f>
        <v>0.5</v>
      </c>
      <c r="T1548" s="1">
        <f>IFERROR(__xludf.DUMMYFUNCTION("""COMPUTED_VALUE"""),1.75)</f>
        <v>1.75</v>
      </c>
      <c r="U1548" s="3">
        <f>IFERROR(__xludf.DUMMYFUNCTION("""COMPUTED_VALUE"""),2.25)</f>
        <v>2.25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IFERROR(__xludf.DUMMYFUNCTION("""COMPUTED_VALUE"""),6.42)</f>
        <v>6.42</v>
      </c>
      <c r="U1549" s="3">
        <f>IFERROR(__xludf.DUMMYFUNCTION("""COMPUTED_VALUE"""),6.42)</f>
        <v>6.42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IFERROR(__xludf.DUMMYFUNCTION("""COMPUTED_VALUE"""),46.08)</f>
        <v>46.08</v>
      </c>
      <c r="U1550" s="3">
        <f>IFERROR(__xludf.DUMMYFUNCTION("""COMPUTED_VALUE"""),46.08)</f>
        <v>46.08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IFERROR(__xludf.DUMMYFUNCTION("""COMPUTED_VALUE"""),0.92)</f>
        <v>0.92</v>
      </c>
      <c r="T1552" s="1">
        <f>IFERROR(__xludf.DUMMYFUNCTION("""COMPUTED_VALUE"""),11.0)</f>
        <v>11</v>
      </c>
      <c r="U1552" s="3">
        <f>IFERROR(__xludf.DUMMYFUNCTION("""COMPUTED_VALUE"""),11.92)</f>
        <v>11.92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IFERROR(__xludf.DUMMYFUNCTION("""COMPUTED_VALUE"""),24.58)</f>
        <v>24.58</v>
      </c>
      <c r="U1553" s="3">
        <f>IFERROR(__xludf.DUMMYFUNCTION("""COMPUTED_VALUE"""),24.58)</f>
        <v>24.58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IFERROR(__xludf.DUMMYFUNCTION("""COMPUTED_VALUE"""),"Admin Support")</f>
        <v>Admin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IFERROR(__xludf.DUMMYFUNCTION("""COMPUTED_VALUE"""),"AL Suarez")</f>
        <v>AL Suarez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IFERROR(__xludf.DUMMYFUNCTION("""COMPUTED_VALUE"""),1.75)</f>
        <v>1.75</v>
      </c>
      <c r="U1554" s="3">
        <f>IFERROR(__xludf.DUMMYFUNCTION("""COMPUTED_VALUE"""),2.25)</f>
        <v>2.25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IFERROR(__xludf.DUMMYFUNCTION("""COMPUTED_VALUE"""),1.5)</f>
        <v>1.5</v>
      </c>
      <c r="T1555" s="1">
        <f>IFERROR(__xludf.DUMMYFUNCTION("""COMPUTED_VALUE"""),11.42)</f>
        <v>11.42</v>
      </c>
      <c r="U1555" s="3">
        <f>IFERROR(__xludf.DUMMYFUNCTION("""COMPUTED_VALUE"""),12.92)</f>
        <v>12.92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IFERROR(__xludf.DUMMYFUNCTION("""COMPUTED_VALUE"""),3.75)</f>
        <v>3.75</v>
      </c>
      <c r="U1556" s="3">
        <f>IFERROR(__xludf.DUMMYFUNCTION("""COMPUTED_VALUE"""),4.25)</f>
        <v>4.25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IFERROR(__xludf.DUMMYFUNCTION("""COMPUTED_VALUE"""),"Admin Support")</f>
        <v>Admin Support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IFERROR(__xludf.DUMMYFUNCTION("""COMPUTED_VALUE"""),"Karla Mananghaya")</f>
        <v>Karla Mananghaya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IFERROR(__xludf.DUMMYFUNCTION("""COMPUTED_VALUE"""),41.75)</f>
        <v>41.75</v>
      </c>
      <c r="U1557" s="3">
        <f>IFERROR(__xludf.DUMMYFUNCTION("""COMPUTED_VALUE"""),41.75)</f>
        <v>41.75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IFERROR(__xludf.DUMMYFUNCTION("""COMPUTED_VALUE"""),1.0)</f>
        <v>1</v>
      </c>
      <c r="T1558" s="1">
        <f>IFERROR(__xludf.DUMMYFUNCTION("""COMPUTED_VALUE"""),8.0)</f>
        <v>8</v>
      </c>
      <c r="U1558" s="3">
        <f>IFERROR(__xludf.DUMMYFUNCTION("""COMPUTED_VALUE"""),9.0)</f>
        <v>9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IFERROR(__xludf.DUMMYFUNCTION("""COMPUTED_VALUE"""),3.75)</f>
        <v>3.75</v>
      </c>
      <c r="U1559" s="3">
        <f>IFERROR(__xludf.DUMMYFUNCTION("""COMPUTED_VALUE"""),3.75)</f>
        <v>3.75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IFERROR(__xludf.DUMMYFUNCTION("""COMPUTED_VALUE"""),"Admin Support")</f>
        <v>Admin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/>
      <c r="T1560" s="1">
        <f>IFERROR(__xludf.DUMMYFUNCTION("""COMPUTED_VALUE"""),99.08)</f>
        <v>99.08</v>
      </c>
      <c r="U1560" s="3">
        <f>IFERROR(__xludf.DUMMYFUNCTION("""COMPUTED_VALUE"""),99.08)</f>
        <v>99.08</v>
      </c>
      <c r="V1560" s="1" t="str">
        <f>IFERROR(__xludf.DUMMYFUNCTION("""COMPUTED_VALUE"""),"AL Suarez")</f>
        <v>AL Suarez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IFERROR(__xludf.DUMMYFUNCTION("""COMPUTED_VALUE"""),9.37)</f>
        <v>9.37</v>
      </c>
      <c r="T1561" s="1">
        <f>IFERROR(__xludf.DUMMYFUNCTION("""COMPUTED_VALUE"""),2.75)</f>
        <v>2.75</v>
      </c>
      <c r="U1561" s="3">
        <f>IFERROR(__xludf.DUMMYFUNCTION("""COMPUTED_VALUE"""),12.12)</f>
        <v>12.12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IFERROR(__xludf.DUMMYFUNCTION("""COMPUTED_VALUE"""),2.75)</f>
        <v>2.75</v>
      </c>
      <c r="U1562" s="3">
        <f>IFERROR(__xludf.DUMMYFUNCTION("""COMPUTED_VALUE"""),3.25)</f>
        <v>3.25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IFERROR(__xludf.DUMMYFUNCTION("""COMPUTED_VALUE"""),"Admin Support")</f>
        <v>Admin Support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IFERROR(__xludf.DUMMYFUNCTION("""COMPUTED_VALUE"""),22.25)</f>
        <v>22.25</v>
      </c>
      <c r="U1563" s="3">
        <f>IFERROR(__xludf.DUMMYFUNCTION("""COMPUTED_VALUE"""),22.25)</f>
        <v>22.25</v>
      </c>
      <c r="V1563" s="1" t="str">
        <f>IFERROR(__xludf.DUMMYFUNCTION("""COMPUTED_VALUE"""),"Karla Mananghaya")</f>
        <v>Karla Mananghaya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IFERROR(__xludf.DUMMYFUNCTION("""COMPUTED_VALUE"""),2.75)</f>
        <v>2.75</v>
      </c>
      <c r="U1564" s="3">
        <f>IFERROR(__xludf.DUMMYFUNCTION("""COMPUTED_VALUE"""),2.75)</f>
        <v>2.75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IFERROR(__xludf.DUMMYFUNCTION("""COMPUTED_VALUE"""),4.0)</f>
        <v>4</v>
      </c>
      <c r="U1565" s="3">
        <f>IFERROR(__xludf.DUMMYFUNCTION("""COMPUTED_VALUE"""),5.0)</f>
        <v>5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IFERROR(__xludf.DUMMYFUNCTION("""COMPUTED_VALUE"""),1.75)</f>
        <v>1.75</v>
      </c>
      <c r="U1566" s="3">
        <f>IFERROR(__xludf.DUMMYFUNCTION("""COMPUTED_VALUE"""),1.75)</f>
        <v>1.75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IFERROR(__xludf.DUMMYFUNCTION("""COMPUTED_VALUE"""),0.5)</f>
        <v>0.5</v>
      </c>
      <c r="T1567" s="1">
        <f>IFERROR(__xludf.DUMMYFUNCTION("""COMPUTED_VALUE"""),2.42)</f>
        <v>2.42</v>
      </c>
      <c r="U1567" s="3">
        <f>IFERROR(__xludf.DUMMYFUNCTION("""COMPUTED_VALUE"""),2.92)</f>
        <v>2.92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IFERROR(__xludf.DUMMYFUNCTION("""COMPUTED_VALUE"""),6.42)</f>
        <v>6.42</v>
      </c>
      <c r="T1568" s="1">
        <f>IFERROR(__xludf.DUMMYFUNCTION("""COMPUTED_VALUE"""),3.75)</f>
        <v>3.75</v>
      </c>
      <c r="U1568" s="3">
        <f>IFERROR(__xludf.DUMMYFUNCTION("""COMPUTED_VALUE"""),10.17)</f>
        <v>10.17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IFERROR(__xludf.DUMMYFUNCTION("""COMPUTED_VALUE"""),27.72)</f>
        <v>27.72</v>
      </c>
      <c r="U1569" s="3">
        <f>IFERROR(__xludf.DUMMYFUNCTION("""COMPUTED_VALUE"""),27.72)</f>
        <v>27.72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/>
      <c r="T1570" s="1">
        <f>IFERROR(__xludf.DUMMYFUNCTION("""COMPUTED_VALUE"""),1.0)</f>
        <v>1</v>
      </c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IFERROR(__xludf.DUMMYFUNCTION("""COMPUTED_VALUE"""),3.25)</f>
        <v>3.25</v>
      </c>
      <c r="U1571" s="3">
        <f>IFERROR(__xludf.DUMMYFUNCTION("""COMPUTED_VALUE"""),3.25)</f>
        <v>3.25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IFERROR(__xludf.DUMMYFUNCTION("""COMPUTED_VALUE"""),0.5)</f>
        <v>0.5</v>
      </c>
      <c r="T1572" s="1"/>
      <c r="U1572" s="3">
        <f>IFERROR(__xludf.DUMMYFUNCTION("""COMPUTED_VALUE"""),0.5)</f>
        <v>0.5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IFERROR(__xludf.DUMMYFUNCTION("""COMPUTED_VALUE"""),1.0)</f>
        <v>1</v>
      </c>
      <c r="T1573" s="1">
        <f>IFERROR(__xludf.DUMMYFUNCTION("""COMPUTED_VALUE"""),2.42)</f>
        <v>2.42</v>
      </c>
      <c r="U1573" s="3">
        <f>IFERROR(__xludf.DUMMYFUNCTION("""COMPUTED_VALUE"""),3.42)</f>
        <v>3.42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IFERROR(__xludf.DUMMYFUNCTION("""COMPUTED_VALUE"""),"Admin Support")</f>
        <v>Admin Support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IFERROR(__xludf.DUMMYFUNCTION("""COMPUTED_VALUE"""),"Karla Mananghaya")</f>
        <v>Karla Mananghaya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IFERROR(__xludf.DUMMYFUNCTION("""COMPUTED_VALUE"""),1.0)</f>
        <v>1</v>
      </c>
      <c r="T1574" s="1">
        <f>IFERROR(__xludf.DUMMYFUNCTION("""COMPUTED_VALUE"""),3.75)</f>
        <v>3.75</v>
      </c>
      <c r="U1574" s="3">
        <f>IFERROR(__xludf.DUMMYFUNCTION("""COMPUTED_VALUE"""),4.75)</f>
        <v>4.75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IFERROR(__xludf.DUMMYFUNCTION("""COMPUTED_VALUE"""),10.75)</f>
        <v>10.75</v>
      </c>
      <c r="U1575" s="3">
        <f>IFERROR(__xludf.DUMMYFUNCTION("""COMPUTED_VALUE"""),10.75)</f>
        <v>10.75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IFERROR(__xludf.DUMMYFUNCTION("""COMPUTED_VALUE"""),8.75)</f>
        <v>8.75</v>
      </c>
      <c r="U1576" s="3">
        <f>IFERROR(__xludf.DUMMYFUNCTION("""COMPUTED_VALUE"""),9.75)</f>
        <v>9.75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IFERROR(__xludf.DUMMYFUNCTION("""COMPUTED_VALUE"""),9.0)</f>
        <v>9</v>
      </c>
      <c r="U1577" s="3">
        <f>IFERROR(__xludf.DUMMYFUNCTION("""COMPUTED_VALUE"""),11.0)</f>
        <v>11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IFERROR(__xludf.DUMMYFUNCTION("""COMPUTED_VALUE"""),1.0)</f>
        <v>1</v>
      </c>
      <c r="T1578" s="1">
        <f>IFERROR(__xludf.DUMMYFUNCTION("""COMPUTED_VALUE"""),2.25)</f>
        <v>2.25</v>
      </c>
      <c r="U1578" s="3">
        <f>IFERROR(__xludf.DUMMYFUNCTION("""COMPUTED_VALUE"""),3.25)</f>
        <v>3.25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IFERROR(__xludf.DUMMYFUNCTION("""COMPUTED_VALUE"""),2.75)</f>
        <v>2.75</v>
      </c>
      <c r="U1579" s="3">
        <f>IFERROR(__xludf.DUMMYFUNCTION("""COMPUTED_VALUE"""),3.25)</f>
        <v>3.25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IFERROR(__xludf.DUMMYFUNCTION("""COMPUTED_VALUE"""),45.75)</f>
        <v>45.75</v>
      </c>
      <c r="U1580" s="3">
        <f>IFERROR(__xludf.DUMMYFUNCTION("""COMPUTED_VALUE"""),45.75)</f>
        <v>45.75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IFERROR(__xludf.DUMMYFUNCTION("""COMPUTED_VALUE"""),43.05)</f>
        <v>43.05</v>
      </c>
      <c r="U1581" s="3">
        <f>IFERROR(__xludf.DUMMYFUNCTION("""COMPUTED_VALUE"""),43.05)</f>
        <v>43.05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IFERROR(__xludf.DUMMYFUNCTION("""COMPUTED_VALUE"""),"Admin Support")</f>
        <v>Admin Support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>
        <f>IFERROR(__xludf.DUMMYFUNCTION("""COMPUTED_VALUE"""),1.75)</f>
        <v>1.75</v>
      </c>
      <c r="U1582" s="3">
        <f>IFERROR(__xludf.DUMMYFUNCTION("""COMPUTED_VALUE"""),1.75)</f>
        <v>1.75</v>
      </c>
      <c r="V1582" s="1" t="str">
        <f>IFERROR(__xludf.DUMMYFUNCTION("""COMPUTED_VALUE"""),"Karla Mananghaya")</f>
        <v>Karla Mananghaya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>
        <f>IFERROR(__xludf.DUMMYFUNCTION("""COMPUTED_VALUE"""),1.0)</f>
        <v>1</v>
      </c>
      <c r="U1583" s="3">
        <f>IFERROR(__xludf.DUMMYFUNCTION("""COMPUTED_VALUE"""),1.0)</f>
        <v>1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>
        <f>IFERROR(__xludf.DUMMYFUNCTION("""COMPUTED_VALUE"""),2.42)</f>
        <v>2.42</v>
      </c>
      <c r="U1584" s="3">
        <f>IFERROR(__xludf.DUMMYFUNCTION("""COMPUTED_VALUE"""),2.42)</f>
        <v>2.42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IFERROR(__xludf.DUMMYFUNCTION("""COMPUTED_VALUE"""),0.75)</f>
        <v>0.75</v>
      </c>
      <c r="U1585" s="3">
        <f>IFERROR(__xludf.DUMMYFUNCTION("""COMPUTED_VALUE"""),2.25)</f>
        <v>2.25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IFERROR(__xludf.DUMMYFUNCTION("""COMPUTED_VALUE"""),3.33)</f>
        <v>3.33</v>
      </c>
      <c r="U1587" s="3">
        <f>IFERROR(__xludf.DUMMYFUNCTION("""COMPUTED_VALUE"""),3.33)</f>
        <v>3.33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/>
      <c r="T1588" s="1">
        <f>IFERROR(__xludf.DUMMYFUNCTION("""COMPUTED_VALUE"""),2.75)</f>
        <v>2.75</v>
      </c>
      <c r="U1588" s="3">
        <f>IFERROR(__xludf.DUMMYFUNCTION("""COMPUTED_VALUE"""),2.75)</f>
        <v>2.75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>
        <f>IFERROR(__xludf.DUMMYFUNCTION("""COMPUTED_VALUE"""),0.75)</f>
        <v>0.75</v>
      </c>
      <c r="U1589" s="3">
        <f>IFERROR(__xludf.DUMMYFUNCTION("""COMPUTED_VALUE"""),1.75)</f>
        <v>1.75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>
        <f>IFERROR(__xludf.DUMMYFUNCTION("""COMPUTED_VALUE"""),2.42)</f>
        <v>2.42</v>
      </c>
      <c r="U1590" s="3">
        <f>IFERROR(__xludf.DUMMYFUNCTION("""COMPUTED_VALUE"""),2.42)</f>
        <v>2.42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IFERROR(__xludf.DUMMYFUNCTION("""COMPUTED_VALUE"""),2.75)</f>
        <v>2.75</v>
      </c>
      <c r="U1591" s="3">
        <f>IFERROR(__xludf.DUMMYFUNCTION("""COMPUTED_VALUE"""),2.75)</f>
        <v>2.75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IFERROR(__xludf.DUMMYFUNCTION("""COMPUTED_VALUE"""),1.0)</f>
        <v>1</v>
      </c>
      <c r="T1592" s="1">
        <f>IFERROR(__xludf.DUMMYFUNCTION("""COMPUTED_VALUE"""),2.75)</f>
        <v>2.75</v>
      </c>
      <c r="U1592" s="3">
        <f>IFERROR(__xludf.DUMMYFUNCTION("""COMPUTED_VALUE"""),3.75)</f>
        <v>3.75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IFERROR(__xludf.DUMMYFUNCTION("""COMPUTED_VALUE"""),10.83)</f>
        <v>10.83</v>
      </c>
      <c r="U1593" s="3">
        <f>IFERROR(__xludf.DUMMYFUNCTION("""COMPUTED_VALUE"""),12.33)</f>
        <v>12.33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>
        <f>IFERROR(__xludf.DUMMYFUNCTION("""COMPUTED_VALUE"""),1.42)</f>
        <v>1.42</v>
      </c>
      <c r="U1594" s="3">
        <f>IFERROR(__xludf.DUMMYFUNCTION("""COMPUTED_VALUE"""),1.42)</f>
        <v>1.42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IFERROR(__xludf.DUMMYFUNCTION("""COMPUTED_VALUE"""),7.75)</f>
        <v>7.75</v>
      </c>
      <c r="U1595" s="3">
        <f>IFERROR(__xludf.DUMMYFUNCTION("""COMPUTED_VALUE"""),7.75)</f>
        <v>7.75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IFERROR(__xludf.DUMMYFUNCTION("""COMPUTED_VALUE"""),"Vinz Lazaro")</f>
        <v>Vinz Lazaro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IFERROR(__xludf.DUMMYFUNCTION("""COMPUTED_VALUE"""),5.75)</f>
        <v>5.75</v>
      </c>
      <c r="T1597" s="1">
        <f>IFERROR(__xludf.DUMMYFUNCTION("""COMPUTED_VALUE"""),3.75)</f>
        <v>3.75</v>
      </c>
      <c r="U1597" s="3">
        <f>IFERROR(__xludf.DUMMYFUNCTION("""COMPUTED_VALUE"""),9.5)</f>
        <v>9.5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IFERROR(__xludf.DUMMYFUNCTION("""COMPUTED_VALUE"""),0.5)</f>
        <v>0.5</v>
      </c>
      <c r="T1598" s="1">
        <f>IFERROR(__xludf.DUMMYFUNCTION("""COMPUTED_VALUE"""),1.75)</f>
        <v>1.75</v>
      </c>
      <c r="U1598" s="3">
        <f>IFERROR(__xludf.DUMMYFUNCTION("""COMPUTED_VALUE"""),2.25)</f>
        <v>2.25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IFERROR(__xludf.DUMMYFUNCTION("""COMPUTED_VALUE"""),"Vinz Lazaro")</f>
        <v>Vinz Lazaro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IFERROR(__xludf.DUMMYFUNCTION("""COMPUTED_VALUE"""),11.25)</f>
        <v>11.25</v>
      </c>
      <c r="T1599" s="1">
        <f>IFERROR(__xludf.DUMMYFUNCTION("""COMPUTED_VALUE"""),3.75)</f>
        <v>3.75</v>
      </c>
      <c r="U1599" s="3">
        <f>IFERROR(__xludf.DUMMYFUNCTION("""COMPUTED_VALUE"""),15.0)</f>
        <v>15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IFERROR(__xludf.DUMMYFUNCTION("""COMPUTED_VALUE"""),3.25)</f>
        <v>3.25</v>
      </c>
      <c r="U1600" s="3">
        <f>IFERROR(__xludf.DUMMYFUNCTION("""COMPUTED_VALUE"""),3.75)</f>
        <v>3.75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IFERROR(__xludf.DUMMYFUNCTION("""COMPUTED_VALUE"""),2.75)</f>
        <v>2.75</v>
      </c>
      <c r="U1601" s="3">
        <f>IFERROR(__xludf.DUMMYFUNCTION("""COMPUTED_VALUE"""),2.75)</f>
        <v>2.75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/>
      <c r="T1602" s="1">
        <f>IFERROR(__xludf.DUMMYFUNCTION("""COMPUTED_VALUE"""),3.75)</f>
        <v>3.75</v>
      </c>
      <c r="U1602" s="3">
        <f>IFERROR(__xludf.DUMMYFUNCTION("""COMPUTED_VALUE"""),3.75)</f>
        <v>3.75</v>
      </c>
      <c r="V1602" s="1" t="str">
        <f>IFERROR(__xludf.DUMMYFUNCTION("""COMPUTED_VALUE"""),"Vinz Lazaro")</f>
        <v>Vinz Lazaro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IFERROR(__xludf.DUMMYFUNCTION("""COMPUTED_VALUE"""),8.75)</f>
        <v>8.75</v>
      </c>
      <c r="T1603" s="1">
        <f>IFERROR(__xludf.DUMMYFUNCTION("""COMPUTED_VALUE"""),3.82)</f>
        <v>3.82</v>
      </c>
      <c r="U1603" s="3">
        <f>IFERROR(__xludf.DUMMYFUNCTION("""COMPUTED_VALUE"""),12.57)</f>
        <v>12.57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IFERROR(__xludf.DUMMYFUNCTION("""COMPUTED_VALUE"""),0.5)</f>
        <v>0.5</v>
      </c>
      <c r="T1604" s="1">
        <f>IFERROR(__xludf.DUMMYFUNCTION("""COMPUTED_VALUE"""),1.75)</f>
        <v>1.75</v>
      </c>
      <c r="U1604" s="3">
        <f>IFERROR(__xludf.DUMMYFUNCTION("""COMPUTED_VALUE"""),2.25)</f>
        <v>2.25</v>
      </c>
      <c r="V1604" s="1" t="str">
        <f>IFERROR(__xludf.DUMMYFUNCTION("""COMPUTED_VALUE"""),"Vinz Lazaro")</f>
        <v>Vinz Lazaro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IFERROR(__xludf.DUMMYFUNCTION("""COMPUTED_VALUE"""),12.0)</f>
        <v>12</v>
      </c>
      <c r="T1605" s="1">
        <f>IFERROR(__xludf.DUMMYFUNCTION("""COMPUTED_VALUE"""),3.75)</f>
        <v>3.75</v>
      </c>
      <c r="U1605" s="3">
        <f>IFERROR(__xludf.DUMMYFUNCTION("""COMPUTED_VALUE"""),15.75)</f>
        <v>15.75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IFERROR(__xludf.DUMMYFUNCTION("""COMPUTED_VALUE"""),0.5)</f>
        <v>0.5</v>
      </c>
      <c r="T1607" s="1">
        <f>IFERROR(__xludf.DUMMYFUNCTION("""COMPUTED_VALUE"""),3.5)</f>
        <v>3.5</v>
      </c>
      <c r="U1607" s="3">
        <f>IFERROR(__xludf.DUMMYFUNCTION("""COMPUTED_VALUE"""),4.0)</f>
        <v>4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IFERROR(__xludf.DUMMYFUNCTION("""COMPUTED_VALUE"""),2.75)</f>
        <v>2.75</v>
      </c>
      <c r="U1608" s="3">
        <f>IFERROR(__xludf.DUMMYFUNCTION("""COMPUTED_VALUE"""),3.75)</f>
        <v>3.75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IFERROR(__xludf.DUMMYFUNCTION("""COMPUTED_VALUE"""),0.43)</f>
        <v>0.43</v>
      </c>
      <c r="T1609" s="1">
        <f>IFERROR(__xludf.DUMMYFUNCTION("""COMPUTED_VALUE"""),4.17)</f>
        <v>4.17</v>
      </c>
      <c r="U1609" s="3">
        <f>IFERROR(__xludf.DUMMYFUNCTION("""COMPUTED_VALUE"""),4.6)</f>
        <v>4.6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IFERROR(__xludf.DUMMYFUNCTION("""COMPUTED_VALUE"""),21.0)</f>
        <v>21</v>
      </c>
      <c r="U1610" s="3">
        <f>IFERROR(__xludf.DUMMYFUNCTION("""COMPUTED_VALUE"""),21.0)</f>
        <v>21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IFERROR(__xludf.DUMMYFUNCTION("""COMPUTED_VALUE"""),1.25)</f>
        <v>1.25</v>
      </c>
      <c r="U1611" s="3">
        <f>IFERROR(__xludf.DUMMYFUNCTION("""COMPUTED_VALUE"""),1.25)</f>
        <v>1.25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IFERROR(__xludf.DUMMYFUNCTION("""COMPUTED_VALUE"""),0.5)</f>
        <v>0.5</v>
      </c>
      <c r="T1612" s="1">
        <f>IFERROR(__xludf.DUMMYFUNCTION("""COMPUTED_VALUE"""),2.75)</f>
        <v>2.75</v>
      </c>
      <c r="U1612" s="3">
        <f>IFERROR(__xludf.DUMMYFUNCTION("""COMPUTED_VALUE"""),3.25)</f>
        <v>3.25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>
        <f>IFERROR(__xludf.DUMMYFUNCTION("""COMPUTED_VALUE"""),0.5)</f>
        <v>0.5</v>
      </c>
      <c r="U1613" s="3">
        <f>IFERROR(__xludf.DUMMYFUNCTION("""COMPUTED_VALUE"""),0.5)</f>
        <v>0.5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IFERROR(__xludf.DUMMYFUNCTION("""COMPUTED_VALUE"""),1.0)</f>
        <v>1</v>
      </c>
      <c r="T1614" s="1">
        <f>IFERROR(__xludf.DUMMYFUNCTION("""COMPUTED_VALUE"""),5.75)</f>
        <v>5.75</v>
      </c>
      <c r="U1614" s="3">
        <f>IFERROR(__xludf.DUMMYFUNCTION("""COMPUTED_VALUE"""),6.75)</f>
        <v>6.75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IFERROR(__xludf.DUMMYFUNCTION("""COMPUTED_VALUE"""),14.25)</f>
        <v>14.25</v>
      </c>
      <c r="T1615" s="1">
        <f>IFERROR(__xludf.DUMMYFUNCTION("""COMPUTED_VALUE"""),1.75)</f>
        <v>1.75</v>
      </c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IFERROR(__xludf.DUMMYFUNCTION("""COMPUTED_VALUE"""),14.67)</f>
        <v>14.67</v>
      </c>
      <c r="U1616" s="3">
        <f>IFERROR(__xludf.DUMMYFUNCTION("""COMPUTED_VALUE"""),16.17)</f>
        <v>16.17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/>
      <c r="T1617" s="1">
        <f>IFERROR(__xludf.DUMMYFUNCTION("""COMPUTED_VALUE"""),2.75)</f>
        <v>2.75</v>
      </c>
      <c r="U1617" s="3">
        <f>IFERROR(__xludf.DUMMYFUNCTION("""COMPUTED_VALUE"""),2.75)</f>
        <v>2.75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>
        <f>IFERROR(__xludf.DUMMYFUNCTION("""COMPUTED_VALUE"""),1.75)</f>
        <v>1.75</v>
      </c>
      <c r="U1618" s="3">
        <f>IFERROR(__xludf.DUMMYFUNCTION("""COMPUTED_VALUE"""),1.75)</f>
        <v>1.75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IFERROR(__xludf.DUMMYFUNCTION("""COMPUTED_VALUE"""),"Xandy Azarcon")</f>
        <v>Xandy Azarcon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IFERROR(__xludf.DUMMYFUNCTION("""COMPUTED_VALUE"""),1.5)</f>
        <v>1.5</v>
      </c>
      <c r="U1619" s="3">
        <f>IFERROR(__xludf.DUMMYFUNCTION("""COMPUTED_VALUE"""),1.5)</f>
        <v>1.5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IFERROR(__xludf.DUMMYFUNCTION("""COMPUTED_VALUE"""),"Vinz Lazaro")</f>
        <v>Vinz Lazaro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IFERROR(__xludf.DUMMYFUNCTION("""COMPUTED_VALUE"""),42.67)</f>
        <v>42.67</v>
      </c>
      <c r="U1620" s="3">
        <f>IFERROR(__xludf.DUMMYFUNCTION("""COMPUTED_VALUE"""),42.67)</f>
        <v>42.67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IFERROR(__xludf.DUMMYFUNCTION("""COMPUTED_VALUE"""),2.75)</f>
        <v>2.75</v>
      </c>
      <c r="U1621" s="3">
        <f>IFERROR(__xludf.DUMMYFUNCTION("""COMPUTED_VALUE"""),2.75)</f>
        <v>2.75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IFERROR(__xludf.DUMMYFUNCTION("""COMPUTED_VALUE"""),0.5)</f>
        <v>0.5</v>
      </c>
      <c r="T1622" s="1">
        <f>IFERROR(__xludf.DUMMYFUNCTION("""COMPUTED_VALUE"""),1.0)</f>
        <v>1</v>
      </c>
      <c r="U1622" s="3">
        <f>IFERROR(__xludf.DUMMYFUNCTION("""COMPUTED_VALUE"""),1.5)</f>
        <v>1.5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IFERROR(__xludf.DUMMYFUNCTION("""COMPUTED_VALUE"""),1.0)</f>
        <v>1</v>
      </c>
      <c r="T1623" s="1">
        <f>IFERROR(__xludf.DUMMYFUNCTION("""COMPUTED_VALUE"""),1.75)</f>
        <v>1.75</v>
      </c>
      <c r="U1623" s="3">
        <f>IFERROR(__xludf.DUMMYFUNCTION("""COMPUTED_VALUE"""),2.75)</f>
        <v>2.75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IFERROR(__xludf.DUMMYFUNCTION("""COMPUTED_VALUE"""),11.0)</f>
        <v>11</v>
      </c>
      <c r="U1624" s="3">
        <f>IFERROR(__xludf.DUMMYFUNCTION("""COMPUTED_VALUE"""),13.0)</f>
        <v>13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IFERROR(__xludf.DUMMYFUNCTION("""COMPUTED_VALUE"""),"High Sensitivity Support")</f>
        <v>High Sensitivity Support</v>
      </c>
      <c r="Q1625" s="1" t="str">
        <f>IFERROR(__xludf.DUMMYFUNCTION("""COMPUTED_VALUE"""),"paulwilbert@canva.com")</f>
        <v>paulwilbert@canva.com</v>
      </c>
      <c r="R1625" s="1" t="str">
        <f>IFERROR(__xludf.DUMMYFUNCTION("""COMPUTED_VALUE"""),"Paul Domingo")</f>
        <v>Paul Domingo</v>
      </c>
      <c r="S1625" s="1"/>
      <c r="T1625" s="1"/>
      <c r="U1625" s="3">
        <f>IFERROR(__xludf.DUMMYFUNCTION("""COMPUTED_VALUE"""),0.0)</f>
        <v>0</v>
      </c>
      <c r="V1625" s="1" t="str">
        <f>IFERROR(__xludf.DUMMYFUNCTION("""COMPUTED_VALUE"""),"Xandy Azarcon")</f>
        <v>Xandy Azarcon</v>
      </c>
      <c r="W1625" s="1" t="str">
        <f>IFERROR(__xludf.DUMMYFUNCTION("""COMPUTED_VALUE"""),"#N/A")</f>
        <v>#N/A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IFERROR(__xludf.DUMMYFUNCTION("""COMPUTED_VALUE"""),"paulv@canva.com")</f>
        <v>paulv@canva.com</v>
      </c>
      <c r="R1626" s="1" t="str">
        <f>IFERROR(__xludf.DUMMYFUNCTION("""COMPUTED_VALUE"""),"Paul Verdad")</f>
        <v>Paul Verdad</v>
      </c>
      <c r="S1626" s="1">
        <f>IFERROR(__xludf.DUMMYFUNCTION("""COMPUTED_VALUE"""),0.5)</f>
        <v>0.5</v>
      </c>
      <c r="T1626" s="1">
        <f>IFERROR(__xludf.DUMMYFUNCTION("""COMPUTED_VALUE"""),1.75)</f>
        <v>1.75</v>
      </c>
      <c r="U1626" s="3">
        <f>IFERROR(__xludf.DUMMYFUNCTION("""COMPUTED_VALUE"""),2.25)</f>
        <v>2.25</v>
      </c>
      <c r="V1626" s="1" t="str">
        <f>IFERROR(__xludf.DUMMYFUNCTION("""COMPUTED_VALUE"""),"Vinz Lazaro")</f>
        <v>Vinz Lazaro</v>
      </c>
      <c r="W1626" s="1" t="str">
        <f>IFERROR(__xludf.DUMMYFUNCTION("""COMPUTED_VALUE"""),"Advanced Product Support")</f>
        <v>Advanced Product Support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IFERROR(__xludf.DUMMYFUNCTION("""COMPUTED_VALUE"""),"Core Product Support")</f>
        <v>Core Product Support</v>
      </c>
      <c r="Q1627" s="1" t="str">
        <f>IFERROR(__xludf.DUMMYFUNCTION("""COMPUTED_VALUE"""),"paul.y@canva.com")</f>
        <v>paul.y@canva.com</v>
      </c>
      <c r="R1627" s="1" t="str">
        <f>IFERROR(__xludf.DUMMYFUNCTION("""COMPUTED_VALUE"""),"Paul Yang")</f>
        <v>Paul Yang</v>
      </c>
      <c r="S1627" s="1">
        <f>IFERROR(__xludf.DUMMYFUNCTION("""COMPUTED_VALUE"""),1.5)</f>
        <v>1.5</v>
      </c>
      <c r="T1627" s="1">
        <f>IFERROR(__xludf.DUMMYFUNCTION("""COMPUTED_VALUE"""),9.75)</f>
        <v>9.75</v>
      </c>
      <c r="U1627" s="3">
        <f>IFERROR(__xludf.DUMMYFUNCTION("""COMPUTED_VALUE"""),11.25)</f>
        <v>11.25</v>
      </c>
      <c r="V1627" s="1" t="str">
        <f>IFERROR(__xludf.DUMMYFUNCTION("""COMPUTED_VALUE"""),"Ellaine Estayo")</f>
        <v>Ellaine Estayo</v>
      </c>
      <c r="W1627" s="1" t="str">
        <f>IFERROR(__xludf.DUMMYFUNCTION("""COMPUTED_VALUE"""),"Core Product Support Escalation Team")</f>
        <v>Core Product Support Escalation Team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IFERROR(__xludf.DUMMYFUNCTION("""COMPUTED_VALUE"""),"High Sensitivity Support")</f>
        <v>High Sensitivity Support</v>
      </c>
      <c r="Q1628" s="1" t="str">
        <f>IFERROR(__xludf.DUMMYFUNCTION("""COMPUTED_VALUE"""),"phillipronquillo@canva.com")</f>
        <v>phillipronquillo@canva.com</v>
      </c>
      <c r="R1628" s="1" t="str">
        <f>IFERROR(__xludf.DUMMYFUNCTION("""COMPUTED_VALUE"""),"Phil Ronquillo")</f>
        <v>Phil Ronquillo</v>
      </c>
      <c r="S1628" s="1">
        <f>IFERROR(__xludf.DUMMYFUNCTION("""COMPUTED_VALUE"""),8.48)</f>
        <v>8.48</v>
      </c>
      <c r="T1628" s="1">
        <f>IFERROR(__xludf.DUMMYFUNCTION("""COMPUTED_VALUE"""),3.75)</f>
        <v>3.75</v>
      </c>
      <c r="U1628" s="3">
        <f>IFERROR(__xludf.DUMMYFUNCTION("""COMPUTED_VALUE"""),12.23)</f>
        <v>12.23</v>
      </c>
      <c r="V1628" s="1" t="str">
        <f>IFERROR(__xludf.DUMMYFUNCTION("""COMPUTED_VALUE"""),"Rossheen Pura")</f>
        <v>Rossheen Pura</v>
      </c>
      <c r="W1628" s="1" t="str">
        <f>IFERROR(__xludf.DUMMYFUNCTION("""COMPUTED_VALUE"""),"High Sensitivity Support PH")</f>
        <v>High Sensitivity Support PH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IFERROR(__xludf.DUMMYFUNCTION("""COMPUTED_VALUE"""),"pnicolepescador@canva.com")</f>
        <v>pnicolepescador@canva.com</v>
      </c>
      <c r="R1629" s="1" t="str">
        <f>IFERROR(__xludf.DUMMYFUNCTION("""COMPUTED_VALUE"""),"Precious Pescador")</f>
        <v>Precious Pescador</v>
      </c>
      <c r="S1629" s="1"/>
      <c r="T1629" s="1">
        <f>IFERROR(__xludf.DUMMYFUNCTION("""COMPUTED_VALUE"""),2.0)</f>
        <v>2</v>
      </c>
      <c r="U1629" s="3">
        <f>IFERROR(__xludf.DUMMYFUNCTION("""COMPUTED_VALUE"""),2.0)</f>
        <v>2</v>
      </c>
      <c r="V1629" s="1" t="str">
        <f>IFERROR(__xludf.DUMMYFUNCTION("""COMPUTED_VALUE"""),"Ayza Marie Pascual")</f>
        <v>Ayza Marie Pascual</v>
      </c>
      <c r="W1629" s="1" t="str">
        <f>IFERROR(__xludf.DUMMYFUNCTION("""COMPUTED_VALUE"""),"Advanced Billing &amp; Subscriptions")</f>
        <v>Advanced Billing &amp; Subscriptions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IFERROR(__xludf.DUMMYFUNCTION("""COMPUTED_VALUE"""),"rachellynanne@canva.com")</f>
        <v>rachellynanne@canva.com</v>
      </c>
      <c r="R1630" s="1" t="str">
        <f>IFERROR(__xludf.DUMMYFUNCTION("""COMPUTED_VALUE"""),"Rachellyn Medina")</f>
        <v>Rachellyn Medina</v>
      </c>
      <c r="S1630" s="1">
        <f>IFERROR(__xludf.DUMMYFUNCTION("""COMPUTED_VALUE"""),0.5)</f>
        <v>0.5</v>
      </c>
      <c r="T1630" s="1">
        <f>IFERROR(__xludf.DUMMYFUNCTION("""COMPUTED_VALUE"""),2.33)</f>
        <v>2.33</v>
      </c>
      <c r="U1630" s="3">
        <f>IFERROR(__xludf.DUMMYFUNCTION("""COMPUTED_VALUE"""),2.83)</f>
        <v>2.83</v>
      </c>
      <c r="V1630" s="1" t="str">
        <f>IFERROR(__xludf.DUMMYFUNCTION("""COMPUTED_VALUE"""),"Jem Mondoñedo")</f>
        <v>Jem Mondoñedo</v>
      </c>
      <c r="W1630" s="1" t="str">
        <f>IFERROR(__xludf.DUMMYFUNCTION("""COMPUTED_VALUE"""),"Advanced Chat Support")</f>
        <v>Advanced Chat Support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IFERROR(__xludf.DUMMYFUNCTION("""COMPUTED_VALUE"""),"Core Product Support")</f>
        <v>Core Product Support</v>
      </c>
      <c r="Q1631" s="1" t="str">
        <f>IFERROR(__xludf.DUMMYFUNCTION("""COMPUTED_VALUE"""),"alfredomillares@canva.com")</f>
        <v>alfredomillares@canva.com</v>
      </c>
      <c r="R1631" s="1" t="str">
        <f>IFERROR(__xludf.DUMMYFUNCTION("""COMPUTED_VALUE"""),"Rael Millares")</f>
        <v>Rael Millares</v>
      </c>
      <c r="S1631" s="1">
        <f>IFERROR(__xludf.DUMMYFUNCTION("""COMPUTED_VALUE"""),0.5)</f>
        <v>0.5</v>
      </c>
      <c r="T1631" s="1">
        <f>IFERROR(__xludf.DUMMYFUNCTION("""COMPUTED_VALUE"""),2.75)</f>
        <v>2.75</v>
      </c>
      <c r="U1631" s="3">
        <f>IFERROR(__xludf.DUMMYFUNCTION("""COMPUTED_VALUE"""),3.25)</f>
        <v>3.25</v>
      </c>
      <c r="V1631" s="1" t="str">
        <f>IFERROR(__xludf.DUMMYFUNCTION("""COMPUTED_VALUE"""),"Jahmie Mae Barrameda")</f>
        <v>Jahmie Mae Barrameda</v>
      </c>
      <c r="W1631" s="1" t="str">
        <f>IFERROR(__xludf.DUMMYFUNCTION("""COMPUTED_VALUE"""),"Advanced Billing &amp; Subscriptions")</f>
        <v>Advanced Billing &amp; Subscriptions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IFERROR(__xludf.DUMMYFUNCTION("""COMPUTED_VALUE"""),"Karla Mananghaya")</f>
        <v>Karla Mananghaya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IFERROR(__xludf.DUMMYFUNCTION("""COMPUTED_VALUE"""),"Multilingual Support")</f>
        <v>Multilingual Support</v>
      </c>
      <c r="Q1632" s="1" t="str">
        <f>IFERROR(__xludf.DUMMYFUNCTION("""COMPUTED_VALUE"""),"ranufre@canva.com")</f>
        <v>ranufre@canva.com</v>
      </c>
      <c r="R1632" s="1" t="str">
        <f>IFERROR(__xludf.DUMMYFUNCTION("""COMPUTED_VALUE"""),"Rafa Freitas")</f>
        <v>Rafa Freitas</v>
      </c>
      <c r="S1632" s="1"/>
      <c r="T1632" s="1">
        <f>IFERROR(__xludf.DUMMYFUNCTION("""COMPUTED_VALUE"""),1.75)</f>
        <v>1.75</v>
      </c>
      <c r="U1632" s="3">
        <f>IFERROR(__xludf.DUMMYFUNCTION("""COMPUTED_VALUE"""),1.75)</f>
        <v>1.75</v>
      </c>
      <c r="V1632" s="1" t="str">
        <f>IFERROR(__xludf.DUMMYFUNCTION("""COMPUTED_VALUE"""),"Arlene Maurillo")</f>
        <v>Arlene Maurillo</v>
      </c>
      <c r="W1632" s="1" t="str">
        <f>IFERROR(__xludf.DUMMYFUNCTION("""COMPUTED_VALUE"""),"PHL, Multilingual Support")</f>
        <v>PHL, Multilingual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IFERROR(__xludf.DUMMYFUNCTION("""COMPUTED_VALUE"""),"rafaticzon@canva.com")</f>
        <v>rafaticzon@canva.com</v>
      </c>
      <c r="R1633" s="1" t="str">
        <f>IFERROR(__xludf.DUMMYFUNCTION("""COMPUTED_VALUE"""),"Rafa Ticzon")</f>
        <v>Rafa Ticzon</v>
      </c>
      <c r="S1633" s="1"/>
      <c r="T1633" s="1">
        <f>IFERROR(__xludf.DUMMYFUNCTION("""COMPUTED_VALUE"""),1.75)</f>
        <v>1.75</v>
      </c>
      <c r="U1633" s="3">
        <f>IFERROR(__xludf.DUMMYFUNCTION("""COMPUTED_VALUE"""),1.75)</f>
        <v>1.75</v>
      </c>
      <c r="V1633" s="1" t="str">
        <f>IFERROR(__xludf.DUMMYFUNCTION("""COMPUTED_VALUE"""),"Mikhaela Decangchon")</f>
        <v>Mikhaela Decangchon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IFERROR(__xludf.DUMMYFUNCTION("""COMPUTED_VALUE"""),"candace@canva.com")</f>
        <v>candace@canva.com</v>
      </c>
      <c r="R1634" s="1" t="str">
        <f>IFERROR(__xludf.DUMMYFUNCTION("""COMPUTED_VALUE"""),"Rainne Candace Llagas")</f>
        <v>Rainne Candace Llagas</v>
      </c>
      <c r="S1634" s="1">
        <f>IFERROR(__xludf.DUMMYFUNCTION("""COMPUTED_VALUE"""),0.5)</f>
        <v>0.5</v>
      </c>
      <c r="T1634" s="1">
        <f>IFERROR(__xludf.DUMMYFUNCTION("""COMPUTED_VALUE"""),3.0)</f>
        <v>3</v>
      </c>
      <c r="U1634" s="3">
        <f>IFERROR(__xludf.DUMMYFUNCTION("""COMPUTED_VALUE"""),3.5)</f>
        <v>3.5</v>
      </c>
      <c r="V1634" s="1" t="str">
        <f>IFERROR(__xludf.DUMMYFUNCTION("""COMPUTED_VALUE"""),"Belle Bentazal")</f>
        <v>Belle Bentazal</v>
      </c>
      <c r="W1634" s="1" t="str">
        <f>IFERROR(__xludf.DUMMYFUNCTION("""COMPUTED_VALUE"""),"Advanced Product Support")</f>
        <v>Advanced Product Support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IFERROR(__xludf.DUMMYFUNCTION("""COMPUTED_VALUE"""),"rmercado@canva.com")</f>
        <v>rmercado@canva.com</v>
      </c>
      <c r="R1635" s="1" t="str">
        <f>IFERROR(__xludf.DUMMYFUNCTION("""COMPUTED_VALUE"""),"Ram Mercado")</f>
        <v>Ram Mercado</v>
      </c>
      <c r="S1635" s="1">
        <f>IFERROR(__xludf.DUMMYFUNCTION("""COMPUTED_VALUE"""),0.5)</f>
        <v>0.5</v>
      </c>
      <c r="T1635" s="1">
        <f>IFERROR(__xludf.DUMMYFUNCTION("""COMPUTED_VALUE"""),8.25)</f>
        <v>8.25</v>
      </c>
      <c r="U1635" s="3">
        <f>IFERROR(__xludf.DUMMYFUNCTION("""COMPUTED_VALUE"""),8.75)</f>
        <v>8.75</v>
      </c>
      <c r="V1635" s="1" t="str">
        <f>IFERROR(__xludf.DUMMYFUNCTION("""COMPUTED_VALUE"""),"Bem Launte")</f>
        <v>Bem Launte</v>
      </c>
      <c r="W1635" s="1" t="str">
        <f>IFERROR(__xludf.DUMMYFUNCTION("""COMPUTED_VALUE"""),"Core Product Support Escalation Team")</f>
        <v>Core Product Support Escalation Team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IFERROR(__xludf.DUMMYFUNCTION("""COMPUTED_VALUE"""),"Core Product Support")</f>
        <v>Core Product Support</v>
      </c>
      <c r="Q1636" s="1" t="str">
        <f>IFERROR(__xludf.DUMMYFUNCTION("""COMPUTED_VALUE"""),"razelleroe@canva.com")</f>
        <v>razelleroe@canva.com</v>
      </c>
      <c r="R1636" s="1" t="str">
        <f>IFERROR(__xludf.DUMMYFUNCTION("""COMPUTED_VALUE"""),"Razelle Roe Garaza")</f>
        <v>Razelle Roe Garaza</v>
      </c>
      <c r="S1636" s="1">
        <f>IFERROR(__xludf.DUMMYFUNCTION("""COMPUTED_VALUE"""),1.0)</f>
        <v>1</v>
      </c>
      <c r="T1636" s="1">
        <f>IFERROR(__xludf.DUMMYFUNCTION("""COMPUTED_VALUE"""),2.25)</f>
        <v>2.25</v>
      </c>
      <c r="U1636" s="3">
        <f>IFERROR(__xludf.DUMMYFUNCTION("""COMPUTED_VALUE"""),3.25)</f>
        <v>3.25</v>
      </c>
      <c r="V1636" s="1" t="str">
        <f>IFERROR(__xludf.DUMMYFUNCTION("""COMPUTED_VALUE"""),"Ana Lazaro")</f>
        <v>Ana Lazaro</v>
      </c>
      <c r="W1636" s="1" t="str">
        <f>IFERROR(__xludf.DUMMYFUNCTION("""COMPUTED_VALUE"""),"Advanced Billing &amp; Subscriptions")</f>
        <v>Advanced Billing &amp; Subscriptions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IFERROR(__xludf.DUMMYFUNCTION("""COMPUTED_VALUE"""),"rdolores@canva.com")</f>
        <v>rdolores@canva.com</v>
      </c>
      <c r="R1637" s="1" t="str">
        <f>IFERROR(__xludf.DUMMYFUNCTION("""COMPUTED_VALUE"""),"Rea Alexis Dolores")</f>
        <v>Rea Alexis Dolores</v>
      </c>
      <c r="S1637" s="1"/>
      <c r="T1637" s="1">
        <f>IFERROR(__xludf.DUMMYFUNCTION("""COMPUTED_VALUE"""),3.92)</f>
        <v>3.92</v>
      </c>
      <c r="U1637" s="3">
        <f>IFERROR(__xludf.DUMMYFUNCTION("""COMPUTED_VALUE"""),3.92)</f>
        <v>3.92</v>
      </c>
      <c r="V1637" s="1" t="str">
        <f>IFERROR(__xludf.DUMMYFUNCTION("""COMPUTED_VALUE"""),"Karla Mananghaya")</f>
        <v>Karla Mananghaya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IFERROR(__xludf.DUMMYFUNCTION("""COMPUTED_VALUE"""),"red@canva.com")</f>
        <v>red@canva.com</v>
      </c>
      <c r="R1638" s="1" t="str">
        <f>IFERROR(__xludf.DUMMYFUNCTION("""COMPUTED_VALUE"""),"Red Dela Rosa")</f>
        <v>Red Dela Rosa</v>
      </c>
      <c r="S1638" s="1"/>
      <c r="T1638" s="1">
        <f>IFERROR(__xludf.DUMMYFUNCTION("""COMPUTED_VALUE"""),0.75)</f>
        <v>0.75</v>
      </c>
      <c r="U1638" s="3">
        <f>IFERROR(__xludf.DUMMYFUNCTION("""COMPUTED_VALUE"""),0.75)</f>
        <v>0.75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IFERROR(__xludf.DUMMYFUNCTION("""COMPUTED_VALUE"""),"Admin Support")</f>
        <v>Admin Support</v>
      </c>
      <c r="Q1639" s="1" t="str">
        <f>IFERROR(__xludf.DUMMYFUNCTION("""COMPUTED_VALUE"""),"regie@canva.com")</f>
        <v>regie@canva.com</v>
      </c>
      <c r="R1639" s="1" t="str">
        <f>IFERROR(__xludf.DUMMYFUNCTION("""COMPUTED_VALUE"""),"Regie Yambot")</f>
        <v>Regie Yambot</v>
      </c>
      <c r="S1639" s="1"/>
      <c r="T1639" s="1">
        <f>IFERROR(__xludf.DUMMYFUNCTION("""COMPUTED_VALUE"""),8.75)</f>
        <v>8.75</v>
      </c>
      <c r="U1639" s="3">
        <f>IFERROR(__xludf.DUMMYFUNCTION("""COMPUTED_VALUE"""),8.75)</f>
        <v>8.75</v>
      </c>
      <c r="V1639" s="1" t="str">
        <f>IFERROR(__xludf.DUMMYFUNCTION("""COMPUTED_VALUE"""),"Rose Gabilan")</f>
        <v>Rose Gabilan</v>
      </c>
      <c r="W1639" s="1" t="str">
        <f>IFERROR(__xludf.DUMMYFUNCTION("""COMPUTED_VALUE"""),"Admin Support PH SSO")</f>
        <v>Admin Support PH SSO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IFERROR(__xludf.DUMMYFUNCTION("""COMPUTED_VALUE"""),"rej@canva.com")</f>
        <v>rej@canva.com</v>
      </c>
      <c r="R1640" s="1" t="str">
        <f>IFERROR(__xludf.DUMMYFUNCTION("""COMPUTED_VALUE"""),"Rej Benipayo")</f>
        <v>Rej Benipayo</v>
      </c>
      <c r="S1640" s="1">
        <f>IFERROR(__xludf.DUMMYFUNCTION("""COMPUTED_VALUE"""),0.5)</f>
        <v>0.5</v>
      </c>
      <c r="T1640" s="1">
        <f>IFERROR(__xludf.DUMMYFUNCTION("""COMPUTED_VALUE"""),3.58)</f>
        <v>3.58</v>
      </c>
      <c r="U1640" s="3">
        <f>IFERROR(__xludf.DUMMYFUNCTION("""COMPUTED_VALUE"""),4.08)</f>
        <v>4.08</v>
      </c>
      <c r="V1640" s="1" t="str">
        <f>IFERROR(__xludf.DUMMYFUNCTION("""COMPUTED_VALUE"""),"Renette Bok")</f>
        <v>Renette Bok</v>
      </c>
      <c r="W1640" s="1" t="str">
        <f>IFERROR(__xludf.DUMMYFUNCTION("""COMPUTED_VALUE"""),"Advanced Billing &amp; Subscriptions")</f>
        <v>Advanced Billing &amp; Subscriptions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IFERROR(__xludf.DUMMYFUNCTION("""COMPUTED_VALUE"""),"Core Product Support")</f>
        <v>Core Product Support</v>
      </c>
      <c r="Q1641" s="1" t="str">
        <f>IFERROR(__xludf.DUMMYFUNCTION("""COMPUTED_VALUE"""),"revisuarez@canva.com")</f>
        <v>revisuarez@canva.com</v>
      </c>
      <c r="R1641" s="1" t="str">
        <f>IFERROR(__xludf.DUMMYFUNCTION("""COMPUTED_VALUE"""),"Revi Suarez")</f>
        <v>Revi Suarez</v>
      </c>
      <c r="S1641" s="1">
        <f>IFERROR(__xludf.DUMMYFUNCTION("""COMPUTED_VALUE"""),1.0)</f>
        <v>1</v>
      </c>
      <c r="T1641" s="1">
        <f>IFERROR(__xludf.DUMMYFUNCTION("""COMPUTED_VALUE"""),12.0)</f>
        <v>12</v>
      </c>
      <c r="U1641" s="3">
        <f>IFERROR(__xludf.DUMMYFUNCTION("""COMPUTED_VALUE"""),13.0)</f>
        <v>13</v>
      </c>
      <c r="V1641" s="1" t="str">
        <f>IFERROR(__xludf.DUMMYFUNCTION("""COMPUTED_VALUE"""),"Bem Launte")</f>
        <v>Bem Launte</v>
      </c>
      <c r="W1641" s="1" t="str">
        <f>IFERROR(__xludf.DUMMYFUNCTION("""COMPUTED_VALUE"""),"Core Product Support Escalation Team")</f>
        <v>Core Product Support Escalation Team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IFERROR(__xludf.DUMMYFUNCTION("""COMPUTED_VALUE"""),"High Sensitivity Support")</f>
        <v>High Sensitivity Support</v>
      </c>
      <c r="Q1642" s="1" t="str">
        <f>IFERROR(__xludf.DUMMYFUNCTION("""COMPUTED_VALUE"""),"reya@canva.com")</f>
        <v>reya@canva.com</v>
      </c>
      <c r="R1642" s="1" t="str">
        <f>IFERROR(__xludf.DUMMYFUNCTION("""COMPUTED_VALUE"""),"Reya Joson")</f>
        <v>Reya Joson</v>
      </c>
      <c r="S1642" s="1"/>
      <c r="T1642" s="1">
        <f>IFERROR(__xludf.DUMMYFUNCTION("""COMPUTED_VALUE"""),5.95)</f>
        <v>5.95</v>
      </c>
      <c r="U1642" s="3">
        <f>IFERROR(__xludf.DUMMYFUNCTION("""COMPUTED_VALUE"""),5.95)</f>
        <v>5.95</v>
      </c>
      <c r="V1642" s="1" t="str">
        <f>IFERROR(__xludf.DUMMYFUNCTION("""COMPUTED_VALUE"""),"Issi Afable")</f>
        <v>Issi Afable</v>
      </c>
      <c r="W1642" s="1" t="str">
        <f>IFERROR(__xludf.DUMMYFUNCTION("""COMPUTED_VALUE"""),"High Sensitivity Support PH")</f>
        <v>High Sensitivity Support PH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IFERROR(__xludf.DUMMYFUNCTION("""COMPUTED_VALUE"""),"Segment-specific Support")</f>
        <v>Segment-specific Support</v>
      </c>
      <c r="Q1643" s="1" t="str">
        <f>IFERROR(__xludf.DUMMYFUNCTION("""COMPUTED_VALUE"""),"rizzah@canva.com")</f>
        <v>rizzah@canva.com</v>
      </c>
      <c r="R1643" s="1" t="str">
        <f>IFERROR(__xludf.DUMMYFUNCTION("""COMPUTED_VALUE"""),"Rizzah Hope Anjao")</f>
        <v>Rizzah Hope Anjao</v>
      </c>
      <c r="S1643" s="1">
        <f>IFERROR(__xludf.DUMMYFUNCTION("""COMPUTED_VALUE"""),1.0)</f>
        <v>1</v>
      </c>
      <c r="T1643" s="1">
        <f>IFERROR(__xludf.DUMMYFUNCTION("""COMPUTED_VALUE"""),0.75)</f>
        <v>0.75</v>
      </c>
      <c r="U1643" s="3">
        <f>IFERROR(__xludf.DUMMYFUNCTION("""COMPUTED_VALUE"""),1.75)</f>
        <v>1.75</v>
      </c>
      <c r="V1643" s="1" t="str">
        <f>IFERROR(__xludf.DUMMYFUNCTION("""COMPUTED_VALUE"""),"Tash Kelly")</f>
        <v>Tash Kelly</v>
      </c>
      <c r="W1643" s="1" t="str">
        <f>IFERROR(__xludf.DUMMYFUNCTION("""COMPUTED_VALUE"""),"Affinity Support")</f>
        <v>Affinity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IFERROR(__xludf.DUMMYFUNCTION("""COMPUTED_VALUE"""),"Print Support")</f>
        <v>Print Support</v>
      </c>
      <c r="Q1644" s="1" t="str">
        <f>IFERROR(__xludf.DUMMYFUNCTION("""COMPUTED_VALUE"""),"robsuico@canva.com")</f>
        <v>robsuico@canva.com</v>
      </c>
      <c r="R1644" s="1" t="str">
        <f>IFERROR(__xludf.DUMMYFUNCTION("""COMPUTED_VALUE"""),"Robin Suico")</f>
        <v>Robin Suico</v>
      </c>
      <c r="S1644" s="1"/>
      <c r="T1644" s="1">
        <f>IFERROR(__xludf.DUMMYFUNCTION("""COMPUTED_VALUE"""),2.75)</f>
        <v>2.75</v>
      </c>
      <c r="U1644" s="3">
        <f>IFERROR(__xludf.DUMMYFUNCTION("""COMPUTED_VALUE"""),2.75)</f>
        <v>2.75</v>
      </c>
      <c r="V1644" s="1" t="str">
        <f>IFERROR(__xludf.DUMMYFUNCTION("""COMPUTED_VALUE"""),"Aliza Dote")</f>
        <v>Aliza Dote</v>
      </c>
      <c r="W1644" s="1" t="str">
        <f>IFERROR(__xludf.DUMMYFUNCTION("""COMPUTED_VALUE"""),"Print Design Support")</f>
        <v>Print Design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IFERROR(__xludf.DUMMYFUNCTION("""COMPUTED_VALUE"""),"ronally@canva.com")</f>
        <v>ronally@canva.com</v>
      </c>
      <c r="R1645" s="1" t="str">
        <f>IFERROR(__xludf.DUMMYFUNCTION("""COMPUTED_VALUE"""),"Ronally Romero")</f>
        <v>Ronally Romero</v>
      </c>
      <c r="S1645" s="1">
        <f>IFERROR(__xludf.DUMMYFUNCTION("""COMPUTED_VALUE"""),0.5)</f>
        <v>0.5</v>
      </c>
      <c r="T1645" s="1">
        <f>IFERROR(__xludf.DUMMYFUNCTION("""COMPUTED_VALUE"""),1.92)</f>
        <v>1.92</v>
      </c>
      <c r="U1645" s="3">
        <f>IFERROR(__xludf.DUMMYFUNCTION("""COMPUTED_VALUE"""),2.42)</f>
        <v>2.42</v>
      </c>
      <c r="V1645" s="1" t="str">
        <f>IFERROR(__xludf.DUMMYFUNCTION("""COMPUTED_VALUE"""),"Cate Velasco")</f>
        <v>Cate Velasco</v>
      </c>
      <c r="W1645" s="1" t="str">
        <f>IFERROR(__xludf.DUMMYFUNCTION("""COMPUTED_VALUE"""),"Advanced Product Support")</f>
        <v>Advanced Product Support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IFERROR(__xludf.DUMMYFUNCTION("""COMPUTED_VALUE"""),"rvalderrama@canva.com")</f>
        <v>rvalderrama@canva.com</v>
      </c>
      <c r="R1646" s="1" t="str">
        <f>IFERROR(__xludf.DUMMYFUNCTION("""COMPUTED_VALUE"""),"Rony Valderrama")</f>
        <v>Rony Valderrama</v>
      </c>
      <c r="S1646" s="1"/>
      <c r="T1646" s="1">
        <f>IFERROR(__xludf.DUMMYFUNCTION("""COMPUTED_VALUE"""),4.25)</f>
        <v>4.25</v>
      </c>
      <c r="U1646" s="3">
        <f>IFERROR(__xludf.DUMMYFUNCTION("""COMPUTED_VALUE"""),4.25)</f>
        <v>4.25</v>
      </c>
      <c r="V1646" s="1" t="str">
        <f>IFERROR(__xludf.DUMMYFUNCTION("""COMPUTED_VALUE"""),"Renette Bok")</f>
        <v>Renette Bok</v>
      </c>
      <c r="W1646" s="1" t="str">
        <f>IFERROR(__xludf.DUMMYFUNCTION("""COMPUTED_VALUE"""),"Advanced Billing &amp; Subscriptions")</f>
        <v>Advanced Billing &amp; Subscriptions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IFERROR(__xludf.DUMMYFUNCTION("""COMPUTED_VALUE"""),"ronyl@canva.com")</f>
        <v>ronyl@canva.com</v>
      </c>
      <c r="R1647" s="1" t="str">
        <f>IFERROR(__xludf.DUMMYFUNCTION("""COMPUTED_VALUE"""),"Ronyl Masilang")</f>
        <v>Ronyl Masilang</v>
      </c>
      <c r="S1647" s="1">
        <f>IFERROR(__xludf.DUMMYFUNCTION("""COMPUTED_VALUE"""),1.0)</f>
        <v>1</v>
      </c>
      <c r="T1647" s="1">
        <f>IFERROR(__xludf.DUMMYFUNCTION("""COMPUTED_VALUE"""),1.58)</f>
        <v>1.58</v>
      </c>
      <c r="U1647" s="3">
        <f>IFERROR(__xludf.DUMMYFUNCTION("""COMPUTED_VALUE"""),2.58)</f>
        <v>2.58</v>
      </c>
      <c r="V1647" s="1" t="str">
        <f>IFERROR(__xludf.DUMMYFUNCTION("""COMPUTED_VALUE"""),"Cate Velasco")</f>
        <v>Cate Velasco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IFERROR(__xludf.DUMMYFUNCTION("""COMPUTED_VALUE"""),"Core Product Support")</f>
        <v>Core Product Support</v>
      </c>
      <c r="Q1648" s="1" t="str">
        <f>IFERROR(__xludf.DUMMYFUNCTION("""COMPUTED_VALUE"""),"rounette@canva.com")</f>
        <v>rounette@canva.com</v>
      </c>
      <c r="R1648" s="1" t="str">
        <f>IFERROR(__xludf.DUMMYFUNCTION("""COMPUTED_VALUE"""),"Rounette Natividad")</f>
        <v>Rounette Natividad</v>
      </c>
      <c r="S1648" s="1">
        <f>IFERROR(__xludf.DUMMYFUNCTION("""COMPUTED_VALUE"""),0.5)</f>
        <v>0.5</v>
      </c>
      <c r="T1648" s="1">
        <f>IFERROR(__xludf.DUMMYFUNCTION("""COMPUTED_VALUE"""),3.5)</f>
        <v>3.5</v>
      </c>
      <c r="U1648" s="3">
        <f>IFERROR(__xludf.DUMMYFUNCTION("""COMPUTED_VALUE"""),4.0)</f>
        <v>4</v>
      </c>
      <c r="V1648" s="1" t="str">
        <f>IFERROR(__xludf.DUMMYFUNCTION("""COMPUTED_VALUE"""),"Mikhaela Decangchon")</f>
        <v>Mikhaela Decangchon</v>
      </c>
      <c r="W1648" s="1" t="str">
        <f>IFERROR(__xludf.DUMMYFUNCTION("""COMPUTED_VALUE"""),"Advanced Product Support")</f>
        <v>Advanced Product Support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IFERROR(__xludf.DUMMYFUNCTION("""COMPUTED_VALUE"""),"rovie@canva.com")</f>
        <v>rovie@canva.com</v>
      </c>
      <c r="R1649" s="1" t="str">
        <f>IFERROR(__xludf.DUMMYFUNCTION("""COMPUTED_VALUE"""),"Rovie Hawang")</f>
        <v>Rovie Hawang</v>
      </c>
      <c r="S1649" s="1"/>
      <c r="T1649" s="1">
        <f>IFERROR(__xludf.DUMMYFUNCTION("""COMPUTED_VALUE"""),22.75)</f>
        <v>22.75</v>
      </c>
      <c r="U1649" s="3">
        <f>IFERROR(__xludf.DUMMYFUNCTION("""COMPUTED_VALUE"""),22.75)</f>
        <v>22.75</v>
      </c>
      <c r="V1649" s="1" t="str">
        <f>IFERROR(__xludf.DUMMYFUNCTION("""COMPUTED_VALUE"""),"Kelden Laguting")</f>
        <v>Kelden Laguting</v>
      </c>
      <c r="W1649" s="1" t="str">
        <f>IFERROR(__xludf.DUMMYFUNCTION("""COMPUTED_VALUE"""),"Admin Support PH")</f>
        <v>Admin Support PH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IFERROR(__xludf.DUMMYFUNCTION("""COMPUTED_VALUE"""),"Admin Support")</f>
        <v>Admin Support</v>
      </c>
      <c r="Q1650" s="1" t="str">
        <f>IFERROR(__xludf.DUMMYFUNCTION("""COMPUTED_VALUE"""),"roxanne@canva.com")</f>
        <v>roxanne@canva.com</v>
      </c>
      <c r="R1650" s="1" t="str">
        <f>IFERROR(__xludf.DUMMYFUNCTION("""COMPUTED_VALUE"""),"Roxanne Joy Capunayan")</f>
        <v>Roxanne Joy Capunayan</v>
      </c>
      <c r="S1650" s="1"/>
      <c r="T1650" s="1">
        <f>IFERROR(__xludf.DUMMYFUNCTION("""COMPUTED_VALUE"""),2.67)</f>
        <v>2.67</v>
      </c>
      <c r="U1650" s="3">
        <f>IFERROR(__xludf.DUMMYFUNCTION("""COMPUTED_VALUE"""),2.67)</f>
        <v>2.67</v>
      </c>
      <c r="V1650" s="1" t="str">
        <f>IFERROR(__xludf.DUMMYFUNCTION("""COMPUTED_VALUE"""),"Rose Gabilan")</f>
        <v>Rose Gabilan</v>
      </c>
      <c r="W1650" s="1" t="str">
        <f>IFERROR(__xludf.DUMMYFUNCTION("""COMPUTED_VALUE"""),"Admin Support PH SSO")</f>
        <v>Admin Support PH SSO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IFERROR(__xludf.DUMMYFUNCTION("""COMPUTED_VALUE"""),"rozelp@canva.com")</f>
        <v>rozelp@canva.com</v>
      </c>
      <c r="R1651" s="1" t="str">
        <f>IFERROR(__xludf.DUMMYFUNCTION("""COMPUTED_VALUE"""),"Rozel Punsalan")</f>
        <v>Rozel Punsalan</v>
      </c>
      <c r="S1651" s="1">
        <f>IFERROR(__xludf.DUMMYFUNCTION("""COMPUTED_VALUE"""),0.5)</f>
        <v>0.5</v>
      </c>
      <c r="T1651" s="1">
        <f>IFERROR(__xludf.DUMMYFUNCTION("""COMPUTED_VALUE"""),2.42)</f>
        <v>2.42</v>
      </c>
      <c r="U1651" s="3">
        <f>IFERROR(__xludf.DUMMYFUNCTION("""COMPUTED_VALUE"""),2.92)</f>
        <v>2.92</v>
      </c>
      <c r="V1651" s="1" t="str">
        <f>IFERROR(__xludf.DUMMYFUNCTION("""COMPUTED_VALUE"""),"Marie Mordeno")</f>
        <v>Marie Mordeno</v>
      </c>
      <c r="W1651" s="1" t="str">
        <f>IFERROR(__xludf.DUMMYFUNCTION("""COMPUTED_VALUE"""),"Advanced Billing &amp; Subscriptions")</f>
        <v>Advanced Billing &amp; Subscriptions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IFERROR(__xludf.DUMMYFUNCTION("""COMPUTED_VALUE"""),"#N/A")</f>
        <v>#N/A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IFERROR(__xludf.DUMMYFUNCTION("""COMPUTED_VALUE"""),"#N/A")</f>
        <v>#N/A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IFERROR(__xludf.DUMMYFUNCTION("""COMPUTED_VALUE"""),"Core Product Support")</f>
        <v>Core Product Support</v>
      </c>
      <c r="Q1652" s="1" t="str">
        <f>IFERROR(__xludf.DUMMYFUNCTION("""COMPUTED_VALUE"""),"ruzel@canva.com")</f>
        <v>ruzel@canva.com</v>
      </c>
      <c r="R1652" s="1" t="str">
        <f>IFERROR(__xludf.DUMMYFUNCTION("""COMPUTED_VALUE"""),"Ruzel Raqueno")</f>
        <v>Ruzel Raqueno</v>
      </c>
      <c r="S1652" s="1">
        <f>IFERROR(__xludf.DUMMYFUNCTION("""COMPUTED_VALUE"""),1.5)</f>
        <v>1.5</v>
      </c>
      <c r="T1652" s="1">
        <f>IFERROR(__xludf.DUMMYFUNCTION("""COMPUTED_VALUE"""),9.92)</f>
        <v>9.92</v>
      </c>
      <c r="U1652" s="3">
        <f>IFERROR(__xludf.DUMMYFUNCTION("""COMPUTED_VALUE"""),11.42)</f>
        <v>11.42</v>
      </c>
      <c r="V1652" s="1" t="str">
        <f>IFERROR(__xludf.DUMMYFUNCTION("""COMPUTED_VALUE"""),"Ellaine Estayo")</f>
        <v>Ellaine Estayo</v>
      </c>
      <c r="W1652" s="1" t="str">
        <f>IFERROR(__xludf.DUMMYFUNCTION("""COMPUTED_VALUE"""),"Core Product Support Escalation Team")</f>
        <v>Core Product Support Escalation Team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IFERROR(__xludf.DUMMYFUNCTION("""COMPUTED_VALUE"""),"Print Support")</f>
        <v>Print Support</v>
      </c>
      <c r="Q1653" s="1" t="str">
        <f>IFERROR(__xludf.DUMMYFUNCTION("""COMPUTED_VALUE"""),"rdominick@canva.com")</f>
        <v>rdominick@canva.com</v>
      </c>
      <c r="R1653" s="1" t="str">
        <f>IFERROR(__xludf.DUMMYFUNCTION("""COMPUTED_VALUE"""),"Ryan Dominick Razon")</f>
        <v>Ryan Dominick Razon</v>
      </c>
      <c r="S1653" s="1"/>
      <c r="T1653" s="1">
        <f>IFERROR(__xludf.DUMMYFUNCTION("""COMPUTED_VALUE"""),41.75)</f>
        <v>41.75</v>
      </c>
      <c r="U1653" s="3">
        <f>IFERROR(__xludf.DUMMYFUNCTION("""COMPUTED_VALUE"""),41.75)</f>
        <v>41.75</v>
      </c>
      <c r="V1653" s="1" t="str">
        <f>IFERROR(__xludf.DUMMYFUNCTION("""COMPUTED_VALUE"""),"Jen Momo")</f>
        <v>Jen Momo</v>
      </c>
      <c r="W1653" s="1" t="str">
        <f>IFERROR(__xludf.DUMMYFUNCTION("""COMPUTED_VALUE"""),"Print Support PH")</f>
        <v>Print Support PH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IFERROR(__xludf.DUMMYFUNCTION("""COMPUTED_VALUE"""),"Segment-specific Support")</f>
        <v>Segment-specific Support</v>
      </c>
      <c r="Q1654" s="1" t="str">
        <f>IFERROR(__xludf.DUMMYFUNCTION("""COMPUTED_VALUE"""),"sammiee@canva.com")</f>
        <v>sammiee@canva.com</v>
      </c>
      <c r="R1654" s="1" t="str">
        <f>IFERROR(__xludf.DUMMYFUNCTION("""COMPUTED_VALUE"""),"Sam Espelimbergo")</f>
        <v>Sam Espelimbergo</v>
      </c>
      <c r="S1654" s="1"/>
      <c r="T1654" s="1">
        <f>IFERROR(__xludf.DUMMYFUNCTION("""COMPUTED_VALUE"""),41.25)</f>
        <v>41.25</v>
      </c>
      <c r="U1654" s="3">
        <f>IFERROR(__xludf.DUMMYFUNCTION("""COMPUTED_VALUE"""),41.25)</f>
        <v>41.25</v>
      </c>
      <c r="V1654" s="1" t="str">
        <f>IFERROR(__xludf.DUMMYFUNCTION("""COMPUTED_VALUE"""),"Aileen Dayanghirang")</f>
        <v>Aileen Dayanghirang</v>
      </c>
      <c r="W1654" s="1" t="str">
        <f>IFERROR(__xludf.DUMMYFUNCTION("""COMPUTED_VALUE"""),"Creators Support")</f>
        <v>Creators Support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IFERROR(__xludf.DUMMYFUNCTION("""COMPUTED_VALUE"""),"Admin Support")</f>
        <v>Admin Support</v>
      </c>
      <c r="Q1655" s="1" t="str">
        <f>IFERROR(__xludf.DUMMYFUNCTION("""COMPUTED_VALUE"""),"simber@canva.com")</f>
        <v>simber@canva.com</v>
      </c>
      <c r="R1655" s="1" t="str">
        <f>IFERROR(__xludf.DUMMYFUNCTION("""COMPUTED_VALUE"""),"Sean Imber")</f>
        <v>Sean Imber</v>
      </c>
      <c r="S1655" s="1"/>
      <c r="T1655" s="1">
        <f>IFERROR(__xludf.DUMMYFUNCTION("""COMPUTED_VALUE"""),2.25)</f>
        <v>2.25</v>
      </c>
      <c r="U1655" s="3">
        <f>IFERROR(__xludf.DUMMYFUNCTION("""COMPUTED_VALUE"""),2.25)</f>
        <v>2.25</v>
      </c>
      <c r="V1655" s="1" t="str">
        <f>IFERROR(__xludf.DUMMYFUNCTION("""COMPUTED_VALUE"""),"Elise Cesario Mendes")</f>
        <v>Elise Cesario Mendes</v>
      </c>
      <c r="W1655" s="1" t="str">
        <f>IFERROR(__xludf.DUMMYFUNCTION("""COMPUTED_VALUE"""),"Admin Support APJ")</f>
        <v>Admin Support APJ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IFERROR(__xludf.DUMMYFUNCTION("""COMPUTED_VALUE"""),"#N/A")</f>
        <v>#N/A</v>
      </c>
      <c r="Q1656" s="1" t="str">
        <f>IFERROR(__xludf.DUMMYFUNCTION("""COMPUTED_VALUE"""),"selle@canva.com")</f>
        <v>selle@canva.com</v>
      </c>
      <c r="R1656" s="1" t="str">
        <f>IFERROR(__xludf.DUMMYFUNCTION("""COMPUTED_VALUE"""),"Selle Falculan")</f>
        <v>Selle Falculan</v>
      </c>
      <c r="S1656" s="1">
        <f>IFERROR(__xludf.DUMMYFUNCTION("""COMPUTED_VALUE"""),1.0)</f>
        <v>1</v>
      </c>
      <c r="T1656" s="1">
        <f>IFERROR(__xludf.DUMMYFUNCTION("""COMPUTED_VALUE"""),0.75)</f>
        <v>0.75</v>
      </c>
      <c r="U1656" s="3">
        <f>IFERROR(__xludf.DUMMYFUNCTION("""COMPUTED_VALUE"""),1.75)</f>
        <v>1.75</v>
      </c>
      <c r="V1656" s="1" t="str">
        <f>IFERROR(__xludf.DUMMYFUNCTION("""COMPUTED_VALUE"""),"#N/A")</f>
        <v>#N/A</v>
      </c>
      <c r="W1656" s="1" t="str">
        <f>IFERROR(__xludf.DUMMYFUNCTION("""COMPUTED_VALUE"""),"Affinity Support")</f>
        <v>Affinity Support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IFERROR(__xludf.DUMMYFUNCTION("""COMPUTED_VALUE"""),"High Sensitivity Support")</f>
        <v>High Sensitivity Support</v>
      </c>
      <c r="Q1657" s="1" t="str">
        <f>IFERROR(__xludf.DUMMYFUNCTION("""COMPUTED_VALUE"""),"sbaldonado@canva.com")</f>
        <v>sbaldonado@canva.com</v>
      </c>
      <c r="R1657" s="1" t="str">
        <f>IFERROR(__xludf.DUMMYFUNCTION("""COMPUTED_VALUE"""),"Sheira Nicole Baldonado")</f>
        <v>Sheira Nicole Baldonado</v>
      </c>
      <c r="S1657" s="1">
        <f>IFERROR(__xludf.DUMMYFUNCTION("""COMPUTED_VALUE"""),12.3)</f>
        <v>12.3</v>
      </c>
      <c r="T1657" s="1">
        <f>IFERROR(__xludf.DUMMYFUNCTION("""COMPUTED_VALUE"""),2.75)</f>
        <v>2.75</v>
      </c>
      <c r="U1657" s="3">
        <f>IFERROR(__xludf.DUMMYFUNCTION("""COMPUTED_VALUE"""),15.05)</f>
        <v>15.05</v>
      </c>
      <c r="V1657" s="1" t="str">
        <f>IFERROR(__xludf.DUMMYFUNCTION("""COMPUTED_VALUE"""),"Rex Villamor")</f>
        <v>Rex Villamor</v>
      </c>
      <c r="W1657" s="1" t="str">
        <f>IFERROR(__xludf.DUMMYFUNCTION("""COMPUTED_VALUE"""),"High Sensitivity Support PH")</f>
        <v>High Sensitivity Support PH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IFERROR(__xludf.DUMMYFUNCTION("""COMPUTED_VALUE"""),"Core Product Support")</f>
        <v>Core Product Support</v>
      </c>
      <c r="Q1658" s="1" t="str">
        <f>IFERROR(__xludf.DUMMYFUNCTION("""COMPUTED_VALUE"""),"sophiae@canva.com")</f>
        <v>sophiae@canva.com</v>
      </c>
      <c r="R1658" s="1" t="str">
        <f>IFERROR(__xludf.DUMMYFUNCTION("""COMPUTED_VALUE"""),"Sophia Ermac")</f>
        <v>Sophia Ermac</v>
      </c>
      <c r="S1658" s="1">
        <f>IFERROR(__xludf.DUMMYFUNCTION("""COMPUTED_VALUE"""),0.25)</f>
        <v>0.25</v>
      </c>
      <c r="T1658" s="1">
        <f>IFERROR(__xludf.DUMMYFUNCTION("""COMPUTED_VALUE"""),3.67)</f>
        <v>3.67</v>
      </c>
      <c r="U1658" s="3">
        <f>IFERROR(__xludf.DUMMYFUNCTION("""COMPUTED_VALUE"""),3.92)</f>
        <v>3.92</v>
      </c>
      <c r="V1658" s="1" t="str">
        <f>IFERROR(__xludf.DUMMYFUNCTION("""COMPUTED_VALUE"""),"Ana Lazaro")</f>
        <v>Ana Lazaro</v>
      </c>
      <c r="W1658" s="1" t="str">
        <f>IFERROR(__xludf.DUMMYFUNCTION("""COMPUTED_VALUE"""),"Advanced Billing &amp; Subscriptions")</f>
        <v>Advanced Billing &amp; Subscriptions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IFERROR(__xludf.DUMMYFUNCTION("""COMPUTED_VALUE"""),"stephanie.t@canva.com")</f>
        <v>stephanie.t@canva.com</v>
      </c>
      <c r="R1659" s="1" t="str">
        <f>IFERROR(__xludf.DUMMYFUNCTION("""COMPUTED_VALUE"""),"Stephanie Lyn Tan")</f>
        <v>Stephanie Lyn Tan</v>
      </c>
      <c r="S1659" s="1"/>
      <c r="T1659" s="1">
        <f>IFERROR(__xludf.DUMMYFUNCTION("""COMPUTED_VALUE"""),18.0)</f>
        <v>18</v>
      </c>
      <c r="U1659" s="3">
        <f>IFERROR(__xludf.DUMMYFUNCTION("""COMPUTED_VALUE"""),18.0)</f>
        <v>18</v>
      </c>
      <c r="V1659" s="1" t="str">
        <f>IFERROR(__xludf.DUMMYFUNCTION("""COMPUTED_VALUE"""),"Kelden Laguting")</f>
        <v>Kelden Laguting</v>
      </c>
      <c r="W1659" s="1" t="str">
        <f>IFERROR(__xludf.DUMMYFUNCTION("""COMPUTED_VALUE"""),"Admin Support PH")</f>
        <v>Admin Support PH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IFERROR(__xludf.DUMMYFUNCTION("""COMPUTED_VALUE"""),"Admin Support")</f>
        <v>Admin Support</v>
      </c>
      <c r="Q1660" s="1" t="str">
        <f>IFERROR(__xludf.DUMMYFUNCTION("""COMPUTED_VALUE"""),"stephen.k@canva.com")</f>
        <v>stephen.k@canva.com</v>
      </c>
      <c r="R1660" s="1" t="str">
        <f>IFERROR(__xludf.DUMMYFUNCTION("""COMPUTED_VALUE"""),"Stephen Kahanap")</f>
        <v>Stephen Kahanap</v>
      </c>
      <c r="S1660" s="1"/>
      <c r="T1660" s="1">
        <f>IFERROR(__xludf.DUMMYFUNCTION("""COMPUTED_VALUE"""),8.75)</f>
        <v>8.75</v>
      </c>
      <c r="U1660" s="3">
        <f>IFERROR(__xludf.DUMMYFUNCTION("""COMPUTED_VALUE"""),8.75)</f>
        <v>8.75</v>
      </c>
      <c r="V1660" s="1" t="str">
        <f>IFERROR(__xludf.DUMMYFUNCTION("""COMPUTED_VALUE"""),"Rose Gabilan")</f>
        <v>Rose Gabilan</v>
      </c>
      <c r="W1660" s="1" t="str">
        <f>IFERROR(__xludf.DUMMYFUNCTION("""COMPUTED_VALUE"""),"Admin Support PH SSO")</f>
        <v>Admin Support PH SSO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IFERROR(__xludf.DUMMYFUNCTION("""COMPUTED_VALUE"""),"Segment-specific Support")</f>
        <v>Segment-specific Support</v>
      </c>
      <c r="Q1661" s="1" t="str">
        <f>IFERROR(__xludf.DUMMYFUNCTION("""COMPUTED_VALUE"""),"sremo@canva.com")</f>
        <v>sremo@canva.com</v>
      </c>
      <c r="R1661" s="1" t="str">
        <f>IFERROR(__xludf.DUMMYFUNCTION("""COMPUTED_VALUE"""),"Sunshine Remo")</f>
        <v>Sunshine Remo</v>
      </c>
      <c r="S1661" s="1">
        <f>IFERROR(__xludf.DUMMYFUNCTION("""COMPUTED_VALUE"""),1.0)</f>
        <v>1</v>
      </c>
      <c r="T1661" s="1">
        <f>IFERROR(__xludf.DUMMYFUNCTION("""COMPUTED_VALUE"""),0.75)</f>
        <v>0.75</v>
      </c>
      <c r="U1661" s="3">
        <f>IFERROR(__xludf.DUMMYFUNCTION("""COMPUTED_VALUE"""),1.75)</f>
        <v>1.75</v>
      </c>
      <c r="V1661" s="1" t="str">
        <f>IFERROR(__xludf.DUMMYFUNCTION("""COMPUTED_VALUE"""),"Tash Kelly")</f>
        <v>Tash Kelly</v>
      </c>
      <c r="W1661" s="1" t="str">
        <f>IFERROR(__xludf.DUMMYFUNCTION("""COMPUTED_VALUE"""),"Affinity Support")</f>
        <v>Affinity Support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IFERROR(__xludf.DUMMYFUNCTION("""COMPUTED_VALUE"""),"susann@canva.com")</f>
        <v>susann@canva.com</v>
      </c>
      <c r="R1662" s="1" t="str">
        <f>IFERROR(__xludf.DUMMYFUNCTION("""COMPUTED_VALUE"""),"Susann Dierich")</f>
        <v>Susann Dierich</v>
      </c>
      <c r="S1662" s="1"/>
      <c r="T1662" s="1">
        <f>IFERROR(__xludf.DUMMYFUNCTION("""COMPUTED_VALUE"""),2.25)</f>
        <v>2.25</v>
      </c>
      <c r="U1662" s="3">
        <f>IFERROR(__xludf.DUMMYFUNCTION("""COMPUTED_VALUE"""),2.25)</f>
        <v>2.25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EMEA")</f>
        <v>Admin Support EMEA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IFERROR(__xludf.DUMMYFUNCTION("""COMPUTED_VALUE"""),"Admin Support")</f>
        <v>Admin Support</v>
      </c>
      <c r="Q1663" s="1" t="str">
        <f>IFERROR(__xludf.DUMMYFUNCTION("""COMPUTED_VALUE"""),"skyles@canva.com")</f>
        <v>skyles@canva.com</v>
      </c>
      <c r="R1663" s="1" t="str">
        <f>IFERROR(__xludf.DUMMYFUNCTION("""COMPUTED_VALUE"""),"Sylvia Kyles")</f>
        <v>Sylvia Kyles</v>
      </c>
      <c r="S1663" s="1">
        <f>IFERROR(__xludf.DUMMYFUNCTION("""COMPUTED_VALUE"""),1.5)</f>
        <v>1.5</v>
      </c>
      <c r="T1663" s="1">
        <f>IFERROR(__xludf.DUMMYFUNCTION("""COMPUTED_VALUE"""),6.25)</f>
        <v>6.25</v>
      </c>
      <c r="U1663" s="3">
        <f>IFERROR(__xludf.DUMMYFUNCTION("""COMPUTED_VALUE"""),7.75)</f>
        <v>7.75</v>
      </c>
      <c r="V1663" s="1" t="str">
        <f>IFERROR(__xludf.DUMMYFUNCTION("""COMPUTED_VALUE"""),"Tash Kelly")</f>
        <v>Tash Kelly</v>
      </c>
      <c r="W1663" s="1" t="str">
        <f>IFERROR(__xludf.DUMMYFUNCTION("""COMPUTED_VALUE"""),"Admin Support NA")</f>
        <v>Admin Support NA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IFERROR(__xludf.DUMMYFUNCTION("""COMPUTED_VALUE"""),"theag@canva.com")</f>
        <v>theag@canva.com</v>
      </c>
      <c r="R1664" s="1" t="str">
        <f>IFERROR(__xludf.DUMMYFUNCTION("""COMPUTED_VALUE"""),"Thea Gelua")</f>
        <v>Thea Gelua</v>
      </c>
      <c r="S1664" s="1">
        <f>IFERROR(__xludf.DUMMYFUNCTION("""COMPUTED_VALUE"""),5.25)</f>
        <v>5.25</v>
      </c>
      <c r="T1664" s="1">
        <f>IFERROR(__xludf.DUMMYFUNCTION("""COMPUTED_VALUE"""),1.75)</f>
        <v>1.75</v>
      </c>
      <c r="U1664" s="3">
        <f>IFERROR(__xludf.DUMMYFUNCTION("""COMPUTED_VALUE"""),7.0)</f>
        <v>7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IFERROR(__xludf.DUMMYFUNCTION("""COMPUTED_VALUE"""),"Print Support")</f>
        <v>Print Support</v>
      </c>
      <c r="Q1665" s="1" t="str">
        <f>IFERROR(__xludf.DUMMYFUNCTION("""COMPUTED_VALUE"""),"tia@canva.com")</f>
        <v>tia@canva.com</v>
      </c>
      <c r="R1665" s="1" t="str">
        <f>IFERROR(__xludf.DUMMYFUNCTION("""COMPUTED_VALUE"""),"Tia Tilanduca")</f>
        <v>Tia Tilanduca</v>
      </c>
      <c r="S1665" s="1"/>
      <c r="T1665" s="1">
        <f>IFERROR(__xludf.DUMMYFUNCTION("""COMPUTED_VALUE"""),2.08)</f>
        <v>2.08</v>
      </c>
      <c r="U1665" s="3">
        <f>IFERROR(__xludf.DUMMYFUNCTION("""COMPUTED_VALUE"""),2.08)</f>
        <v>2.08</v>
      </c>
      <c r="V1665" s="1" t="str">
        <f>IFERROR(__xludf.DUMMYFUNCTION("""COMPUTED_VALUE"""),"Rae Erlano")</f>
        <v>Rae Erlano</v>
      </c>
      <c r="W1665" s="1" t="str">
        <f>IFERROR(__xludf.DUMMYFUNCTION("""COMPUTED_VALUE"""),"Print Support PH")</f>
        <v>Print Support PH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IFERROR(__xludf.DUMMYFUNCTION("""COMPUTED_VALUE"""),"Core Product Support")</f>
        <v>Core Product Support</v>
      </c>
      <c r="Q1666" s="1" t="str">
        <f>IFERROR(__xludf.DUMMYFUNCTION("""COMPUTED_VALUE"""),"tiara@canva.com")</f>
        <v>tiara@canva.com</v>
      </c>
      <c r="R1666" s="1" t="str">
        <f>IFERROR(__xludf.DUMMYFUNCTION("""COMPUTED_VALUE"""),"Tiara Samonte")</f>
        <v>Tiara Samonte</v>
      </c>
      <c r="S1666" s="1">
        <f>IFERROR(__xludf.DUMMYFUNCTION("""COMPUTED_VALUE"""),1.0)</f>
        <v>1</v>
      </c>
      <c r="T1666" s="1">
        <f>IFERROR(__xludf.DUMMYFUNCTION("""COMPUTED_VALUE"""),3.25)</f>
        <v>3.25</v>
      </c>
      <c r="U1666" s="3">
        <f>IFERROR(__xludf.DUMMYFUNCTION("""COMPUTED_VALUE"""),4.25)</f>
        <v>4.25</v>
      </c>
      <c r="V1666" s="1" t="str">
        <f>IFERROR(__xludf.DUMMYFUNCTION("""COMPUTED_VALUE"""),"Jahmie Mae Barrameda")</f>
        <v>Jahmie Mae Barrameda</v>
      </c>
      <c r="W1666" s="1" t="str">
        <f>IFERROR(__xludf.DUMMYFUNCTION("""COMPUTED_VALUE"""),"Advanced Billing &amp; Subscriptions")</f>
        <v>Advanced Billing &amp; Subscriptions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IFERROR(__xludf.DUMMYFUNCTION("""COMPUTED_VALUE"""),"Segment-specific Support")</f>
        <v>Segment-specific Support</v>
      </c>
      <c r="Q1667" s="1" t="str">
        <f>IFERROR(__xludf.DUMMYFUNCTION("""COMPUTED_VALUE"""),"timdl@canva.com")</f>
        <v>timdl@canva.com</v>
      </c>
      <c r="R1667" s="1" t="str">
        <f>IFERROR(__xludf.DUMMYFUNCTION("""COMPUTED_VALUE"""),"Tim De Leon")</f>
        <v>Tim De Leon</v>
      </c>
      <c r="S1667" s="1"/>
      <c r="T1667" s="1">
        <f>IFERROR(__xludf.DUMMYFUNCTION("""COMPUTED_VALUE"""),1.25)</f>
        <v>1.25</v>
      </c>
      <c r="U1667" s="3">
        <f>IFERROR(__xludf.DUMMYFUNCTION("""COMPUTED_VALUE"""),1.25)</f>
        <v>1.25</v>
      </c>
      <c r="V1667" s="1" t="str">
        <f>IFERROR(__xludf.DUMMYFUNCTION("""COMPUTED_VALUE"""),"Aileen Dayanghirang")</f>
        <v>Aileen Dayanghirang</v>
      </c>
      <c r="W1667" s="1" t="str">
        <f>IFERROR(__xludf.DUMMYFUNCTION("""COMPUTED_VALUE"""),"Creators Support")</f>
        <v>Creators Support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IFERROR(__xludf.DUMMYFUNCTION("""COMPUTED_VALUE"""),"Admin Support")</f>
        <v>Admin Support</v>
      </c>
      <c r="Q1668" s="1" t="str">
        <f>IFERROR(__xludf.DUMMYFUNCTION("""COMPUTED_VALUE"""),"cnuyda@canva.com")</f>
        <v>cnuyda@canva.com</v>
      </c>
      <c r="R1668" s="1" t="str">
        <f>IFERROR(__xludf.DUMMYFUNCTION("""COMPUTED_VALUE"""),"Toff Nuyda")</f>
        <v>Toff Nuyda</v>
      </c>
      <c r="S1668" s="1"/>
      <c r="T1668" s="1">
        <f>IFERROR(__xludf.DUMMYFUNCTION("""COMPUTED_VALUE"""),11.5)</f>
        <v>11.5</v>
      </c>
      <c r="U1668" s="3">
        <f>IFERROR(__xludf.DUMMYFUNCTION("""COMPUTED_VALUE"""),11.5)</f>
        <v>11.5</v>
      </c>
      <c r="V1668" s="1" t="str">
        <f>IFERROR(__xludf.DUMMYFUNCTION("""COMPUTED_VALUE"""),"Kelden Laguting")</f>
        <v>Kelden Laguting</v>
      </c>
      <c r="W1668" s="1" t="str">
        <f>IFERROR(__xludf.DUMMYFUNCTION("""COMPUTED_VALUE"""),"Admin Support PH")</f>
        <v>Admin Support PH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IFERROR(__xludf.DUMMYFUNCTION("""COMPUTED_VALUE"""),"Multilingual Support")</f>
        <v>Multilingual Support</v>
      </c>
      <c r="Q1669" s="1" t="str">
        <f>IFERROR(__xludf.DUMMYFUNCTION("""COMPUTED_VALUE"""),"tricia.p@canva.com")</f>
        <v>tricia.p@canva.com</v>
      </c>
      <c r="R1669" s="1" t="str">
        <f>IFERROR(__xludf.DUMMYFUNCTION("""COMPUTED_VALUE"""),"Tricia Pasagui")</f>
        <v>Tricia Pasagui</v>
      </c>
      <c r="S1669" s="1"/>
      <c r="T1669" s="1">
        <f>IFERROR(__xludf.DUMMYFUNCTION("""COMPUTED_VALUE"""),1.75)</f>
        <v>1.75</v>
      </c>
      <c r="U1669" s="3">
        <f>IFERROR(__xludf.DUMMYFUNCTION("""COMPUTED_VALUE"""),1.75)</f>
        <v>1.75</v>
      </c>
      <c r="V1669" s="1" t="str">
        <f>IFERROR(__xludf.DUMMYFUNCTION("""COMPUTED_VALUE"""),"Arlene Maurillo")</f>
        <v>Arlene Maurillo</v>
      </c>
      <c r="W1669" s="1" t="str">
        <f>IFERROR(__xludf.DUMMYFUNCTION("""COMPUTED_VALUE"""),"PHL, Multilingual Support")</f>
        <v>PHL, Multilingual Support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IFERROR(__xludf.DUMMYFUNCTION("""COMPUTED_VALUE"""),"trina@canva.com")</f>
        <v>trina@canva.com</v>
      </c>
      <c r="R1670" s="1" t="str">
        <f>IFERROR(__xludf.DUMMYFUNCTION("""COMPUTED_VALUE"""),"Trina Salcedo")</f>
        <v>Trina Salcedo</v>
      </c>
      <c r="S1670" s="1">
        <f>IFERROR(__xludf.DUMMYFUNCTION("""COMPUTED_VALUE"""),9.25)</f>
        <v>9.25</v>
      </c>
      <c r="T1670" s="1">
        <f>IFERROR(__xludf.DUMMYFUNCTION("""COMPUTED_VALUE"""),2.75)</f>
        <v>2.75</v>
      </c>
      <c r="U1670" s="3">
        <f>IFERROR(__xludf.DUMMYFUNCTION("""COMPUTED_VALUE"""),12.0)</f>
        <v>12</v>
      </c>
      <c r="V1670" s="1" t="str">
        <f>IFERROR(__xludf.DUMMYFUNCTION("""COMPUTED_VALUE"""),"Xandy Azarcon")</f>
        <v>Xandy Azarcon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IFERROR(__xludf.DUMMYFUNCTION("""COMPUTED_VALUE"""),"High Sensitivity Support")</f>
        <v>High Sensitivity Support</v>
      </c>
      <c r="Q1671" s="1" t="str">
        <f>IFERROR(__xludf.DUMMYFUNCTION("""COMPUTED_VALUE"""),"trishlee@canva.com")</f>
        <v>trishlee@canva.com</v>
      </c>
      <c r="R1671" s="1" t="str">
        <f>IFERROR(__xludf.DUMMYFUNCTION("""COMPUTED_VALUE"""),"Trish Lee")</f>
        <v>Trish Lee</v>
      </c>
      <c r="S1671" s="1"/>
      <c r="T1671" s="1">
        <f>IFERROR(__xludf.DUMMYFUNCTION("""COMPUTED_VALUE"""),1.75)</f>
        <v>1.75</v>
      </c>
      <c r="U1671" s="3">
        <f>IFERROR(__xludf.DUMMYFUNCTION("""COMPUTED_VALUE"""),1.75)</f>
        <v>1.75</v>
      </c>
      <c r="V1671" s="1" t="str">
        <f>IFERROR(__xludf.DUMMYFUNCTION("""COMPUTED_VALUE"""),"Issi Afable")</f>
        <v>Issi Afable</v>
      </c>
      <c r="W1671" s="1" t="str">
        <f>IFERROR(__xludf.DUMMYFUNCTION("""COMPUTED_VALUE"""),"High Sensitivity Support PH")</f>
        <v>High Sensitivity Support PH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IFERROR(__xludf.DUMMYFUNCTION("""COMPUTED_VALUE"""),"trissamiguel@canva.com")</f>
        <v>trissamiguel@canva.com</v>
      </c>
      <c r="R1672" s="1" t="str">
        <f>IFERROR(__xludf.DUMMYFUNCTION("""COMPUTED_VALUE"""),"Trissa Miguel")</f>
        <v>Trissa Miguel</v>
      </c>
      <c r="S1672" s="1"/>
      <c r="T1672" s="1">
        <f>IFERROR(__xludf.DUMMYFUNCTION("""COMPUTED_VALUE"""),1.25)</f>
        <v>1.25</v>
      </c>
      <c r="U1672" s="3">
        <f>IFERROR(__xludf.DUMMYFUNCTION("""COMPUTED_VALUE"""),1.25)</f>
        <v>1.25</v>
      </c>
      <c r="V1672" s="1" t="str">
        <f>IFERROR(__xludf.DUMMYFUNCTION("""COMPUTED_VALUE"""),"G-Anne Murillo")</f>
        <v>G-Anne Murillo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IFERROR(__xludf.DUMMYFUNCTION("""COMPUTED_VALUE"""),"vlad.b@canva.com")</f>
        <v>vlad.b@canva.com</v>
      </c>
      <c r="R1673" s="1" t="str">
        <f>IFERROR(__xludf.DUMMYFUNCTION("""COMPUTED_VALUE"""),"Vladimir Besana")</f>
        <v>Vladimir Besana</v>
      </c>
      <c r="S1673" s="1"/>
      <c r="T1673" s="1">
        <f>IFERROR(__xludf.DUMMYFUNCTION("""COMPUTED_VALUE"""),2.25)</f>
        <v>2.25</v>
      </c>
      <c r="U1673" s="3">
        <f>IFERROR(__xludf.DUMMYFUNCTION("""COMPUTED_VALUE"""),2.25)</f>
        <v>2.25</v>
      </c>
      <c r="V1673" s="1" t="str">
        <f>IFERROR(__xludf.DUMMYFUNCTION("""COMPUTED_VALUE"""),"Jan Domingo")</f>
        <v>Jan Domingo</v>
      </c>
      <c r="W1673" s="1" t="str">
        <f>IFERROR(__xludf.DUMMYFUNCTION("""COMPUTED_VALUE"""),"Print Design Support")</f>
        <v>Print Design Support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IFERROR(__xludf.DUMMYFUNCTION("""COMPUTED_VALUE"""),"Vinz Lazaro")</f>
        <v>Vinz Lazaro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IFERROR(__xludf.DUMMYFUNCTION("""COMPUTED_VALUE"""),"Print Support")</f>
        <v>Print Support</v>
      </c>
      <c r="Q1674" s="1" t="str">
        <f>IFERROR(__xludf.DUMMYFUNCTION("""COMPUTED_VALUE"""),"wesleyp@canva.com")</f>
        <v>wesleyp@canva.com</v>
      </c>
      <c r="R1674" s="1" t="str">
        <f>IFERROR(__xludf.DUMMYFUNCTION("""COMPUTED_VALUE"""),"Wes Paira")</f>
        <v>Wes Paira</v>
      </c>
      <c r="S1674" s="1">
        <f>IFERROR(__xludf.DUMMYFUNCTION("""COMPUTED_VALUE"""),5.25)</f>
        <v>5.25</v>
      </c>
      <c r="T1674" s="1">
        <f>IFERROR(__xludf.DUMMYFUNCTION("""COMPUTED_VALUE"""),0.75)</f>
        <v>0.75</v>
      </c>
      <c r="U1674" s="3">
        <f>IFERROR(__xludf.DUMMYFUNCTION("""COMPUTED_VALUE"""),6.0)</f>
        <v>6</v>
      </c>
      <c r="V1674" s="1" t="str">
        <f>IFERROR(__xludf.DUMMYFUNCTION("""COMPUTED_VALUE"""),"Memae Faustino")</f>
        <v>Memae Faustino</v>
      </c>
      <c r="W1674" s="1" t="str">
        <f>IFERROR(__xludf.DUMMYFUNCTION("""COMPUTED_VALUE"""),"Print Support PH")</f>
        <v>Print Support PH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IFERROR(__xludf.DUMMYFUNCTION("""COMPUTED_VALUE"""),"Abi Villajoaquin")</f>
        <v>Abi Villajoaquin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IFERROR(__xludf.DUMMYFUNCTION("""COMPUTED_VALUE"""),"Core Product Support")</f>
        <v>Core Product Support</v>
      </c>
      <c r="Q1675" s="1" t="str">
        <f>IFERROR(__xludf.DUMMYFUNCTION("""COMPUTED_VALUE"""),"xy@canva.com")</f>
        <v>xy@canva.com</v>
      </c>
      <c r="R1675" s="1" t="str">
        <f>IFERROR(__xludf.DUMMYFUNCTION("""COMPUTED_VALUE"""),"Xyren Bulan")</f>
        <v>Xyren Bulan</v>
      </c>
      <c r="S1675" s="1">
        <f>IFERROR(__xludf.DUMMYFUNCTION("""COMPUTED_VALUE"""),0.5)</f>
        <v>0.5</v>
      </c>
      <c r="T1675" s="1">
        <f>IFERROR(__xludf.DUMMYFUNCTION("""COMPUTED_VALUE"""),2.25)</f>
        <v>2.25</v>
      </c>
      <c r="U1675" s="3">
        <f>IFERROR(__xludf.DUMMYFUNCTION("""COMPUTED_VALUE"""),2.75)</f>
        <v>2.75</v>
      </c>
      <c r="V1675" s="1" t="str">
        <f>IFERROR(__xludf.DUMMYFUNCTION("""COMPUTED_VALUE"""),"Vinz Lazaro")</f>
        <v>Vinz Lazaro</v>
      </c>
      <c r="W1675" s="1" t="str">
        <f>IFERROR(__xludf.DUMMYFUNCTION("""COMPUTED_VALUE"""),"Advanced Product Support")</f>
        <v>Advanced Product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IFERROR(__xludf.DUMMYFUNCTION("""COMPUTED_VALUE"""),"Print Support")</f>
        <v>Print Support</v>
      </c>
      <c r="Q1676" s="1" t="str">
        <f>IFERROR(__xludf.DUMMYFUNCTION("""COMPUTED_VALUE"""),"ysabel@canva.com")</f>
        <v>ysabel@canva.com</v>
      </c>
      <c r="R1676" s="1" t="str">
        <f>IFERROR(__xludf.DUMMYFUNCTION("""COMPUTED_VALUE"""),"Ysabel Locsin")</f>
        <v>Ysabel Locsin</v>
      </c>
      <c r="S1676" s="1"/>
      <c r="T1676" s="1">
        <f>IFERROR(__xludf.DUMMYFUNCTION("""COMPUTED_VALUE"""),5.75)</f>
        <v>5.75</v>
      </c>
      <c r="U1676" s="3">
        <f>IFERROR(__xludf.DUMMYFUNCTION("""COMPUTED_VALUE"""),5.75)</f>
        <v>5.75</v>
      </c>
      <c r="V1676" s="1" t="str">
        <f>IFERROR(__xludf.DUMMYFUNCTION("""COMPUTED_VALUE"""),"Rei De Jesus")</f>
        <v>Rei De Jesus</v>
      </c>
      <c r="W1676" s="1" t="str">
        <f>IFERROR(__xludf.DUMMYFUNCTION("""COMPUTED_VALUE"""),"Print Design Support")</f>
        <v>Print Design Support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IFERROR(__xludf.DUMMYFUNCTION("""COMPUTED_VALUE"""),"Core Product Support")</f>
        <v>Core Product Support</v>
      </c>
      <c r="Q1677" s="1" t="str">
        <f>IFERROR(__xludf.DUMMYFUNCTION("""COMPUTED_VALUE"""),"ymagno@canva.com")</f>
        <v>ymagno@canva.com</v>
      </c>
      <c r="R1677" s="1" t="str">
        <f>IFERROR(__xludf.DUMMYFUNCTION("""COMPUTED_VALUE"""),"Ysabel Magno")</f>
        <v>Ysabel Magno</v>
      </c>
      <c r="S1677" s="1">
        <f>IFERROR(__xludf.DUMMYFUNCTION("""COMPUTED_VALUE"""),1.75)</f>
        <v>1.75</v>
      </c>
      <c r="T1677" s="1">
        <f>IFERROR(__xludf.DUMMYFUNCTION("""COMPUTED_VALUE"""),4.17)</f>
        <v>4.17</v>
      </c>
      <c r="U1677" s="3">
        <f>IFERROR(__xludf.DUMMYFUNCTION("""COMPUTED_VALUE"""),5.92)</f>
        <v>5.92</v>
      </c>
      <c r="V1677" s="1" t="str">
        <f>IFERROR(__xludf.DUMMYFUNCTION("""COMPUTED_VALUE"""),"Renette Bok")</f>
        <v>Renette Bok</v>
      </c>
      <c r="W1677" s="1" t="str">
        <f>IFERROR(__xludf.DUMMYFUNCTION("""COMPUTED_VALUE"""),"Advanced Billing &amp; Subscriptions")</f>
        <v>Advanced Billing &amp; Subscriptions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IFERROR(__xludf.DUMMYFUNCTION("""COMPUTED_VALUE"""),"Multilingual Support")</f>
        <v>Multilingual Support</v>
      </c>
      <c r="Q1678" s="1" t="str">
        <f>IFERROR(__xludf.DUMMYFUNCTION("""COMPUTED_VALUE"""),"iuliia@canva.com")</f>
        <v>iuliia@canva.com</v>
      </c>
      <c r="R1678" s="1" t="str">
        <f>IFERROR(__xludf.DUMMYFUNCTION("""COMPUTED_VALUE"""),"Yulya Shevkunova")</f>
        <v>Yulya Shevkunova</v>
      </c>
      <c r="S1678" s="1"/>
      <c r="T1678" s="1">
        <f>IFERROR(__xludf.DUMMYFUNCTION("""COMPUTED_VALUE"""),1.75)</f>
        <v>1.75</v>
      </c>
      <c r="U1678" s="3">
        <f>IFERROR(__xludf.DUMMYFUNCTION("""COMPUTED_VALUE"""),1.75)</f>
        <v>1.75</v>
      </c>
      <c r="V1678" s="1" t="str">
        <f>IFERROR(__xludf.DUMMYFUNCTION("""COMPUTED_VALUE"""),"Arlene Maurillo")</f>
        <v>Arlene Maurillo</v>
      </c>
      <c r="W1678" s="1" t="str">
        <f>IFERROR(__xludf.DUMMYFUNCTION("""COMPUTED_VALUE"""),"PHL, Multilingual Support")</f>
        <v>PHL, Multilingual Support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IFERROR(__xludf.DUMMYFUNCTION("""COMPUTED_VALUE"""),"yumi@canva.com")</f>
        <v>yumi@canva.com</v>
      </c>
      <c r="R1679" s="1" t="str">
        <f>IFERROR(__xludf.DUMMYFUNCTION("""COMPUTED_VALUE"""),"Yumi Tominaga")</f>
        <v>Yumi Tominaga</v>
      </c>
      <c r="S1679" s="1">
        <f>IFERROR(__xludf.DUMMYFUNCTION("""COMPUTED_VALUE"""),1.0)</f>
        <v>1</v>
      </c>
      <c r="T1679" s="1">
        <f>IFERROR(__xludf.DUMMYFUNCTION("""COMPUTED_VALUE"""),3.0)</f>
        <v>3</v>
      </c>
      <c r="U1679" s="3">
        <f>IFERROR(__xludf.DUMMYFUNCTION("""COMPUTED_VALUE"""),4.0)</f>
        <v>4</v>
      </c>
      <c r="V1679" s="1" t="str">
        <f>IFERROR(__xludf.DUMMYFUNCTION("""COMPUTED_VALUE"""),"Ana Lazaro")</f>
        <v>Ana Lazaro</v>
      </c>
      <c r="W1679" s="1" t="str">
        <f>IFERROR(__xludf.DUMMYFUNCTION("""COMPUTED_VALUE"""),"Advanced Billing &amp; Subscriptions")</f>
        <v>Advanced Billing &amp; Subscriptions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IFERROR(__xludf.DUMMYFUNCTION("""COMPUTED_VALUE"""),"Core Product Support")</f>
        <v>Core Product Support</v>
      </c>
      <c r="Q1680" s="1" t="str">
        <f>IFERROR(__xludf.DUMMYFUNCTION("""COMPUTED_VALUE"""),"yvette@canva.com")</f>
        <v>yvette@canva.com</v>
      </c>
      <c r="R1680" s="1" t="str">
        <f>IFERROR(__xludf.DUMMYFUNCTION("""COMPUTED_VALUE"""),"Yvette Nogoy")</f>
        <v>Yvette Nogoy</v>
      </c>
      <c r="S1680" s="1">
        <f>IFERROR(__xludf.DUMMYFUNCTION("""COMPUTED_VALUE"""),2.0)</f>
        <v>2</v>
      </c>
      <c r="T1680" s="1">
        <f>IFERROR(__xludf.DUMMYFUNCTION("""COMPUTED_VALUE"""),9.0)</f>
        <v>9</v>
      </c>
      <c r="U1680" s="3">
        <f>IFERROR(__xludf.DUMMYFUNCTION("""COMPUTED_VALUE"""),11.0)</f>
        <v>11</v>
      </c>
      <c r="V1680" s="1" t="str">
        <f>IFERROR(__xludf.DUMMYFUNCTION("""COMPUTED_VALUE"""),"Bem Launte")</f>
        <v>Bem Launte</v>
      </c>
      <c r="W1680" s="1" t="str">
        <f>IFERROR(__xludf.DUMMYFUNCTION("""COMPUTED_VALUE"""),"Core Product Support Escalation Team")</f>
        <v>Core Product Support Escalation Team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IFERROR(__xludf.DUMMYFUNCTION("""COMPUTED_VALUE"""),"Admin Support")</f>
        <v>Admin Support</v>
      </c>
      <c r="Q1681" s="1" t="str">
        <f>IFERROR(__xludf.DUMMYFUNCTION("""COMPUTED_VALUE"""),"yvonne@canva.com")</f>
        <v>yvonne@canva.com</v>
      </c>
      <c r="R1681" s="1" t="str">
        <f>IFERROR(__xludf.DUMMYFUNCTION("""COMPUTED_VALUE"""),"Yvonne Romasanta")</f>
        <v>Yvonne Romasanta</v>
      </c>
      <c r="S1681" s="1"/>
      <c r="T1681" s="1">
        <f>IFERROR(__xludf.DUMMYFUNCTION("""COMPUTED_VALUE"""),14.68)</f>
        <v>14.68</v>
      </c>
      <c r="U1681" s="3">
        <f>IFERROR(__xludf.DUMMYFUNCTION("""COMPUTED_VALUE"""),14.68)</f>
        <v>14.68</v>
      </c>
      <c r="V1681" s="1" t="str">
        <f>IFERROR(__xludf.DUMMYFUNCTION("""COMPUTED_VALUE"""),"Camille Alvarez")</f>
        <v>Camille Alvarez</v>
      </c>
      <c r="W1681" s="1" t="str">
        <f>IFERROR(__xludf.DUMMYFUNCTION("""COMPUTED_VALUE"""),"Admin Support PH SSO")</f>
        <v>Admin Support PH SSO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IFERROR(__xludf.DUMMYFUNCTION("""COMPUTED_VALUE"""),"2025 Nov")</f>
        <v>2025 Nov</v>
      </c>
      <c r="P1682" s="1" t="str">
        <f>IFERROR(__xludf.DUMMYFUNCTION("""COMPUTED_VALUE"""),"Print Support")</f>
        <v>Print Support</v>
      </c>
      <c r="Q1682" s="1" t="str">
        <f>IFERROR(__xludf.DUMMYFUNCTION("""COMPUTED_VALUE"""),"zippy@canva.com")</f>
        <v>zippy@canva.com</v>
      </c>
      <c r="R1682" s="1" t="str">
        <f>IFERROR(__xludf.DUMMYFUNCTION("""COMPUTED_VALUE"""),"Zipporah Duque")</f>
        <v>Zipporah Duque</v>
      </c>
      <c r="S1682" s="1">
        <f>IFERROR(__xludf.DUMMYFUNCTION("""COMPUTED_VALUE"""),2.25)</f>
        <v>2.25</v>
      </c>
      <c r="T1682" s="1">
        <f>IFERROR(__xludf.DUMMYFUNCTION("""COMPUTED_VALUE"""),1.75)</f>
        <v>1.75</v>
      </c>
      <c r="U1682" s="3">
        <f>IFERROR(__xludf.DUMMYFUNCTION("""COMPUTED_VALUE"""),4.0)</f>
        <v>4</v>
      </c>
      <c r="V1682" s="1" t="str">
        <f>IFERROR(__xludf.DUMMYFUNCTION("""COMPUTED_VALUE"""),"Memae Faustino")</f>
        <v>Memae Faustino</v>
      </c>
      <c r="W1682" s="1" t="str">
        <f>IFERROR(__xludf.DUMMYFUNCTION("""COMPUTED_VALUE"""),"Print Support PH")</f>
        <v>Print Support PH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IFERROR(__xludf.DUMMYFUNCTION("""COMPUTED_VALUE"""),"2025 Dec")</f>
        <v>2025 Dec</v>
      </c>
      <c r="P1683" s="1" t="str">
        <f>IFERROR(__xludf.DUMMYFUNCTION("""COMPUTED_VALUE"""),"Segment-specific Support")</f>
        <v>Segment-specific Support</v>
      </c>
      <c r="Q1683" s="1" t="str">
        <f>IFERROR(__xludf.DUMMYFUNCTION("""COMPUTED_VALUE"""),"triplea@canva.com")</f>
        <v>triplea@canva.com</v>
      </c>
      <c r="R1683" s="1" t="str">
        <f>IFERROR(__xludf.DUMMYFUNCTION("""COMPUTED_VALUE"""),"AA Abong")</f>
        <v>AA Abong</v>
      </c>
      <c r="S1683" s="1">
        <f>IFERROR(__xludf.DUMMYFUNCTION("""COMPUTED_VALUE"""),2.5)</f>
        <v>2.5</v>
      </c>
      <c r="T1683" s="1"/>
      <c r="U1683" s="3">
        <f>IFERROR(__xludf.DUMMYFUNCTION("""COMPUTED_VALUE"""),2.5)</f>
        <v>2.5</v>
      </c>
      <c r="V1683" s="1" t="str">
        <f>IFERROR(__xludf.DUMMYFUNCTION("""COMPUTED_VALUE"""),"Jonathan Dimaculangan")</f>
        <v>Jonathan Dimaculangan</v>
      </c>
      <c r="W1683" s="1" t="str">
        <f>IFERROR(__xludf.DUMMYFUNCTION("""COMPUTED_VALUE"""),"Flourish Support")</f>
        <v>Flourish Support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IFERROR(__xludf.DUMMYFUNCTION("""COMPUTED_VALUE"""),"2025 Dec")</f>
        <v>2025 Dec</v>
      </c>
      <c r="P1684" s="1" t="str">
        <f>IFERROR(__xludf.DUMMYFUNCTION("""COMPUTED_VALUE"""),"Core Product Support")</f>
        <v>Core Product Support</v>
      </c>
      <c r="Q1684" s="1" t="str">
        <f>IFERROR(__xludf.DUMMYFUNCTION("""COMPUTED_VALUE"""),"adrielcarlosv@canva.com")</f>
        <v>adrielcarlosv@canva.com</v>
      </c>
      <c r="R1684" s="1" t="str">
        <f>IFERROR(__xludf.DUMMYFUNCTION("""COMPUTED_VALUE"""),"Adriel Vicencio")</f>
        <v>Adriel Vicencio</v>
      </c>
      <c r="S1684" s="1">
        <f>IFERROR(__xludf.DUMMYFUNCTION("""COMPUTED_VALUE"""),2.0)</f>
        <v>2</v>
      </c>
      <c r="T1684" s="1">
        <f>IFERROR(__xludf.DUMMYFUNCTION("""COMPUTED_VALUE"""),1.0)</f>
        <v>1</v>
      </c>
      <c r="U1684" s="3">
        <f>IFERROR(__xludf.DUMMYFUNCTION("""COMPUTED_VALUE"""),3.0)</f>
        <v>3</v>
      </c>
      <c r="V1684" s="1" t="str">
        <f>IFERROR(__xludf.DUMMYFUNCTION("""COMPUTED_VALUE"""),"Jem Mondoñedo")</f>
        <v>Jem Mondoñedo</v>
      </c>
      <c r="W1684" s="1" t="str">
        <f>IFERROR(__xludf.DUMMYFUNCTION("""COMPUTED_VALUE"""),"Advanced Chat Support")</f>
        <v>Advanced Chat Support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IFERROR(__xludf.DUMMYFUNCTION("""COMPUTED_VALUE"""),"2025 Dec")</f>
        <v>2025 Dec</v>
      </c>
      <c r="P1685" s="1" t="str">
        <f>IFERROR(__xludf.DUMMYFUNCTION("""COMPUTED_VALUE"""),"Core Product Support")</f>
        <v>Core Product Support</v>
      </c>
      <c r="Q1685" s="1" t="str">
        <f>IFERROR(__xludf.DUMMYFUNCTION("""COMPUTED_VALUE"""),"agathartt@canva.com")</f>
        <v>agathartt@canva.com</v>
      </c>
      <c r="R1685" s="1" t="str">
        <f>IFERROR(__xludf.DUMMYFUNCTION("""COMPUTED_VALUE"""),"Agatha Torres")</f>
        <v>Agatha Torres</v>
      </c>
      <c r="S1685" s="1">
        <f>IFERROR(__xludf.DUMMYFUNCTION("""COMPUTED_VALUE"""),1.0)</f>
        <v>1</v>
      </c>
      <c r="T1685" s="1">
        <f>IFERROR(__xludf.DUMMYFUNCTION("""COMPUTED_VALUE"""),4.0)</f>
        <v>4</v>
      </c>
      <c r="U1685" s="3">
        <f>IFERROR(__xludf.DUMMYFUNCTION("""COMPUTED_VALUE"""),5.0)</f>
        <v>5</v>
      </c>
      <c r="V1685" s="1" t="str">
        <f>IFERROR(__xludf.DUMMYFUNCTION("""COMPUTED_VALUE"""),"Jahmie Mae Barrameda")</f>
        <v>Jahmie Mae Barrameda</v>
      </c>
      <c r="W1685" s="1" t="str">
        <f>IFERROR(__xludf.DUMMYFUNCTION("""COMPUTED_VALUE"""),"Advanced Billing &amp; Subscriptions")</f>
        <v>Advanced Billing &amp; Subscriptions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IFERROR(__xludf.DUMMYFUNCTION("""COMPUTED_VALUE"""),"2025 Dec")</f>
        <v>2025 Dec</v>
      </c>
      <c r="P1686" s="1" t="str">
        <f>IFERROR(__xludf.DUMMYFUNCTION("""COMPUTED_VALUE"""),"Print Support")</f>
        <v>Print Support</v>
      </c>
      <c r="Q1686" s="1" t="str">
        <f>IFERROR(__xludf.DUMMYFUNCTION("""COMPUTED_VALUE"""),"aileen.a@canva.com")</f>
        <v>aileen.a@canva.com</v>
      </c>
      <c r="R1686" s="1" t="str">
        <f>IFERROR(__xludf.DUMMYFUNCTION("""COMPUTED_VALUE"""),"Aileen Alipio")</f>
        <v>Aileen Alipio</v>
      </c>
      <c r="S1686" s="1"/>
      <c r="T1686" s="1"/>
      <c r="U1686" s="3">
        <f>IFERROR(__xludf.DUMMYFUNCTION("""COMPUTED_VALUE"""),0.0)</f>
        <v>0</v>
      </c>
      <c r="V1686" s="1" t="str">
        <f>IFERROR(__xludf.DUMMYFUNCTION("""COMPUTED_VALUE"""),"Gem Agoncillo")</f>
        <v>Gem Agoncillo</v>
      </c>
      <c r="W1686" s="1" t="str">
        <f>IFERROR(__xludf.DUMMYFUNCTION("""COMPUTED_VALUE"""),"Print Design Support")</f>
        <v>Print Design Support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IFERROR(__xludf.DUMMYFUNCTION("""COMPUTED_VALUE"""),"2025 Dec")</f>
        <v>2025 Dec</v>
      </c>
      <c r="P1687" s="1" t="str">
        <f>IFERROR(__xludf.DUMMYFUNCTION("""COMPUTED_VALUE"""),"Core Product Support")</f>
        <v>Core Product Support</v>
      </c>
      <c r="Q1687" s="1" t="str">
        <f>IFERROR(__xludf.DUMMYFUNCTION("""COMPUTED_VALUE"""),"ailyn@canva.com")</f>
        <v>ailyn@canva.com</v>
      </c>
      <c r="R1687" s="1" t="str">
        <f>IFERROR(__xludf.DUMMYFUNCTION("""COMPUTED_VALUE"""),"Ailyn Grana")</f>
        <v>Ailyn Grana</v>
      </c>
      <c r="S1687" s="1">
        <f>IFERROR(__xludf.DUMMYFUNCTION("""COMPUTED_VALUE"""),1.25)</f>
        <v>1.25</v>
      </c>
      <c r="T1687" s="1">
        <f>IFERROR(__xludf.DUMMYFUNCTION("""COMPUTED_VALUE"""),0.25)</f>
        <v>0.25</v>
      </c>
      <c r="U1687" s="3">
        <f>IFERROR(__xludf.DUMMYFUNCTION("""COMPUTED_VALUE"""),1.5)</f>
        <v>1.5</v>
      </c>
      <c r="V1687" s="1" t="str">
        <f>IFERROR(__xludf.DUMMYFUNCTION("""COMPUTED_VALUE"""),"Belle Bentazal")</f>
        <v>Belle Bentazal</v>
      </c>
      <c r="W1687" s="1" t="str">
        <f>IFERROR(__xludf.DUMMYFUNCTION("""COMPUTED_VALUE"""),"Advanced Product Support")</f>
        <v>Advanced Product Support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IFERROR(__xludf.DUMMYFUNCTION("""COMPUTED_VALUE"""),"2025 Dec")</f>
        <v>2025 Dec</v>
      </c>
      <c r="P1688" s="1" t="str">
        <f>IFERROR(__xludf.DUMMYFUNCTION("""COMPUTED_VALUE"""),"Segment-specific Support")</f>
        <v>Segment-specific Support</v>
      </c>
      <c r="Q1688" s="1" t="str">
        <f>IFERROR(__xludf.DUMMYFUNCTION("""COMPUTED_VALUE"""),"andria@canva.com")</f>
        <v>andria@canva.com</v>
      </c>
      <c r="R1688" s="1" t="str">
        <f>IFERROR(__xludf.DUMMYFUNCTION("""COMPUTED_VALUE"""),"Alex Batusin")</f>
        <v>Alex Batusin</v>
      </c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IFERROR(__xludf.DUMMYFUNCTION("""COMPUTED_VALUE"""),"Aileen Dayanghirang")</f>
        <v>Aileen Dayanghirang</v>
      </c>
      <c r="W1688" s="1" t="str">
        <f>IFERROR(__xludf.DUMMYFUNCTION("""COMPUTED_VALUE"""),"Creators Support")</f>
        <v>Creators Support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IFERROR(__xludf.DUMMYFUNCTION("""COMPUTED_VALUE"""),"Rae Erlano")</f>
        <v>Rae Erlano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IFERROR(__xludf.DUMMYFUNCTION("""COMPUTED_VALUE"""),"2025 Dec")</f>
        <v>2025 Dec</v>
      </c>
      <c r="P1689" s="1" t="str">
        <f>IFERROR(__xludf.DUMMYFUNCTION("""COMPUTED_VALUE"""),"Segment-specific Support")</f>
        <v>Segment-specific Support</v>
      </c>
      <c r="Q1689" s="1" t="str">
        <f>IFERROR(__xludf.DUMMYFUNCTION("""COMPUTED_VALUE"""),"alexl@canva.com")</f>
        <v>alexl@canva.com</v>
      </c>
      <c r="R1689" s="1" t="str">
        <f>IFERROR(__xludf.DUMMYFUNCTION("""COMPUTED_VALUE"""),"Alex Lim")</f>
        <v>Alex Lim</v>
      </c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IFERROR(__xludf.DUMMYFUNCTION("""COMPUTED_VALUE"""),"Tash Kelly")</f>
        <v>Tash Kelly</v>
      </c>
      <c r="W1689" s="1" t="str">
        <f>IFERROR(__xludf.DUMMYFUNCTION("""COMPUTED_VALUE"""),"Affinity Support")</f>
        <v>Affinity Support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IFERROR(__xludf.DUMMYFUNCTION("""COMPUTED_VALUE"""),"2025 Dec")</f>
        <v>2025 Dec</v>
      </c>
      <c r="P1690" s="1" t="str">
        <f>IFERROR(__xludf.DUMMYFUNCTION("""COMPUTED_VALUE"""),"Segment-specific Support")</f>
        <v>Segment-specific Support</v>
      </c>
      <c r="Q1690" s="1" t="str">
        <f>IFERROR(__xludf.DUMMYFUNCTION("""COMPUTED_VALUE"""),"adtolentino@canva.com")</f>
        <v>adtolentino@canva.com</v>
      </c>
      <c r="R1690" s="1" t="str">
        <f>IFERROR(__xludf.DUMMYFUNCTION("""COMPUTED_VALUE"""),"Alfred Devon Tolentino")</f>
        <v>Alfred Devon Tolentino</v>
      </c>
      <c r="S1690" s="1">
        <f>IFERROR(__xludf.DUMMYFUNCTION("""COMPUTED_VALUE"""),2.0)</f>
        <v>2</v>
      </c>
      <c r="T1690" s="1"/>
      <c r="U1690" s="3">
        <f>IFERROR(__xludf.DUMMYFUNCTION("""COMPUTED_VALUE"""),2.0)</f>
        <v>2</v>
      </c>
      <c r="V1690" s="1" t="str">
        <f>IFERROR(__xludf.DUMMYFUNCTION("""COMPUTED_VALUE"""),"Jonathan Dimaculangan")</f>
        <v>Jonathan Dimaculangan</v>
      </c>
      <c r="W1690" s="1" t="str">
        <f>IFERROR(__xludf.DUMMYFUNCTION("""COMPUTED_VALUE"""),"Flourish Support")</f>
        <v>Flourish Support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IFERROR(__xludf.DUMMYFUNCTION("""COMPUTED_VALUE"""),"2025 Dec")</f>
        <v>2025 Dec</v>
      </c>
      <c r="P1691" s="1" t="str">
        <f>IFERROR(__xludf.DUMMYFUNCTION("""COMPUTED_VALUE"""),"Admin Support")</f>
        <v>Admin Support</v>
      </c>
      <c r="Q1691" s="1" t="str">
        <f>IFERROR(__xludf.DUMMYFUNCTION("""COMPUTED_VALUE"""),"alicec@canva.com")</f>
        <v>alicec@canva.com</v>
      </c>
      <c r="R1691" s="1" t="str">
        <f>IFERROR(__xludf.DUMMYFUNCTION("""COMPUTED_VALUE"""),"Alice Creiser")</f>
        <v>Alice Creiser</v>
      </c>
      <c r="S1691" s="1"/>
      <c r="T1691" s="1">
        <f>IFERROR(__xludf.DUMMYFUNCTION("""COMPUTED_VALUE"""),5.5)</f>
        <v>5.5</v>
      </c>
      <c r="U1691" s="3">
        <f>IFERROR(__xludf.DUMMYFUNCTION("""COMPUTED_VALUE"""),5.5)</f>
        <v>5.5</v>
      </c>
      <c r="V1691" s="1" t="str">
        <f>IFERROR(__xludf.DUMMYFUNCTION("""COMPUTED_VALUE"""),"Tash Kelly")</f>
        <v>Tash Kelly</v>
      </c>
      <c r="W1691" s="1" t="str">
        <f>IFERROR(__xludf.DUMMYFUNCTION("""COMPUTED_VALUE"""),"Admin Support EMEA")</f>
        <v>Admin Support EMEA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IFERROR(__xludf.DUMMYFUNCTION("""COMPUTED_VALUE"""),"2025 Dec")</f>
        <v>2025 Dec</v>
      </c>
      <c r="P1692" s="1" t="str">
        <f>IFERROR(__xludf.DUMMYFUNCTION("""COMPUTED_VALUE"""),"Print Support")</f>
        <v>Print Support</v>
      </c>
      <c r="Q1692" s="1" t="str">
        <f>IFERROR(__xludf.DUMMYFUNCTION("""COMPUTED_VALUE"""),"alyanna@canva.com")</f>
        <v>alyanna@canva.com</v>
      </c>
      <c r="R1692" s="1" t="str">
        <f>IFERROR(__xludf.DUMMYFUNCTION("""COMPUTED_VALUE"""),"Alyanna Ramos")</f>
        <v>Alyanna Ramos</v>
      </c>
      <c r="S1692" s="1"/>
      <c r="T1692" s="1"/>
      <c r="U1692" s="3">
        <f>IFERROR(__xludf.DUMMYFUNCTION("""COMPUTED_VALUE"""),0.0)</f>
        <v>0</v>
      </c>
      <c r="V1692" s="1" t="str">
        <f>IFERROR(__xludf.DUMMYFUNCTION("""COMPUTED_VALUE"""),"Ann Dumlao")</f>
        <v>Ann Dumlao</v>
      </c>
      <c r="W1692" s="1" t="str">
        <f>IFERROR(__xludf.DUMMYFUNCTION("""COMPUTED_VALUE"""),"Print Support PH")</f>
        <v>Print Support PH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IFERROR(__xludf.DUMMYFUNCTION("""COMPUTED_VALUE"""),"2025 Dec")</f>
        <v>2025 Dec</v>
      </c>
      <c r="P1693" s="1" t="str">
        <f>IFERROR(__xludf.DUMMYFUNCTION("""COMPUTED_VALUE"""),"Core Product Support")</f>
        <v>Core Product Support</v>
      </c>
      <c r="Q1693" s="1" t="str">
        <f>IFERROR(__xludf.DUMMYFUNCTION("""COMPUTED_VALUE"""),"alyssakae@canva.com")</f>
        <v>alyssakae@canva.com</v>
      </c>
      <c r="R1693" s="1" t="str">
        <f>IFERROR(__xludf.DUMMYFUNCTION("""COMPUTED_VALUE"""),"Alyssa Kae Laranang")</f>
        <v>Alyssa Kae Laranang</v>
      </c>
      <c r="S1693" s="1"/>
      <c r="T1693" s="1">
        <f>IFERROR(__xludf.DUMMYFUNCTION("""COMPUTED_VALUE"""),7.5)</f>
        <v>7.5</v>
      </c>
      <c r="U1693" s="3">
        <f>IFERROR(__xludf.DUMMYFUNCTION("""COMPUTED_VALUE"""),7.5)</f>
        <v>7.5</v>
      </c>
      <c r="V1693" s="1" t="str">
        <f>IFERROR(__xludf.DUMMYFUNCTION("""COMPUTED_VALUE"""),"Ellaine Estayo")</f>
        <v>Ellaine Estayo</v>
      </c>
      <c r="W1693" s="1" t="str">
        <f>IFERROR(__xludf.DUMMYFUNCTION("""COMPUTED_VALUE"""),"Core Product Support Escalation Team")</f>
        <v>Core Product Support Escalation Team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IFERROR(__xludf.DUMMYFUNCTION("""COMPUTED_VALUE"""),"2025 Dec")</f>
        <v>2025 Dec</v>
      </c>
      <c r="P1694" s="1" t="str">
        <f>IFERROR(__xludf.DUMMYFUNCTION("""COMPUTED_VALUE"""),"Print Support")</f>
        <v>Print Support</v>
      </c>
      <c r="Q1694" s="1" t="str">
        <f>IFERROR(__xludf.DUMMYFUNCTION("""COMPUTED_VALUE"""),"alyssam@canva.com")</f>
        <v>alyssam@canva.com</v>
      </c>
      <c r="R1694" s="1" t="str">
        <f>IFERROR(__xludf.DUMMYFUNCTION("""COMPUTED_VALUE"""),"Alyssa Martin-Silao")</f>
        <v>Alyssa Martin-Silao</v>
      </c>
      <c r="S1694" s="1">
        <f>IFERROR(__xludf.DUMMYFUNCTION("""COMPUTED_VALUE"""),8.0)</f>
        <v>8</v>
      </c>
      <c r="T1694" s="1"/>
      <c r="U1694" s="3">
        <f>IFERROR(__xludf.DUMMYFUNCTION("""COMPUTED_VALUE"""),8.0)</f>
        <v>8</v>
      </c>
      <c r="V1694" s="1" t="str">
        <f>IFERROR(__xludf.DUMMYFUNCTION("""COMPUTED_VALUE"""),"Rae Erlano")</f>
        <v>Rae Erlano</v>
      </c>
      <c r="W1694" s="1" t="str">
        <f>IFERROR(__xludf.DUMMYFUNCTION("""COMPUTED_VALUE"""),"Print Support PH")</f>
        <v>Print Support PH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IFERROR(__xludf.DUMMYFUNCTION("""COMPUTED_VALUE"""),"2025 Dec")</f>
        <v>2025 Dec</v>
      </c>
      <c r="P1695" s="1" t="str">
        <f>IFERROR(__xludf.DUMMYFUNCTION("""COMPUTED_VALUE"""),"Print Support")</f>
        <v>Print Support</v>
      </c>
      <c r="Q1695" s="1" t="str">
        <f>IFERROR(__xludf.DUMMYFUNCTION("""COMPUTED_VALUE"""),"alyssas@canva.com")</f>
        <v>alyssas@canva.com</v>
      </c>
      <c r="R1695" s="1" t="str">
        <f>IFERROR(__xludf.DUMMYFUNCTION("""COMPUTED_VALUE"""),"Alyssa Sunga")</f>
        <v>Alyssa Sunga</v>
      </c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IFERROR(__xludf.DUMMYFUNCTION("""COMPUTED_VALUE"""),"Althea Mercado")</f>
        <v>Althea Mercado</v>
      </c>
      <c r="W1695" s="1" t="str">
        <f>IFERROR(__xludf.DUMMYFUNCTION("""COMPUTED_VALUE"""),"Print Support PH")</f>
        <v>Print Support PH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IFERROR(__xludf.DUMMYFUNCTION("""COMPUTED_VALUE"""),"Rae Erlano")</f>
        <v>Rae Erlano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IFERROR(__xludf.DUMMYFUNCTION("""COMPUTED_VALUE"""),"2025 Dec")</f>
        <v>2025 Dec</v>
      </c>
      <c r="P1696" s="1" t="str">
        <f>IFERROR(__xludf.DUMMYFUNCTION("""COMPUTED_VALUE"""),"Print Support")</f>
        <v>Print Support</v>
      </c>
      <c r="Q1696" s="1" t="str">
        <f>IFERROR(__xludf.DUMMYFUNCTION("""COMPUTED_VALUE"""),"andrea.g@canva.com")</f>
        <v>andrea.g@canva.com</v>
      </c>
      <c r="R1696" s="1" t="str">
        <f>IFERROR(__xludf.DUMMYFUNCTION("""COMPUTED_VALUE"""),"Andrea Gutierrez")</f>
        <v>Andrea Gutierrez</v>
      </c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IFERROR(__xludf.DUMMYFUNCTION("""COMPUTED_VALUE"""),"G-Anne Murillo")</f>
        <v>G-Anne Murillo</v>
      </c>
      <c r="W1696" s="1" t="str">
        <f>IFERROR(__xludf.DUMMYFUNCTION("""COMPUTED_VALUE"""),"Print Design Support")</f>
        <v>Print Design Support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IFERROR(__xludf.DUMMYFUNCTION("""COMPUTED_VALUE"""),"2025 Dec")</f>
        <v>2025 Dec</v>
      </c>
      <c r="P1697" s="1" t="str">
        <f>IFERROR(__xludf.DUMMYFUNCTION("""COMPUTED_VALUE"""),"Print Support")</f>
        <v>Print Support</v>
      </c>
      <c r="Q1697" s="1" t="str">
        <f>IFERROR(__xludf.DUMMYFUNCTION("""COMPUTED_VALUE"""),"xandwea@canva.com")</f>
        <v>xandwea@canva.com</v>
      </c>
      <c r="R1697" s="1" t="str">
        <f>IFERROR(__xludf.DUMMYFUNCTION("""COMPUTED_VALUE"""),"Andrea Lugtu")</f>
        <v>Andrea Lugtu</v>
      </c>
      <c r="S1697" s="1"/>
      <c r="T1697" s="1"/>
      <c r="U1697" s="3">
        <f>IFERROR(__xludf.DUMMYFUNCTION("""COMPUTED_VALUE"""),0.0)</f>
        <v>0</v>
      </c>
      <c r="V1697" s="1" t="str">
        <f>IFERROR(__xludf.DUMMYFUNCTION("""COMPUTED_VALUE"""),"Jen Momo")</f>
        <v>Jen Momo</v>
      </c>
      <c r="W1697" s="1" t="str">
        <f>IFERROR(__xludf.DUMMYFUNCTION("""COMPUTED_VALUE"""),"Print Support PH")</f>
        <v>Print Support PH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IFERROR(__xludf.DUMMYFUNCTION("""COMPUTED_VALUE"""),"2025 Dec")</f>
        <v>2025 Dec</v>
      </c>
      <c r="P1698" s="1" t="str">
        <f>IFERROR(__xludf.DUMMYFUNCTION("""COMPUTED_VALUE"""),"Core Product Support")</f>
        <v>Core Product Support</v>
      </c>
      <c r="Q1698" s="1" t="str">
        <f>IFERROR(__xludf.DUMMYFUNCTION("""COMPUTED_VALUE"""),"andreimg@canva.com")</f>
        <v>andreimg@canva.com</v>
      </c>
      <c r="R1698" s="1" t="str">
        <f>IFERROR(__xludf.DUMMYFUNCTION("""COMPUTED_VALUE"""),"Andrei Galutan")</f>
        <v>Andrei Galutan</v>
      </c>
      <c r="S1698" s="1">
        <f>IFERROR(__xludf.DUMMYFUNCTION("""COMPUTED_VALUE"""),6.0)</f>
        <v>6</v>
      </c>
      <c r="T1698" s="1"/>
      <c r="U1698" s="3">
        <f>IFERROR(__xludf.DUMMYFUNCTION("""COMPUTED_VALUE"""),6.0)</f>
        <v>6</v>
      </c>
      <c r="V1698" s="1" t="str">
        <f>IFERROR(__xludf.DUMMYFUNCTION("""COMPUTED_VALUE"""),"Vinz Lazaro")</f>
        <v>Vinz Lazaro</v>
      </c>
      <c r="W1698" s="1" t="str">
        <f>IFERROR(__xludf.DUMMYFUNCTION("""COMPUTED_VALUE"""),"Advanced Product Support")</f>
        <v>Advanced Product Support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IFERROR(__xludf.DUMMYFUNCTION("""COMPUTED_VALUE"""),"2025 Dec")</f>
        <v>2025 Dec</v>
      </c>
      <c r="P1699" s="1" t="str">
        <f>IFERROR(__xludf.DUMMYFUNCTION("""COMPUTED_VALUE"""),"Core Product Support")</f>
        <v>Core Product Support</v>
      </c>
      <c r="Q1699" s="1" t="str">
        <f>IFERROR(__xludf.DUMMYFUNCTION("""COMPUTED_VALUE"""),"aalemania@canva.com")</f>
        <v>aalemania@canva.com</v>
      </c>
      <c r="R1699" s="1" t="str">
        <f>IFERROR(__xludf.DUMMYFUNCTION("""COMPUTED_VALUE"""),"Angel Alemania")</f>
        <v>Angel Alemania</v>
      </c>
      <c r="S1699" s="1">
        <f>IFERROR(__xludf.DUMMYFUNCTION("""COMPUTED_VALUE"""),1.0)</f>
        <v>1</v>
      </c>
      <c r="T1699" s="1">
        <f>IFERROR(__xludf.DUMMYFUNCTION("""COMPUTED_VALUE"""),12.75)</f>
        <v>12.75</v>
      </c>
      <c r="U1699" s="3">
        <f>IFERROR(__xludf.DUMMYFUNCTION("""COMPUTED_VALUE"""),13.75)</f>
        <v>13.75</v>
      </c>
      <c r="V1699" s="1" t="str">
        <f>IFERROR(__xludf.DUMMYFUNCTION("""COMPUTED_VALUE"""),"Sieg Ballelos")</f>
        <v>Sieg Ballelos</v>
      </c>
      <c r="W1699" s="1" t="str">
        <f>IFERROR(__xludf.DUMMYFUNCTION("""COMPUTED_VALUE"""),"Core Product Support Escalation Team")</f>
        <v>Core Product Support Escalation Team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IFERROR(__xludf.DUMMYFUNCTION("""COMPUTED_VALUE"""),"Vinz Lazaro")</f>
        <v>Vinz Lazaro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IFERROR(__xludf.DUMMYFUNCTION("""COMPUTED_VALUE"""),"2025 Dec")</f>
        <v>2025 Dec</v>
      </c>
      <c r="P1700" s="1" t="str">
        <f>IFERROR(__xludf.DUMMYFUNCTION("""COMPUTED_VALUE"""),"Admin Support")</f>
        <v>Admin Support</v>
      </c>
      <c r="Q1700" s="1" t="str">
        <f>IFERROR(__xludf.DUMMYFUNCTION("""COMPUTED_VALUE"""),"angelc@canva.com")</f>
        <v>angelc@canva.com</v>
      </c>
      <c r="R1700" s="1" t="str">
        <f>IFERROR(__xludf.DUMMYFUNCTION("""COMPUTED_VALUE"""),"Angel Cabrera")</f>
        <v>Angel Cabrera</v>
      </c>
      <c r="S1700" s="1"/>
      <c r="T1700" s="1">
        <f>IFERROR(__xludf.DUMMYFUNCTION("""COMPUTED_VALUE"""),11.5)</f>
        <v>11.5</v>
      </c>
      <c r="U1700" s="3">
        <f>IFERROR(__xludf.DUMMYFUNCTION("""COMPUTED_VALUE"""),11.5)</f>
        <v>11.5</v>
      </c>
      <c r="V1700" s="1" t="str">
        <f>IFERROR(__xludf.DUMMYFUNCTION("""COMPUTED_VALUE"""),"Pau Palmero")</f>
        <v>Pau Palmero</v>
      </c>
      <c r="W1700" s="1" t="str">
        <f>IFERROR(__xludf.DUMMYFUNCTION("""COMPUTED_VALUE"""),"Admin Support PH CEDD")</f>
        <v>Admin Support PH CEDD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IFERROR(__xludf.DUMMYFUNCTION("""COMPUTED_VALUE"""),"2025 Dec")</f>
        <v>2025 Dec</v>
      </c>
      <c r="P1701" s="1" t="str">
        <f>IFERROR(__xludf.DUMMYFUNCTION("""COMPUTED_VALUE"""),"Segment-specific Support")</f>
        <v>Segment-specific Support</v>
      </c>
      <c r="Q1701" s="1" t="str">
        <f>IFERROR(__xludf.DUMMYFUNCTION("""COMPUTED_VALUE"""),"angelheart@canva.com")</f>
        <v>angelheart@canva.com</v>
      </c>
      <c r="R1701" s="1" t="str">
        <f>IFERROR(__xludf.DUMMYFUNCTION("""COMPUTED_VALUE"""),"Angel Heart Santos")</f>
        <v>Angel Heart Santos</v>
      </c>
      <c r="S1701" s="1">
        <f>IFERROR(__xludf.DUMMYFUNCTION("""COMPUTED_VALUE"""),2.5)</f>
        <v>2.5</v>
      </c>
      <c r="T1701" s="1"/>
      <c r="U1701" s="3">
        <f>IFERROR(__xludf.DUMMYFUNCTION("""COMPUTED_VALUE"""),2.5)</f>
        <v>2.5</v>
      </c>
      <c r="V1701" s="1" t="str">
        <f>IFERROR(__xludf.DUMMYFUNCTION("""COMPUTED_VALUE"""),"Jonathan Dimaculangan")</f>
        <v>Jonathan Dimaculangan</v>
      </c>
      <c r="W1701" s="1" t="str">
        <f>IFERROR(__xludf.DUMMYFUNCTION("""COMPUTED_VALUE"""),"Flourish Support")</f>
        <v>Flourish Support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IFERROR(__xludf.DUMMYFUNCTION("""COMPUTED_VALUE"""),"2025 Dec")</f>
        <v>2025 Dec</v>
      </c>
      <c r="P1702" s="1" t="str">
        <f>IFERROR(__xludf.DUMMYFUNCTION("""COMPUTED_VALUE"""),"Core Product Support")</f>
        <v>Core Product Support</v>
      </c>
      <c r="Q1702" s="1" t="str">
        <f>IFERROR(__xludf.DUMMYFUNCTION("""COMPUTED_VALUE"""),"angelm@canva.com")</f>
        <v>angelm@canva.com</v>
      </c>
      <c r="R1702" s="1" t="str">
        <f>IFERROR(__xludf.DUMMYFUNCTION("""COMPUTED_VALUE"""),"Angel Medina")</f>
        <v>Angel Medina</v>
      </c>
      <c r="S1702" s="1">
        <f>IFERROR(__xludf.DUMMYFUNCTION("""COMPUTED_VALUE"""),1.0)</f>
        <v>1</v>
      </c>
      <c r="T1702" s="1">
        <f>IFERROR(__xludf.DUMMYFUNCTION("""COMPUTED_VALUE"""),13.5)</f>
        <v>13.5</v>
      </c>
      <c r="U1702" s="3">
        <f>IFERROR(__xludf.DUMMYFUNCTION("""COMPUTED_VALUE"""),14.5)</f>
        <v>14.5</v>
      </c>
      <c r="V1702" s="1" t="str">
        <f>IFERROR(__xludf.DUMMYFUNCTION("""COMPUTED_VALUE"""),"Ellaine Estayo")</f>
        <v>Ellaine Estayo</v>
      </c>
      <c r="W1702" s="1" t="str">
        <f>IFERROR(__xludf.DUMMYFUNCTION("""COMPUTED_VALUE"""),"Core Product Support Escalation Team")</f>
        <v>Core Product Support Escalation Team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IFERROR(__xludf.DUMMYFUNCTION("""COMPUTED_VALUE"""),"2025 Dec")</f>
        <v>2025 Dec</v>
      </c>
      <c r="P1703" s="1" t="str">
        <f>IFERROR(__xludf.DUMMYFUNCTION("""COMPUTED_VALUE"""),"Print Support")</f>
        <v>Print Support</v>
      </c>
      <c r="Q1703" s="1" t="str">
        <f>IFERROR(__xludf.DUMMYFUNCTION("""COMPUTED_VALUE"""),"angelf@canva.com")</f>
        <v>angelf@canva.com</v>
      </c>
      <c r="R1703" s="1" t="str">
        <f>IFERROR(__xludf.DUMMYFUNCTION("""COMPUTED_VALUE"""),"Angel Merilleno")</f>
        <v>Angel Merilleno</v>
      </c>
      <c r="S1703" s="1"/>
      <c r="T1703" s="1"/>
      <c r="U1703" s="3">
        <f>IFERROR(__xludf.DUMMYFUNCTION("""COMPUTED_VALUE"""),0.0)</f>
        <v>0</v>
      </c>
      <c r="V1703" s="1" t="str">
        <f>IFERROR(__xludf.DUMMYFUNCTION("""COMPUTED_VALUE"""),"Rae Erlano")</f>
        <v>Rae Erlano</v>
      </c>
      <c r="W1703" s="1" t="str">
        <f>IFERROR(__xludf.DUMMYFUNCTION("""COMPUTED_VALUE"""),"Print Support PH")</f>
        <v>Print Support PH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IFERROR(__xludf.DUMMYFUNCTION("""COMPUTED_VALUE"""),"2025 Dec")</f>
        <v>2025 Dec</v>
      </c>
      <c r="P1704" s="1" t="str">
        <f>IFERROR(__xludf.DUMMYFUNCTION("""COMPUTED_VALUE"""),"Core Product Support")</f>
        <v>Core Product Support</v>
      </c>
      <c r="Q1704" s="1" t="str">
        <f>IFERROR(__xludf.DUMMYFUNCTION("""COMPUTED_VALUE"""),"angelic@canva.com")</f>
        <v>angelic@canva.com</v>
      </c>
      <c r="R1704" s="1" t="str">
        <f>IFERROR(__xludf.DUMMYFUNCTION("""COMPUTED_VALUE"""),"Angel Ramas")</f>
        <v>Angel Ramas</v>
      </c>
      <c r="S1704" s="1">
        <f>IFERROR(__xludf.DUMMYFUNCTION("""COMPUTED_VALUE"""),1.5)</f>
        <v>1.5</v>
      </c>
      <c r="T1704" s="1"/>
      <c r="U1704" s="3">
        <f>IFERROR(__xludf.DUMMYFUNCTION("""COMPUTED_VALUE"""),1.5)</f>
        <v>1.5</v>
      </c>
      <c r="V1704" s="1" t="str">
        <f>IFERROR(__xludf.DUMMYFUNCTION("""COMPUTED_VALUE"""),"Marie Mordeno")</f>
        <v>Marie Mordeno</v>
      </c>
      <c r="W1704" s="1" t="str">
        <f>IFERROR(__xludf.DUMMYFUNCTION("""COMPUTED_VALUE"""),"Advanced Billing &amp; Subscriptions")</f>
        <v>Advanced Billing &amp; Subscriptions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IFERROR(__xludf.DUMMYFUNCTION("""COMPUTED_VALUE"""),"2025 Dec")</f>
        <v>2025 Dec</v>
      </c>
      <c r="P1705" s="1" t="str">
        <f>IFERROR(__xludf.DUMMYFUNCTION("""COMPUTED_VALUE"""),"Print Support")</f>
        <v>Print Support</v>
      </c>
      <c r="Q1705" s="1" t="str">
        <f>IFERROR(__xludf.DUMMYFUNCTION("""COMPUTED_VALUE"""),"adflora@canva.com")</f>
        <v>adflora@canva.com</v>
      </c>
      <c r="R1705" s="1" t="str">
        <f>IFERROR(__xludf.DUMMYFUNCTION("""COMPUTED_VALUE"""),"Angela Flora")</f>
        <v>Angela Flora</v>
      </c>
      <c r="S1705" s="1"/>
      <c r="T1705" s="1"/>
      <c r="U1705" s="3">
        <f>IFERROR(__xludf.DUMMYFUNCTION("""COMPUTED_VALUE"""),0.0)</f>
        <v>0</v>
      </c>
      <c r="V1705" s="1" t="str">
        <f>IFERROR(__xludf.DUMMYFUNCTION("""COMPUTED_VALUE"""),"Ann Dumlao")</f>
        <v>Ann Dumlao</v>
      </c>
      <c r="W1705" s="1" t="str">
        <f>IFERROR(__xludf.DUMMYFUNCTION("""COMPUTED_VALUE"""),"Print Support PH")</f>
        <v>Print Support PH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IFERROR(__xludf.DUMMYFUNCTION("""COMPUTED_VALUE"""),"2025 Dec")</f>
        <v>2025 Dec</v>
      </c>
      <c r="P1706" s="1" t="str">
        <f>IFERROR(__xludf.DUMMYFUNCTION("""COMPUTED_VALUE"""),"Core Product Support")</f>
        <v>Core Product Support</v>
      </c>
      <c r="Q1706" s="1" t="str">
        <f>IFERROR(__xludf.DUMMYFUNCTION("""COMPUTED_VALUE"""),"annaalberto@canva.com")</f>
        <v>annaalberto@canva.com</v>
      </c>
      <c r="R1706" s="1" t="str">
        <f>IFERROR(__xludf.DUMMYFUNCTION("""COMPUTED_VALUE"""),"Anna Alberto-Felipe")</f>
        <v>Anna Alberto-Felipe</v>
      </c>
      <c r="S1706" s="1">
        <f>IFERROR(__xludf.DUMMYFUNCTION("""COMPUTED_VALUE"""),2.0)</f>
        <v>2</v>
      </c>
      <c r="T1706" s="1"/>
      <c r="U1706" s="3">
        <f>IFERROR(__xludf.DUMMYFUNCTION("""COMPUTED_VALUE"""),2.0)</f>
        <v>2</v>
      </c>
      <c r="V1706" s="1" t="str">
        <f>IFERROR(__xludf.DUMMYFUNCTION("""COMPUTED_VALUE"""),"Vianca De Jesus")</f>
        <v>Vianca De Jesus</v>
      </c>
      <c r="W1706" s="1" t="str">
        <f>IFERROR(__xludf.DUMMYFUNCTION("""COMPUTED_VALUE"""),"Advanced Chat Support")</f>
        <v>Advanced Chat Support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IFERROR(__xludf.DUMMYFUNCTION("""COMPUTED_VALUE"""),"2025 Dec")</f>
        <v>2025 Dec</v>
      </c>
      <c r="P1707" s="1" t="str">
        <f>IFERROR(__xludf.DUMMYFUNCTION("""COMPUTED_VALUE"""),"Print Support")</f>
        <v>Print Support</v>
      </c>
      <c r="Q1707" s="1" t="str">
        <f>IFERROR(__xludf.DUMMYFUNCTION("""COMPUTED_VALUE"""),"arcelie@canva.com")</f>
        <v>arcelie@canva.com</v>
      </c>
      <c r="R1707" s="1" t="str">
        <f>IFERROR(__xludf.DUMMYFUNCTION("""COMPUTED_VALUE"""),"Arcie San Pedro")</f>
        <v>Arcie San Pedro</v>
      </c>
      <c r="S1707" s="1">
        <f>IFERROR(__xludf.DUMMYFUNCTION("""COMPUTED_VALUE"""),10.0)</f>
        <v>10</v>
      </c>
      <c r="T1707" s="1"/>
      <c r="U1707" s="3">
        <f>IFERROR(__xludf.DUMMYFUNCTION("""COMPUTED_VALUE"""),10.0)</f>
        <v>10</v>
      </c>
      <c r="V1707" s="1" t="str">
        <f>IFERROR(__xludf.DUMMYFUNCTION("""COMPUTED_VALUE"""),"Rae Erlano")</f>
        <v>Rae Erlano</v>
      </c>
      <c r="W1707" s="1" t="str">
        <f>IFERROR(__xludf.DUMMYFUNCTION("""COMPUTED_VALUE"""),"Print Support PH")</f>
        <v>Print Support PH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IFERROR(__xludf.DUMMYFUNCTION("""COMPUTED_VALUE"""),"2025 Dec")</f>
        <v>2025 Dec</v>
      </c>
      <c r="P1708" s="1" t="str">
        <f>IFERROR(__xludf.DUMMYFUNCTION("""COMPUTED_VALUE"""),"Print Support")</f>
        <v>Print Support</v>
      </c>
      <c r="Q1708" s="1" t="str">
        <f>IFERROR(__xludf.DUMMYFUNCTION("""COMPUTED_VALUE"""),"arjane@canva.com")</f>
        <v>arjane@canva.com</v>
      </c>
      <c r="R1708" s="1" t="str">
        <f>IFERROR(__xludf.DUMMYFUNCTION("""COMPUTED_VALUE"""),"Arjane Oliva")</f>
        <v>Arjane Oliva</v>
      </c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IFERROR(__xludf.DUMMYFUNCTION("""COMPUTED_VALUE"""),"Rei De Jesus")</f>
        <v>Rei De Jesus</v>
      </c>
      <c r="W1708" s="1" t="str">
        <f>IFERROR(__xludf.DUMMYFUNCTION("""COMPUTED_VALUE"""),"Print Design Support")</f>
        <v>Print Design Support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IFERROR(__xludf.DUMMYFUNCTION("""COMPUTED_VALUE"""),"2025 Dec")</f>
        <v>2025 Dec</v>
      </c>
      <c r="P1709" s="1" t="str">
        <f>IFERROR(__xludf.DUMMYFUNCTION("""COMPUTED_VALUE"""),"High Sensitivity Support")</f>
        <v>High Sensitivity Support</v>
      </c>
      <c r="Q1709" s="1" t="str">
        <f>IFERROR(__xludf.DUMMYFUNCTION("""COMPUTED_VALUE"""),"arodes@canva.com")</f>
        <v>arodes@canva.com</v>
      </c>
      <c r="R1709" s="1" t="str">
        <f>IFERROR(__xludf.DUMMYFUNCTION("""COMPUTED_VALUE"""),"Arriane Rodes")</f>
        <v>Arriane Rodes</v>
      </c>
      <c r="S1709" s="1">
        <f>IFERROR(__xludf.DUMMYFUNCTION("""COMPUTED_VALUE"""),16.0)</f>
        <v>16</v>
      </c>
      <c r="T1709" s="1"/>
      <c r="U1709" s="3">
        <f>IFERROR(__xludf.DUMMYFUNCTION("""COMPUTED_VALUE"""),16.0)</f>
        <v>16</v>
      </c>
      <c r="V1709" s="1" t="str">
        <f>IFERROR(__xludf.DUMMYFUNCTION("""COMPUTED_VALUE"""),"Xandy Azarcon")</f>
        <v>Xandy Azarcon</v>
      </c>
      <c r="W1709" s="1" t="str">
        <f>IFERROR(__xludf.DUMMYFUNCTION("""COMPUTED_VALUE"""),"High Sensitivity Support PH")</f>
        <v>High Sensitivity Support PH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IFERROR(__xludf.DUMMYFUNCTION("""COMPUTED_VALUE"""),"2025 Dec")</f>
        <v>2025 Dec</v>
      </c>
      <c r="P1710" s="1" t="str">
        <f>IFERROR(__xludf.DUMMYFUNCTION("""COMPUTED_VALUE"""),"Admin Support")</f>
        <v>Admin Support</v>
      </c>
      <c r="Q1710" s="1" t="str">
        <f>IFERROR(__xludf.DUMMYFUNCTION("""COMPUTED_VALUE"""),"ashli@canva.com")</f>
        <v>ashli@canva.com</v>
      </c>
      <c r="R1710" s="1" t="str">
        <f>IFERROR(__xludf.DUMMYFUNCTION("""COMPUTED_VALUE"""),"Ashli Hanson")</f>
        <v>Ashli Hanson</v>
      </c>
      <c r="S1710" s="1">
        <f>IFERROR(__xludf.DUMMYFUNCTION("""COMPUTED_VALUE"""),1.5)</f>
        <v>1.5</v>
      </c>
      <c r="T1710" s="1"/>
      <c r="U1710" s="3">
        <f>IFERROR(__xludf.DUMMYFUNCTION("""COMPUTED_VALUE"""),1.5)</f>
        <v>1.5</v>
      </c>
      <c r="V1710" s="1" t="str">
        <f>IFERROR(__xludf.DUMMYFUNCTION("""COMPUTED_VALUE"""),"Tash Kelly")</f>
        <v>Tash Kelly</v>
      </c>
      <c r="W1710" s="1" t="str">
        <f>IFERROR(__xludf.DUMMYFUNCTION("""COMPUTED_VALUE"""),"Admin Support NA")</f>
        <v>Admin Support NA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IFERROR(__xludf.DUMMYFUNCTION("""COMPUTED_VALUE"""),"2025 Dec")</f>
        <v>2025 Dec</v>
      </c>
      <c r="P1711" s="1" t="str">
        <f>IFERROR(__xludf.DUMMYFUNCTION("""COMPUTED_VALUE"""),"High Sensitivity Support")</f>
        <v>High Sensitivity Support</v>
      </c>
      <c r="Q1711" s="1" t="str">
        <f>IFERROR(__xludf.DUMMYFUNCTION("""COMPUTED_VALUE"""),"aubrey@canva.com")</f>
        <v>aubrey@canva.com</v>
      </c>
      <c r="R1711" s="1" t="str">
        <f>IFERROR(__xludf.DUMMYFUNCTION("""COMPUTED_VALUE"""),"Aubrey Jasme")</f>
        <v>Aubrey Jasme</v>
      </c>
      <c r="S1711" s="1">
        <f>IFERROR(__xludf.DUMMYFUNCTION("""COMPUTED_VALUE"""),16.0)</f>
        <v>16</v>
      </c>
      <c r="T1711" s="1"/>
      <c r="U1711" s="3">
        <f>IFERROR(__xludf.DUMMYFUNCTION("""COMPUTED_VALUE"""),16.0)</f>
        <v>16</v>
      </c>
      <c r="V1711" s="1" t="str">
        <f>IFERROR(__xludf.DUMMYFUNCTION("""COMPUTED_VALUE"""),"Rex Villamor")</f>
        <v>Rex Villamor</v>
      </c>
      <c r="W1711" s="1" t="str">
        <f>IFERROR(__xludf.DUMMYFUNCTION("""COMPUTED_VALUE"""),"High Sensitivity Support PH")</f>
        <v>High Sensitivity Support PH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IFERROR(__xludf.DUMMYFUNCTION("""COMPUTED_VALUE"""),"2025 Dec")</f>
        <v>2025 Dec</v>
      </c>
      <c r="P1712" s="1" t="str">
        <f>IFERROR(__xludf.DUMMYFUNCTION("""COMPUTED_VALUE"""),"Core Product Support")</f>
        <v>Core Product Support</v>
      </c>
      <c r="Q1712" s="1" t="str">
        <f>IFERROR(__xludf.DUMMYFUNCTION("""COMPUTED_VALUE"""),"ayen@canva.com")</f>
        <v>ayen@canva.com</v>
      </c>
      <c r="R1712" s="1" t="str">
        <f>IFERROR(__xludf.DUMMYFUNCTION("""COMPUTED_VALUE"""),"Ayen Realeza")</f>
        <v>Ayen Realeza</v>
      </c>
      <c r="S1712" s="1">
        <f>IFERROR(__xludf.DUMMYFUNCTION("""COMPUTED_VALUE"""),1.5)</f>
        <v>1.5</v>
      </c>
      <c r="T1712" s="1">
        <f>IFERROR(__xludf.DUMMYFUNCTION("""COMPUTED_VALUE"""),10.5)</f>
        <v>10.5</v>
      </c>
      <c r="U1712" s="3">
        <f>IFERROR(__xludf.DUMMYFUNCTION("""COMPUTED_VALUE"""),12.0)</f>
        <v>12</v>
      </c>
      <c r="V1712" s="1" t="str">
        <f>IFERROR(__xludf.DUMMYFUNCTION("""COMPUTED_VALUE"""),"Bem Launte")</f>
        <v>Bem Launte</v>
      </c>
      <c r="W1712" s="1" t="str">
        <f>IFERROR(__xludf.DUMMYFUNCTION("""COMPUTED_VALUE"""),"Core Product Support Escalation Team")</f>
        <v>Core Product Support Escalation Team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IFERROR(__xludf.DUMMYFUNCTION("""COMPUTED_VALUE"""),"2025 Dec")</f>
        <v>2025 Dec</v>
      </c>
      <c r="P1713" s="1" t="str">
        <f>IFERROR(__xludf.DUMMYFUNCTION("""COMPUTED_VALUE"""),"Print Support")</f>
        <v>Print Support</v>
      </c>
      <c r="Q1713" s="1" t="str">
        <f>IFERROR(__xludf.DUMMYFUNCTION("""COMPUTED_VALUE"""),"jborreros@canva.com")</f>
        <v>jborreros@canva.com</v>
      </c>
      <c r="R1713" s="1" t="str">
        <f>IFERROR(__xludf.DUMMYFUNCTION("""COMPUTED_VALUE"""),"Bea Borreros")</f>
        <v>Bea Borreros</v>
      </c>
      <c r="S1713" s="1">
        <f>IFERROR(__xludf.DUMMYFUNCTION("""COMPUTED_VALUE"""),8.0)</f>
        <v>8</v>
      </c>
      <c r="T1713" s="1"/>
      <c r="U1713" s="3">
        <f>IFERROR(__xludf.DUMMYFUNCTION("""COMPUTED_VALUE"""),8.0)</f>
        <v>8</v>
      </c>
      <c r="V1713" s="1" t="str">
        <f>IFERROR(__xludf.DUMMYFUNCTION("""COMPUTED_VALUE"""),"Memae Faustino")</f>
        <v>Memae Faustino</v>
      </c>
      <c r="W1713" s="1" t="str">
        <f>IFERROR(__xludf.DUMMYFUNCTION("""COMPUTED_VALUE"""),"Print Support PH")</f>
        <v>Print Support PH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IFERROR(__xludf.DUMMYFUNCTION("""COMPUTED_VALUE"""),"2025 Dec")</f>
        <v>2025 Dec</v>
      </c>
      <c r="P1714" s="1" t="str">
        <f>IFERROR(__xludf.DUMMYFUNCTION("""COMPUTED_VALUE"""),"Print Support")</f>
        <v>Print Support</v>
      </c>
      <c r="Q1714" s="1" t="str">
        <f>IFERROR(__xludf.DUMMYFUNCTION("""COMPUTED_VALUE"""),"bea@canva.com")</f>
        <v>bea@canva.com</v>
      </c>
      <c r="R1714" s="1" t="str">
        <f>IFERROR(__xludf.DUMMYFUNCTION("""COMPUTED_VALUE"""),"Bea Mendoza")</f>
        <v>Bea Mendoza</v>
      </c>
      <c r="S1714" s="1"/>
      <c r="T1714" s="1">
        <f>IFERROR(__xludf.DUMMYFUNCTION("""COMPUTED_VALUE"""),1.0)</f>
        <v>1</v>
      </c>
      <c r="U1714" s="3">
        <f>IFERROR(__xludf.DUMMYFUNCTION("""COMPUTED_VALUE"""),1.0)</f>
        <v>1</v>
      </c>
      <c r="V1714" s="1" t="str">
        <f>IFERROR(__xludf.DUMMYFUNCTION("""COMPUTED_VALUE"""),"Aliza Dote")</f>
        <v>Aliza Dote</v>
      </c>
      <c r="W1714" s="1" t="str">
        <f>IFERROR(__xludf.DUMMYFUNCTION("""COMPUTED_VALUE"""),"Print Design Support")</f>
        <v>Print Design Support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IFERROR(__xludf.DUMMYFUNCTION("""COMPUTED_VALUE"""),"2025 Dec")</f>
        <v>2025 Dec</v>
      </c>
      <c r="P1715" s="1" t="str">
        <f>IFERROR(__xludf.DUMMYFUNCTION("""COMPUTED_VALUE"""),"Core Product Support")</f>
        <v>Core Product Support</v>
      </c>
      <c r="Q1715" s="1" t="str">
        <f>IFERROR(__xludf.DUMMYFUNCTION("""COMPUTED_VALUE"""),"beanyvince@canva.com")</f>
        <v>beanyvince@canva.com</v>
      </c>
      <c r="R1715" s="1" t="str">
        <f>IFERROR(__xludf.DUMMYFUNCTION("""COMPUTED_VALUE"""),"Beany Rodriguez")</f>
        <v>Beany Rodriguez</v>
      </c>
      <c r="S1715" s="1">
        <f>IFERROR(__xludf.DUMMYFUNCTION("""COMPUTED_VALUE"""),2.0)</f>
        <v>2</v>
      </c>
      <c r="T1715" s="1">
        <f>IFERROR(__xludf.DUMMYFUNCTION("""COMPUTED_VALUE"""),0.17)</f>
        <v>0.17</v>
      </c>
      <c r="U1715" s="3">
        <f>IFERROR(__xludf.DUMMYFUNCTION("""COMPUTED_VALUE"""),2.17)</f>
        <v>2.17</v>
      </c>
      <c r="V1715" s="1" t="str">
        <f>IFERROR(__xludf.DUMMYFUNCTION("""COMPUTED_VALUE"""),"Cate Velasco")</f>
        <v>Cate Velasco</v>
      </c>
      <c r="W1715" s="1" t="str">
        <f>IFERROR(__xludf.DUMMYFUNCTION("""COMPUTED_VALUE"""),"Advanced Product Support")</f>
        <v>Advanced Product Support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IFERROR(__xludf.DUMMYFUNCTION("""COMPUTED_VALUE"""),"2025 Dec")</f>
        <v>2025 Dec</v>
      </c>
      <c r="P1716" s="1" t="str">
        <f>IFERROR(__xludf.DUMMYFUNCTION("""COMPUTED_VALUE"""),"Print Support")</f>
        <v>Print Support</v>
      </c>
      <c r="Q1716" s="1" t="str">
        <f>IFERROR(__xludf.DUMMYFUNCTION("""COMPUTED_VALUE"""),"bembiellanza@canva.com")</f>
        <v>bembiellanza@canva.com</v>
      </c>
      <c r="R1716" s="1" t="str">
        <f>IFERROR(__xludf.DUMMYFUNCTION("""COMPUTED_VALUE"""),"Bembie Llanza")</f>
        <v>Bembie Llanza</v>
      </c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IFERROR(__xludf.DUMMYFUNCTION("""COMPUTED_VALUE"""),"Louise Dianne Estrella")</f>
        <v>Louise Dianne Estrella</v>
      </c>
      <c r="W1716" s="1" t="str">
        <f>IFERROR(__xludf.DUMMYFUNCTION("""COMPUTED_VALUE"""),"Print Support PH")</f>
        <v>Print Support PH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IFERROR(__xludf.DUMMYFUNCTION("""COMPUTED_VALUE"""),"#N/A")</f>
        <v>#N/A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IFERROR(__xludf.DUMMYFUNCTION("""COMPUTED_VALUE"""),"#N/A")</f>
        <v>#N/A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IFERROR(__xludf.DUMMYFUNCTION("""COMPUTED_VALUE"""),"2025 Dec")</f>
        <v>2025 Dec</v>
      </c>
      <c r="P1717" s="1" t="str">
        <f>IFERROR(__xludf.DUMMYFUNCTION("""COMPUTED_VALUE"""),"Print Support")</f>
        <v>Print Support</v>
      </c>
      <c r="Q1717" s="1" t="str">
        <f>IFERROR(__xludf.DUMMYFUNCTION("""COMPUTED_VALUE"""),"bernice@canva.com")</f>
        <v>bernice@canva.com</v>
      </c>
      <c r="R1717" s="1" t="str">
        <f>IFERROR(__xludf.DUMMYFUNCTION("""COMPUTED_VALUE"""),"Bernice Talosig")</f>
        <v>Bernice Talosig</v>
      </c>
      <c r="S1717" s="1"/>
      <c r="T1717" s="1"/>
      <c r="U1717" s="3">
        <f>IFERROR(__xludf.DUMMYFUNCTION("""COMPUTED_VALUE"""),0.0)</f>
        <v>0</v>
      </c>
      <c r="V1717" s="1" t="str">
        <f>IFERROR(__xludf.DUMMYFUNCTION("""COMPUTED_VALUE"""),"Ann Dumlao")</f>
        <v>Ann Dumlao</v>
      </c>
      <c r="W1717" s="1" t="str">
        <f>IFERROR(__xludf.DUMMYFUNCTION("""COMPUTED_VALUE"""),"Print Support PH")</f>
        <v>Print Support PH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IFERROR(__xludf.DUMMYFUNCTION("""COMPUTED_VALUE"""),"2025 Dec")</f>
        <v>2025 Dec</v>
      </c>
      <c r="P1718" s="1" t="str">
        <f>IFERROR(__xludf.DUMMYFUNCTION("""COMPUTED_VALUE"""),"Core Product Support")</f>
        <v>Core Product Support</v>
      </c>
      <c r="Q1718" s="1" t="str">
        <f>IFERROR(__xludf.DUMMYFUNCTION("""COMPUTED_VALUE"""),"beverlymarie@canva.com")</f>
        <v>beverlymarie@canva.com</v>
      </c>
      <c r="R1718" s="1" t="str">
        <f>IFERROR(__xludf.DUMMYFUNCTION("""COMPUTED_VALUE"""),"Bev Dacanay")</f>
        <v>Bev Dacanay</v>
      </c>
      <c r="S1718" s="1">
        <f>IFERROR(__xludf.DUMMYFUNCTION("""COMPUTED_VALUE"""),2.0)</f>
        <v>2</v>
      </c>
      <c r="T1718" s="1"/>
      <c r="U1718" s="3">
        <f>IFERROR(__xludf.DUMMYFUNCTION("""COMPUTED_VALUE"""),2.0)</f>
        <v>2</v>
      </c>
      <c r="V1718" s="1" t="str">
        <f>IFERROR(__xludf.DUMMYFUNCTION("""COMPUTED_VALUE"""),"Ayza Marie Pascual")</f>
        <v>Ayza Marie Pascual</v>
      </c>
      <c r="W1718" s="1" t="str">
        <f>IFERROR(__xludf.DUMMYFUNCTION("""COMPUTED_VALUE"""),"Advanced Billing &amp; Subscriptions")</f>
        <v>Advanced Billing &amp; Subscriptions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IFERROR(__xludf.DUMMYFUNCTION("""COMPUTED_VALUE"""),"2025 Dec")</f>
        <v>2025 Dec</v>
      </c>
      <c r="P1719" s="1" t="str">
        <f>IFERROR(__xludf.DUMMYFUNCTION("""COMPUTED_VALUE"""),"Admin Support")</f>
        <v>Admin Support</v>
      </c>
      <c r="Q1719" s="1" t="str">
        <f>IFERROR(__xludf.DUMMYFUNCTION("""COMPUTED_VALUE"""),"bia@canva.com")</f>
        <v>bia@canva.com</v>
      </c>
      <c r="R1719" s="1" t="str">
        <f>IFERROR(__xludf.DUMMYFUNCTION("""COMPUTED_VALUE"""),"Bianca Santiago")</f>
        <v>Bianca Santiago</v>
      </c>
      <c r="S1719" s="1"/>
      <c r="T1719" s="1">
        <f>IFERROR(__xludf.DUMMYFUNCTION("""COMPUTED_VALUE"""),1.75)</f>
        <v>1.75</v>
      </c>
      <c r="U1719" s="3">
        <f>IFERROR(__xludf.DUMMYFUNCTION("""COMPUTED_VALUE"""),1.75)</f>
        <v>1.75</v>
      </c>
      <c r="V1719" s="1" t="str">
        <f>IFERROR(__xludf.DUMMYFUNCTION("""COMPUTED_VALUE"""),"Kelden Laguting")</f>
        <v>Kelden Laguting</v>
      </c>
      <c r="W1719" s="1" t="str">
        <f>IFERROR(__xludf.DUMMYFUNCTION("""COMPUTED_VALUE"""),"Admin Support PH")</f>
        <v>Admin Support PH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IFERROR(__xludf.DUMMYFUNCTION("""COMPUTED_VALUE"""),"2025 Dec")</f>
        <v>2025 Dec</v>
      </c>
      <c r="P1720" s="1" t="str">
        <f>IFERROR(__xludf.DUMMYFUNCTION("""COMPUTED_VALUE"""),"Core Product Support")</f>
        <v>Core Product Support</v>
      </c>
      <c r="Q1720" s="1" t="str">
        <f>IFERROR(__xludf.DUMMYFUNCTION("""COMPUTED_VALUE"""),"bryanb@canva.com")</f>
        <v>bryanb@canva.com</v>
      </c>
      <c r="R1720" s="1" t="str">
        <f>IFERROR(__xludf.DUMMYFUNCTION("""COMPUTED_VALUE"""),"Bryan Lemuel Britanico")</f>
        <v>Bryan Lemuel Britanico</v>
      </c>
      <c r="S1720" s="1">
        <f>IFERROR(__xludf.DUMMYFUNCTION("""COMPUTED_VALUE"""),0.5)</f>
        <v>0.5</v>
      </c>
      <c r="T1720" s="1">
        <f>IFERROR(__xludf.DUMMYFUNCTION("""COMPUTED_VALUE"""),5.0)</f>
        <v>5</v>
      </c>
      <c r="U1720" s="3">
        <f>IFERROR(__xludf.DUMMYFUNCTION("""COMPUTED_VALUE"""),5.5)</f>
        <v>5.5</v>
      </c>
      <c r="V1720" s="1" t="str">
        <f>IFERROR(__xludf.DUMMYFUNCTION("""COMPUTED_VALUE"""),"Jahmie Mae Barrameda")</f>
        <v>Jahmie Mae Barrameda</v>
      </c>
      <c r="W1720" s="1" t="str">
        <f>IFERROR(__xludf.DUMMYFUNCTION("""COMPUTED_VALUE"""),"Advanced Billing &amp; Subscriptions")</f>
        <v>Advanced Billing &amp; Subscriptions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IFERROR(__xludf.DUMMYFUNCTION("""COMPUTED_VALUE"""),"2025 Dec")</f>
        <v>2025 Dec</v>
      </c>
      <c r="P1721" s="1" t="str">
        <f>IFERROR(__xludf.DUMMYFUNCTION("""COMPUTED_VALUE"""),"Print Support")</f>
        <v>Print Support</v>
      </c>
      <c r="Q1721" s="1" t="str">
        <f>IFERROR(__xludf.DUMMYFUNCTION("""COMPUTED_VALUE"""),"caesar@canva.com")</f>
        <v>caesar@canva.com</v>
      </c>
      <c r="R1721" s="1" t="str">
        <f>IFERROR(__xludf.DUMMYFUNCTION("""COMPUTED_VALUE"""),"Caesar Bitudio")</f>
        <v>Caesar Bitudio</v>
      </c>
      <c r="S1721" s="1"/>
      <c r="T1721" s="1"/>
      <c r="U1721" s="3">
        <f>IFERROR(__xludf.DUMMYFUNCTION("""COMPUTED_VALUE"""),0.0)</f>
        <v>0</v>
      </c>
      <c r="V1721" s="1" t="str">
        <f>IFERROR(__xludf.DUMMYFUNCTION("""COMPUTED_VALUE"""),"G-Anne Murillo")</f>
        <v>G-Anne Murillo</v>
      </c>
      <c r="W1721" s="1" t="str">
        <f>IFERROR(__xludf.DUMMYFUNCTION("""COMPUTED_VALUE"""),"Print Design Support")</f>
        <v>Print Design Support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IFERROR(__xludf.DUMMYFUNCTION("""COMPUTED_VALUE"""),"2025 Dec")</f>
        <v>2025 Dec</v>
      </c>
      <c r="P1722" s="1" t="str">
        <f>IFERROR(__xludf.DUMMYFUNCTION("""COMPUTED_VALUE"""),"Core Product Support")</f>
        <v>Core Product Support</v>
      </c>
      <c r="Q1722" s="1" t="str">
        <f>IFERROR(__xludf.DUMMYFUNCTION("""COMPUTED_VALUE"""),"cae@canva.com")</f>
        <v>cae@canva.com</v>
      </c>
      <c r="R1722" s="1" t="str">
        <f>IFERROR(__xludf.DUMMYFUNCTION("""COMPUTED_VALUE"""),"Caevee Dizon")</f>
        <v>Caevee Dizon</v>
      </c>
      <c r="S1722" s="1">
        <f>IFERROR(__xludf.DUMMYFUNCTION("""COMPUTED_VALUE"""),1.0)</f>
        <v>1</v>
      </c>
      <c r="T1722" s="1">
        <f>IFERROR(__xludf.DUMMYFUNCTION("""COMPUTED_VALUE"""),4.0)</f>
        <v>4</v>
      </c>
      <c r="U1722" s="3">
        <f>IFERROR(__xludf.DUMMYFUNCTION("""COMPUTED_VALUE"""),5.0)</f>
        <v>5</v>
      </c>
      <c r="V1722" s="1" t="str">
        <f>IFERROR(__xludf.DUMMYFUNCTION("""COMPUTED_VALUE"""),"Jahmie Mae Barrameda")</f>
        <v>Jahmie Mae Barrameda</v>
      </c>
      <c r="W1722" s="1" t="str">
        <f>IFERROR(__xludf.DUMMYFUNCTION("""COMPUTED_VALUE"""),"Advanced Billing &amp; Subscriptions")</f>
        <v>Advanced Billing &amp; Subscriptions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IFERROR(__xludf.DUMMYFUNCTION("""COMPUTED_VALUE"""),"2025 Dec")</f>
        <v>2025 Dec</v>
      </c>
      <c r="P1723" s="1" t="str">
        <f>IFERROR(__xludf.DUMMYFUNCTION("""COMPUTED_VALUE"""),"Print Support")</f>
        <v>Print Support</v>
      </c>
      <c r="Q1723" s="1" t="str">
        <f>IFERROR(__xludf.DUMMYFUNCTION("""COMPUTED_VALUE"""),"cali@canva.com")</f>
        <v>cali@canva.com</v>
      </c>
      <c r="R1723" s="1" t="str">
        <f>IFERROR(__xludf.DUMMYFUNCTION("""COMPUTED_VALUE"""),"Cali Bermudo")</f>
        <v>Cali Bermudo</v>
      </c>
      <c r="S1723" s="1"/>
      <c r="T1723" s="1"/>
      <c r="U1723" s="3">
        <f>IFERROR(__xludf.DUMMYFUNCTION("""COMPUTED_VALUE"""),0.0)</f>
        <v>0</v>
      </c>
      <c r="V1723" s="1" t="str">
        <f>IFERROR(__xludf.DUMMYFUNCTION("""COMPUTED_VALUE"""),"Jan Domingo")</f>
        <v>Jan Domingo</v>
      </c>
      <c r="W1723" s="1" t="str">
        <f>IFERROR(__xludf.DUMMYFUNCTION("""COMPUTED_VALUE"""),"Print Design Support")</f>
        <v>Print Design Support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IFERROR(__xludf.DUMMYFUNCTION("""COMPUTED_VALUE"""),"2025 Dec")</f>
        <v>2025 Dec</v>
      </c>
      <c r="P1724" s="1" t="str">
        <f>IFERROR(__xludf.DUMMYFUNCTION("""COMPUTED_VALUE"""),"Admin Support")</f>
        <v>Admin Support</v>
      </c>
      <c r="Q1724" s="1" t="str">
        <f>IFERROR(__xludf.DUMMYFUNCTION("""COMPUTED_VALUE"""),"cbasilio@canva.com")</f>
        <v>cbasilio@canva.com</v>
      </c>
      <c r="R1724" s="1" t="str">
        <f>IFERROR(__xludf.DUMMYFUNCTION("""COMPUTED_VALUE"""),"Camille Basilio")</f>
        <v>Camille Basilio</v>
      </c>
      <c r="S1724" s="1"/>
      <c r="T1724" s="1">
        <f>IFERROR(__xludf.DUMMYFUNCTION("""COMPUTED_VALUE"""),7.5)</f>
        <v>7.5</v>
      </c>
      <c r="U1724" s="3">
        <f>IFERROR(__xludf.DUMMYFUNCTION("""COMPUTED_VALUE"""),7.5)</f>
        <v>7.5</v>
      </c>
      <c r="V1724" s="1" t="str">
        <f>IFERROR(__xludf.DUMMYFUNCTION("""COMPUTED_VALUE"""),"Rose Gabilan")</f>
        <v>Rose Gabilan</v>
      </c>
      <c r="W1724" s="1" t="str">
        <f>IFERROR(__xludf.DUMMYFUNCTION("""COMPUTED_VALUE"""),"Admin Support PH SSO")</f>
        <v>Admin Support PH SSO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IFERROR(__xludf.DUMMYFUNCTION("""COMPUTED_VALUE"""),"2025 Dec")</f>
        <v>2025 Dec</v>
      </c>
      <c r="P1725" s="1" t="str">
        <f>IFERROR(__xludf.DUMMYFUNCTION("""COMPUTED_VALUE"""),"Core Product Support")</f>
        <v>Core Product Support</v>
      </c>
      <c r="Q1725" s="1" t="str">
        <f>IFERROR(__xludf.DUMMYFUNCTION("""COMPUTED_VALUE"""),"camilleb@canva.com")</f>
        <v>camilleb@canva.com</v>
      </c>
      <c r="R1725" s="1" t="str">
        <f>IFERROR(__xludf.DUMMYFUNCTION("""COMPUTED_VALUE"""),"Camille Bucks")</f>
        <v>Camille Bucks</v>
      </c>
      <c r="S1725" s="1">
        <f>IFERROR(__xludf.DUMMYFUNCTION("""COMPUTED_VALUE"""),1.5)</f>
        <v>1.5</v>
      </c>
      <c r="T1725" s="1">
        <f>IFERROR(__xludf.DUMMYFUNCTION("""COMPUTED_VALUE"""),14.5)</f>
        <v>14.5</v>
      </c>
      <c r="U1725" s="3">
        <f>IFERROR(__xludf.DUMMYFUNCTION("""COMPUTED_VALUE"""),16.0)</f>
        <v>16</v>
      </c>
      <c r="V1725" s="1" t="str">
        <f>IFERROR(__xludf.DUMMYFUNCTION("""COMPUTED_VALUE"""),"Ellaine Estayo")</f>
        <v>Ellaine Estayo</v>
      </c>
      <c r="W1725" s="1" t="str">
        <f>IFERROR(__xludf.DUMMYFUNCTION("""COMPUTED_VALUE"""),"Core Product Support Escalation Team")</f>
        <v>Core Product Support Escalation Team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IFERROR(__xludf.DUMMYFUNCTION("""COMPUTED_VALUE"""),"2025 Dec")</f>
        <v>2025 Dec</v>
      </c>
      <c r="P1726" s="1" t="str">
        <f>IFERROR(__xludf.DUMMYFUNCTION("""COMPUTED_VALUE"""),"Admin Support")</f>
        <v>Admin Support</v>
      </c>
      <c r="Q1726" s="1" t="str">
        <f>IFERROR(__xludf.DUMMYFUNCTION("""COMPUTED_VALUE"""),"camille.n@canva.com")</f>
        <v>camille.n@canva.com</v>
      </c>
      <c r="R1726" s="1" t="str">
        <f>IFERROR(__xludf.DUMMYFUNCTION("""COMPUTED_VALUE"""),"Camille Neypes")</f>
        <v>Camille Neypes</v>
      </c>
      <c r="S1726" s="1"/>
      <c r="T1726" s="1">
        <f>IFERROR(__xludf.DUMMYFUNCTION("""COMPUTED_VALUE"""),15.25)</f>
        <v>15.25</v>
      </c>
      <c r="U1726" s="3">
        <f>IFERROR(__xludf.DUMMYFUNCTION("""COMPUTED_VALUE"""),15.25)</f>
        <v>15.25</v>
      </c>
      <c r="V1726" s="1" t="str">
        <f>IFERROR(__xludf.DUMMYFUNCTION("""COMPUTED_VALUE"""),"Kelden Laguting")</f>
        <v>Kelden Laguting</v>
      </c>
      <c r="W1726" s="1" t="str">
        <f>IFERROR(__xludf.DUMMYFUNCTION("""COMPUTED_VALUE"""),"Admin Support PH")</f>
        <v>Admin Support PH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IFERROR(__xludf.DUMMYFUNCTION("""COMPUTED_VALUE"""),"2025 Dec")</f>
        <v>2025 Dec</v>
      </c>
      <c r="P1727" s="1" t="str">
        <f>IFERROR(__xludf.DUMMYFUNCTION("""COMPUTED_VALUE"""),"Print Support")</f>
        <v>Print Support</v>
      </c>
      <c r="Q1727" s="1" t="str">
        <f>IFERROR(__xludf.DUMMYFUNCTION("""COMPUTED_VALUE"""),"cammy@canva.com")</f>
        <v>cammy@canva.com</v>
      </c>
      <c r="R1727" s="1" t="str">
        <f>IFERROR(__xludf.DUMMYFUNCTION("""COMPUTED_VALUE"""),"Camille Oriel")</f>
        <v>Camille Oriel</v>
      </c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IFERROR(__xludf.DUMMYFUNCTION("""COMPUTED_VALUE"""),"Ann Dumlao")</f>
        <v>Ann Dumlao</v>
      </c>
      <c r="W1727" s="1" t="str">
        <f>IFERROR(__xludf.DUMMYFUNCTION("""COMPUTED_VALUE"""),"Print Support PH")</f>
        <v>Print Support PH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IFERROR(__xludf.DUMMYFUNCTION("""COMPUTED_VALUE"""),"2025 Dec")</f>
        <v>2025 Dec</v>
      </c>
      <c r="P1728" s="1" t="str">
        <f>IFERROR(__xludf.DUMMYFUNCTION("""COMPUTED_VALUE"""),"Admin Support")</f>
        <v>Admin Support</v>
      </c>
      <c r="Q1728" s="1" t="str">
        <f>IFERROR(__xludf.DUMMYFUNCTION("""COMPUTED_VALUE"""),"carloav@canva.com")</f>
        <v>carloav@canva.com</v>
      </c>
      <c r="R1728" s="1" t="str">
        <f>IFERROR(__xludf.DUMMYFUNCTION("""COMPUTED_VALUE"""),"Carlo Valentin")</f>
        <v>Carlo Valentin</v>
      </c>
      <c r="S1728" s="1"/>
      <c r="T1728" s="1">
        <f>IFERROR(__xludf.DUMMYFUNCTION("""COMPUTED_VALUE"""),5.0)</f>
        <v>5</v>
      </c>
      <c r="U1728" s="3">
        <f>IFERROR(__xludf.DUMMYFUNCTION("""COMPUTED_VALUE"""),5.0)</f>
        <v>5</v>
      </c>
      <c r="V1728" s="1" t="str">
        <f>IFERROR(__xludf.DUMMYFUNCTION("""COMPUTED_VALUE"""),"Rose Gabilan")</f>
        <v>Rose Gabilan</v>
      </c>
      <c r="W1728" s="1" t="str">
        <f>IFERROR(__xludf.DUMMYFUNCTION("""COMPUTED_VALUE"""),"Admin Support PH SSO")</f>
        <v>Admin Support PH SSO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IFERROR(__xludf.DUMMYFUNCTION("""COMPUTED_VALUE"""),"2025 Dec")</f>
        <v>2025 Dec</v>
      </c>
      <c r="P1729" s="1" t="str">
        <f>IFERROR(__xludf.DUMMYFUNCTION("""COMPUTED_VALUE"""),"Core Product Support")</f>
        <v>Core Product Support</v>
      </c>
      <c r="Q1729" s="1" t="str">
        <f>IFERROR(__xludf.DUMMYFUNCTION("""COMPUTED_VALUE"""),"carmeladc@canva.com")</f>
        <v>carmeladc@canva.com</v>
      </c>
      <c r="R1729" s="1" t="str">
        <f>IFERROR(__xludf.DUMMYFUNCTION("""COMPUTED_VALUE"""),"Carmela Dela Cruz")</f>
        <v>Carmela Dela Cruz</v>
      </c>
      <c r="S1729" s="1">
        <f>IFERROR(__xludf.DUMMYFUNCTION("""COMPUTED_VALUE"""),2.0)</f>
        <v>2</v>
      </c>
      <c r="T1729" s="1"/>
      <c r="U1729" s="3">
        <f>IFERROR(__xludf.DUMMYFUNCTION("""COMPUTED_VALUE"""),2.0)</f>
        <v>2</v>
      </c>
      <c r="V1729" s="1" t="str">
        <f>IFERROR(__xludf.DUMMYFUNCTION("""COMPUTED_VALUE"""),"Marie Mordeno")</f>
        <v>Marie Mordeno</v>
      </c>
      <c r="W1729" s="1" t="str">
        <f>IFERROR(__xludf.DUMMYFUNCTION("""COMPUTED_VALUE"""),"Advanced Billing &amp; Subscriptions")</f>
        <v>Advanced Billing &amp; Subscriptions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IFERROR(__xludf.DUMMYFUNCTION("""COMPUTED_VALUE"""),"2025 Dec")</f>
        <v>2025 Dec</v>
      </c>
      <c r="P1730" s="1" t="str">
        <f>IFERROR(__xludf.DUMMYFUNCTION("""COMPUTED_VALUE"""),"Print Support")</f>
        <v>Print Support</v>
      </c>
      <c r="Q1730" s="1" t="str">
        <f>IFERROR(__xludf.DUMMYFUNCTION("""COMPUTED_VALUE"""),"carms@canva.com")</f>
        <v>carms@canva.com</v>
      </c>
      <c r="R1730" s="1" t="str">
        <f>IFERROR(__xludf.DUMMYFUNCTION("""COMPUTED_VALUE"""),"Carms Merilles")</f>
        <v>Carms Merilles</v>
      </c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IFERROR(__xludf.DUMMYFUNCTION("""COMPUTED_VALUE"""),"Gem Agoncillo")</f>
        <v>Gem Agoncillo</v>
      </c>
      <c r="W1730" s="1" t="str">
        <f>IFERROR(__xludf.DUMMYFUNCTION("""COMPUTED_VALUE"""),"Print Design Support")</f>
        <v>Print Design Support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IFERROR(__xludf.DUMMYFUNCTION("""COMPUTED_VALUE"""),"2025 Dec")</f>
        <v>2025 Dec</v>
      </c>
      <c r="P1731" s="1" t="str">
        <f>IFERROR(__xludf.DUMMYFUNCTION("""COMPUTED_VALUE"""),"High Sensitivity Support")</f>
        <v>High Sensitivity Support</v>
      </c>
      <c r="Q1731" s="1" t="str">
        <f>IFERROR(__xludf.DUMMYFUNCTION("""COMPUTED_VALUE"""),"cassie@canva.com")</f>
        <v>cassie@canva.com</v>
      </c>
      <c r="R1731" s="1" t="str">
        <f>IFERROR(__xludf.DUMMYFUNCTION("""COMPUTED_VALUE"""),"Cassie Eugenio")</f>
        <v>Cassie Eugenio</v>
      </c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IFERROR(__xludf.DUMMYFUNCTION("""COMPUTED_VALUE"""),"Issi Afable")</f>
        <v>Issi Afable</v>
      </c>
      <c r="W1731" s="1" t="str">
        <f>IFERROR(__xludf.DUMMYFUNCTION("""COMPUTED_VALUE"""),"High Sensitivity Support PH")</f>
        <v>High Sensitivity Support PH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IFERROR(__xludf.DUMMYFUNCTION("""COMPUTED_VALUE"""),"2025 Dec")</f>
        <v>2025 Dec</v>
      </c>
      <c r="P1732" s="1" t="str">
        <f>IFERROR(__xludf.DUMMYFUNCTION("""COMPUTED_VALUE"""),"Print Support")</f>
        <v>Print Support</v>
      </c>
      <c r="Q1732" s="1" t="str">
        <f>IFERROR(__xludf.DUMMYFUNCTION("""COMPUTED_VALUE"""),"catherinenicole@canva.com")</f>
        <v>catherinenicole@canva.com</v>
      </c>
      <c r="R1732" s="1" t="str">
        <f>IFERROR(__xludf.DUMMYFUNCTION("""COMPUTED_VALUE"""),"Catherine Ledesma")</f>
        <v>Catherine Ledesma</v>
      </c>
      <c r="S1732" s="1"/>
      <c r="T1732" s="1"/>
      <c r="U1732" s="3">
        <f>IFERROR(__xludf.DUMMYFUNCTION("""COMPUTED_VALUE"""),0.0)</f>
        <v>0</v>
      </c>
      <c r="V1732" s="1" t="str">
        <f>IFERROR(__xludf.DUMMYFUNCTION("""COMPUTED_VALUE"""),"Jen Momo")</f>
        <v>Jen Momo</v>
      </c>
      <c r="W1732" s="1" t="str">
        <f>IFERROR(__xludf.DUMMYFUNCTION("""COMPUTED_VALUE"""),"Print Support PH")</f>
        <v>Print Support PH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IFERROR(__xludf.DUMMYFUNCTION("""COMPUTED_VALUE"""),"2025 Dec")</f>
        <v>2025 Dec</v>
      </c>
      <c r="P1733" s="1" t="str">
        <f>IFERROR(__xludf.DUMMYFUNCTION("""COMPUTED_VALUE"""),"Core Product Support")</f>
        <v>Core Product Support</v>
      </c>
      <c r="Q1733" s="1" t="str">
        <f>IFERROR(__xludf.DUMMYFUNCTION("""COMPUTED_VALUE"""),"laranang@canva.com")</f>
        <v>laranang@canva.com</v>
      </c>
      <c r="R1733" s="1" t="str">
        <f>IFERROR(__xludf.DUMMYFUNCTION("""COMPUTED_VALUE"""),"Cha Laranang")</f>
        <v>Cha Laranang</v>
      </c>
      <c r="S1733" s="1">
        <f>IFERROR(__xludf.DUMMYFUNCTION("""COMPUTED_VALUE"""),2.5)</f>
        <v>2.5</v>
      </c>
      <c r="T1733" s="1"/>
      <c r="U1733" s="3">
        <f>IFERROR(__xludf.DUMMYFUNCTION("""COMPUTED_VALUE"""),2.5)</f>
        <v>2.5</v>
      </c>
      <c r="V1733" s="1" t="str">
        <f>IFERROR(__xludf.DUMMYFUNCTION("""COMPUTED_VALUE"""),"Cate Velasco")</f>
        <v>Cate Velasco</v>
      </c>
      <c r="W1733" s="1" t="str">
        <f>IFERROR(__xludf.DUMMYFUNCTION("""COMPUTED_VALUE"""),"Advanced Product Support")</f>
        <v>Advanced Product Support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IFERROR(__xludf.DUMMYFUNCTION("""COMPUTED_VALUE"""),"2025 Dec")</f>
        <v>2025 Dec</v>
      </c>
      <c r="P1734" s="1" t="str">
        <f>IFERROR(__xludf.DUMMYFUNCTION("""COMPUTED_VALUE"""),"Core Product Support")</f>
        <v>Core Product Support</v>
      </c>
      <c r="Q1734" s="1" t="str">
        <f>IFERROR(__xludf.DUMMYFUNCTION("""COMPUTED_VALUE"""),"chace@canva.com")</f>
        <v>chace@canva.com</v>
      </c>
      <c r="R1734" s="1" t="str">
        <f>IFERROR(__xludf.DUMMYFUNCTION("""COMPUTED_VALUE"""),"Chace Ablaza")</f>
        <v>Chace Ablaza</v>
      </c>
      <c r="S1734" s="1">
        <f>IFERROR(__xludf.DUMMYFUNCTION("""COMPUTED_VALUE"""),1.5)</f>
        <v>1.5</v>
      </c>
      <c r="T1734" s="1">
        <f>IFERROR(__xludf.DUMMYFUNCTION("""COMPUTED_VALUE"""),14.5)</f>
        <v>14.5</v>
      </c>
      <c r="U1734" s="3">
        <f>IFERROR(__xludf.DUMMYFUNCTION("""COMPUTED_VALUE"""),16.0)</f>
        <v>16</v>
      </c>
      <c r="V1734" s="1" t="str">
        <f>IFERROR(__xludf.DUMMYFUNCTION("""COMPUTED_VALUE"""),"Ellaine Estayo")</f>
        <v>Ellaine Estayo</v>
      </c>
      <c r="W1734" s="1" t="str">
        <f>IFERROR(__xludf.DUMMYFUNCTION("""COMPUTED_VALUE"""),"Core Product Support Escalation Team")</f>
        <v>Core Product Support Escalation Team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IFERROR(__xludf.DUMMYFUNCTION("""COMPUTED_VALUE"""),"2025 Dec")</f>
        <v>2025 Dec</v>
      </c>
      <c r="P1735" s="1" t="str">
        <f>IFERROR(__xludf.DUMMYFUNCTION("""COMPUTED_VALUE"""),"Core Product Support")</f>
        <v>Core Product Support</v>
      </c>
      <c r="Q1735" s="1" t="str">
        <f>IFERROR(__xludf.DUMMYFUNCTION("""COMPUTED_VALUE"""),"charissa@canva.com")</f>
        <v>charissa@canva.com</v>
      </c>
      <c r="R1735" s="1" t="str">
        <f>IFERROR(__xludf.DUMMYFUNCTION("""COMPUTED_VALUE"""),"Charissa Goyena")</f>
        <v>Charissa Goyena</v>
      </c>
      <c r="S1735" s="1">
        <f>IFERROR(__xludf.DUMMYFUNCTION("""COMPUTED_VALUE"""),2.0)</f>
        <v>2</v>
      </c>
      <c r="T1735" s="1"/>
      <c r="U1735" s="3">
        <f>IFERROR(__xludf.DUMMYFUNCTION("""COMPUTED_VALUE"""),2.0)</f>
        <v>2</v>
      </c>
      <c r="V1735" s="1" t="str">
        <f>IFERROR(__xludf.DUMMYFUNCTION("""COMPUTED_VALUE"""),"Jelyn Elmido")</f>
        <v>Jelyn Elmido</v>
      </c>
      <c r="W1735" s="1" t="str">
        <f>IFERROR(__xludf.DUMMYFUNCTION("""COMPUTED_VALUE"""),"Advanced Product Support")</f>
        <v>Advanced Product Support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IFERROR(__xludf.DUMMYFUNCTION("""COMPUTED_VALUE"""),"2025 Dec")</f>
        <v>2025 Dec</v>
      </c>
      <c r="P1736" s="1" t="str">
        <f>IFERROR(__xludf.DUMMYFUNCTION("""COMPUTED_VALUE"""),"Segment-specific Support")</f>
        <v>Segment-specific Support</v>
      </c>
      <c r="Q1736" s="1" t="str">
        <f>IFERROR(__xludf.DUMMYFUNCTION("""COMPUTED_VALUE"""),"charizavargas@canva.com")</f>
        <v>charizavargas@canva.com</v>
      </c>
      <c r="R1736" s="1" t="str">
        <f>IFERROR(__xludf.DUMMYFUNCTION("""COMPUTED_VALUE"""),"Chariza Vargas")</f>
        <v>Chariza Vargas</v>
      </c>
      <c r="S1736" s="1"/>
      <c r="T1736" s="1"/>
      <c r="U1736" s="3">
        <f>IFERROR(__xludf.DUMMYFUNCTION("""COMPUTED_VALUE"""),0.0)</f>
        <v>0</v>
      </c>
      <c r="V1736" s="1" t="str">
        <f>IFERROR(__xludf.DUMMYFUNCTION("""COMPUTED_VALUE"""),"Aileen Dayanghirang")</f>
        <v>Aileen Dayanghirang</v>
      </c>
      <c r="W1736" s="1" t="str">
        <f>IFERROR(__xludf.DUMMYFUNCTION("""COMPUTED_VALUE"""),"Creators Support")</f>
        <v>Creators Support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IFERROR(__xludf.DUMMYFUNCTION("""COMPUTED_VALUE"""),"2025 Dec")</f>
        <v>2025 Dec</v>
      </c>
      <c r="P1737" s="1" t="str">
        <f>IFERROR(__xludf.DUMMYFUNCTION("""COMPUTED_VALUE"""),"Admin Support")</f>
        <v>Admin Support</v>
      </c>
      <c r="Q1737" s="1" t="str">
        <f>IFERROR(__xludf.DUMMYFUNCTION("""COMPUTED_VALUE"""),"charlest@canva.com")</f>
        <v>charlest@canva.com</v>
      </c>
      <c r="R1737" s="1" t="str">
        <f>IFERROR(__xludf.DUMMYFUNCTION("""COMPUTED_VALUE"""),"Charles Andrew Tan")</f>
        <v>Charles Andrew Tan</v>
      </c>
      <c r="S1737" s="1"/>
      <c r="T1737" s="1">
        <f>IFERROR(__xludf.DUMMYFUNCTION("""COMPUTED_VALUE"""),10.0)</f>
        <v>10</v>
      </c>
      <c r="U1737" s="3">
        <f>IFERROR(__xludf.DUMMYFUNCTION("""COMPUTED_VALUE"""),10.0)</f>
        <v>10</v>
      </c>
      <c r="V1737" s="1" t="str">
        <f>IFERROR(__xludf.DUMMYFUNCTION("""COMPUTED_VALUE"""),"Kelden Laguting")</f>
        <v>Kelden Laguting</v>
      </c>
      <c r="W1737" s="1" t="str">
        <f>IFERROR(__xludf.DUMMYFUNCTION("""COMPUTED_VALUE"""),"Admin Support PH")</f>
        <v>Admin Support PH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IFERROR(__xludf.DUMMYFUNCTION("""COMPUTED_VALUE"""),"2025 Dec")</f>
        <v>2025 Dec</v>
      </c>
      <c r="P1738" s="1" t="str">
        <f>IFERROR(__xludf.DUMMYFUNCTION("""COMPUTED_VALUE"""),"Core Product Support")</f>
        <v>Core Product Support</v>
      </c>
      <c r="Q1738" s="1" t="str">
        <f>IFERROR(__xludf.DUMMYFUNCTION("""COMPUTED_VALUE"""),"charmb@canva.com")</f>
        <v>charmb@canva.com</v>
      </c>
      <c r="R1738" s="1" t="str">
        <f>IFERROR(__xludf.DUMMYFUNCTION("""COMPUTED_VALUE"""),"Charm Bansil")</f>
        <v>Charm Bansil</v>
      </c>
      <c r="S1738" s="1">
        <f>IFERROR(__xludf.DUMMYFUNCTION("""COMPUTED_VALUE"""),2.5)</f>
        <v>2.5</v>
      </c>
      <c r="T1738" s="1">
        <f>IFERROR(__xludf.DUMMYFUNCTION("""COMPUTED_VALUE"""),1.5)</f>
        <v>1.5</v>
      </c>
      <c r="U1738" s="3">
        <f>IFERROR(__xludf.DUMMYFUNCTION("""COMPUTED_VALUE"""),4.0)</f>
        <v>4</v>
      </c>
      <c r="V1738" s="1" t="str">
        <f>IFERROR(__xludf.DUMMYFUNCTION("""COMPUTED_VALUE"""),"Ana Lazaro")</f>
        <v>Ana Lazaro</v>
      </c>
      <c r="W1738" s="1" t="str">
        <f>IFERROR(__xludf.DUMMYFUNCTION("""COMPUTED_VALUE"""),"Advanced Billing &amp; Subscriptions")</f>
        <v>Advanced Billing &amp; Subscriptions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IFERROR(__xludf.DUMMYFUNCTION("""COMPUTED_VALUE"""),"2025 Dec")</f>
        <v>2025 Dec</v>
      </c>
      <c r="P1739" s="1" t="str">
        <f>IFERROR(__xludf.DUMMYFUNCTION("""COMPUTED_VALUE"""),"Print Support")</f>
        <v>Print Support</v>
      </c>
      <c r="Q1739" s="1" t="str">
        <f>IFERROR(__xludf.DUMMYFUNCTION("""COMPUTED_VALUE"""),"catherine@canva.com")</f>
        <v>catherine@canva.com</v>
      </c>
      <c r="R1739" s="1" t="str">
        <f>IFERROR(__xludf.DUMMYFUNCTION("""COMPUTED_VALUE"""),"Cheche Ramirez")</f>
        <v>Cheche Ramirez</v>
      </c>
      <c r="S1739" s="1"/>
      <c r="T1739" s="1">
        <f>IFERROR(__xludf.DUMMYFUNCTION("""COMPUTED_VALUE"""),2.0)</f>
        <v>2</v>
      </c>
      <c r="U1739" s="3">
        <f>IFERROR(__xludf.DUMMYFUNCTION("""COMPUTED_VALUE"""),2.0)</f>
        <v>2</v>
      </c>
      <c r="V1739" s="1" t="str">
        <f>IFERROR(__xludf.DUMMYFUNCTION("""COMPUTED_VALUE"""),"Louise Dianne Estrella")</f>
        <v>Louise Dianne Estrella</v>
      </c>
      <c r="W1739" s="1" t="str">
        <f>IFERROR(__xludf.DUMMYFUNCTION("""COMPUTED_VALUE"""),"Print Support PH")</f>
        <v>Print Support PH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IFERROR(__xludf.DUMMYFUNCTION("""COMPUTED_VALUE"""),"2025 Dec")</f>
        <v>2025 Dec</v>
      </c>
      <c r="P1740" s="1" t="str">
        <f>IFERROR(__xludf.DUMMYFUNCTION("""COMPUTED_VALUE"""),"Core Product Support")</f>
        <v>Core Product Support</v>
      </c>
      <c r="Q1740" s="1" t="str">
        <f>IFERROR(__xludf.DUMMYFUNCTION("""COMPUTED_VALUE"""),"chesca@canva.com")</f>
        <v>chesca@canva.com</v>
      </c>
      <c r="R1740" s="1" t="str">
        <f>IFERROR(__xludf.DUMMYFUNCTION("""COMPUTED_VALUE"""),"Chesca Martos")</f>
        <v>Chesca Martos</v>
      </c>
      <c r="S1740" s="1">
        <f>IFERROR(__xludf.DUMMYFUNCTION("""COMPUTED_VALUE"""),2.0)</f>
        <v>2</v>
      </c>
      <c r="T1740" s="1"/>
      <c r="U1740" s="3">
        <f>IFERROR(__xludf.DUMMYFUNCTION("""COMPUTED_VALUE"""),2.0)</f>
        <v>2</v>
      </c>
      <c r="V1740" s="1" t="str">
        <f>IFERROR(__xludf.DUMMYFUNCTION("""COMPUTED_VALUE"""),"Ayza Marie Pascual")</f>
        <v>Ayza Marie Pascual</v>
      </c>
      <c r="W1740" s="1" t="str">
        <f>IFERROR(__xludf.DUMMYFUNCTION("""COMPUTED_VALUE"""),"Advanced Billing &amp; Subscriptions")</f>
        <v>Advanced Billing &amp; Subscriptions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IFERROR(__xludf.DUMMYFUNCTION("""COMPUTED_VALUE"""),"2025 Dec")</f>
        <v>2025 Dec</v>
      </c>
      <c r="P1741" s="1" t="str">
        <f>IFERROR(__xludf.DUMMYFUNCTION("""COMPUTED_VALUE"""),"Core Product Support")</f>
        <v>Core Product Support</v>
      </c>
      <c r="Q1741" s="1" t="str">
        <f>IFERROR(__xludf.DUMMYFUNCTION("""COMPUTED_VALUE"""),"chlgts@canva.com")</f>
        <v>chlgts@canva.com</v>
      </c>
      <c r="R1741" s="1" t="str">
        <f>IFERROR(__xludf.DUMMYFUNCTION("""COMPUTED_VALUE"""),"Cholo Ligtas")</f>
        <v>Cholo Ligtas</v>
      </c>
      <c r="S1741" s="1">
        <f>IFERROR(__xludf.DUMMYFUNCTION("""COMPUTED_VALUE"""),1.5)</f>
        <v>1.5</v>
      </c>
      <c r="T1741" s="1">
        <f>IFERROR(__xludf.DUMMYFUNCTION("""COMPUTED_VALUE"""),5.0)</f>
        <v>5</v>
      </c>
      <c r="U1741" s="3">
        <f>IFERROR(__xludf.DUMMYFUNCTION("""COMPUTED_VALUE"""),6.5)</f>
        <v>6.5</v>
      </c>
      <c r="V1741" s="1" t="str">
        <f>IFERROR(__xludf.DUMMYFUNCTION("""COMPUTED_VALUE"""),"Jahmie Mae Barrameda")</f>
        <v>Jahmie Mae Barrameda</v>
      </c>
      <c r="W1741" s="1" t="str">
        <f>IFERROR(__xludf.DUMMYFUNCTION("""COMPUTED_VALUE"""),"Advanced Billing &amp; Subscriptions")</f>
        <v>Advanced Billing &amp; Subscriptions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IFERROR(__xludf.DUMMYFUNCTION("""COMPUTED_VALUE"""),"2025 Dec")</f>
        <v>2025 Dec</v>
      </c>
      <c r="P1742" s="1" t="str">
        <f>IFERROR(__xludf.DUMMYFUNCTION("""COMPUTED_VALUE"""),"Core Product Support")</f>
        <v>Core Product Support</v>
      </c>
      <c r="Q1742" s="1" t="str">
        <f>IFERROR(__xludf.DUMMYFUNCTION("""COMPUTED_VALUE"""),"tintinmaxilom@canva.com")</f>
        <v>tintinmaxilom@canva.com</v>
      </c>
      <c r="R1742" s="1" t="str">
        <f>IFERROR(__xludf.DUMMYFUNCTION("""COMPUTED_VALUE"""),"Christine Araga")</f>
        <v>Christine Araga</v>
      </c>
      <c r="S1742" s="1">
        <f>IFERROR(__xludf.DUMMYFUNCTION("""COMPUTED_VALUE"""),1.0)</f>
        <v>1</v>
      </c>
      <c r="T1742" s="1">
        <f>IFERROR(__xludf.DUMMYFUNCTION("""COMPUTED_VALUE"""),11.5)</f>
        <v>11.5</v>
      </c>
      <c r="U1742" s="3">
        <f>IFERROR(__xludf.DUMMYFUNCTION("""COMPUTED_VALUE"""),12.5)</f>
        <v>12.5</v>
      </c>
      <c r="V1742" s="1" t="str">
        <f>IFERROR(__xludf.DUMMYFUNCTION("""COMPUTED_VALUE"""),"Bem Launte")</f>
        <v>Bem Launte</v>
      </c>
      <c r="W1742" s="1" t="str">
        <f>IFERROR(__xludf.DUMMYFUNCTION("""COMPUTED_VALUE"""),"Core Product Support Escalation Team")</f>
        <v>Core Product Support Escalation Team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IFERROR(__xludf.DUMMYFUNCTION("""COMPUTED_VALUE"""),"2025 Dec")</f>
        <v>2025 Dec</v>
      </c>
      <c r="P1743" s="1" t="str">
        <f>IFERROR(__xludf.DUMMYFUNCTION("""COMPUTED_VALUE"""),"Print Support")</f>
        <v>Print Support</v>
      </c>
      <c r="Q1743" s="1" t="str">
        <f>IFERROR(__xludf.DUMMYFUNCTION("""COMPUTED_VALUE"""),"cjlining@canva.com")</f>
        <v>cjlining@canva.com</v>
      </c>
      <c r="R1743" s="1" t="str">
        <f>IFERROR(__xludf.DUMMYFUNCTION("""COMPUTED_VALUE"""),"CJ Lining")</f>
        <v>CJ Lining</v>
      </c>
      <c r="S1743" s="1"/>
      <c r="T1743" s="1"/>
      <c r="U1743" s="3">
        <f>IFERROR(__xludf.DUMMYFUNCTION("""COMPUTED_VALUE"""),0.0)</f>
        <v>0</v>
      </c>
      <c r="V1743" s="1" t="str">
        <f>IFERROR(__xludf.DUMMYFUNCTION("""COMPUTED_VALUE"""),"Althea Mercado")</f>
        <v>Althea Mercado</v>
      </c>
      <c r="W1743" s="1" t="str">
        <f>IFERROR(__xludf.DUMMYFUNCTION("""COMPUTED_VALUE"""),"Print Support PH")</f>
        <v>Print Support PH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IFERROR(__xludf.DUMMYFUNCTION("""COMPUTED_VALUE"""),"2025 Dec")</f>
        <v>2025 Dec</v>
      </c>
      <c r="P1744" s="1" t="str">
        <f>IFERROR(__xludf.DUMMYFUNCTION("""COMPUTED_VALUE"""),"Admin Support")</f>
        <v>Admin Support</v>
      </c>
      <c r="Q1744" s="1" t="str">
        <f>IFERROR(__xludf.DUMMYFUNCTION("""COMPUTED_VALUE"""),"ckmg@canva.com")</f>
        <v>ckmg@canva.com</v>
      </c>
      <c r="R1744" s="1" t="str">
        <f>IFERROR(__xludf.DUMMYFUNCTION("""COMPUTED_VALUE"""),"CK Geronimo")</f>
        <v>CK Geronimo</v>
      </c>
      <c r="S1744" s="1"/>
      <c r="T1744" s="1">
        <f>IFERROR(__xludf.DUMMYFUNCTION("""COMPUTED_VALUE"""),10.75)</f>
        <v>10.75</v>
      </c>
      <c r="U1744" s="3">
        <f>IFERROR(__xludf.DUMMYFUNCTION("""COMPUTED_VALUE"""),10.75)</f>
        <v>10.75</v>
      </c>
      <c r="V1744" s="1" t="str">
        <f>IFERROR(__xludf.DUMMYFUNCTION("""COMPUTED_VALUE"""),"Camille Alvarez")</f>
        <v>Camille Alvarez</v>
      </c>
      <c r="W1744" s="1" t="str">
        <f>IFERROR(__xludf.DUMMYFUNCTION("""COMPUTED_VALUE"""),"Admin Support PH SSO")</f>
        <v>Admin Support PH SSO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IFERROR(__xludf.DUMMYFUNCTION("""COMPUTED_VALUE"""),"2025 Dec")</f>
        <v>2025 Dec</v>
      </c>
      <c r="P1745" s="1" t="str">
        <f>IFERROR(__xludf.DUMMYFUNCTION("""COMPUTED_VALUE"""),"Segment-specific Support")</f>
        <v>Segment-specific Support</v>
      </c>
      <c r="Q1745" s="1" t="str">
        <f>IFERROR(__xludf.DUMMYFUNCTION("""COMPUTED_VALUE"""),"magnumck@canva.com")</f>
        <v>magnumck@canva.com</v>
      </c>
      <c r="R1745" s="1" t="str">
        <f>IFERROR(__xludf.DUMMYFUNCTION("""COMPUTED_VALUE"""),"CK Lobaton")</f>
        <v>CK Lobaton</v>
      </c>
      <c r="S1745" s="1">
        <f>IFERROR(__xludf.DUMMYFUNCTION("""COMPUTED_VALUE"""),2.5)</f>
        <v>2.5</v>
      </c>
      <c r="T1745" s="1"/>
      <c r="U1745" s="3">
        <f>IFERROR(__xludf.DUMMYFUNCTION("""COMPUTED_VALUE"""),2.5)</f>
        <v>2.5</v>
      </c>
      <c r="V1745" s="1" t="str">
        <f>IFERROR(__xludf.DUMMYFUNCTION("""COMPUTED_VALUE"""),"Jonathan Dimaculangan")</f>
        <v>Jonathan Dimaculangan</v>
      </c>
      <c r="W1745" s="1" t="str">
        <f>IFERROR(__xludf.DUMMYFUNCTION("""COMPUTED_VALUE"""),"Flourish Support")</f>
        <v>Flourish Support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IFERROR(__xludf.DUMMYFUNCTION("""COMPUTED_VALUE"""),"2025 Dec")</f>
        <v>2025 Dec</v>
      </c>
      <c r="P1746" s="1" t="str">
        <f>IFERROR(__xludf.DUMMYFUNCTION("""COMPUTED_VALUE"""),"Core Product Support")</f>
        <v>Core Product Support</v>
      </c>
      <c r="Q1746" s="1" t="str">
        <f>IFERROR(__xludf.DUMMYFUNCTION("""COMPUTED_VALUE"""),"cladd@canva.com")</f>
        <v>cladd@canva.com</v>
      </c>
      <c r="R1746" s="1" t="str">
        <f>IFERROR(__xludf.DUMMYFUNCTION("""COMPUTED_VALUE"""),"Claddys Ann Bernaldez")</f>
        <v>Claddys Ann Bernaldez</v>
      </c>
      <c r="S1746" s="1">
        <f>IFERROR(__xludf.DUMMYFUNCTION("""COMPUTED_VALUE"""),1.5)</f>
        <v>1.5</v>
      </c>
      <c r="T1746" s="1">
        <f>IFERROR(__xludf.DUMMYFUNCTION("""COMPUTED_VALUE"""),10.5)</f>
        <v>10.5</v>
      </c>
      <c r="U1746" s="3">
        <f>IFERROR(__xludf.DUMMYFUNCTION("""COMPUTED_VALUE"""),12.0)</f>
        <v>12</v>
      </c>
      <c r="V1746" s="1" t="str">
        <f>IFERROR(__xludf.DUMMYFUNCTION("""COMPUTED_VALUE"""),"Bem Launte")</f>
        <v>Bem Launte</v>
      </c>
      <c r="W1746" s="1" t="str">
        <f>IFERROR(__xludf.DUMMYFUNCTION("""COMPUTED_VALUE"""),"Core Product Support Escalation Team")</f>
        <v>Core Product Support Escalation Team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IFERROR(__xludf.DUMMYFUNCTION("""COMPUTED_VALUE"""),"2025 Dec")</f>
        <v>2025 Dec</v>
      </c>
      <c r="P1747" s="1" t="str">
        <f>IFERROR(__xludf.DUMMYFUNCTION("""COMPUTED_VALUE"""),"Multilingual Support")</f>
        <v>Multilingual Support</v>
      </c>
      <c r="Q1747" s="1" t="str">
        <f>IFERROR(__xludf.DUMMYFUNCTION("""COMPUTED_VALUE"""),"claire.g@canva.com")</f>
        <v>claire.g@canva.com</v>
      </c>
      <c r="R1747" s="1" t="str">
        <f>IFERROR(__xludf.DUMMYFUNCTION("""COMPUTED_VALUE"""),"Claire Gado")</f>
        <v>Claire Gado</v>
      </c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IFERROR(__xludf.DUMMYFUNCTION("""COMPUTED_VALUE"""),"Arlene Maurillo")</f>
        <v>Arlene Maurillo</v>
      </c>
      <c r="W1747" s="1" t="str">
        <f>IFERROR(__xludf.DUMMYFUNCTION("""COMPUTED_VALUE"""),"PHL, Multilingual Support")</f>
        <v>PHL, Multilingual Support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IFERROR(__xludf.DUMMYFUNCTION("""COMPUTED_VALUE"""),"2025 Dec")</f>
        <v>2025 Dec</v>
      </c>
      <c r="P1748" s="1" t="str">
        <f>IFERROR(__xludf.DUMMYFUNCTION("""COMPUTED_VALUE"""),"Print Support")</f>
        <v>Print Support</v>
      </c>
      <c r="Q1748" s="1" t="str">
        <f>IFERROR(__xludf.DUMMYFUNCTION("""COMPUTED_VALUE"""),"cyreengee@canva.com")</f>
        <v>cyreengee@canva.com</v>
      </c>
      <c r="R1748" s="1" t="str">
        <f>IFERROR(__xludf.DUMMYFUNCTION("""COMPUTED_VALUE"""),"Cye Gonzales")</f>
        <v>Cye Gonzales</v>
      </c>
      <c r="S1748" s="1"/>
      <c r="T1748" s="1"/>
      <c r="U1748" s="3">
        <f>IFERROR(__xludf.DUMMYFUNCTION("""COMPUTED_VALUE"""),0.0)</f>
        <v>0</v>
      </c>
      <c r="V1748" s="1" t="str">
        <f>IFERROR(__xludf.DUMMYFUNCTION("""COMPUTED_VALUE"""),"Althea Mercado")</f>
        <v>Althea Mercado</v>
      </c>
      <c r="W1748" s="1" t="str">
        <f>IFERROR(__xludf.DUMMYFUNCTION("""COMPUTED_VALUE"""),"Print Support PH")</f>
        <v>Print Support PH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IFERROR(__xludf.DUMMYFUNCTION("""COMPUTED_VALUE"""),"2025 Dec")</f>
        <v>2025 Dec</v>
      </c>
      <c r="P1749" s="1" t="str">
        <f>IFERROR(__xludf.DUMMYFUNCTION("""COMPUTED_VALUE"""),"Print Support")</f>
        <v>Print Support</v>
      </c>
      <c r="Q1749" s="1" t="str">
        <f>IFERROR(__xludf.DUMMYFUNCTION("""COMPUTED_VALUE"""),"dyter@canva.com")</f>
        <v>dyter@canva.com</v>
      </c>
      <c r="R1749" s="1" t="str">
        <f>IFERROR(__xludf.DUMMYFUNCTION("""COMPUTED_VALUE"""),"Daisy Tercenio")</f>
        <v>Daisy Tercenio</v>
      </c>
      <c r="S1749" s="1">
        <f>IFERROR(__xludf.DUMMYFUNCTION("""COMPUTED_VALUE"""),10.0)</f>
        <v>10</v>
      </c>
      <c r="T1749" s="1"/>
      <c r="U1749" s="3">
        <f>IFERROR(__xludf.DUMMYFUNCTION("""COMPUTED_VALUE"""),10.0)</f>
        <v>10</v>
      </c>
      <c r="V1749" s="1" t="str">
        <f>IFERROR(__xludf.DUMMYFUNCTION("""COMPUTED_VALUE"""),"Rae Erlano")</f>
        <v>Rae Erlano</v>
      </c>
      <c r="W1749" s="1" t="str">
        <f>IFERROR(__xludf.DUMMYFUNCTION("""COMPUTED_VALUE"""),"Print Support PH")</f>
        <v>Print Support PH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IFERROR(__xludf.DUMMYFUNCTION("""COMPUTED_VALUE"""),"2025 Dec")</f>
        <v>2025 Dec</v>
      </c>
      <c r="P1750" s="1" t="str">
        <f>IFERROR(__xludf.DUMMYFUNCTION("""COMPUTED_VALUE"""),"Core Product Support")</f>
        <v>Core Product Support</v>
      </c>
      <c r="Q1750" s="1" t="str">
        <f>IFERROR(__xludf.DUMMYFUNCTION("""COMPUTED_VALUE"""),"danortiz@canva.com")</f>
        <v>danortiz@canva.com</v>
      </c>
      <c r="R1750" s="1" t="str">
        <f>IFERROR(__xludf.DUMMYFUNCTION("""COMPUTED_VALUE"""),"Daniella Ortiz")</f>
        <v>Daniella Ortiz</v>
      </c>
      <c r="S1750" s="1">
        <f>IFERROR(__xludf.DUMMYFUNCTION("""COMPUTED_VALUE"""),2.5)</f>
        <v>2.5</v>
      </c>
      <c r="T1750" s="1"/>
      <c r="U1750" s="3">
        <f>IFERROR(__xludf.DUMMYFUNCTION("""COMPUTED_VALUE"""),2.5)</f>
        <v>2.5</v>
      </c>
      <c r="V1750" s="1" t="str">
        <f>IFERROR(__xludf.DUMMYFUNCTION("""COMPUTED_VALUE"""),"Cate Velasco")</f>
        <v>Cate Velasco</v>
      </c>
      <c r="W1750" s="1" t="str">
        <f>IFERROR(__xludf.DUMMYFUNCTION("""COMPUTED_VALUE"""),"Advanced Product Support")</f>
        <v>Advanced Product Support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IFERROR(__xludf.DUMMYFUNCTION("""COMPUTED_VALUE"""),"2025 Dec")</f>
        <v>2025 Dec</v>
      </c>
      <c r="P1751" s="1" t="str">
        <f>IFERROR(__xludf.DUMMYFUNCTION("""COMPUTED_VALUE"""),"Segment-specific Support")</f>
        <v>Segment-specific Support</v>
      </c>
      <c r="Q1751" s="1" t="str">
        <f>IFERROR(__xludf.DUMMYFUNCTION("""COMPUTED_VALUE"""),"daniellegrace@canva.com")</f>
        <v>daniellegrace@canva.com</v>
      </c>
      <c r="R1751" s="1" t="str">
        <f>IFERROR(__xludf.DUMMYFUNCTION("""COMPUTED_VALUE"""),"Danielle Marasigan")</f>
        <v>Danielle Marasigan</v>
      </c>
      <c r="S1751" s="1"/>
      <c r="T1751" s="1"/>
      <c r="U1751" s="3">
        <f>IFERROR(__xludf.DUMMYFUNCTION("""COMPUTED_VALUE"""),0.0)</f>
        <v>0</v>
      </c>
      <c r="V1751" s="1" t="str">
        <f>IFERROR(__xludf.DUMMYFUNCTION("""COMPUTED_VALUE"""),"Aileen Dayanghirang")</f>
        <v>Aileen Dayanghirang</v>
      </c>
      <c r="W1751" s="1" t="str">
        <f>IFERROR(__xludf.DUMMYFUNCTION("""COMPUTED_VALUE"""),"Creators Support")</f>
        <v>Creators Support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IFERROR(__xludf.DUMMYFUNCTION("""COMPUTED_VALUE"""),"2025 Dec")</f>
        <v>2025 Dec</v>
      </c>
      <c r="P1752" s="1" t="str">
        <f>IFERROR(__xludf.DUMMYFUNCTION("""COMPUTED_VALUE"""),"Admin Support")</f>
        <v>Admin Support</v>
      </c>
      <c r="Q1752" s="1" t="str">
        <f>IFERROR(__xludf.DUMMYFUNCTION("""COMPUTED_VALUE"""),"dannah@canva.com")</f>
        <v>dannah@canva.com</v>
      </c>
      <c r="R1752" s="1" t="str">
        <f>IFERROR(__xludf.DUMMYFUNCTION("""COMPUTED_VALUE"""),"Dannah Kate Dizon")</f>
        <v>Dannah Kate Dizon</v>
      </c>
      <c r="S1752" s="1"/>
      <c r="T1752" s="1">
        <f>IFERROR(__xludf.DUMMYFUNCTION("""COMPUTED_VALUE"""),6.0)</f>
        <v>6</v>
      </c>
      <c r="U1752" s="3">
        <f>IFERROR(__xludf.DUMMYFUNCTION("""COMPUTED_VALUE"""),6.0)</f>
        <v>6</v>
      </c>
      <c r="V1752" s="1" t="str">
        <f>IFERROR(__xludf.DUMMYFUNCTION("""COMPUTED_VALUE"""),"Camille Alvarez")</f>
        <v>Camille Alvarez</v>
      </c>
      <c r="W1752" s="1" t="str">
        <f>IFERROR(__xludf.DUMMYFUNCTION("""COMPUTED_VALUE"""),"Admin Support PH SSO")</f>
        <v>Admin Support PH SSO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IFERROR(__xludf.DUMMYFUNCTION("""COMPUTED_VALUE"""),"2025 Dec")</f>
        <v>2025 Dec</v>
      </c>
      <c r="P1753" s="1" t="str">
        <f>IFERROR(__xludf.DUMMYFUNCTION("""COMPUTED_VALUE"""),"High Sensitivity Support")</f>
        <v>High Sensitivity Support</v>
      </c>
      <c r="Q1753" s="1" t="str">
        <f>IFERROR(__xludf.DUMMYFUNCTION("""COMPUTED_VALUE"""),"danrev@canva.com")</f>
        <v>danrev@canva.com</v>
      </c>
      <c r="R1753" s="1" t="str">
        <f>IFERROR(__xludf.DUMMYFUNCTION("""COMPUTED_VALUE"""),"Danrev Bactad")</f>
        <v>Danrev Bactad</v>
      </c>
      <c r="S1753" s="1">
        <f>IFERROR(__xludf.DUMMYFUNCTION("""COMPUTED_VALUE"""),12.0)</f>
        <v>12</v>
      </c>
      <c r="T1753" s="1"/>
      <c r="U1753" s="3">
        <f>IFERROR(__xludf.DUMMYFUNCTION("""COMPUTED_VALUE"""),12.0)</f>
        <v>12</v>
      </c>
      <c r="V1753" s="1" t="str">
        <f>IFERROR(__xludf.DUMMYFUNCTION("""COMPUTED_VALUE"""),"Xandy Azarcon")</f>
        <v>Xandy Azarcon</v>
      </c>
      <c r="W1753" s="1" t="str">
        <f>IFERROR(__xludf.DUMMYFUNCTION("""COMPUTED_VALUE"""),"High Sensitivity Support PH")</f>
        <v>High Sensitivity Support PH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IFERROR(__xludf.DUMMYFUNCTION("""COMPUTED_VALUE"""),"2025 Dec")</f>
        <v>2025 Dec</v>
      </c>
      <c r="P1754" s="1" t="str">
        <f>IFERROR(__xludf.DUMMYFUNCTION("""COMPUTED_VALUE"""),"Print Support")</f>
        <v>Print Support</v>
      </c>
      <c r="Q1754" s="1" t="str">
        <f>IFERROR(__xludf.DUMMYFUNCTION("""COMPUTED_VALUE"""),"daphne@canva.com")</f>
        <v>daphne@canva.com</v>
      </c>
      <c r="R1754" s="1" t="str">
        <f>IFERROR(__xludf.DUMMYFUNCTION("""COMPUTED_VALUE"""),"Daphne Arboleda")</f>
        <v>Daphne Arboleda</v>
      </c>
      <c r="S1754" s="1">
        <f>IFERROR(__xludf.DUMMYFUNCTION("""COMPUTED_VALUE"""),8.0)</f>
        <v>8</v>
      </c>
      <c r="T1754" s="1"/>
      <c r="U1754" s="3">
        <f>IFERROR(__xludf.DUMMYFUNCTION("""COMPUTED_VALUE"""),8.0)</f>
        <v>8</v>
      </c>
      <c r="V1754" s="1" t="str">
        <f>IFERROR(__xludf.DUMMYFUNCTION("""COMPUTED_VALUE"""),"Memae Faustino")</f>
        <v>Memae Faustino</v>
      </c>
      <c r="W1754" s="1" t="str">
        <f>IFERROR(__xludf.DUMMYFUNCTION("""COMPUTED_VALUE"""),"Print Support PH")</f>
        <v>Print Support PH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IFERROR(__xludf.DUMMYFUNCTION("""COMPUTED_VALUE"""),"2025 Dec")</f>
        <v>2025 Dec</v>
      </c>
      <c r="P1755" s="1" t="str">
        <f>IFERROR(__xludf.DUMMYFUNCTION("""COMPUTED_VALUE"""),"High Sensitivity Support")</f>
        <v>High Sensitivity Support</v>
      </c>
      <c r="Q1755" s="1" t="str">
        <f>IFERROR(__xludf.DUMMYFUNCTION("""COMPUTED_VALUE"""),"darrelm@canva.com")</f>
        <v>darrelm@canva.com</v>
      </c>
      <c r="R1755" s="1" t="str">
        <f>IFERROR(__xludf.DUMMYFUNCTION("""COMPUTED_VALUE"""),"Darrel Marcelino")</f>
        <v>Darrel Marcelino</v>
      </c>
      <c r="S1755" s="1"/>
      <c r="T1755" s="1"/>
      <c r="U1755" s="3">
        <f>IFERROR(__xludf.DUMMYFUNCTION("""COMPUTED_VALUE"""),0.0)</f>
        <v>0</v>
      </c>
      <c r="V1755" s="1" t="str">
        <f>IFERROR(__xludf.DUMMYFUNCTION("""COMPUTED_VALUE"""),"Issi Afable")</f>
        <v>Issi Afable</v>
      </c>
      <c r="W1755" s="1" t="str">
        <f>IFERROR(__xludf.DUMMYFUNCTION("""COMPUTED_VALUE"""),"High Sensitivity Support PH")</f>
        <v>High Sensitivity Support PH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IFERROR(__xludf.DUMMYFUNCTION("""COMPUTED_VALUE"""),"2025 Dec")</f>
        <v>2025 Dec</v>
      </c>
      <c r="P1756" s="1" t="str">
        <f>IFERROR(__xludf.DUMMYFUNCTION("""COMPUTED_VALUE"""),"Core Product Support")</f>
        <v>Core Product Support</v>
      </c>
      <c r="Q1756" s="1" t="str">
        <f>IFERROR(__xludf.DUMMYFUNCTION("""COMPUTED_VALUE"""),"davecosteloii@canva.com")</f>
        <v>davecosteloii@canva.com</v>
      </c>
      <c r="R1756" s="1" t="str">
        <f>IFERROR(__xludf.DUMMYFUNCTION("""COMPUTED_VALUE"""),"Dave Costelo")</f>
        <v>Dave Costelo</v>
      </c>
      <c r="S1756" s="1">
        <f>IFERROR(__xludf.DUMMYFUNCTION("""COMPUTED_VALUE"""),2.5)</f>
        <v>2.5</v>
      </c>
      <c r="T1756" s="1">
        <f>IFERROR(__xludf.DUMMYFUNCTION("""COMPUTED_VALUE"""),1.0)</f>
        <v>1</v>
      </c>
      <c r="U1756" s="3">
        <f>IFERROR(__xludf.DUMMYFUNCTION("""COMPUTED_VALUE"""),3.5)</f>
        <v>3.5</v>
      </c>
      <c r="V1756" s="1" t="str">
        <f>IFERROR(__xludf.DUMMYFUNCTION("""COMPUTED_VALUE"""),"Vianca De Jesus")</f>
        <v>Vianca De Jesus</v>
      </c>
      <c r="W1756" s="1" t="str">
        <f>IFERROR(__xludf.DUMMYFUNCTION("""COMPUTED_VALUE"""),"Advanced Chat Support")</f>
        <v>Advanced Chat Support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IFERROR(__xludf.DUMMYFUNCTION("""COMPUTED_VALUE"""),"2025 Dec")</f>
        <v>2025 Dec</v>
      </c>
      <c r="P1757" s="1" t="str">
        <f>IFERROR(__xludf.DUMMYFUNCTION("""COMPUTED_VALUE"""),"Admin Support")</f>
        <v>Admin Support</v>
      </c>
      <c r="Q1757" s="1" t="str">
        <f>IFERROR(__xludf.DUMMYFUNCTION("""COMPUTED_VALUE"""),"davidfrancis@canva.com")</f>
        <v>davidfrancis@canva.com</v>
      </c>
      <c r="R1757" s="1" t="str">
        <f>IFERROR(__xludf.DUMMYFUNCTION("""COMPUTED_VALUE"""),"David Francis Dimatulac")</f>
        <v>David Francis Dimatulac</v>
      </c>
      <c r="S1757" s="1"/>
      <c r="T1757" s="1">
        <f>IFERROR(__xludf.DUMMYFUNCTION("""COMPUTED_VALUE"""),8.25)</f>
        <v>8.25</v>
      </c>
      <c r="U1757" s="3">
        <f>IFERROR(__xludf.DUMMYFUNCTION("""COMPUTED_VALUE"""),8.25)</f>
        <v>8.25</v>
      </c>
      <c r="V1757" s="1" t="str">
        <f>IFERROR(__xludf.DUMMYFUNCTION("""COMPUTED_VALUE"""),"Pau Palmero")</f>
        <v>Pau Palmero</v>
      </c>
      <c r="W1757" s="1" t="str">
        <f>IFERROR(__xludf.DUMMYFUNCTION("""COMPUTED_VALUE"""),"Admin Support PH CEDD")</f>
        <v>Admin Support PH CEDD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IFERROR(__xludf.DUMMYFUNCTION("""COMPUTED_VALUE"""),"2025 Dec")</f>
        <v>2025 Dec</v>
      </c>
      <c r="P1758" s="1" t="str">
        <f>IFERROR(__xludf.DUMMYFUNCTION("""COMPUTED_VALUE"""),"Core Product Support")</f>
        <v>Core Product Support</v>
      </c>
      <c r="Q1758" s="1" t="str">
        <f>IFERROR(__xludf.DUMMYFUNCTION("""COMPUTED_VALUE"""),"denden@canva.com")</f>
        <v>denden@canva.com</v>
      </c>
      <c r="R1758" s="1" t="str">
        <f>IFERROR(__xludf.DUMMYFUNCTION("""COMPUTED_VALUE"""),"Den Gutierrez")</f>
        <v>Den Gutierrez</v>
      </c>
      <c r="S1758" s="1">
        <f>IFERROR(__xludf.DUMMYFUNCTION("""COMPUTED_VALUE"""),1.0)</f>
        <v>1</v>
      </c>
      <c r="T1758" s="1">
        <f>IFERROR(__xludf.DUMMYFUNCTION("""COMPUTED_VALUE"""),10.0)</f>
        <v>10</v>
      </c>
      <c r="U1758" s="3">
        <f>IFERROR(__xludf.DUMMYFUNCTION("""COMPUTED_VALUE"""),11.0)</f>
        <v>11</v>
      </c>
      <c r="V1758" s="1" t="str">
        <f>IFERROR(__xludf.DUMMYFUNCTION("""COMPUTED_VALUE"""),"Sieg Ballelos")</f>
        <v>Sieg Ballelos</v>
      </c>
      <c r="W1758" s="1" t="str">
        <f>IFERROR(__xludf.DUMMYFUNCTION("""COMPUTED_VALUE"""),"Core Product Support Escalation Team")</f>
        <v>Core Product Support Escalation Team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IFERROR(__xludf.DUMMYFUNCTION("""COMPUTED_VALUE"""),"2025 Dec")</f>
        <v>2025 Dec</v>
      </c>
      <c r="P1759" s="1" t="str">
        <f>IFERROR(__xludf.DUMMYFUNCTION("""COMPUTED_VALUE"""),"Core Product Support")</f>
        <v>Core Product Support</v>
      </c>
      <c r="Q1759" s="1" t="str">
        <f>IFERROR(__xludf.DUMMYFUNCTION("""COMPUTED_VALUE"""),"deniseadrms@canva.com")</f>
        <v>deniseadrms@canva.com</v>
      </c>
      <c r="R1759" s="1" t="str">
        <f>IFERROR(__xludf.DUMMYFUNCTION("""COMPUTED_VALUE"""),"Denise Adoremos")</f>
        <v>Denise Adoremos</v>
      </c>
      <c r="S1759" s="1">
        <f>IFERROR(__xludf.DUMMYFUNCTION("""COMPUTED_VALUE"""),1.5)</f>
        <v>1.5</v>
      </c>
      <c r="T1759" s="1">
        <f>IFERROR(__xludf.DUMMYFUNCTION("""COMPUTED_VALUE"""),1.25)</f>
        <v>1.25</v>
      </c>
      <c r="U1759" s="3">
        <f>IFERROR(__xludf.DUMMYFUNCTION("""COMPUTED_VALUE"""),2.75)</f>
        <v>2.75</v>
      </c>
      <c r="V1759" s="1" t="str">
        <f>IFERROR(__xludf.DUMMYFUNCTION("""COMPUTED_VALUE"""),"Ana Lazaro")</f>
        <v>Ana Lazaro</v>
      </c>
      <c r="W1759" s="1" t="str">
        <f>IFERROR(__xludf.DUMMYFUNCTION("""COMPUTED_VALUE"""),"Advanced Billing &amp; Subscriptions")</f>
        <v>Advanced Billing &amp; Subscriptions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IFERROR(__xludf.DUMMYFUNCTION("""COMPUTED_VALUE"""),"2025 Dec")</f>
        <v>2025 Dec</v>
      </c>
      <c r="P1760" s="1" t="str">
        <f>IFERROR(__xludf.DUMMYFUNCTION("""COMPUTED_VALUE"""),"Core Product Support")</f>
        <v>Core Product Support</v>
      </c>
      <c r="Q1760" s="1" t="str">
        <f>IFERROR(__xludf.DUMMYFUNCTION("""COMPUTED_VALUE"""),"dymplem@canva.com")</f>
        <v>dymplem@canva.com</v>
      </c>
      <c r="R1760" s="1" t="str">
        <f>IFERROR(__xludf.DUMMYFUNCTION("""COMPUTED_VALUE"""),"Dymple Macaraeg")</f>
        <v>Dymple Macaraeg</v>
      </c>
      <c r="S1760" s="1">
        <f>IFERROR(__xludf.DUMMYFUNCTION("""COMPUTED_VALUE"""),1.5)</f>
        <v>1.5</v>
      </c>
      <c r="T1760" s="1">
        <f>IFERROR(__xludf.DUMMYFUNCTION("""COMPUTED_VALUE"""),0.25)</f>
        <v>0.25</v>
      </c>
      <c r="U1760" s="3">
        <f>IFERROR(__xludf.DUMMYFUNCTION("""COMPUTED_VALUE"""),1.75)</f>
        <v>1.75</v>
      </c>
      <c r="V1760" s="1" t="str">
        <f>IFERROR(__xludf.DUMMYFUNCTION("""COMPUTED_VALUE"""),"Belle Bentazal")</f>
        <v>Belle Bentazal</v>
      </c>
      <c r="W1760" s="1" t="str">
        <f>IFERROR(__xludf.DUMMYFUNCTION("""COMPUTED_VALUE"""),"Advanced Product Support")</f>
        <v>Advanced Product Support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IFERROR(__xludf.DUMMYFUNCTION("""COMPUTED_VALUE"""),"2025 Dec")</f>
        <v>2025 Dec</v>
      </c>
      <c r="P1761" s="1" t="str">
        <f>IFERROR(__xludf.DUMMYFUNCTION("""COMPUTED_VALUE"""),"Admin Support")</f>
        <v>Admin Support</v>
      </c>
      <c r="Q1761" s="1" t="str">
        <f>IFERROR(__xludf.DUMMYFUNCTION("""COMPUTED_VALUE"""),"edlico@canva.com")</f>
        <v>edlico@canva.com</v>
      </c>
      <c r="R1761" s="1" t="str">
        <f>IFERROR(__xludf.DUMMYFUNCTION("""COMPUTED_VALUE"""),"Ed Lico")</f>
        <v>Ed Lico</v>
      </c>
      <c r="S1761" s="1"/>
      <c r="T1761" s="1">
        <f>IFERROR(__xludf.DUMMYFUNCTION("""COMPUTED_VALUE"""),11.5)</f>
        <v>11.5</v>
      </c>
      <c r="U1761" s="3">
        <f>IFERROR(__xludf.DUMMYFUNCTION("""COMPUTED_VALUE"""),11.5)</f>
        <v>11.5</v>
      </c>
      <c r="V1761" s="1" t="str">
        <f>IFERROR(__xludf.DUMMYFUNCTION("""COMPUTED_VALUE"""),"Pau Palmero")</f>
        <v>Pau Palmero</v>
      </c>
      <c r="W1761" s="1" t="str">
        <f>IFERROR(__xludf.DUMMYFUNCTION("""COMPUTED_VALUE"""),"Admin Support PH CEDD")</f>
        <v>Admin Support PH CEDD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IFERROR(__xludf.DUMMYFUNCTION("""COMPUTED_VALUE"""),"2025 Dec")</f>
        <v>2025 Dec</v>
      </c>
      <c r="P1762" s="1" t="str">
        <f>IFERROR(__xludf.DUMMYFUNCTION("""COMPUTED_VALUE"""),"Multilingual Support")</f>
        <v>Multilingual Support</v>
      </c>
      <c r="Q1762" s="1" t="str">
        <f>IFERROR(__xludf.DUMMYFUNCTION("""COMPUTED_VALUE"""),"elmata@canva.com")</f>
        <v>elmata@canva.com</v>
      </c>
      <c r="R1762" s="1" t="str">
        <f>IFERROR(__xludf.DUMMYFUNCTION("""COMPUTED_VALUE"""),"Elmer Matarlo")</f>
        <v>Elmer Matarlo</v>
      </c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IFERROR(__xludf.DUMMYFUNCTION("""COMPUTED_VALUE"""),"Arlene Maurillo")</f>
        <v>Arlene Maurillo</v>
      </c>
      <c r="W1762" s="1" t="str">
        <f>IFERROR(__xludf.DUMMYFUNCTION("""COMPUTED_VALUE"""),"PHL, Multilingual Support")</f>
        <v>PHL, Multilingual Support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IFERROR(__xludf.DUMMYFUNCTION("""COMPUTED_VALUE"""),"2025 Dec")</f>
        <v>2025 Dec</v>
      </c>
      <c r="P1763" s="1" t="str">
        <f>IFERROR(__xludf.DUMMYFUNCTION("""COMPUTED_VALUE"""),"Core Product Support")</f>
        <v>Core Product Support</v>
      </c>
      <c r="Q1763" s="1" t="str">
        <f>IFERROR(__xludf.DUMMYFUNCTION("""COMPUTED_VALUE"""),"emdavid@canva.com")</f>
        <v>emdavid@canva.com</v>
      </c>
      <c r="R1763" s="1" t="str">
        <f>IFERROR(__xludf.DUMMYFUNCTION("""COMPUTED_VALUE"""),"Em David")</f>
        <v>Em David</v>
      </c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IFERROR(__xludf.DUMMYFUNCTION("""COMPUTED_VALUE"""),"Vianca De Jesus")</f>
        <v>Vianca De Jesus</v>
      </c>
      <c r="W1763" s="1" t="str">
        <f>IFERROR(__xludf.DUMMYFUNCTION("""COMPUTED_VALUE"""),"Advanced Chat Support")</f>
        <v>Advanced Chat Support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IFERROR(__xludf.DUMMYFUNCTION("""COMPUTED_VALUE"""),"2025 Dec")</f>
        <v>2025 Dec</v>
      </c>
      <c r="P1764" s="1" t="str">
        <f>IFERROR(__xludf.DUMMYFUNCTION("""COMPUTED_VALUE"""),"Core Product Support")</f>
        <v>Core Product Support</v>
      </c>
      <c r="Q1764" s="1" t="str">
        <f>IFERROR(__xludf.DUMMYFUNCTION("""COMPUTED_VALUE"""),"ena@canva.com")</f>
        <v>ena@canva.com</v>
      </c>
      <c r="R1764" s="1" t="str">
        <f>IFERROR(__xludf.DUMMYFUNCTION("""COMPUTED_VALUE"""),"Ena Reyes")</f>
        <v>Ena Reyes</v>
      </c>
      <c r="S1764" s="1">
        <f>IFERROR(__xludf.DUMMYFUNCTION("""COMPUTED_VALUE"""),2.0)</f>
        <v>2</v>
      </c>
      <c r="T1764" s="1"/>
      <c r="U1764" s="3">
        <f>IFERROR(__xludf.DUMMYFUNCTION("""COMPUTED_VALUE"""),2.0)</f>
        <v>2</v>
      </c>
      <c r="V1764" s="1" t="str">
        <f>IFERROR(__xludf.DUMMYFUNCTION("""COMPUTED_VALUE"""),"Jem Mondoñedo")</f>
        <v>Jem Mondoñedo</v>
      </c>
      <c r="W1764" s="1" t="str">
        <f>IFERROR(__xludf.DUMMYFUNCTION("""COMPUTED_VALUE"""),"Advanced Chat Support")</f>
        <v>Advanced Chat Support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IFERROR(__xludf.DUMMYFUNCTION("""COMPUTED_VALUE"""),"2025 Dec")</f>
        <v>2025 Dec</v>
      </c>
      <c r="P1765" s="1" t="str">
        <f>IFERROR(__xludf.DUMMYFUNCTION("""COMPUTED_VALUE"""),"Admin Support")</f>
        <v>Admin Support</v>
      </c>
      <c r="Q1765" s="1" t="str">
        <f>IFERROR(__xludf.DUMMYFUNCTION("""COMPUTED_VALUE"""),"enrique@canva.com")</f>
        <v>enrique@canva.com</v>
      </c>
      <c r="R1765" s="1" t="str">
        <f>IFERROR(__xludf.DUMMYFUNCTION("""COMPUTED_VALUE"""),"Enrique Paolo Catuncan")</f>
        <v>Enrique Paolo Catuncan</v>
      </c>
      <c r="S1765" s="1"/>
      <c r="T1765" s="1">
        <f>IFERROR(__xludf.DUMMYFUNCTION("""COMPUTED_VALUE"""),18.0)</f>
        <v>18</v>
      </c>
      <c r="U1765" s="3">
        <f>IFERROR(__xludf.DUMMYFUNCTION("""COMPUTED_VALUE"""),18.0)</f>
        <v>18</v>
      </c>
      <c r="V1765" s="1" t="str">
        <f>IFERROR(__xludf.DUMMYFUNCTION("""COMPUTED_VALUE"""),"AL Suarez")</f>
        <v>AL Suarez</v>
      </c>
      <c r="W1765" s="1" t="str">
        <f>IFERROR(__xludf.DUMMYFUNCTION("""COMPUTED_VALUE"""),"Admin Support PH")</f>
        <v>Admin Support PH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IFERROR(__xludf.DUMMYFUNCTION("""COMPUTED_VALUE"""),"2025 Dec")</f>
        <v>2025 Dec</v>
      </c>
      <c r="P1766" s="1" t="str">
        <f>IFERROR(__xludf.DUMMYFUNCTION("""COMPUTED_VALUE"""),"Print Support")</f>
        <v>Print Support</v>
      </c>
      <c r="Q1766" s="1" t="str">
        <f>IFERROR(__xludf.DUMMYFUNCTION("""COMPUTED_VALUE"""),"erielle@canva.com")</f>
        <v>erielle@canva.com</v>
      </c>
      <c r="R1766" s="1" t="str">
        <f>IFERROR(__xludf.DUMMYFUNCTION("""COMPUTED_VALUE"""),"Erielle Singular")</f>
        <v>Erielle Singular</v>
      </c>
      <c r="S1766" s="1"/>
      <c r="T1766" s="1"/>
      <c r="U1766" s="3">
        <f>IFERROR(__xludf.DUMMYFUNCTION("""COMPUTED_VALUE"""),0.0)</f>
        <v>0</v>
      </c>
      <c r="V1766" s="1" t="str">
        <f>IFERROR(__xludf.DUMMYFUNCTION("""COMPUTED_VALUE"""),"Rei De Jesus")</f>
        <v>Rei De Jesus</v>
      </c>
      <c r="W1766" s="1" t="str">
        <f>IFERROR(__xludf.DUMMYFUNCTION("""COMPUTED_VALUE"""),"Print Design Support")</f>
        <v>Print Design Support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IFERROR(__xludf.DUMMYFUNCTION("""COMPUTED_VALUE"""),"2025 Dec")</f>
        <v>2025 Dec</v>
      </c>
      <c r="P1767" s="1" t="str">
        <f>IFERROR(__xludf.DUMMYFUNCTION("""COMPUTED_VALUE"""),"Core Product Support")</f>
        <v>Core Product Support</v>
      </c>
      <c r="Q1767" s="1" t="str">
        <f>IFERROR(__xludf.DUMMYFUNCTION("""COMPUTED_VALUE"""),"euni@canva.com")</f>
        <v>euni@canva.com</v>
      </c>
      <c r="R1767" s="1" t="str">
        <f>IFERROR(__xludf.DUMMYFUNCTION("""COMPUTED_VALUE"""),"Eunice Hachero")</f>
        <v>Eunice Hachero</v>
      </c>
      <c r="S1767" s="1">
        <f>IFERROR(__xludf.DUMMYFUNCTION("""COMPUTED_VALUE"""),2.0)</f>
        <v>2</v>
      </c>
      <c r="T1767" s="1"/>
      <c r="U1767" s="3">
        <f>IFERROR(__xludf.DUMMYFUNCTION("""COMPUTED_VALUE"""),2.0)</f>
        <v>2</v>
      </c>
      <c r="V1767" s="1" t="str">
        <f>IFERROR(__xludf.DUMMYFUNCTION("""COMPUTED_VALUE"""),"Marie Mordeno")</f>
        <v>Marie Mordeno</v>
      </c>
      <c r="W1767" s="1" t="str">
        <f>IFERROR(__xludf.DUMMYFUNCTION("""COMPUTED_VALUE"""),"Advanced Billing &amp; Subscriptions")</f>
        <v>Advanced Billing &amp; Subscriptions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IFERROR(__xludf.DUMMYFUNCTION("""COMPUTED_VALUE"""),"2025 Dec")</f>
        <v>2025 Dec</v>
      </c>
      <c r="P1768" s="1" t="str">
        <f>IFERROR(__xludf.DUMMYFUNCTION("""COMPUTED_VALUE"""),"Admin Support")</f>
        <v>Admin Support</v>
      </c>
      <c r="Q1768" s="1" t="str">
        <f>IFERROR(__xludf.DUMMYFUNCTION("""COMPUTED_VALUE"""),"eziecl@canva.com")</f>
        <v>eziecl@canva.com</v>
      </c>
      <c r="R1768" s="1" t="str">
        <f>IFERROR(__xludf.DUMMYFUNCTION("""COMPUTED_VALUE"""),"Ezekiel Marlin Lacson")</f>
        <v>Ezekiel Marlin Lacson</v>
      </c>
      <c r="S1768" s="1"/>
      <c r="T1768" s="1">
        <f>IFERROR(__xludf.DUMMYFUNCTION("""COMPUTED_VALUE"""),4.0)</f>
        <v>4</v>
      </c>
      <c r="U1768" s="3">
        <f>IFERROR(__xludf.DUMMYFUNCTION("""COMPUTED_VALUE"""),4.0)</f>
        <v>4</v>
      </c>
      <c r="V1768" s="1" t="str">
        <f>IFERROR(__xludf.DUMMYFUNCTION("""COMPUTED_VALUE"""),"AL Suarez")</f>
        <v>AL Suarez</v>
      </c>
      <c r="W1768" s="1" t="str">
        <f>IFERROR(__xludf.DUMMYFUNCTION("""COMPUTED_VALUE"""),"Admin Support PH")</f>
        <v>Admin Support PH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IFERROR(__xludf.DUMMYFUNCTION("""COMPUTED_VALUE"""),"2025 Dec")</f>
        <v>2025 Dec</v>
      </c>
      <c r="P1769" s="1" t="str">
        <f>IFERROR(__xludf.DUMMYFUNCTION("""COMPUTED_VALUE"""),"Print Support")</f>
        <v>Print Support</v>
      </c>
      <c r="Q1769" s="1" t="str">
        <f>IFERROR(__xludf.DUMMYFUNCTION("""COMPUTED_VALUE"""),"faith@canva.com")</f>
        <v>faith@canva.com</v>
      </c>
      <c r="R1769" s="1" t="str">
        <f>IFERROR(__xludf.DUMMYFUNCTION("""COMPUTED_VALUE"""),"Faith Ytang")</f>
        <v>Faith Ytang</v>
      </c>
      <c r="S1769" s="1">
        <f>IFERROR(__xludf.DUMMYFUNCTION("""COMPUTED_VALUE"""),10.0)</f>
        <v>10</v>
      </c>
      <c r="T1769" s="1"/>
      <c r="U1769" s="3">
        <f>IFERROR(__xludf.DUMMYFUNCTION("""COMPUTED_VALUE"""),10.0)</f>
        <v>10</v>
      </c>
      <c r="V1769" s="1" t="str">
        <f>IFERROR(__xludf.DUMMYFUNCTION("""COMPUTED_VALUE"""),"Memae Faustino")</f>
        <v>Memae Faustino</v>
      </c>
      <c r="W1769" s="1" t="str">
        <f>IFERROR(__xludf.DUMMYFUNCTION("""COMPUTED_VALUE"""),"Print Support PH")</f>
        <v>Print Support PH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IFERROR(__xludf.DUMMYFUNCTION("""COMPUTED_VALUE"""),"2025 Dec")</f>
        <v>2025 Dec</v>
      </c>
      <c r="P1770" s="1" t="str">
        <f>IFERROR(__xludf.DUMMYFUNCTION("""COMPUTED_VALUE"""),"Multilingual Support")</f>
        <v>Multilingual Support</v>
      </c>
      <c r="Q1770" s="1" t="str">
        <f>IFERROR(__xludf.DUMMYFUNCTION("""COMPUTED_VALUE"""),"francescamat@canva.com")</f>
        <v>francescamat@canva.com</v>
      </c>
      <c r="R1770" s="1" t="str">
        <f>IFERROR(__xludf.DUMMYFUNCTION("""COMPUTED_VALUE"""),"Francesca Mat")</f>
        <v>Francesca Mat</v>
      </c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IFERROR(__xludf.DUMMYFUNCTION("""COMPUTED_VALUE"""),"Arlene Maurillo")</f>
        <v>Arlene Maurillo</v>
      </c>
      <c r="W1770" s="1" t="str">
        <f>IFERROR(__xludf.DUMMYFUNCTION("""COMPUTED_VALUE"""),"PHL, Multilingual Support")</f>
        <v>PHL, Multilingual Support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IFERROR(__xludf.DUMMYFUNCTION("""COMPUTED_VALUE"""),"2025 Dec")</f>
        <v>2025 Dec</v>
      </c>
      <c r="P1771" s="1" t="str">
        <f>IFERROR(__xludf.DUMMYFUNCTION("""COMPUTED_VALUE"""),"Core Product Support")</f>
        <v>Core Product Support</v>
      </c>
      <c r="Q1771" s="1" t="str">
        <f>IFERROR(__xludf.DUMMYFUNCTION("""COMPUTED_VALUE"""),"fweill@canva.com")</f>
        <v>fweill@canva.com</v>
      </c>
      <c r="R1771" s="1" t="str">
        <f>IFERROR(__xludf.DUMMYFUNCTION("""COMPUTED_VALUE"""),"Frank Weill")</f>
        <v>Frank Weill</v>
      </c>
      <c r="S1771" s="1">
        <f>IFERROR(__xludf.DUMMYFUNCTION("""COMPUTED_VALUE"""),2.0)</f>
        <v>2</v>
      </c>
      <c r="T1771" s="1"/>
      <c r="U1771" s="3">
        <f>IFERROR(__xludf.DUMMYFUNCTION("""COMPUTED_VALUE"""),2.0)</f>
        <v>2</v>
      </c>
      <c r="V1771" s="1" t="str">
        <f>IFERROR(__xludf.DUMMYFUNCTION("""COMPUTED_VALUE"""),"Jem Mondoñedo")</f>
        <v>Jem Mondoñedo</v>
      </c>
      <c r="W1771" s="1" t="str">
        <f>IFERROR(__xludf.DUMMYFUNCTION("""COMPUTED_VALUE"""),"Advanced Billing &amp; Subscriptions")</f>
        <v>Advanced Billing &amp; Subscriptions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IFERROR(__xludf.DUMMYFUNCTION("""COMPUTED_VALUE"""),"2025 Dec")</f>
        <v>2025 Dec</v>
      </c>
      <c r="P1772" s="1" t="str">
        <f>IFERROR(__xludf.DUMMYFUNCTION("""COMPUTED_VALUE"""),"Print Support")</f>
        <v>Print Support</v>
      </c>
      <c r="Q1772" s="1" t="str">
        <f>IFERROR(__xludf.DUMMYFUNCTION("""COMPUTED_VALUE"""),"frencie@canva.com")</f>
        <v>frencie@canva.com</v>
      </c>
      <c r="R1772" s="1" t="str">
        <f>IFERROR(__xludf.DUMMYFUNCTION("""COMPUTED_VALUE"""),"Frencie Guzman")</f>
        <v>Frencie Guzman</v>
      </c>
      <c r="S1772" s="1"/>
      <c r="T1772" s="1">
        <f>IFERROR(__xludf.DUMMYFUNCTION("""COMPUTED_VALUE"""),1.0)</f>
        <v>1</v>
      </c>
      <c r="U1772" s="3">
        <f>IFERROR(__xludf.DUMMYFUNCTION("""COMPUTED_VALUE"""),1.0)</f>
        <v>1</v>
      </c>
      <c r="V1772" s="1" t="str">
        <f>IFERROR(__xludf.DUMMYFUNCTION("""COMPUTED_VALUE"""),"Aliza Dote")</f>
        <v>Aliza Dote</v>
      </c>
      <c r="W1772" s="1" t="str">
        <f>IFERROR(__xludf.DUMMYFUNCTION("""COMPUTED_VALUE"""),"Print Design Support")</f>
        <v>Print Design Support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IFERROR(__xludf.DUMMYFUNCTION("""COMPUTED_VALUE"""),"2025 Dec")</f>
        <v>2025 Dec</v>
      </c>
      <c r="P1773" s="1" t="str">
        <f>IFERROR(__xludf.DUMMYFUNCTION("""COMPUTED_VALUE"""),"Print Support")</f>
        <v>Print Support</v>
      </c>
      <c r="Q1773" s="1" t="str">
        <f>IFERROR(__xludf.DUMMYFUNCTION("""COMPUTED_VALUE"""),"gvr@canva.com")</f>
        <v>gvr@canva.com</v>
      </c>
      <c r="R1773" s="1" t="str">
        <f>IFERROR(__xludf.DUMMYFUNCTION("""COMPUTED_VALUE"""),"Gabriel Reyes")</f>
        <v>Gabriel Reyes</v>
      </c>
      <c r="S1773" s="1">
        <f>IFERROR(__xludf.DUMMYFUNCTION("""COMPUTED_VALUE"""),10.0)</f>
        <v>10</v>
      </c>
      <c r="T1773" s="1">
        <f>IFERROR(__xludf.DUMMYFUNCTION("""COMPUTED_VALUE"""),1.0)</f>
        <v>1</v>
      </c>
      <c r="U1773" s="3">
        <f>IFERROR(__xludf.DUMMYFUNCTION("""COMPUTED_VALUE"""),11.0)</f>
        <v>11</v>
      </c>
      <c r="V1773" s="1" t="str">
        <f>IFERROR(__xludf.DUMMYFUNCTION("""COMPUTED_VALUE"""),"Memae Faustino")</f>
        <v>Memae Faustino</v>
      </c>
      <c r="W1773" s="1" t="str">
        <f>IFERROR(__xludf.DUMMYFUNCTION("""COMPUTED_VALUE"""),"Print Support PH")</f>
        <v>Print Support PH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IFERROR(__xludf.DUMMYFUNCTION("""COMPUTED_VALUE"""),"2025 Dec")</f>
        <v>2025 Dec</v>
      </c>
      <c r="P1774" s="1" t="str">
        <f>IFERROR(__xludf.DUMMYFUNCTION("""COMPUTED_VALUE"""),"High Sensitivity Support")</f>
        <v>High Sensitivity Support</v>
      </c>
      <c r="Q1774" s="1" t="str">
        <f>IFERROR(__xludf.DUMMYFUNCTION("""COMPUTED_VALUE"""),"gsanandres@canva.com")</f>
        <v>gsanandres@canva.com</v>
      </c>
      <c r="R1774" s="1" t="str">
        <f>IFERROR(__xludf.DUMMYFUNCTION("""COMPUTED_VALUE"""),"Galvin San Andres")</f>
        <v>Galvin San Andres</v>
      </c>
      <c r="S1774" s="1">
        <f>IFERROR(__xludf.DUMMYFUNCTION("""COMPUTED_VALUE"""),16.0)</f>
        <v>16</v>
      </c>
      <c r="T1774" s="1"/>
      <c r="U1774" s="3">
        <f>IFERROR(__xludf.DUMMYFUNCTION("""COMPUTED_VALUE"""),16.0)</f>
        <v>16</v>
      </c>
      <c r="V1774" s="1" t="str">
        <f>IFERROR(__xludf.DUMMYFUNCTION("""COMPUTED_VALUE"""),"Xandy Azarcon")</f>
        <v>Xandy Azarcon</v>
      </c>
      <c r="W1774" s="1" t="str">
        <f>IFERROR(__xludf.DUMMYFUNCTION("""COMPUTED_VALUE"""),"High Sensitivity Support PH")</f>
        <v>High Sensitivity Support PH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IFERROR(__xludf.DUMMYFUNCTION("""COMPUTED_VALUE"""),"2025 Dec")</f>
        <v>2025 Dec</v>
      </c>
      <c r="P1775" s="1" t="str">
        <f>IFERROR(__xludf.DUMMYFUNCTION("""COMPUTED_VALUE"""),"Core Product Support")</f>
        <v>Core Product Support</v>
      </c>
      <c r="Q1775" s="1" t="str">
        <f>IFERROR(__xludf.DUMMYFUNCTION("""COMPUTED_VALUE"""),"gsauler@canva.com")</f>
        <v>gsauler@canva.com</v>
      </c>
      <c r="R1775" s="1" t="str">
        <f>IFERROR(__xludf.DUMMYFUNCTION("""COMPUTED_VALUE"""),"Gem Sauler")</f>
        <v>Gem Sauler</v>
      </c>
      <c r="S1775" s="1">
        <f>IFERROR(__xludf.DUMMYFUNCTION("""COMPUTED_VALUE"""),2.5)</f>
        <v>2.5</v>
      </c>
      <c r="T1775" s="1"/>
      <c r="U1775" s="3">
        <f>IFERROR(__xludf.DUMMYFUNCTION("""COMPUTED_VALUE"""),2.5)</f>
        <v>2.5</v>
      </c>
      <c r="V1775" s="1" t="str">
        <f>IFERROR(__xludf.DUMMYFUNCTION("""COMPUTED_VALUE"""),"Mikhaela Decangchon")</f>
        <v>Mikhaela Decangchon</v>
      </c>
      <c r="W1775" s="1" t="str">
        <f>IFERROR(__xludf.DUMMYFUNCTION("""COMPUTED_VALUE"""),"Advanced Product Support")</f>
        <v>Advanced Product Support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IFERROR(__xludf.DUMMYFUNCTION("""COMPUTED_VALUE"""),"2025 Dec")</f>
        <v>2025 Dec</v>
      </c>
      <c r="P1776" s="1" t="str">
        <f>IFERROR(__xludf.DUMMYFUNCTION("""COMPUTED_VALUE"""),"Core Product Support")</f>
        <v>Core Product Support</v>
      </c>
      <c r="Q1776" s="1" t="str">
        <f>IFERROR(__xludf.DUMMYFUNCTION("""COMPUTED_VALUE"""),"gemmalyn@canva.com")</f>
        <v>gemmalyn@canva.com</v>
      </c>
      <c r="R1776" s="1" t="str">
        <f>IFERROR(__xludf.DUMMYFUNCTION("""COMPUTED_VALUE"""),"Gemma Gaddi")</f>
        <v>Gemma Gaddi</v>
      </c>
      <c r="S1776" s="1">
        <f>IFERROR(__xludf.DUMMYFUNCTION("""COMPUTED_VALUE"""),1.5)</f>
        <v>1.5</v>
      </c>
      <c r="T1776" s="1">
        <f>IFERROR(__xludf.DUMMYFUNCTION("""COMPUTED_VALUE"""),4.0)</f>
        <v>4</v>
      </c>
      <c r="U1776" s="3">
        <f>IFERROR(__xludf.DUMMYFUNCTION("""COMPUTED_VALUE"""),5.5)</f>
        <v>5.5</v>
      </c>
      <c r="V1776" s="1" t="str">
        <f>IFERROR(__xludf.DUMMYFUNCTION("""COMPUTED_VALUE"""),"Jahmie Mae Barrameda")</f>
        <v>Jahmie Mae Barrameda</v>
      </c>
      <c r="W1776" s="1" t="str">
        <f>IFERROR(__xludf.DUMMYFUNCTION("""COMPUTED_VALUE"""),"Advanced Billing &amp; Subscriptions")</f>
        <v>Advanced Billing &amp; Subscriptions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IFERROR(__xludf.DUMMYFUNCTION("""COMPUTED_VALUE"""),"2025 Dec")</f>
        <v>2025 Dec</v>
      </c>
      <c r="P1777" s="1" t="str">
        <f>IFERROR(__xludf.DUMMYFUNCTION("""COMPUTED_VALUE"""),"Core Product Support")</f>
        <v>Core Product Support</v>
      </c>
      <c r="Q1777" s="1" t="str">
        <f>IFERROR(__xludf.DUMMYFUNCTION("""COMPUTED_VALUE"""),"evee@canva.com")</f>
        <v>evee@canva.com</v>
      </c>
      <c r="R1777" s="1" t="str">
        <f>IFERROR(__xludf.DUMMYFUNCTION("""COMPUTED_VALUE"""),"Gen Gingoyon")</f>
        <v>Gen Gingoyon</v>
      </c>
      <c r="S1777" s="1">
        <f>IFERROR(__xludf.DUMMYFUNCTION("""COMPUTED_VALUE"""),1.0)</f>
        <v>1</v>
      </c>
      <c r="T1777" s="1">
        <f>IFERROR(__xludf.DUMMYFUNCTION("""COMPUTED_VALUE"""),4.0)</f>
        <v>4</v>
      </c>
      <c r="U1777" s="3">
        <f>IFERROR(__xludf.DUMMYFUNCTION("""COMPUTED_VALUE"""),5.0)</f>
        <v>5</v>
      </c>
      <c r="V1777" s="1" t="str">
        <f>IFERROR(__xludf.DUMMYFUNCTION("""COMPUTED_VALUE"""),"Renette Bok")</f>
        <v>Renette Bok</v>
      </c>
      <c r="W1777" s="1" t="str">
        <f>IFERROR(__xludf.DUMMYFUNCTION("""COMPUTED_VALUE"""),"Advanced Billing &amp; Subscriptions")</f>
        <v>Advanced Billing &amp; Subscriptions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IFERROR(__xludf.DUMMYFUNCTION("""COMPUTED_VALUE"""),"2025 Dec")</f>
        <v>2025 Dec</v>
      </c>
      <c r="P1778" s="1" t="str">
        <f>IFERROR(__xludf.DUMMYFUNCTION("""COMPUTED_VALUE"""),"Core Product Support")</f>
        <v>Core Product Support</v>
      </c>
      <c r="Q1778" s="1" t="str">
        <f>IFERROR(__xludf.DUMMYFUNCTION("""COMPUTED_VALUE"""),"gpascua@canva.com")</f>
        <v>gpascua@canva.com</v>
      </c>
      <c r="R1778" s="1" t="str">
        <f>IFERROR(__xludf.DUMMYFUNCTION("""COMPUTED_VALUE"""),"Gernie Pascua")</f>
        <v>Gernie Pascua</v>
      </c>
      <c r="S1778" s="1">
        <f>IFERROR(__xludf.DUMMYFUNCTION("""COMPUTED_VALUE"""),0.5)</f>
        <v>0.5</v>
      </c>
      <c r="T1778" s="1">
        <f>IFERROR(__xludf.DUMMYFUNCTION("""COMPUTED_VALUE"""),8.0)</f>
        <v>8</v>
      </c>
      <c r="U1778" s="3">
        <f>IFERROR(__xludf.DUMMYFUNCTION("""COMPUTED_VALUE"""),8.5)</f>
        <v>8.5</v>
      </c>
      <c r="V1778" s="1" t="str">
        <f>IFERROR(__xludf.DUMMYFUNCTION("""COMPUTED_VALUE"""),"Ellaine Estayo")</f>
        <v>Ellaine Estayo</v>
      </c>
      <c r="W1778" s="1" t="str">
        <f>IFERROR(__xludf.DUMMYFUNCTION("""COMPUTED_VALUE"""),"Core Product Support Escalation Team")</f>
        <v>Core Product Support Escalation Team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IFERROR(__xludf.DUMMYFUNCTION("""COMPUTED_VALUE"""),"2025 Dec")</f>
        <v>2025 Dec</v>
      </c>
      <c r="P1779" s="1" t="str">
        <f>IFERROR(__xludf.DUMMYFUNCTION("""COMPUTED_VALUE"""),"Print Support")</f>
        <v>Print Support</v>
      </c>
      <c r="Q1779" s="1" t="str">
        <f>IFERROR(__xludf.DUMMYFUNCTION("""COMPUTED_VALUE"""),"giadacillo@canva.com")</f>
        <v>giadacillo@canva.com</v>
      </c>
      <c r="R1779" s="1" t="str">
        <f>IFERROR(__xludf.DUMMYFUNCTION("""COMPUTED_VALUE"""),"Gia Dacillo")</f>
        <v>Gia Dacillo</v>
      </c>
      <c r="S1779" s="1"/>
      <c r="T1779" s="1"/>
      <c r="U1779" s="3">
        <f>IFERROR(__xludf.DUMMYFUNCTION("""COMPUTED_VALUE"""),0.0)</f>
        <v>0</v>
      </c>
      <c r="V1779" s="1" t="str">
        <f>IFERROR(__xludf.DUMMYFUNCTION("""COMPUTED_VALUE"""),"Jan Domingo")</f>
        <v>Jan Domingo</v>
      </c>
      <c r="W1779" s="1" t="str">
        <f>IFERROR(__xludf.DUMMYFUNCTION("""COMPUTED_VALUE"""),"Print Design Support")</f>
        <v>Print Design Support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IFERROR(__xludf.DUMMYFUNCTION("""COMPUTED_VALUE"""),"2025 Dec")</f>
        <v>2025 Dec</v>
      </c>
      <c r="P1780" s="1" t="str">
        <f>IFERROR(__xludf.DUMMYFUNCTION("""COMPUTED_VALUE"""),"Core Product Support")</f>
        <v>Core Product Support</v>
      </c>
      <c r="Q1780" s="1" t="str">
        <f>IFERROR(__xludf.DUMMYFUNCTION("""COMPUTED_VALUE"""),"gieslnts@canva.com")</f>
        <v>gieslnts@canva.com</v>
      </c>
      <c r="R1780" s="1" t="str">
        <f>IFERROR(__xludf.DUMMYFUNCTION("""COMPUTED_VALUE"""),"Gieann Salantes")</f>
        <v>Gieann Salantes</v>
      </c>
      <c r="S1780" s="1">
        <f>IFERROR(__xludf.DUMMYFUNCTION("""COMPUTED_VALUE"""),1.0)</f>
        <v>1</v>
      </c>
      <c r="T1780" s="1">
        <f>IFERROR(__xludf.DUMMYFUNCTION("""COMPUTED_VALUE"""),11.5)</f>
        <v>11.5</v>
      </c>
      <c r="U1780" s="3">
        <f>IFERROR(__xludf.DUMMYFUNCTION("""COMPUTED_VALUE"""),12.5)</f>
        <v>12.5</v>
      </c>
      <c r="V1780" s="1" t="str">
        <f>IFERROR(__xludf.DUMMYFUNCTION("""COMPUTED_VALUE"""),"Sieg Ballelos")</f>
        <v>Sieg Ballelos</v>
      </c>
      <c r="W1780" s="1" t="str">
        <f>IFERROR(__xludf.DUMMYFUNCTION("""COMPUTED_VALUE"""),"Core Product Support Escalation Team")</f>
        <v>Core Product Support Escalation Team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IFERROR(__xludf.DUMMYFUNCTION("""COMPUTED_VALUE"""),"2025 Dec")</f>
        <v>2025 Dec</v>
      </c>
      <c r="P1781" s="1" t="str">
        <f>IFERROR(__xludf.DUMMYFUNCTION("""COMPUTED_VALUE"""),"Admin Support")</f>
        <v>Admin Support</v>
      </c>
      <c r="Q1781" s="1" t="str">
        <f>IFERROR(__xludf.DUMMYFUNCTION("""COMPUTED_VALUE"""),"glennford@canva.com")</f>
        <v>glennford@canva.com</v>
      </c>
      <c r="R1781" s="1" t="str">
        <f>IFERROR(__xludf.DUMMYFUNCTION("""COMPUTED_VALUE"""),"Glenn Gutierrez")</f>
        <v>Glenn Gutierrez</v>
      </c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IFERROR(__xludf.DUMMYFUNCTION("""COMPUTED_VALUE"""),"Camille Alvarez")</f>
        <v>Camille Alvarez</v>
      </c>
      <c r="W1781" s="1" t="str">
        <f>IFERROR(__xludf.DUMMYFUNCTION("""COMPUTED_VALUE"""),"Admin Support PH SSO")</f>
        <v>Admin Support PH SSO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IFERROR(__xludf.DUMMYFUNCTION("""COMPUTED_VALUE"""),"2025 Dec")</f>
        <v>2025 Dec</v>
      </c>
      <c r="P1782" s="1" t="str">
        <f>IFERROR(__xludf.DUMMYFUNCTION("""COMPUTED_VALUE"""),"Core Product Support")</f>
        <v>Core Product Support</v>
      </c>
      <c r="Q1782" s="1" t="str">
        <f>IFERROR(__xludf.DUMMYFUNCTION("""COMPUTED_VALUE"""),"gracegarcia@canva.com")</f>
        <v>gracegarcia@canva.com</v>
      </c>
      <c r="R1782" s="1" t="str">
        <f>IFERROR(__xludf.DUMMYFUNCTION("""COMPUTED_VALUE"""),"Grace Garcia")</f>
        <v>Grace Garcia</v>
      </c>
      <c r="S1782" s="1">
        <f>IFERROR(__xludf.DUMMYFUNCTION("""COMPUTED_VALUE"""),2.5)</f>
        <v>2.5</v>
      </c>
      <c r="T1782" s="1"/>
      <c r="U1782" s="3">
        <f>IFERROR(__xludf.DUMMYFUNCTION("""COMPUTED_VALUE"""),2.5)</f>
        <v>2.5</v>
      </c>
      <c r="V1782" s="1" t="str">
        <f>IFERROR(__xludf.DUMMYFUNCTION("""COMPUTED_VALUE"""),"Marie Mordeno")</f>
        <v>Marie Mordeno</v>
      </c>
      <c r="W1782" s="1" t="str">
        <f>IFERROR(__xludf.DUMMYFUNCTION("""COMPUTED_VALUE"""),"Advanced Billing &amp; Subscriptions")</f>
        <v>Advanced Billing &amp; Subscriptions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IFERROR(__xludf.DUMMYFUNCTION("""COMPUTED_VALUE"""),"2025 Dec")</f>
        <v>2025 Dec</v>
      </c>
      <c r="P1783" s="1" t="str">
        <f>IFERROR(__xludf.DUMMYFUNCTION("""COMPUTED_VALUE"""),"Core Product Support")</f>
        <v>Core Product Support</v>
      </c>
      <c r="Q1783" s="1" t="str">
        <f>IFERROR(__xludf.DUMMYFUNCTION("""COMPUTED_VALUE"""),"hanni@canva.com")</f>
        <v>hanni@canva.com</v>
      </c>
      <c r="R1783" s="1" t="str">
        <f>IFERROR(__xludf.DUMMYFUNCTION("""COMPUTED_VALUE"""),"Hannah Bejo")</f>
        <v>Hannah Bejo</v>
      </c>
      <c r="S1783" s="1">
        <f>IFERROR(__xludf.DUMMYFUNCTION("""COMPUTED_VALUE"""),1.5)</f>
        <v>1.5</v>
      </c>
      <c r="T1783" s="1"/>
      <c r="U1783" s="3">
        <f>IFERROR(__xludf.DUMMYFUNCTION("""COMPUTED_VALUE"""),1.5)</f>
        <v>1.5</v>
      </c>
      <c r="V1783" s="1" t="str">
        <f>IFERROR(__xludf.DUMMYFUNCTION("""COMPUTED_VALUE"""),"Ayza Marie Pascual")</f>
        <v>Ayza Marie Pascual</v>
      </c>
      <c r="W1783" s="1" t="str">
        <f>IFERROR(__xludf.DUMMYFUNCTION("""COMPUTED_VALUE"""),"Advanced Billing &amp; Subscriptions")</f>
        <v>Advanced Billing &amp; Subscriptions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IFERROR(__xludf.DUMMYFUNCTION("""COMPUTED_VALUE"""),"2025 Dec")</f>
        <v>2025 Dec</v>
      </c>
      <c r="P1784" s="1" t="str">
        <f>IFERROR(__xludf.DUMMYFUNCTION("""COMPUTED_VALUE"""),"Core Product Support")</f>
        <v>Core Product Support</v>
      </c>
      <c r="Q1784" s="1" t="str">
        <f>IFERROR(__xludf.DUMMYFUNCTION("""COMPUTED_VALUE"""),"hdecena@canva.com")</f>
        <v>hdecena@canva.com</v>
      </c>
      <c r="R1784" s="1" t="str">
        <f>IFERROR(__xludf.DUMMYFUNCTION("""COMPUTED_VALUE"""),"Hannah Decena")</f>
        <v>Hannah Decena</v>
      </c>
      <c r="S1784" s="1">
        <f>IFERROR(__xludf.DUMMYFUNCTION("""COMPUTED_VALUE"""),2.5)</f>
        <v>2.5</v>
      </c>
      <c r="T1784" s="1"/>
      <c r="U1784" s="3">
        <f>IFERROR(__xludf.DUMMYFUNCTION("""COMPUTED_VALUE"""),2.5)</f>
        <v>2.5</v>
      </c>
      <c r="V1784" s="1" t="str">
        <f>IFERROR(__xludf.DUMMYFUNCTION("""COMPUTED_VALUE"""),"Ana Lazaro")</f>
        <v>Ana Lazaro</v>
      </c>
      <c r="W1784" s="1" t="str">
        <f>IFERROR(__xludf.DUMMYFUNCTION("""COMPUTED_VALUE"""),"Advanced Billing &amp; Subscriptions")</f>
        <v>Advanced Billing &amp; Subscriptions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IFERROR(__xludf.DUMMYFUNCTION("""COMPUTED_VALUE"""),"2025 Dec")</f>
        <v>2025 Dec</v>
      </c>
      <c r="P1785" s="1" t="str">
        <f>IFERROR(__xludf.DUMMYFUNCTION("""COMPUTED_VALUE"""),"High Sensitivity Support")</f>
        <v>High Sensitivity Support</v>
      </c>
      <c r="Q1785" s="1" t="str">
        <f>IFERROR(__xludf.DUMMYFUNCTION("""COMPUTED_VALUE"""),"hannahd@canva.com")</f>
        <v>hannahd@canva.com</v>
      </c>
      <c r="R1785" s="1" t="str">
        <f>IFERROR(__xludf.DUMMYFUNCTION("""COMPUTED_VALUE"""),"Hannah Dimayuga")</f>
        <v>Hannah Dimayuga</v>
      </c>
      <c r="S1785" s="1">
        <f>IFERROR(__xludf.DUMMYFUNCTION("""COMPUTED_VALUE"""),20.0)</f>
        <v>20</v>
      </c>
      <c r="T1785" s="1"/>
      <c r="U1785" s="3">
        <f>IFERROR(__xludf.DUMMYFUNCTION("""COMPUTED_VALUE"""),20.0)</f>
        <v>20</v>
      </c>
      <c r="V1785" s="1" t="str">
        <f>IFERROR(__xludf.DUMMYFUNCTION("""COMPUTED_VALUE"""),"Rex Villamor")</f>
        <v>Rex Villamor</v>
      </c>
      <c r="W1785" s="1" t="str">
        <f>IFERROR(__xludf.DUMMYFUNCTION("""COMPUTED_VALUE"""),"High Sensitivity Support PH")</f>
        <v>High Sensitivity Support PH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/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IFERROR(__xludf.DUMMYFUNCTION("""COMPUTED_VALUE"""),"2025 Dec")</f>
        <v>2025 Dec</v>
      </c>
      <c r="P1786" s="1" t="str">
        <f>IFERROR(__xludf.DUMMYFUNCTION("""COMPUTED_VALUE"""),"Core Product Support")</f>
        <v>Core Product Support</v>
      </c>
      <c r="Q1786" s="1" t="str">
        <f>IFERROR(__xludf.DUMMYFUNCTION("""COMPUTED_VALUE"""),"hazzel@canva.com")</f>
        <v>hazzel@canva.com</v>
      </c>
      <c r="R1786" s="1" t="str">
        <f>IFERROR(__xludf.DUMMYFUNCTION("""COMPUTED_VALUE"""),"Haze Rafon")</f>
        <v>Haze Rafon</v>
      </c>
      <c r="S1786" s="1">
        <f>IFERROR(__xludf.DUMMYFUNCTION("""COMPUTED_VALUE"""),2.0)</f>
        <v>2</v>
      </c>
      <c r="T1786" s="1">
        <f>IFERROR(__xludf.DUMMYFUNCTION("""COMPUTED_VALUE"""),9.0)</f>
        <v>9</v>
      </c>
      <c r="U1786" s="3">
        <f>IFERROR(__xludf.DUMMYFUNCTION("""COMPUTED_VALUE"""),11.0)</f>
        <v>11</v>
      </c>
      <c r="V1786" s="1" t="str">
        <f>IFERROR(__xludf.DUMMYFUNCTION("""COMPUTED_VALUE"""),"Sieg Ballelos")</f>
        <v>Sieg Ballelos</v>
      </c>
      <c r="W1786" s="1" t="str">
        <f>IFERROR(__xludf.DUMMYFUNCTION("""COMPUTED_VALUE"""),"Core Product Support Escalation Team")</f>
        <v>Core Product Support Escalation Team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IFERROR(__xludf.DUMMYFUNCTION("""COMPUTED_VALUE"""),"2025 Dec")</f>
        <v>2025 Dec</v>
      </c>
      <c r="P1787" s="1" t="str">
        <f>IFERROR(__xludf.DUMMYFUNCTION("""COMPUTED_VALUE"""),"Segment-specific Support")</f>
        <v>Segment-specific Support</v>
      </c>
      <c r="Q1787" s="1" t="str">
        <f>IFERROR(__xludf.DUMMYFUNCTION("""COMPUTED_VALUE"""),"icetamayo@canva.com")</f>
        <v>icetamayo@canva.com</v>
      </c>
      <c r="R1787" s="1" t="str">
        <f>IFERROR(__xludf.DUMMYFUNCTION("""COMPUTED_VALUE"""),"Ice Montecillo-Tamayo")</f>
        <v>Ice Montecillo-Tamayo</v>
      </c>
      <c r="S1787" s="1"/>
      <c r="T1787" s="1"/>
      <c r="U1787" s="3">
        <f>IFERROR(__xludf.DUMMYFUNCTION("""COMPUTED_VALUE"""),0.0)</f>
        <v>0</v>
      </c>
      <c r="V1787" s="1" t="str">
        <f>IFERROR(__xludf.DUMMYFUNCTION("""COMPUTED_VALUE"""),"Tash Kelly")</f>
        <v>Tash Kelly</v>
      </c>
      <c r="W1787" s="1" t="str">
        <f>IFERROR(__xludf.DUMMYFUNCTION("""COMPUTED_VALUE"""),"Affinity Support")</f>
        <v>Affinity Support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IFERROR(__xludf.DUMMYFUNCTION("""COMPUTED_VALUE"""),"2025 Dec")</f>
        <v>2025 Dec</v>
      </c>
      <c r="P1788" s="1" t="str">
        <f>IFERROR(__xludf.DUMMYFUNCTION("""COMPUTED_VALUE"""),"Core Product Support")</f>
        <v>Core Product Support</v>
      </c>
      <c r="Q1788" s="1" t="str">
        <f>IFERROR(__xludf.DUMMYFUNCTION("""COMPUTED_VALUE"""),"mrwong@canva.com")</f>
        <v>mrwong@canva.com</v>
      </c>
      <c r="R1788" s="1" t="str">
        <f>IFERROR(__xludf.DUMMYFUNCTION("""COMPUTED_VALUE"""),"Ino Wong")</f>
        <v>Ino Wong</v>
      </c>
      <c r="S1788" s="1">
        <f>IFERROR(__xludf.DUMMYFUNCTION("""COMPUTED_VALUE"""),2.5)</f>
        <v>2.5</v>
      </c>
      <c r="T1788" s="1"/>
      <c r="U1788" s="3">
        <f>IFERROR(__xludf.DUMMYFUNCTION("""COMPUTED_VALUE"""),2.5)</f>
        <v>2.5</v>
      </c>
      <c r="V1788" s="1" t="str">
        <f>IFERROR(__xludf.DUMMYFUNCTION("""COMPUTED_VALUE"""),"Jem Mondoñedo")</f>
        <v>Jem Mondoñedo</v>
      </c>
      <c r="W1788" s="1" t="str">
        <f>IFERROR(__xludf.DUMMYFUNCTION("""COMPUTED_VALUE"""),"Advanced Chat Support")</f>
        <v>Advanced Chat Support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IFERROR(__xludf.DUMMYFUNCTION("""COMPUTED_VALUE"""),"2025 Dec")</f>
        <v>2025 Dec</v>
      </c>
      <c r="P1789" s="1" t="str">
        <f>IFERROR(__xludf.DUMMYFUNCTION("""COMPUTED_VALUE"""),"Segment-specific Support")</f>
        <v>Segment-specific Support</v>
      </c>
      <c r="Q1789" s="1" t="str">
        <f>IFERROR(__xludf.DUMMYFUNCTION("""COMPUTED_VALUE"""),"ivy@canva.com")</f>
        <v>ivy@canva.com</v>
      </c>
      <c r="R1789" s="1" t="str">
        <f>IFERROR(__xludf.DUMMYFUNCTION("""COMPUTED_VALUE"""),"Ivy Sabado")</f>
        <v>Ivy Sabado</v>
      </c>
      <c r="S1789" s="1"/>
      <c r="T1789" s="1"/>
      <c r="U1789" s="3">
        <f>IFERROR(__xludf.DUMMYFUNCTION("""COMPUTED_VALUE"""),0.0)</f>
        <v>0</v>
      </c>
      <c r="V1789" s="1" t="str">
        <f>IFERROR(__xludf.DUMMYFUNCTION("""COMPUTED_VALUE"""),"Aileen Dayanghirang")</f>
        <v>Aileen Dayanghirang</v>
      </c>
      <c r="W1789" s="1" t="str">
        <f>IFERROR(__xludf.DUMMYFUNCTION("""COMPUTED_VALUE"""),"Creators Support")</f>
        <v>Creators Support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IFERROR(__xludf.DUMMYFUNCTION("""COMPUTED_VALUE"""),"2025 Dec")</f>
        <v>2025 Dec</v>
      </c>
      <c r="P1790" s="1" t="str">
        <f>IFERROR(__xludf.DUMMYFUNCTION("""COMPUTED_VALUE"""),"Core Product Support")</f>
        <v>Core Product Support</v>
      </c>
      <c r="Q1790" s="1" t="str">
        <f>IFERROR(__xludf.DUMMYFUNCTION("""COMPUTED_VALUE"""),"iyaacuyong@canva.com")</f>
        <v>iyaacuyong@canva.com</v>
      </c>
      <c r="R1790" s="1" t="str">
        <f>IFERROR(__xludf.DUMMYFUNCTION("""COMPUTED_VALUE"""),"Iya Acuyong")</f>
        <v>Iya Acuyong</v>
      </c>
      <c r="S1790" s="1">
        <f>IFERROR(__xludf.DUMMYFUNCTION("""COMPUTED_VALUE"""),2.5)</f>
        <v>2.5</v>
      </c>
      <c r="T1790" s="1"/>
      <c r="U1790" s="3">
        <f>IFERROR(__xludf.DUMMYFUNCTION("""COMPUTED_VALUE"""),2.5)</f>
        <v>2.5</v>
      </c>
      <c r="V1790" s="1" t="str">
        <f>IFERROR(__xludf.DUMMYFUNCTION("""COMPUTED_VALUE"""),"Mikhaela Decangchon")</f>
        <v>Mikhaela Decangchon</v>
      </c>
      <c r="W1790" s="1" t="str">
        <f>IFERROR(__xludf.DUMMYFUNCTION("""COMPUTED_VALUE"""),"Advanced Product Support")</f>
        <v>Advanced Product Support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IFERROR(__xludf.DUMMYFUNCTION("""COMPUTED_VALUE"""),"2025 Dec")</f>
        <v>2025 Dec</v>
      </c>
      <c r="P1791" s="1" t="str">
        <f>IFERROR(__xludf.DUMMYFUNCTION("""COMPUTED_VALUE"""),"Print Support")</f>
        <v>Print Support</v>
      </c>
      <c r="Q1791" s="1" t="str">
        <f>IFERROR(__xludf.DUMMYFUNCTION("""COMPUTED_VALUE"""),"jagumasing@canva.com")</f>
        <v>jagumasing@canva.com</v>
      </c>
      <c r="R1791" s="1" t="str">
        <f>IFERROR(__xludf.DUMMYFUNCTION("""COMPUTED_VALUE"""),"Ja Gumasing")</f>
        <v>Ja Gumasing</v>
      </c>
      <c r="S1791" s="1"/>
      <c r="T1791" s="1"/>
      <c r="U1791" s="3">
        <f>IFERROR(__xludf.DUMMYFUNCTION("""COMPUTED_VALUE"""),0.0)</f>
        <v>0</v>
      </c>
      <c r="V1791" s="1" t="str">
        <f>IFERROR(__xludf.DUMMYFUNCTION("""COMPUTED_VALUE"""),"Aliza Dote")</f>
        <v>Aliza Dote</v>
      </c>
      <c r="W1791" s="1" t="str">
        <f>IFERROR(__xludf.DUMMYFUNCTION("""COMPUTED_VALUE"""),"Print Design Support")</f>
        <v>Print Design Support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IFERROR(__xludf.DUMMYFUNCTION("""COMPUTED_VALUE"""),"2025 Dec")</f>
        <v>2025 Dec</v>
      </c>
      <c r="P1792" s="1" t="str">
        <f>IFERROR(__xludf.DUMMYFUNCTION("""COMPUTED_VALUE"""),"Admin Support")</f>
        <v>Admin Support</v>
      </c>
      <c r="Q1792" s="1" t="str">
        <f>IFERROR(__xludf.DUMMYFUNCTION("""COMPUTED_VALUE"""),"jacobgarza@canva.com")</f>
        <v>jacobgarza@canva.com</v>
      </c>
      <c r="R1792" s="1" t="str">
        <f>IFERROR(__xludf.DUMMYFUNCTION("""COMPUTED_VALUE"""),"Jacob Garza")</f>
        <v>Jacob Garza</v>
      </c>
      <c r="S1792" s="1">
        <f>IFERROR(__xludf.DUMMYFUNCTION("""COMPUTED_VALUE"""),4.5)</f>
        <v>4.5</v>
      </c>
      <c r="T1792" s="1"/>
      <c r="U1792" s="3">
        <f>IFERROR(__xludf.DUMMYFUNCTION("""COMPUTED_VALUE"""),4.5)</f>
        <v>4.5</v>
      </c>
      <c r="V1792" s="1" t="str">
        <f>IFERROR(__xludf.DUMMYFUNCTION("""COMPUTED_VALUE"""),"Tash Kelly")</f>
        <v>Tash Kelly</v>
      </c>
      <c r="W1792" s="1" t="str">
        <f>IFERROR(__xludf.DUMMYFUNCTION("""COMPUTED_VALUE"""),"Admin Support NA")</f>
        <v>Admin Support NA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IFERROR(__xludf.DUMMYFUNCTION("""COMPUTED_VALUE"""),"2025 Dec")</f>
        <v>2025 Dec</v>
      </c>
      <c r="P1793" s="1" t="str">
        <f>IFERROR(__xludf.DUMMYFUNCTION("""COMPUTED_VALUE"""),"Core Product Support")</f>
        <v>Core Product Support</v>
      </c>
      <c r="Q1793" s="1" t="str">
        <f>IFERROR(__xludf.DUMMYFUNCTION("""COMPUTED_VALUE"""),"jacque@canva.com")</f>
        <v>jacque@canva.com</v>
      </c>
      <c r="R1793" s="1" t="str">
        <f>IFERROR(__xludf.DUMMYFUNCTION("""COMPUTED_VALUE"""),"Jacqueline Gay")</f>
        <v>Jacqueline Gay</v>
      </c>
      <c r="S1793" s="1">
        <f>IFERROR(__xludf.DUMMYFUNCTION("""COMPUTED_VALUE"""),2.5)</f>
        <v>2.5</v>
      </c>
      <c r="T1793" s="1"/>
      <c r="U1793" s="3">
        <f>IFERROR(__xludf.DUMMYFUNCTION("""COMPUTED_VALUE"""),2.5)</f>
        <v>2.5</v>
      </c>
      <c r="V1793" s="1" t="str">
        <f>IFERROR(__xludf.DUMMYFUNCTION("""COMPUTED_VALUE"""),"Jem Mondoñedo")</f>
        <v>Jem Mondoñedo</v>
      </c>
      <c r="W1793" s="1" t="str">
        <f>IFERROR(__xludf.DUMMYFUNCTION("""COMPUTED_VALUE"""),"Advanced Chat Support")</f>
        <v>Advanced Chat Support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IFERROR(__xludf.DUMMYFUNCTION("""COMPUTED_VALUE"""),"2025 Dec")</f>
        <v>2025 Dec</v>
      </c>
      <c r="P1794" s="1" t="str">
        <f>IFERROR(__xludf.DUMMYFUNCTION("""COMPUTED_VALUE"""),"Print Support")</f>
        <v>Print Support</v>
      </c>
      <c r="Q1794" s="1" t="str">
        <f>IFERROR(__xludf.DUMMYFUNCTION("""COMPUTED_VALUE"""),"jadec@canva.com")</f>
        <v>jadec@canva.com</v>
      </c>
      <c r="R1794" s="1" t="str">
        <f>IFERROR(__xludf.DUMMYFUNCTION("""COMPUTED_VALUE"""),"Jade Curitana")</f>
        <v>Jade Curitana</v>
      </c>
      <c r="S1794" s="1"/>
      <c r="T1794" s="1"/>
      <c r="U1794" s="3">
        <f>IFERROR(__xludf.DUMMYFUNCTION("""COMPUTED_VALUE"""),0.0)</f>
        <v>0</v>
      </c>
      <c r="V1794" s="1" t="str">
        <f>IFERROR(__xludf.DUMMYFUNCTION("""COMPUTED_VALUE"""),"Rae Erlano")</f>
        <v>Rae Erlano</v>
      </c>
      <c r="W1794" s="1" t="str">
        <f>IFERROR(__xludf.DUMMYFUNCTION("""COMPUTED_VALUE"""),"Print Support PH")</f>
        <v>Print Support PH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IFERROR(__xludf.DUMMYFUNCTION("""COMPUTED_VALUE"""),"2025 Dec")</f>
        <v>2025 Dec</v>
      </c>
      <c r="P1795" s="1" t="str">
        <f>IFERROR(__xludf.DUMMYFUNCTION("""COMPUTED_VALUE"""),"High Sensitivity Support")</f>
        <v>High Sensitivity Support</v>
      </c>
      <c r="Q1795" s="1" t="str">
        <f>IFERROR(__xludf.DUMMYFUNCTION("""COMPUTED_VALUE"""),"jammyb@canva.com")</f>
        <v>jammyb@canva.com</v>
      </c>
      <c r="R1795" s="1" t="str">
        <f>IFERROR(__xludf.DUMMYFUNCTION("""COMPUTED_VALUE"""),"Jam Bacani")</f>
        <v>Jam Bacani</v>
      </c>
      <c r="S1795" s="1">
        <f>IFERROR(__xludf.DUMMYFUNCTION("""COMPUTED_VALUE"""),12.0)</f>
        <v>12</v>
      </c>
      <c r="T1795" s="1">
        <f>IFERROR(__xludf.DUMMYFUNCTION("""COMPUTED_VALUE"""),1.0)</f>
        <v>1</v>
      </c>
      <c r="U1795" s="3">
        <f>IFERROR(__xludf.DUMMYFUNCTION("""COMPUTED_VALUE"""),13.0)</f>
        <v>13</v>
      </c>
      <c r="V1795" s="1" t="str">
        <f>IFERROR(__xludf.DUMMYFUNCTION("""COMPUTED_VALUE"""),"Rossheen Pura")</f>
        <v>Rossheen Pura</v>
      </c>
      <c r="W1795" s="1" t="str">
        <f>IFERROR(__xludf.DUMMYFUNCTION("""COMPUTED_VALUE"""),"High Sensitivity Support PH")</f>
        <v>High Sensitivity Support PH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IFERROR(__xludf.DUMMYFUNCTION("""COMPUTED_VALUE"""),"2025 Dec")</f>
        <v>2025 Dec</v>
      </c>
      <c r="P1796" s="1" t="str">
        <f>IFERROR(__xludf.DUMMYFUNCTION("""COMPUTED_VALUE"""),"Segment-specific Support")</f>
        <v>Segment-specific Support</v>
      </c>
      <c r="Q1796" s="1" t="str">
        <f>IFERROR(__xludf.DUMMYFUNCTION("""COMPUTED_VALUE"""),"jgamboa@canva.com")</f>
        <v>jgamboa@canva.com</v>
      </c>
      <c r="R1796" s="1" t="str">
        <f>IFERROR(__xludf.DUMMYFUNCTION("""COMPUTED_VALUE"""),"James Marrion Gamboa")</f>
        <v>James Marrion Gamboa</v>
      </c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IFERROR(__xludf.DUMMYFUNCTION("""COMPUTED_VALUE"""),"Tash Kelly")</f>
        <v>Tash Kelly</v>
      </c>
      <c r="W1796" s="1" t="str">
        <f>IFERROR(__xludf.DUMMYFUNCTION("""COMPUTED_VALUE"""),"Affinity Support")</f>
        <v>Affinity Support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IFERROR(__xludf.DUMMYFUNCTION("""COMPUTED_VALUE"""),"2025 Dec")</f>
        <v>2025 Dec</v>
      </c>
      <c r="P1797" s="1" t="str">
        <f>IFERROR(__xludf.DUMMYFUNCTION("""COMPUTED_VALUE"""),"Print Support")</f>
        <v>Print Support</v>
      </c>
      <c r="Q1797" s="1" t="str">
        <f>IFERROR(__xludf.DUMMYFUNCTION("""COMPUTED_VALUE"""),"janpaolopena@canva.com")</f>
        <v>janpaolopena@canva.com</v>
      </c>
      <c r="R1797" s="1" t="str">
        <f>IFERROR(__xludf.DUMMYFUNCTION("""COMPUTED_VALUE"""),"Jan Peña")</f>
        <v>Jan Peña</v>
      </c>
      <c r="S1797" s="1"/>
      <c r="T1797" s="1"/>
      <c r="U1797" s="3">
        <f>IFERROR(__xludf.DUMMYFUNCTION("""COMPUTED_VALUE"""),0.0)</f>
        <v>0</v>
      </c>
      <c r="V1797" s="1" t="str">
        <f>IFERROR(__xludf.DUMMYFUNCTION("""COMPUTED_VALUE"""),"Rae Erlano")</f>
        <v>Rae Erlano</v>
      </c>
      <c r="W1797" s="1" t="str">
        <f>IFERROR(__xludf.DUMMYFUNCTION("""COMPUTED_VALUE"""),"Print Support PH")</f>
        <v>Print Support PH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IFERROR(__xludf.DUMMYFUNCTION("""COMPUTED_VALUE"""),"2025 Dec")</f>
        <v>2025 Dec</v>
      </c>
      <c r="P1798" s="1" t="str">
        <f>IFERROR(__xludf.DUMMYFUNCTION("""COMPUTED_VALUE"""),"Admin Support")</f>
        <v>Admin Support</v>
      </c>
      <c r="Q1798" s="1" t="str">
        <f>IFERROR(__xludf.DUMMYFUNCTION("""COMPUTED_VALUE"""),"janis@canva.com")</f>
        <v>janis@canva.com</v>
      </c>
      <c r="R1798" s="1" t="str">
        <f>IFERROR(__xludf.DUMMYFUNCTION("""COMPUTED_VALUE"""),"Janis Esmas")</f>
        <v>Janis Esmas</v>
      </c>
      <c r="S1798" s="1"/>
      <c r="T1798" s="1">
        <f>IFERROR(__xludf.DUMMYFUNCTION("""COMPUTED_VALUE"""),1.75)</f>
        <v>1.75</v>
      </c>
      <c r="U1798" s="3">
        <f>IFERROR(__xludf.DUMMYFUNCTION("""COMPUTED_VALUE"""),1.75)</f>
        <v>1.75</v>
      </c>
      <c r="V1798" s="1" t="str">
        <f>IFERROR(__xludf.DUMMYFUNCTION("""COMPUTED_VALUE"""),"Karla Mananghaya")</f>
        <v>Karla Mananghaya</v>
      </c>
      <c r="W1798" s="1" t="str">
        <f>IFERROR(__xludf.DUMMYFUNCTION("""COMPUTED_VALUE"""),"Admin Support PH")</f>
        <v>Admin Support PH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IFERROR(__xludf.DUMMYFUNCTION("""COMPUTED_VALUE"""),"2025 Dec")</f>
        <v>2025 Dec</v>
      </c>
      <c r="P1799" s="1" t="str">
        <f>IFERROR(__xludf.DUMMYFUNCTION("""COMPUTED_VALUE"""),"Core Product Support")</f>
        <v>Core Product Support</v>
      </c>
      <c r="Q1799" s="1" t="str">
        <f>IFERROR(__xludf.DUMMYFUNCTION("""COMPUTED_VALUE"""),"jampangan@canva.com")</f>
        <v>jampangan@canva.com</v>
      </c>
      <c r="R1799" s="1" t="str">
        <f>IFERROR(__xludf.DUMMYFUNCTION("""COMPUTED_VALUE"""),"Jara Alexandra Mae Pangan")</f>
        <v>Jara Alexandra Mae Pangan</v>
      </c>
      <c r="S1799" s="1">
        <f>IFERROR(__xludf.DUMMYFUNCTION("""COMPUTED_VALUE"""),1.5)</f>
        <v>1.5</v>
      </c>
      <c r="T1799" s="1">
        <f>IFERROR(__xludf.DUMMYFUNCTION("""COMPUTED_VALUE"""),11.5)</f>
        <v>11.5</v>
      </c>
      <c r="U1799" s="3">
        <f>IFERROR(__xludf.DUMMYFUNCTION("""COMPUTED_VALUE"""),13.0)</f>
        <v>13</v>
      </c>
      <c r="V1799" s="1" t="str">
        <f>IFERROR(__xludf.DUMMYFUNCTION("""COMPUTED_VALUE"""),"Sieg Ballelos")</f>
        <v>Sieg Ballelos</v>
      </c>
      <c r="W1799" s="1" t="str">
        <f>IFERROR(__xludf.DUMMYFUNCTION("""COMPUTED_VALUE"""),"Core Product Support Escalation Team")</f>
        <v>Core Product Support Escalation Team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IFERROR(__xludf.DUMMYFUNCTION("""COMPUTED_VALUE"""),"2025 Dec")</f>
        <v>2025 Dec</v>
      </c>
      <c r="P1800" s="1" t="str">
        <f>IFERROR(__xludf.DUMMYFUNCTION("""COMPUTED_VALUE"""),"Core Product Support")</f>
        <v>Core Product Support</v>
      </c>
      <c r="Q1800" s="1" t="str">
        <f>IFERROR(__xludf.DUMMYFUNCTION("""COMPUTED_VALUE"""),"jaredc@canva.com")</f>
        <v>jaredc@canva.com</v>
      </c>
      <c r="R1800" s="1" t="str">
        <f>IFERROR(__xludf.DUMMYFUNCTION("""COMPUTED_VALUE"""),"Jared Carlin")</f>
        <v>Jared Carlin</v>
      </c>
      <c r="S1800" s="1">
        <f>IFERROR(__xludf.DUMMYFUNCTION("""COMPUTED_VALUE"""),1.77)</f>
        <v>1.77</v>
      </c>
      <c r="T1800" s="1">
        <f>IFERROR(__xludf.DUMMYFUNCTION("""COMPUTED_VALUE"""),2.0)</f>
        <v>2</v>
      </c>
      <c r="U1800" s="3">
        <f>IFERROR(__xludf.DUMMYFUNCTION("""COMPUTED_VALUE"""),3.77)</f>
        <v>3.77</v>
      </c>
      <c r="V1800" s="1" t="str">
        <f>IFERROR(__xludf.DUMMYFUNCTION("""COMPUTED_VALUE"""),"Ana Lazaro")</f>
        <v>Ana Lazaro</v>
      </c>
      <c r="W1800" s="1" t="str">
        <f>IFERROR(__xludf.DUMMYFUNCTION("""COMPUTED_VALUE"""),"Advanced Billing &amp; Subscriptions")</f>
        <v>Advanced Billing &amp; Subscriptions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IFERROR(__xludf.DUMMYFUNCTION("""COMPUTED_VALUE"""),"2025 Dec")</f>
        <v>2025 Dec</v>
      </c>
      <c r="P1801" s="1" t="str">
        <f>IFERROR(__xludf.DUMMYFUNCTION("""COMPUTED_VALUE"""),"Segment-specific Support")</f>
        <v>Segment-specific Support</v>
      </c>
      <c r="Q1801" s="1" t="str">
        <f>IFERROR(__xludf.DUMMYFUNCTION("""COMPUTED_VALUE"""),"jas@canva.com")</f>
        <v>jas@canva.com</v>
      </c>
      <c r="R1801" s="1" t="str">
        <f>IFERROR(__xludf.DUMMYFUNCTION("""COMPUTED_VALUE"""),"Jas Esperat")</f>
        <v>Jas Esperat</v>
      </c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IFERROR(__xludf.DUMMYFUNCTION("""COMPUTED_VALUE"""),"Aileen Dayanghirang")</f>
        <v>Aileen Dayanghirang</v>
      </c>
      <c r="W1801" s="1" t="str">
        <f>IFERROR(__xludf.DUMMYFUNCTION("""COMPUTED_VALUE"""),"Creators Support")</f>
        <v>Creators Support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IFERROR(__xludf.DUMMYFUNCTION("""COMPUTED_VALUE"""),"2025 Dec")</f>
        <v>2025 Dec</v>
      </c>
      <c r="P1802" s="1" t="str">
        <f>IFERROR(__xludf.DUMMYFUNCTION("""COMPUTED_VALUE"""),"Print Support")</f>
        <v>Print Support</v>
      </c>
      <c r="Q1802" s="1" t="str">
        <f>IFERROR(__xludf.DUMMYFUNCTION("""COMPUTED_VALUE"""),"jayson@canva.com")</f>
        <v>jayson@canva.com</v>
      </c>
      <c r="R1802" s="1" t="str">
        <f>IFERROR(__xludf.DUMMYFUNCTION("""COMPUTED_VALUE"""),"Jayson Ferrer")</f>
        <v>Jayson Ferrer</v>
      </c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IFERROR(__xludf.DUMMYFUNCTION("""COMPUTED_VALUE"""),"G-Anne Murillo")</f>
        <v>G-Anne Murillo</v>
      </c>
      <c r="W1802" s="1" t="str">
        <f>IFERROR(__xludf.DUMMYFUNCTION("""COMPUTED_VALUE"""),"Print Design Support")</f>
        <v>Print Design Support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IFERROR(__xludf.DUMMYFUNCTION("""COMPUTED_VALUE"""),"2025 Dec")</f>
        <v>2025 Dec</v>
      </c>
      <c r="P1803" s="1" t="str">
        <f>IFERROR(__xludf.DUMMYFUNCTION("""COMPUTED_VALUE"""),"Print Support")</f>
        <v>Print Support</v>
      </c>
      <c r="Q1803" s="1" t="str">
        <f>IFERROR(__xludf.DUMMYFUNCTION("""COMPUTED_VALUE"""),"jaz@canva.com")</f>
        <v>jaz@canva.com</v>
      </c>
      <c r="R1803" s="1" t="str">
        <f>IFERROR(__xludf.DUMMYFUNCTION("""COMPUTED_VALUE"""),"Jazmine San Pedro")</f>
        <v>Jazmine San Pedro</v>
      </c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IFERROR(__xludf.DUMMYFUNCTION("""COMPUTED_VALUE"""),"Ann Dumlao")</f>
        <v>Ann Dumlao</v>
      </c>
      <c r="W1803" s="1" t="str">
        <f>IFERROR(__xludf.DUMMYFUNCTION("""COMPUTED_VALUE"""),"Print Support PH")</f>
        <v>Print Support PH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IFERROR(__xludf.DUMMYFUNCTION("""COMPUTED_VALUE"""),"2025 Dec")</f>
        <v>2025 Dec</v>
      </c>
      <c r="P1804" s="1" t="str">
        <f>IFERROR(__xludf.DUMMYFUNCTION("""COMPUTED_VALUE"""),"Multilingual Support")</f>
        <v>Multilingual Support</v>
      </c>
      <c r="Q1804" s="1" t="str">
        <f>IFERROR(__xludf.DUMMYFUNCTION("""COMPUTED_VALUE"""),"jc@canva.com")</f>
        <v>jc@canva.com</v>
      </c>
      <c r="R1804" s="1" t="str">
        <f>IFERROR(__xludf.DUMMYFUNCTION("""COMPUTED_VALUE"""),"JC Evangelista")</f>
        <v>JC Evangelista</v>
      </c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IFERROR(__xludf.DUMMYFUNCTION("""COMPUTED_VALUE"""),"Arlene Maurillo")</f>
        <v>Arlene Maurillo</v>
      </c>
      <c r="W1804" s="1" t="str">
        <f>IFERROR(__xludf.DUMMYFUNCTION("""COMPUTED_VALUE"""),"PHL, Multilingual Support")</f>
        <v>PHL, Multilingual Support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IFERROR(__xludf.DUMMYFUNCTION("""COMPUTED_VALUE"""),"2025 Dec")</f>
        <v>2025 Dec</v>
      </c>
      <c r="P1805" s="1" t="str">
        <f>IFERROR(__xludf.DUMMYFUNCTION("""COMPUTED_VALUE"""),"Core Product Support")</f>
        <v>Core Product Support</v>
      </c>
      <c r="Q1805" s="1" t="str">
        <f>IFERROR(__xludf.DUMMYFUNCTION("""COMPUTED_VALUE"""),"jea@canva.com")</f>
        <v>jea@canva.com</v>
      </c>
      <c r="R1805" s="1" t="str">
        <f>IFERROR(__xludf.DUMMYFUNCTION("""COMPUTED_VALUE"""),"Jea Silvestre")</f>
        <v>Jea Silvestre</v>
      </c>
      <c r="S1805" s="1">
        <f>IFERROR(__xludf.DUMMYFUNCTION("""COMPUTED_VALUE"""),2.0)</f>
        <v>2</v>
      </c>
      <c r="T1805" s="1"/>
      <c r="U1805" s="3">
        <f>IFERROR(__xludf.DUMMYFUNCTION("""COMPUTED_VALUE"""),2.0)</f>
        <v>2</v>
      </c>
      <c r="V1805" s="1" t="str">
        <f>IFERROR(__xludf.DUMMYFUNCTION("""COMPUTED_VALUE"""),"Marie Mordeno")</f>
        <v>Marie Mordeno</v>
      </c>
      <c r="W1805" s="1" t="str">
        <f>IFERROR(__xludf.DUMMYFUNCTION("""COMPUTED_VALUE"""),"Advanced Billing &amp; Subscriptions")</f>
        <v>Advanced Billing &amp; Subscriptions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IFERROR(__xludf.DUMMYFUNCTION("""COMPUTED_VALUE"""),"2025 Dec")</f>
        <v>2025 Dec</v>
      </c>
      <c r="P1806" s="1" t="str">
        <f>IFERROR(__xludf.DUMMYFUNCTION("""COMPUTED_VALUE"""),"Core Product Support")</f>
        <v>Core Product Support</v>
      </c>
      <c r="Q1806" s="1" t="str">
        <f>IFERROR(__xludf.DUMMYFUNCTION("""COMPUTED_VALUE"""),"jed@canva.com")</f>
        <v>jed@canva.com</v>
      </c>
      <c r="R1806" s="1" t="str">
        <f>IFERROR(__xludf.DUMMYFUNCTION("""COMPUTED_VALUE"""),"Jed Wenceslao")</f>
        <v>Jed Wenceslao</v>
      </c>
      <c r="S1806" s="1">
        <f>IFERROR(__xludf.DUMMYFUNCTION("""COMPUTED_VALUE"""),1.5)</f>
        <v>1.5</v>
      </c>
      <c r="T1806" s="1">
        <f>IFERROR(__xludf.DUMMYFUNCTION("""COMPUTED_VALUE"""),11.5)</f>
        <v>11.5</v>
      </c>
      <c r="U1806" s="3">
        <f>IFERROR(__xludf.DUMMYFUNCTION("""COMPUTED_VALUE"""),13.0)</f>
        <v>13</v>
      </c>
      <c r="V1806" s="1" t="str">
        <f>IFERROR(__xludf.DUMMYFUNCTION("""COMPUTED_VALUE"""),"Sieg Ballelos")</f>
        <v>Sieg Ballelos</v>
      </c>
      <c r="W1806" s="1" t="str">
        <f>IFERROR(__xludf.DUMMYFUNCTION("""COMPUTED_VALUE"""),"Core Product Support Escalation Team")</f>
        <v>Core Product Support Escalation Team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IFERROR(__xludf.DUMMYFUNCTION("""COMPUTED_VALUE"""),"2025 Dec")</f>
        <v>2025 Dec</v>
      </c>
      <c r="P1807" s="1" t="str">
        <f>IFERROR(__xludf.DUMMYFUNCTION("""COMPUTED_VALUE"""),"Core Product Support")</f>
        <v>Core Product Support</v>
      </c>
      <c r="Q1807" s="1" t="str">
        <f>IFERROR(__xludf.DUMMYFUNCTION("""COMPUTED_VALUE"""),"jen@canva.com")</f>
        <v>jen@canva.com</v>
      </c>
      <c r="R1807" s="1" t="str">
        <f>IFERROR(__xludf.DUMMYFUNCTION("""COMPUTED_VALUE"""),"Jenber Teves")</f>
        <v>Jenber Teves</v>
      </c>
      <c r="S1807" s="1">
        <f>IFERROR(__xludf.DUMMYFUNCTION("""COMPUTED_VALUE"""),1.5)</f>
        <v>1.5</v>
      </c>
      <c r="T1807" s="1">
        <f>IFERROR(__xludf.DUMMYFUNCTION("""COMPUTED_VALUE"""),11.0)</f>
        <v>11</v>
      </c>
      <c r="U1807" s="3">
        <f>IFERROR(__xludf.DUMMYFUNCTION("""COMPUTED_VALUE"""),12.5)</f>
        <v>12.5</v>
      </c>
      <c r="V1807" s="1" t="str">
        <f>IFERROR(__xludf.DUMMYFUNCTION("""COMPUTED_VALUE"""),"Ellaine Estayo")</f>
        <v>Ellaine Estayo</v>
      </c>
      <c r="W1807" s="1" t="str">
        <f>IFERROR(__xludf.DUMMYFUNCTION("""COMPUTED_VALUE"""),"Core Product Support Escalation Team")</f>
        <v>Core Product Support Escalation Team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IFERROR(__xludf.DUMMYFUNCTION("""COMPUTED_VALUE"""),"2025 Dec")</f>
        <v>2025 Dec</v>
      </c>
      <c r="P1808" s="1" t="str">
        <f>IFERROR(__xludf.DUMMYFUNCTION("""COMPUTED_VALUE"""),"High Sensitivity Support")</f>
        <v>High Sensitivity Support</v>
      </c>
      <c r="Q1808" s="1" t="str">
        <f>IFERROR(__xludf.DUMMYFUNCTION("""COMPUTED_VALUE"""),"jerica@canva.com")</f>
        <v>jerica@canva.com</v>
      </c>
      <c r="R1808" s="1" t="str">
        <f>IFERROR(__xludf.DUMMYFUNCTION("""COMPUTED_VALUE"""),"Jerica Tan")</f>
        <v>Jerica Tan</v>
      </c>
      <c r="S1808" s="1">
        <f>IFERROR(__xludf.DUMMYFUNCTION("""COMPUTED_VALUE"""),13.0)</f>
        <v>13</v>
      </c>
      <c r="T1808" s="1"/>
      <c r="U1808" s="3">
        <f>IFERROR(__xludf.DUMMYFUNCTION("""COMPUTED_VALUE"""),13.0)</f>
        <v>13</v>
      </c>
      <c r="V1808" s="1" t="str">
        <f>IFERROR(__xludf.DUMMYFUNCTION("""COMPUTED_VALUE"""),"Rossheen Pura")</f>
        <v>Rossheen Pura</v>
      </c>
      <c r="W1808" s="1" t="str">
        <f>IFERROR(__xludf.DUMMYFUNCTION("""COMPUTED_VALUE"""),"High Sensitivity Support PH")</f>
        <v>High Sensitivity Support PH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IFERROR(__xludf.DUMMYFUNCTION("""COMPUTED_VALUE"""),"2025 Dec")</f>
        <v>2025 Dec</v>
      </c>
      <c r="P1809" s="1" t="str">
        <f>IFERROR(__xludf.DUMMYFUNCTION("""COMPUTED_VALUE"""),"Print Support")</f>
        <v>Print Support</v>
      </c>
      <c r="Q1809" s="1" t="str">
        <f>IFERROR(__xludf.DUMMYFUNCTION("""COMPUTED_VALUE"""),"jesicamari@canva.com")</f>
        <v>jesicamari@canva.com</v>
      </c>
      <c r="R1809" s="1" t="str">
        <f>IFERROR(__xludf.DUMMYFUNCTION("""COMPUTED_VALUE"""),"Jesica Laureola")</f>
        <v>Jesica Laureola</v>
      </c>
      <c r="S1809" s="1"/>
      <c r="T1809" s="1"/>
      <c r="U1809" s="3">
        <f>IFERROR(__xludf.DUMMYFUNCTION("""COMPUTED_VALUE"""),0.0)</f>
        <v>0</v>
      </c>
      <c r="V1809" s="1" t="str">
        <f>IFERROR(__xludf.DUMMYFUNCTION("""COMPUTED_VALUE"""),"Rei De Jesus")</f>
        <v>Rei De Jesus</v>
      </c>
      <c r="W1809" s="1" t="str">
        <f>IFERROR(__xludf.DUMMYFUNCTION("""COMPUTED_VALUE"""),"Print Design Support")</f>
        <v>Print Design Support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IFERROR(__xludf.DUMMYFUNCTION("""COMPUTED_VALUE"""),"2025 Dec")</f>
        <v>2025 Dec</v>
      </c>
      <c r="P1810" s="1" t="str">
        <f>IFERROR(__xludf.DUMMYFUNCTION("""COMPUTED_VALUE"""),"Core Product Support")</f>
        <v>Core Product Support</v>
      </c>
      <c r="Q1810" s="1" t="str">
        <f>IFERROR(__xludf.DUMMYFUNCTION("""COMPUTED_VALUE"""),"jbrizuela@canva.com")</f>
        <v>jbrizuela@canva.com</v>
      </c>
      <c r="R1810" s="1" t="str">
        <f>IFERROR(__xludf.DUMMYFUNCTION("""COMPUTED_VALUE"""),"Jessa Brizuela")</f>
        <v>Jessa Brizuela</v>
      </c>
      <c r="S1810" s="1">
        <f>IFERROR(__xludf.DUMMYFUNCTION("""COMPUTED_VALUE"""),1.0)</f>
        <v>1</v>
      </c>
      <c r="T1810" s="1">
        <f>IFERROR(__xludf.DUMMYFUNCTION("""COMPUTED_VALUE"""),4.0)</f>
        <v>4</v>
      </c>
      <c r="U1810" s="3">
        <f>IFERROR(__xludf.DUMMYFUNCTION("""COMPUTED_VALUE"""),5.0)</f>
        <v>5</v>
      </c>
      <c r="V1810" s="1" t="str">
        <f>IFERROR(__xludf.DUMMYFUNCTION("""COMPUTED_VALUE"""),"Renette Bok")</f>
        <v>Renette Bok</v>
      </c>
      <c r="W1810" s="1" t="str">
        <f>IFERROR(__xludf.DUMMYFUNCTION("""COMPUTED_VALUE"""),"Advanced Billing &amp; Subscriptions")</f>
        <v>Advanced Billing &amp; Subscriptions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IFERROR(__xludf.DUMMYFUNCTION("""COMPUTED_VALUE"""),"2025 Dec")</f>
        <v>2025 Dec</v>
      </c>
      <c r="P1811" s="1" t="str">
        <f>IFERROR(__xludf.DUMMYFUNCTION("""COMPUTED_VALUE"""),"Core Product Support")</f>
        <v>Core Product Support</v>
      </c>
      <c r="Q1811" s="1" t="str">
        <f>IFERROR(__xludf.DUMMYFUNCTION("""COMPUTED_VALUE"""),"jian@canva.com")</f>
        <v>jian@canva.com</v>
      </c>
      <c r="R1811" s="1" t="str">
        <f>IFERROR(__xludf.DUMMYFUNCTION("""COMPUTED_VALUE"""),"Jian Paula Inocencio")</f>
        <v>Jian Paula Inocencio</v>
      </c>
      <c r="S1811" s="1">
        <f>IFERROR(__xludf.DUMMYFUNCTION("""COMPUTED_VALUE"""),2.0)</f>
        <v>2</v>
      </c>
      <c r="T1811" s="1">
        <f>IFERROR(__xludf.DUMMYFUNCTION("""COMPUTED_VALUE"""),0.75)</f>
        <v>0.75</v>
      </c>
      <c r="U1811" s="3">
        <f>IFERROR(__xludf.DUMMYFUNCTION("""COMPUTED_VALUE"""),2.75)</f>
        <v>2.75</v>
      </c>
      <c r="V1811" s="1" t="str">
        <f>IFERROR(__xludf.DUMMYFUNCTION("""COMPUTED_VALUE"""),"Vinz Lazaro")</f>
        <v>Vinz Lazaro</v>
      </c>
      <c r="W1811" s="1" t="str">
        <f>IFERROR(__xludf.DUMMYFUNCTION("""COMPUTED_VALUE"""),"Advanced Product Support")</f>
        <v>Advanced Product Support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IFERROR(__xludf.DUMMYFUNCTION("""COMPUTED_VALUE"""),"2025 Dec")</f>
        <v>2025 Dec</v>
      </c>
      <c r="P1812" s="1" t="str">
        <f>IFERROR(__xludf.DUMMYFUNCTION("""COMPUTED_VALUE"""),"Core Product Support")</f>
        <v>Core Product Support</v>
      </c>
      <c r="Q1812" s="1" t="str">
        <f>IFERROR(__xludf.DUMMYFUNCTION("""COMPUTED_VALUE"""),"jilll@canva.com")</f>
        <v>jilll@canva.com</v>
      </c>
      <c r="R1812" s="1" t="str">
        <f>IFERROR(__xludf.DUMMYFUNCTION("""COMPUTED_VALUE"""),"Jill Linco")</f>
        <v>Jill Linco</v>
      </c>
      <c r="S1812" s="1">
        <f>IFERROR(__xludf.DUMMYFUNCTION("""COMPUTED_VALUE"""),1.5)</f>
        <v>1.5</v>
      </c>
      <c r="T1812" s="1"/>
      <c r="U1812" s="3">
        <f>IFERROR(__xludf.DUMMYFUNCTION("""COMPUTED_VALUE"""),1.5)</f>
        <v>1.5</v>
      </c>
      <c r="V1812" s="1" t="str">
        <f>IFERROR(__xludf.DUMMYFUNCTION("""COMPUTED_VALUE"""),"Jelyn Elmido")</f>
        <v>Jelyn Elmido</v>
      </c>
      <c r="W1812" s="1" t="str">
        <f>IFERROR(__xludf.DUMMYFUNCTION("""COMPUTED_VALUE"""),"Advanced Product Support")</f>
        <v>Advanced Product Support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IFERROR(__xludf.DUMMYFUNCTION("""COMPUTED_VALUE"""),"2025 Dec")</f>
        <v>2025 Dec</v>
      </c>
      <c r="P1813" s="1" t="str">
        <f>IFERROR(__xludf.DUMMYFUNCTION("""COMPUTED_VALUE"""),"Core Product Support")</f>
        <v>Core Product Support</v>
      </c>
      <c r="Q1813" s="1" t="str">
        <f>IFERROR(__xludf.DUMMYFUNCTION("""COMPUTED_VALUE"""),"jillann@canva.com")</f>
        <v>jillann@canva.com</v>
      </c>
      <c r="R1813" s="1" t="str">
        <f>IFERROR(__xludf.DUMMYFUNCTION("""COMPUTED_VALUE"""),"Jill-Ann Reducindo")</f>
        <v>Jill-Ann Reducindo</v>
      </c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IFERROR(__xludf.DUMMYFUNCTION("""COMPUTED_VALUE"""),"Jem Mondoñedo")</f>
        <v>Jem Mondoñedo</v>
      </c>
      <c r="W1813" s="1" t="str">
        <f>IFERROR(__xludf.DUMMYFUNCTION("""COMPUTED_VALUE"""),"Advanced Chat Support")</f>
        <v>Advanced Chat Support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IFERROR(__xludf.DUMMYFUNCTION("""COMPUTED_VALUE"""),"2025 Dec")</f>
        <v>2025 Dec</v>
      </c>
      <c r="P1814" s="1" t="str">
        <f>IFERROR(__xludf.DUMMYFUNCTION("""COMPUTED_VALUE"""),"Core Product Support")</f>
        <v>Core Product Support</v>
      </c>
      <c r="Q1814" s="1" t="str">
        <f>IFERROR(__xludf.DUMMYFUNCTION("""COMPUTED_VALUE"""),"jmfrial@canva.com")</f>
        <v>jmfrial@canva.com</v>
      </c>
      <c r="R1814" s="1" t="str">
        <f>IFERROR(__xludf.DUMMYFUNCTION("""COMPUTED_VALUE"""),"JM Frial")</f>
        <v>JM Frial</v>
      </c>
      <c r="S1814" s="1">
        <f>IFERROR(__xludf.DUMMYFUNCTION("""COMPUTED_VALUE"""),1.5)</f>
        <v>1.5</v>
      </c>
      <c r="T1814" s="1">
        <f>IFERROR(__xludf.DUMMYFUNCTION("""COMPUTED_VALUE"""),12.0)</f>
        <v>12</v>
      </c>
      <c r="U1814" s="3">
        <f>IFERROR(__xludf.DUMMYFUNCTION("""COMPUTED_VALUE"""),13.5)</f>
        <v>13.5</v>
      </c>
      <c r="V1814" s="1" t="str">
        <f>IFERROR(__xludf.DUMMYFUNCTION("""COMPUTED_VALUE"""),"Sieg Ballelos")</f>
        <v>Sieg Ballelos</v>
      </c>
      <c r="W1814" s="1" t="str">
        <f>IFERROR(__xludf.DUMMYFUNCTION("""COMPUTED_VALUE"""),"Core Product Support Escalation Team")</f>
        <v>Core Product Support Escalation Team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IFERROR(__xludf.DUMMYFUNCTION("""COMPUTED_VALUE"""),"2025 Dec")</f>
        <v>2025 Dec</v>
      </c>
      <c r="P1815" s="1" t="str">
        <f>IFERROR(__xludf.DUMMYFUNCTION("""COMPUTED_VALUE"""),"Core Product Support")</f>
        <v>Core Product Support</v>
      </c>
      <c r="Q1815" s="1" t="str">
        <f>IFERROR(__xludf.DUMMYFUNCTION("""COMPUTED_VALUE"""),"jmpascual@canva.com")</f>
        <v>jmpascual@canva.com</v>
      </c>
      <c r="R1815" s="1" t="str">
        <f>IFERROR(__xludf.DUMMYFUNCTION("""COMPUTED_VALUE"""),"JM Pascual")</f>
        <v>JM Pascual</v>
      </c>
      <c r="S1815" s="1">
        <f>IFERROR(__xludf.DUMMYFUNCTION("""COMPUTED_VALUE"""),2.0)</f>
        <v>2</v>
      </c>
      <c r="T1815" s="1"/>
      <c r="U1815" s="3">
        <f>IFERROR(__xludf.DUMMYFUNCTION("""COMPUTED_VALUE"""),2.0)</f>
        <v>2</v>
      </c>
      <c r="V1815" s="1" t="str">
        <f>IFERROR(__xludf.DUMMYFUNCTION("""COMPUTED_VALUE"""),"Jelyn Elmido")</f>
        <v>Jelyn Elmido</v>
      </c>
      <c r="W1815" s="1" t="str">
        <f>IFERROR(__xludf.DUMMYFUNCTION("""COMPUTED_VALUE"""),"Advanced Product Support")</f>
        <v>Advanced Product Support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IFERROR(__xludf.DUMMYFUNCTION("""COMPUTED_VALUE"""),"2025 Dec")</f>
        <v>2025 Dec</v>
      </c>
      <c r="P1816" s="1" t="str">
        <f>IFERROR(__xludf.DUMMYFUNCTION("""COMPUTED_VALUE"""),"Print Support")</f>
        <v>Print Support</v>
      </c>
      <c r="Q1816" s="1" t="str">
        <f>IFERROR(__xludf.DUMMYFUNCTION("""COMPUTED_VALUE"""),"joanmyle@canva.com")</f>
        <v>joanmyle@canva.com</v>
      </c>
      <c r="R1816" s="1" t="str">
        <f>IFERROR(__xludf.DUMMYFUNCTION("""COMPUTED_VALUE"""),"Joan Myle Dapog")</f>
        <v>Joan Myle Dapog</v>
      </c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IFERROR(__xludf.DUMMYFUNCTION("""COMPUTED_VALUE"""),"Jen Momo")</f>
        <v>Jen Momo</v>
      </c>
      <c r="W1816" s="1" t="str">
        <f>IFERROR(__xludf.DUMMYFUNCTION("""COMPUTED_VALUE"""),"Print Support PH")</f>
        <v>Print Support PH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IFERROR(__xludf.DUMMYFUNCTION("""COMPUTED_VALUE"""),"2025 Dec")</f>
        <v>2025 Dec</v>
      </c>
      <c r="P1817" s="1" t="str">
        <f>IFERROR(__xludf.DUMMYFUNCTION("""COMPUTED_VALUE"""),"Print Support")</f>
        <v>Print Support</v>
      </c>
      <c r="Q1817" s="1" t="str">
        <f>IFERROR(__xludf.DUMMYFUNCTION("""COMPUTED_VALUE"""),"jmbeldua@canva.com")</f>
        <v>jmbeldua@canva.com</v>
      </c>
      <c r="R1817" s="1" t="str">
        <f>IFERROR(__xludf.DUMMYFUNCTION("""COMPUTED_VALUE"""),"Joane Beldua")</f>
        <v>Joane Beldua</v>
      </c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IFERROR(__xludf.DUMMYFUNCTION("""COMPUTED_VALUE"""),"Ann Dumlao")</f>
        <v>Ann Dumlao</v>
      </c>
      <c r="W1817" s="1" t="str">
        <f>IFERROR(__xludf.DUMMYFUNCTION("""COMPUTED_VALUE"""),"Print Support PH")</f>
        <v>Print Support PH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IFERROR(__xludf.DUMMYFUNCTION("""COMPUTED_VALUE"""),"Vinz Lazaro")</f>
        <v>Vinz Lazaro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IFERROR(__xludf.DUMMYFUNCTION("""COMPUTED_VALUE"""),"2025 Dec")</f>
        <v>2025 Dec</v>
      </c>
      <c r="P1818" s="1" t="str">
        <f>IFERROR(__xludf.DUMMYFUNCTION("""COMPUTED_VALUE"""),"Multilingual Support")</f>
        <v>Multilingual Support</v>
      </c>
      <c r="Q1818" s="1" t="str">
        <f>IFERROR(__xludf.DUMMYFUNCTION("""COMPUTED_VALUE"""),"joaqdivino@canva.com")</f>
        <v>joaqdivino@canva.com</v>
      </c>
      <c r="R1818" s="1" t="str">
        <f>IFERROR(__xludf.DUMMYFUNCTION("""COMPUTED_VALUE"""),"Joaquin Divino")</f>
        <v>Joaquin Divino</v>
      </c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IFERROR(__xludf.DUMMYFUNCTION("""COMPUTED_VALUE"""),"Arlene Maurillo")</f>
        <v>Arlene Maurillo</v>
      </c>
      <c r="W1818" s="1" t="str">
        <f>IFERROR(__xludf.DUMMYFUNCTION("""COMPUTED_VALUE"""),"PHL, Multilingual Support")</f>
        <v>PHL, Multilingual Support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IFERROR(__xludf.DUMMYFUNCTION("""COMPUTED_VALUE"""),"2025 Dec")</f>
        <v>2025 Dec</v>
      </c>
      <c r="P1819" s="1" t="str">
        <f>IFERROR(__xludf.DUMMYFUNCTION("""COMPUTED_VALUE"""),"Core Product Support")</f>
        <v>Core Product Support</v>
      </c>
      <c r="Q1819" s="1" t="str">
        <f>IFERROR(__xludf.DUMMYFUNCTION("""COMPUTED_VALUE"""),"jocelynng@canva.com")</f>
        <v>jocelynng@canva.com</v>
      </c>
      <c r="R1819" s="1" t="str">
        <f>IFERROR(__xludf.DUMMYFUNCTION("""COMPUTED_VALUE"""),"Jocelyn Ng")</f>
        <v>Jocelyn Ng</v>
      </c>
      <c r="S1819" s="1">
        <f>IFERROR(__xludf.DUMMYFUNCTION("""COMPUTED_VALUE"""),0.5)</f>
        <v>0.5</v>
      </c>
      <c r="T1819" s="1">
        <f>IFERROR(__xludf.DUMMYFUNCTION("""COMPUTED_VALUE"""),8.5)</f>
        <v>8.5</v>
      </c>
      <c r="U1819" s="3">
        <f>IFERROR(__xludf.DUMMYFUNCTION("""COMPUTED_VALUE"""),9.0)</f>
        <v>9</v>
      </c>
      <c r="V1819" s="1" t="str">
        <f>IFERROR(__xludf.DUMMYFUNCTION("""COMPUTED_VALUE"""),"Sieg Ballelos")</f>
        <v>Sieg Ballelos</v>
      </c>
      <c r="W1819" s="1" t="str">
        <f>IFERROR(__xludf.DUMMYFUNCTION("""COMPUTED_VALUE"""),"Core Product Support Escalation Team")</f>
        <v>Core Product Support Escalation Team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IFERROR(__xludf.DUMMYFUNCTION("""COMPUTED_VALUE"""),"2025 Dec")</f>
        <v>2025 Dec</v>
      </c>
      <c r="P1820" s="1" t="str">
        <f>IFERROR(__xludf.DUMMYFUNCTION("""COMPUTED_VALUE"""),"Admin Support")</f>
        <v>Admin Support</v>
      </c>
      <c r="Q1820" s="1" t="str">
        <f>IFERROR(__xludf.DUMMYFUNCTION("""COMPUTED_VALUE"""),"cee@canva.com")</f>
        <v>cee@canva.com</v>
      </c>
      <c r="R1820" s="1" t="str">
        <f>IFERROR(__xludf.DUMMYFUNCTION("""COMPUTED_VALUE"""),"John Carlo Gonzales")</f>
        <v>John Carlo Gonzales</v>
      </c>
      <c r="S1820" s="1"/>
      <c r="T1820" s="1">
        <f>IFERROR(__xludf.DUMMYFUNCTION("""COMPUTED_VALUE"""),14.5)</f>
        <v>14.5</v>
      </c>
      <c r="U1820" s="3">
        <f>IFERROR(__xludf.DUMMYFUNCTION("""COMPUTED_VALUE"""),14.5)</f>
        <v>14.5</v>
      </c>
      <c r="V1820" s="1" t="str">
        <f>IFERROR(__xludf.DUMMYFUNCTION("""COMPUTED_VALUE"""),"AL Suarez")</f>
        <v>AL Suarez</v>
      </c>
      <c r="W1820" s="1" t="str">
        <f>IFERROR(__xludf.DUMMYFUNCTION("""COMPUTED_VALUE"""),"Admin Support PH")</f>
        <v>Admin Support PH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IFERROR(__xludf.DUMMYFUNCTION("""COMPUTED_VALUE"""),"2025 Dec")</f>
        <v>2025 Dec</v>
      </c>
      <c r="P1821" s="1" t="str">
        <f>IFERROR(__xludf.DUMMYFUNCTION("""COMPUTED_VALUE"""),"Core Product Support")</f>
        <v>Core Product Support</v>
      </c>
      <c r="Q1821" s="1" t="str">
        <f>IFERROR(__xludf.DUMMYFUNCTION("""COMPUTED_VALUE"""),"khael@canva.com")</f>
        <v>khael@canva.com</v>
      </c>
      <c r="R1821" s="1" t="str">
        <f>IFERROR(__xludf.DUMMYFUNCTION("""COMPUTED_VALUE"""),"John Pieda")</f>
        <v>John Pieda</v>
      </c>
      <c r="S1821" s="1">
        <f>IFERROR(__xludf.DUMMYFUNCTION("""COMPUTED_VALUE"""),1.5)</f>
        <v>1.5</v>
      </c>
      <c r="T1821" s="1"/>
      <c r="U1821" s="3">
        <f>IFERROR(__xludf.DUMMYFUNCTION("""COMPUTED_VALUE"""),1.5)</f>
        <v>1.5</v>
      </c>
      <c r="V1821" s="1" t="str">
        <f>IFERROR(__xludf.DUMMYFUNCTION("""COMPUTED_VALUE"""),"Ayza Marie Pascual")</f>
        <v>Ayza Marie Pascual</v>
      </c>
      <c r="W1821" s="1" t="str">
        <f>IFERROR(__xludf.DUMMYFUNCTION("""COMPUTED_VALUE"""),"Advanced Billing &amp; Subscriptions")</f>
        <v>Advanced Billing &amp; Subscriptions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IFERROR(__xludf.DUMMYFUNCTION("""COMPUTED_VALUE"""),"2025 Dec")</f>
        <v>2025 Dec</v>
      </c>
      <c r="P1822" s="1" t="str">
        <f>IFERROR(__xludf.DUMMYFUNCTION("""COMPUTED_VALUE"""),"Core Product Support")</f>
        <v>Core Product Support</v>
      </c>
      <c r="Q1822" s="1" t="str">
        <f>IFERROR(__xludf.DUMMYFUNCTION("""COMPUTED_VALUE"""),"jonahezra@canva.com")</f>
        <v>jonahezra@canva.com</v>
      </c>
      <c r="R1822" s="1" t="str">
        <f>IFERROR(__xludf.DUMMYFUNCTION("""COMPUTED_VALUE"""),"Jonah Ezra Vergara")</f>
        <v>Jonah Ezra Vergara</v>
      </c>
      <c r="S1822" s="1">
        <f>IFERROR(__xludf.DUMMYFUNCTION("""COMPUTED_VALUE"""),1.0)</f>
        <v>1</v>
      </c>
      <c r="T1822" s="1">
        <f>IFERROR(__xludf.DUMMYFUNCTION("""COMPUTED_VALUE"""),12.5)</f>
        <v>12.5</v>
      </c>
      <c r="U1822" s="3">
        <f>IFERROR(__xludf.DUMMYFUNCTION("""COMPUTED_VALUE"""),13.5)</f>
        <v>13.5</v>
      </c>
      <c r="V1822" s="1" t="str">
        <f>IFERROR(__xludf.DUMMYFUNCTION("""COMPUTED_VALUE"""),"Ellaine Estayo")</f>
        <v>Ellaine Estayo</v>
      </c>
      <c r="W1822" s="1" t="str">
        <f>IFERROR(__xludf.DUMMYFUNCTION("""COMPUTED_VALUE"""),"Core Product Support Escalation Team")</f>
        <v>Core Product Support Escalation Team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IFERROR(__xludf.DUMMYFUNCTION("""COMPUTED_VALUE"""),"2025 Dec")</f>
        <v>2025 Dec</v>
      </c>
      <c r="P1823" s="1" t="str">
        <f>IFERROR(__xludf.DUMMYFUNCTION("""COMPUTED_VALUE"""),"Core Product Support")</f>
        <v>Core Product Support</v>
      </c>
      <c r="Q1823" s="1" t="str">
        <f>IFERROR(__xludf.DUMMYFUNCTION("""COMPUTED_VALUE"""),"cjopphet@canva.com")</f>
        <v>cjopphet@canva.com</v>
      </c>
      <c r="R1823" s="1" t="str">
        <f>IFERROR(__xludf.DUMMYFUNCTION("""COMPUTED_VALUE"""),"Jopphet Villafuerte")</f>
        <v>Jopphet Villafuerte</v>
      </c>
      <c r="S1823" s="1">
        <f>IFERROR(__xludf.DUMMYFUNCTION("""COMPUTED_VALUE"""),1.5)</f>
        <v>1.5</v>
      </c>
      <c r="T1823" s="1"/>
      <c r="U1823" s="3">
        <f>IFERROR(__xludf.DUMMYFUNCTION("""COMPUTED_VALUE"""),1.5)</f>
        <v>1.5</v>
      </c>
      <c r="V1823" s="1" t="str">
        <f>IFERROR(__xludf.DUMMYFUNCTION("""COMPUTED_VALUE"""),"Ayza Marie Pascual")</f>
        <v>Ayza Marie Pascual</v>
      </c>
      <c r="W1823" s="1" t="str">
        <f>IFERROR(__xludf.DUMMYFUNCTION("""COMPUTED_VALUE"""),"Advanced Billing &amp; Subscriptions")</f>
        <v>Advanced Billing &amp; Subscriptions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IFERROR(__xludf.DUMMYFUNCTION("""COMPUTED_VALUE"""),"2025 Dec")</f>
        <v>2025 Dec</v>
      </c>
      <c r="P1824" s="1" t="str">
        <f>IFERROR(__xludf.DUMMYFUNCTION("""COMPUTED_VALUE"""),"Print Support")</f>
        <v>Print Support</v>
      </c>
      <c r="Q1824" s="1" t="str">
        <f>IFERROR(__xludf.DUMMYFUNCTION("""COMPUTED_VALUE"""),"jorell@canva.com")</f>
        <v>jorell@canva.com</v>
      </c>
      <c r="R1824" s="1" t="str">
        <f>IFERROR(__xludf.DUMMYFUNCTION("""COMPUTED_VALUE"""),"Jorell Bollozos")</f>
        <v>Jorell Bollozos</v>
      </c>
      <c r="S1824" s="1"/>
      <c r="T1824" s="1"/>
      <c r="U1824" s="3">
        <f>IFERROR(__xludf.DUMMYFUNCTION("""COMPUTED_VALUE"""),0.0)</f>
        <v>0</v>
      </c>
      <c r="V1824" s="1" t="str">
        <f>IFERROR(__xludf.DUMMYFUNCTION("""COMPUTED_VALUE"""),"Jen Momo")</f>
        <v>Jen Momo</v>
      </c>
      <c r="W1824" s="1" t="str">
        <f>IFERROR(__xludf.DUMMYFUNCTION("""COMPUTED_VALUE"""),"Print Support PH")</f>
        <v>Print Support PH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IFERROR(__xludf.DUMMYFUNCTION("""COMPUTED_VALUE"""),"2025 Dec")</f>
        <v>2025 Dec</v>
      </c>
      <c r="P1825" s="1" t="str">
        <f>IFERROR(__xludf.DUMMYFUNCTION("""COMPUTED_VALUE"""),"Core Product Support")</f>
        <v>Core Product Support</v>
      </c>
      <c r="Q1825" s="1" t="str">
        <f>IFERROR(__xludf.DUMMYFUNCTION("""COMPUTED_VALUE"""),"josab@canva.com")</f>
        <v>josab@canva.com</v>
      </c>
      <c r="R1825" s="1" t="str">
        <f>IFERROR(__xludf.DUMMYFUNCTION("""COMPUTED_VALUE"""),"Josa Bernardino")</f>
        <v>Josa Bernardino</v>
      </c>
      <c r="S1825" s="1">
        <f>IFERROR(__xludf.DUMMYFUNCTION("""COMPUTED_VALUE"""),0.5)</f>
        <v>0.5</v>
      </c>
      <c r="T1825" s="1">
        <f>IFERROR(__xludf.DUMMYFUNCTION("""COMPUTED_VALUE"""),10.0)</f>
        <v>10</v>
      </c>
      <c r="U1825" s="3">
        <f>IFERROR(__xludf.DUMMYFUNCTION("""COMPUTED_VALUE"""),10.5)</f>
        <v>10.5</v>
      </c>
      <c r="V1825" s="1" t="str">
        <f>IFERROR(__xludf.DUMMYFUNCTION("""COMPUTED_VALUE"""),"Ellaine Estayo")</f>
        <v>Ellaine Estayo</v>
      </c>
      <c r="W1825" s="1" t="str">
        <f>IFERROR(__xludf.DUMMYFUNCTION("""COMPUTED_VALUE"""),"Core Product Support Escalation Team")</f>
        <v>Core Product Support Escalation Team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IFERROR(__xludf.DUMMYFUNCTION("""COMPUTED_VALUE"""),"2025 Dec")</f>
        <v>2025 Dec</v>
      </c>
      <c r="P1826" s="1" t="str">
        <f>IFERROR(__xludf.DUMMYFUNCTION("""COMPUTED_VALUE"""),"Print Support")</f>
        <v>Print Support</v>
      </c>
      <c r="Q1826" s="1" t="str">
        <f>IFERROR(__xludf.DUMMYFUNCTION("""COMPUTED_VALUE"""),"quin@canva.com")</f>
        <v>quin@canva.com</v>
      </c>
      <c r="R1826" s="1" t="str">
        <f>IFERROR(__xludf.DUMMYFUNCTION("""COMPUTED_VALUE"""),"Jose Antiquin")</f>
        <v>Jose Antiquin</v>
      </c>
      <c r="S1826" s="1"/>
      <c r="T1826" s="1"/>
      <c r="U1826" s="3">
        <f>IFERROR(__xludf.DUMMYFUNCTION("""COMPUTED_VALUE"""),0.0)</f>
        <v>0</v>
      </c>
      <c r="V1826" s="1" t="str">
        <f>IFERROR(__xludf.DUMMYFUNCTION("""COMPUTED_VALUE"""),"Aliza Dote")</f>
        <v>Aliza Dote</v>
      </c>
      <c r="W1826" s="1" t="str">
        <f>IFERROR(__xludf.DUMMYFUNCTION("""COMPUTED_VALUE"""),"Print Design Support")</f>
        <v>Print Design Support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IFERROR(__xludf.DUMMYFUNCTION("""COMPUTED_VALUE"""),"2025 Dec")</f>
        <v>2025 Dec</v>
      </c>
      <c r="P1827" s="1" t="str">
        <f>IFERROR(__xludf.DUMMYFUNCTION("""COMPUTED_VALUE"""),"Admin Support")</f>
        <v>Admin Support</v>
      </c>
      <c r="Q1827" s="1" t="str">
        <f>IFERROR(__xludf.DUMMYFUNCTION("""COMPUTED_VALUE"""),"joshid@canva.com")</f>
        <v>joshid@canva.com</v>
      </c>
      <c r="R1827" s="1" t="str">
        <f>IFERROR(__xludf.DUMMYFUNCTION("""COMPUTED_VALUE"""),"Joshua Dacanay")</f>
        <v>Joshua Dacanay</v>
      </c>
      <c r="S1827" s="1"/>
      <c r="T1827" s="1">
        <f>IFERROR(__xludf.DUMMYFUNCTION("""COMPUTED_VALUE"""),9.0)</f>
        <v>9</v>
      </c>
      <c r="U1827" s="3">
        <f>IFERROR(__xludf.DUMMYFUNCTION("""COMPUTED_VALUE"""),9.0)</f>
        <v>9</v>
      </c>
      <c r="V1827" s="1" t="str">
        <f>IFERROR(__xludf.DUMMYFUNCTION("""COMPUTED_VALUE"""),"AL Suarez")</f>
        <v>AL Suarez</v>
      </c>
      <c r="W1827" s="1" t="str">
        <f>IFERROR(__xludf.DUMMYFUNCTION("""COMPUTED_VALUE"""),"Advanced Product Support")</f>
        <v>Advanced Product Support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IFERROR(__xludf.DUMMYFUNCTION("""COMPUTED_VALUE"""),"2025 Dec")</f>
        <v>2025 Dec</v>
      </c>
      <c r="P1828" s="1" t="str">
        <f>IFERROR(__xludf.DUMMYFUNCTION("""COMPUTED_VALUE"""),"High Sensitivity Support")</f>
        <v>High Sensitivity Support</v>
      </c>
      <c r="Q1828" s="1" t="str">
        <f>IFERROR(__xludf.DUMMYFUNCTION("""COMPUTED_VALUE"""),"jpbasco@canva.com")</f>
        <v>jpbasco@canva.com</v>
      </c>
      <c r="R1828" s="1" t="str">
        <f>IFERROR(__xludf.DUMMYFUNCTION("""COMPUTED_VALUE"""),"JP Basco")</f>
        <v>JP Basco</v>
      </c>
      <c r="S1828" s="1">
        <f>IFERROR(__xludf.DUMMYFUNCTION("""COMPUTED_VALUE"""),20.0)</f>
        <v>20</v>
      </c>
      <c r="T1828" s="1"/>
      <c r="U1828" s="3">
        <f>IFERROR(__xludf.DUMMYFUNCTION("""COMPUTED_VALUE"""),20.0)</f>
        <v>20</v>
      </c>
      <c r="V1828" s="1" t="str">
        <f>IFERROR(__xludf.DUMMYFUNCTION("""COMPUTED_VALUE"""),"Rex Villamor")</f>
        <v>Rex Villamor</v>
      </c>
      <c r="W1828" s="1" t="str">
        <f>IFERROR(__xludf.DUMMYFUNCTION("""COMPUTED_VALUE"""),"High Sensitivity Support PH")</f>
        <v>High Sensitivity Support PH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IFERROR(__xludf.DUMMYFUNCTION("""COMPUTED_VALUE"""),"2025 Dec")</f>
        <v>2025 Dec</v>
      </c>
      <c r="P1829" s="1" t="str">
        <f>IFERROR(__xludf.DUMMYFUNCTION("""COMPUTED_VALUE"""),"Core Product Support")</f>
        <v>Core Product Support</v>
      </c>
      <c r="Q1829" s="1" t="str">
        <f>IFERROR(__xludf.DUMMYFUNCTION("""COMPUTED_VALUE"""),"mgonzalgo@canva.com")</f>
        <v>mgonzalgo@canva.com</v>
      </c>
      <c r="R1829" s="1" t="str">
        <f>IFERROR(__xludf.DUMMYFUNCTION("""COMPUTED_VALUE"""),"Juhrella Gonzalgo")</f>
        <v>Juhrella Gonzalgo</v>
      </c>
      <c r="S1829" s="1">
        <f>IFERROR(__xludf.DUMMYFUNCTION("""COMPUTED_VALUE"""),2.5)</f>
        <v>2.5</v>
      </c>
      <c r="T1829" s="1"/>
      <c r="U1829" s="3">
        <f>IFERROR(__xludf.DUMMYFUNCTION("""COMPUTED_VALUE"""),2.5)</f>
        <v>2.5</v>
      </c>
      <c r="V1829" s="1" t="str">
        <f>IFERROR(__xludf.DUMMYFUNCTION("""COMPUTED_VALUE"""),"Mikhaela Decangchon")</f>
        <v>Mikhaela Decangchon</v>
      </c>
      <c r="W1829" s="1" t="str">
        <f>IFERROR(__xludf.DUMMYFUNCTION("""COMPUTED_VALUE"""),"Advanced Product Support")</f>
        <v>Advanced Product Support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IFERROR(__xludf.DUMMYFUNCTION("""COMPUTED_VALUE"""),"2025 Dec")</f>
        <v>2025 Dec</v>
      </c>
      <c r="P1830" s="1" t="str">
        <f>IFERROR(__xludf.DUMMYFUNCTION("""COMPUTED_VALUE"""),"Admin Support")</f>
        <v>Admin Support</v>
      </c>
      <c r="Q1830" s="1" t="str">
        <f>IFERROR(__xludf.DUMMYFUNCTION("""COMPUTED_VALUE"""),"justinem@canva.com")</f>
        <v>justinem@canva.com</v>
      </c>
      <c r="R1830" s="1" t="str">
        <f>IFERROR(__xludf.DUMMYFUNCTION("""COMPUTED_VALUE"""),"Justine Valerie Meneses")</f>
        <v>Justine Valerie Meneses</v>
      </c>
      <c r="S1830" s="1"/>
      <c r="T1830" s="1">
        <f>IFERROR(__xludf.DUMMYFUNCTION("""COMPUTED_VALUE"""),35.5)</f>
        <v>35.5</v>
      </c>
      <c r="U1830" s="3">
        <f>IFERROR(__xludf.DUMMYFUNCTION("""COMPUTED_VALUE"""),35.5)</f>
        <v>35.5</v>
      </c>
      <c r="V1830" s="1" t="str">
        <f>IFERROR(__xludf.DUMMYFUNCTION("""COMPUTED_VALUE"""),"Karla Mananghaya")</f>
        <v>Karla Mananghaya</v>
      </c>
      <c r="W1830" s="1" t="str">
        <f>IFERROR(__xludf.DUMMYFUNCTION("""COMPUTED_VALUE"""),"Back of House Operations PH")</f>
        <v>Back of House Operations PH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IFERROR(__xludf.DUMMYFUNCTION("""COMPUTED_VALUE"""),"2025 Dec")</f>
        <v>2025 Dec</v>
      </c>
      <c r="P1831" s="1" t="str">
        <f>IFERROR(__xludf.DUMMYFUNCTION("""COMPUTED_VALUE"""),"Print Support")</f>
        <v>Print Support</v>
      </c>
      <c r="Q1831" s="1" t="str">
        <f>IFERROR(__xludf.DUMMYFUNCTION("""COMPUTED_VALUE"""),"kamilleb@canva.com")</f>
        <v>kamilleb@canva.com</v>
      </c>
      <c r="R1831" s="1" t="str">
        <f>IFERROR(__xludf.DUMMYFUNCTION("""COMPUTED_VALUE"""),"Kamille Batuyong")</f>
        <v>Kamille Batuyong</v>
      </c>
      <c r="S1831" s="1"/>
      <c r="T1831" s="1"/>
      <c r="U1831" s="3">
        <f>IFERROR(__xludf.DUMMYFUNCTION("""COMPUTED_VALUE"""),0.0)</f>
        <v>0</v>
      </c>
      <c r="V1831" s="1" t="str">
        <f>IFERROR(__xludf.DUMMYFUNCTION("""COMPUTED_VALUE"""),"Althea Mercado")</f>
        <v>Althea Mercado</v>
      </c>
      <c r="W1831" s="1" t="str">
        <f>IFERROR(__xludf.DUMMYFUNCTION("""COMPUTED_VALUE"""),"Print Support PH")</f>
        <v>Print Support PH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IFERROR(__xludf.DUMMYFUNCTION("""COMPUTED_VALUE"""),"2025 Dec")</f>
        <v>2025 Dec</v>
      </c>
      <c r="P1832" s="1" t="str">
        <f>IFERROR(__xludf.DUMMYFUNCTION("""COMPUTED_VALUE"""),"Core Product Support")</f>
        <v>Core Product Support</v>
      </c>
      <c r="Q1832" s="1" t="str">
        <f>IFERROR(__xludf.DUMMYFUNCTION("""COMPUTED_VALUE"""),"katcee@canva.com")</f>
        <v>katcee@canva.com</v>
      </c>
      <c r="R1832" s="1" t="str">
        <f>IFERROR(__xludf.DUMMYFUNCTION("""COMPUTED_VALUE"""),"Katrin Cebedo")</f>
        <v>Katrin Cebedo</v>
      </c>
      <c r="S1832" s="1">
        <f>IFERROR(__xludf.DUMMYFUNCTION("""COMPUTED_VALUE"""),2.5)</f>
        <v>2.5</v>
      </c>
      <c r="T1832" s="1">
        <f>IFERROR(__xludf.DUMMYFUNCTION("""COMPUTED_VALUE"""),0.48)</f>
        <v>0.48</v>
      </c>
      <c r="U1832" s="3">
        <f>IFERROR(__xludf.DUMMYFUNCTION("""COMPUTED_VALUE"""),2.98)</f>
        <v>2.98</v>
      </c>
      <c r="V1832" s="1" t="str">
        <f>IFERROR(__xludf.DUMMYFUNCTION("""COMPUTED_VALUE"""),"Ayza Marie Pascual")</f>
        <v>Ayza Marie Pascual</v>
      </c>
      <c r="W1832" s="1" t="str">
        <f>IFERROR(__xludf.DUMMYFUNCTION("""COMPUTED_VALUE"""),"Advanced Billing &amp; Subscriptions")</f>
        <v>Advanced Billing &amp; Subscriptions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IFERROR(__xludf.DUMMYFUNCTION("""COMPUTED_VALUE"""),"2025 Dec")</f>
        <v>2025 Dec</v>
      </c>
      <c r="P1833" s="1" t="str">
        <f>IFERROR(__xludf.DUMMYFUNCTION("""COMPUTED_VALUE"""),"Print Support")</f>
        <v>Print Support</v>
      </c>
      <c r="Q1833" s="1" t="str">
        <f>IFERROR(__xludf.DUMMYFUNCTION("""COMPUTED_VALUE"""),"katejoya@canva.com")</f>
        <v>katejoya@canva.com</v>
      </c>
      <c r="R1833" s="1" t="str">
        <f>IFERROR(__xludf.DUMMYFUNCTION("""COMPUTED_VALUE"""),"Katrina Joya")</f>
        <v>Katrina Joya</v>
      </c>
      <c r="S1833" s="1"/>
      <c r="T1833" s="1"/>
      <c r="U1833" s="3">
        <f>IFERROR(__xludf.DUMMYFUNCTION("""COMPUTED_VALUE"""),0.0)</f>
        <v>0</v>
      </c>
      <c r="V1833" s="1" t="str">
        <f>IFERROR(__xludf.DUMMYFUNCTION("""COMPUTED_VALUE"""),"Gem Agoncillo")</f>
        <v>Gem Agoncillo</v>
      </c>
      <c r="W1833" s="1" t="str">
        <f>IFERROR(__xludf.DUMMYFUNCTION("""COMPUTED_VALUE"""),"Print Design Support")</f>
        <v>Print Design Support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IFERROR(__xludf.DUMMYFUNCTION("""COMPUTED_VALUE"""),"Admin Support")</f>
        <v>Admin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IFERROR(__xludf.DUMMYFUNCTION("""COMPUTED_VALUE"""),"AL Suarez")</f>
        <v>AL Suarez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IFERROR(__xludf.DUMMYFUNCTION("""COMPUTED_VALUE"""),"2025 Dec")</f>
        <v>2025 Dec</v>
      </c>
      <c r="P1834" s="1" t="str">
        <f>IFERROR(__xludf.DUMMYFUNCTION("""COMPUTED_VALUE"""),"Core Product Support")</f>
        <v>Core Product Support</v>
      </c>
      <c r="Q1834" s="1" t="str">
        <f>IFERROR(__xludf.DUMMYFUNCTION("""COMPUTED_VALUE"""),"kayl@canva.com")</f>
        <v>kayl@canva.com</v>
      </c>
      <c r="R1834" s="1" t="str">
        <f>IFERROR(__xludf.DUMMYFUNCTION("""COMPUTED_VALUE"""),"Kayl Albonia")</f>
        <v>Kayl Albonia</v>
      </c>
      <c r="S1834" s="1">
        <f>IFERROR(__xludf.DUMMYFUNCTION("""COMPUTED_VALUE"""),2.5)</f>
        <v>2.5</v>
      </c>
      <c r="T1834" s="1"/>
      <c r="U1834" s="3">
        <f>IFERROR(__xludf.DUMMYFUNCTION("""COMPUTED_VALUE"""),2.5)</f>
        <v>2.5</v>
      </c>
      <c r="V1834" s="1" t="str">
        <f>IFERROR(__xludf.DUMMYFUNCTION("""COMPUTED_VALUE"""),"Marie Mordeno")</f>
        <v>Marie Mordeno</v>
      </c>
      <c r="W1834" s="1" t="str">
        <f>IFERROR(__xludf.DUMMYFUNCTION("""COMPUTED_VALUE"""),"Advanced Billing &amp; Subscriptions")</f>
        <v>Advanced Billing &amp; Subscriptions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IFERROR(__xludf.DUMMYFUNCTION("""COMPUTED_VALUE"""),"2025 Dec")</f>
        <v>2025 Dec</v>
      </c>
      <c r="P1835" s="1" t="str">
        <f>IFERROR(__xludf.DUMMYFUNCTION("""COMPUTED_VALUE"""),"High Sensitivity Support")</f>
        <v>High Sensitivity Support</v>
      </c>
      <c r="Q1835" s="1" t="str">
        <f>IFERROR(__xludf.DUMMYFUNCTION("""COMPUTED_VALUE"""),"kathlene@canva.com")</f>
        <v>kathlene@canva.com</v>
      </c>
      <c r="R1835" s="1" t="str">
        <f>IFERROR(__xludf.DUMMYFUNCTION("""COMPUTED_VALUE"""),"KC Cruz")</f>
        <v>KC Cruz</v>
      </c>
      <c r="S1835" s="1">
        <f>IFERROR(__xludf.DUMMYFUNCTION("""COMPUTED_VALUE"""),20.0)</f>
        <v>20</v>
      </c>
      <c r="T1835" s="1"/>
      <c r="U1835" s="3">
        <f>IFERROR(__xludf.DUMMYFUNCTION("""COMPUTED_VALUE"""),20.0)</f>
        <v>20</v>
      </c>
      <c r="V1835" s="1" t="str">
        <f>IFERROR(__xludf.DUMMYFUNCTION("""COMPUTED_VALUE"""),"Xandy Azarcon")</f>
        <v>Xandy Azarcon</v>
      </c>
      <c r="W1835" s="1" t="str">
        <f>IFERROR(__xludf.DUMMYFUNCTION("""COMPUTED_VALUE"""),"High Sensitivity Support PH")</f>
        <v>High Sensitivity Support PH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IFERROR(__xludf.DUMMYFUNCTION("""COMPUTED_VALUE"""),"2025 Dec")</f>
        <v>2025 Dec</v>
      </c>
      <c r="P1836" s="1" t="str">
        <f>IFERROR(__xludf.DUMMYFUNCTION("""COMPUTED_VALUE"""),"Admin Support")</f>
        <v>Admin Support</v>
      </c>
      <c r="Q1836" s="1" t="str">
        <f>IFERROR(__xludf.DUMMYFUNCTION("""COMPUTED_VALUE"""),"kc@canva.com")</f>
        <v>kc@canva.com</v>
      </c>
      <c r="R1836" s="1" t="str">
        <f>IFERROR(__xludf.DUMMYFUNCTION("""COMPUTED_VALUE"""),"KC Sacramento")</f>
        <v>KC Sacramento</v>
      </c>
      <c r="S1836" s="1"/>
      <c r="T1836" s="1">
        <f>IFERROR(__xludf.DUMMYFUNCTION("""COMPUTED_VALUE"""),9.0)</f>
        <v>9</v>
      </c>
      <c r="U1836" s="3">
        <f>IFERROR(__xludf.DUMMYFUNCTION("""COMPUTED_VALUE"""),9.0)</f>
        <v>9</v>
      </c>
      <c r="V1836" s="1" t="str">
        <f>IFERROR(__xludf.DUMMYFUNCTION("""COMPUTED_VALUE"""),"Pau Palmero")</f>
        <v>Pau Palmero</v>
      </c>
      <c r="W1836" s="1" t="str">
        <f>IFERROR(__xludf.DUMMYFUNCTION("""COMPUTED_VALUE"""),"Admin Support PH CEDD")</f>
        <v>Admin Support PH CEDD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IFERROR(__xludf.DUMMYFUNCTION("""COMPUTED_VALUE"""),"Admin Support")</f>
        <v>Admin Support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IFERROR(__xludf.DUMMYFUNCTION("""COMPUTED_VALUE"""),"Karla Mananghaya")</f>
        <v>Karla Mananghaya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IFERROR(__xludf.DUMMYFUNCTION("""COMPUTED_VALUE"""),"2025 Dec")</f>
        <v>2025 Dec</v>
      </c>
      <c r="P1837" s="1" t="str">
        <f>IFERROR(__xludf.DUMMYFUNCTION("""COMPUTED_VALUE"""),"Core Product Support")</f>
        <v>Core Product Support</v>
      </c>
      <c r="Q1837" s="1" t="str">
        <f>IFERROR(__xludf.DUMMYFUNCTION("""COMPUTED_VALUE"""),"keisalazar@canva.com")</f>
        <v>keisalazar@canva.com</v>
      </c>
      <c r="R1837" s="1" t="str">
        <f>IFERROR(__xludf.DUMMYFUNCTION("""COMPUTED_VALUE"""),"Kei Salazar")</f>
        <v>Kei Salazar</v>
      </c>
      <c r="S1837" s="1">
        <f>IFERROR(__xludf.DUMMYFUNCTION("""COMPUTED_VALUE"""),2.5)</f>
        <v>2.5</v>
      </c>
      <c r="T1837" s="1">
        <f>IFERROR(__xludf.DUMMYFUNCTION("""COMPUTED_VALUE"""),1.28)</f>
        <v>1.28</v>
      </c>
      <c r="U1837" s="3">
        <f>IFERROR(__xludf.DUMMYFUNCTION("""COMPUTED_VALUE"""),3.7800000000000002)</f>
        <v>3.78</v>
      </c>
      <c r="V1837" s="1" t="str">
        <f>IFERROR(__xludf.DUMMYFUNCTION("""COMPUTED_VALUE"""),"Vianca De Jesus")</f>
        <v>Vianca De Jesus</v>
      </c>
      <c r="W1837" s="1" t="str">
        <f>IFERROR(__xludf.DUMMYFUNCTION("""COMPUTED_VALUE"""),"Advanced Chat Support")</f>
        <v>Advanced Chat Support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IFERROR(__xludf.DUMMYFUNCTION("""COMPUTED_VALUE"""),"2025 Dec")</f>
        <v>2025 Dec</v>
      </c>
      <c r="P1838" s="1" t="str">
        <f>IFERROR(__xludf.DUMMYFUNCTION("""COMPUTED_VALUE"""),"Print Support")</f>
        <v>Print Support</v>
      </c>
      <c r="Q1838" s="1" t="str">
        <f>IFERROR(__xludf.DUMMYFUNCTION("""COMPUTED_VALUE"""),"kennethgo@canva.com")</f>
        <v>kennethgo@canva.com</v>
      </c>
      <c r="R1838" s="1" t="str">
        <f>IFERROR(__xludf.DUMMYFUNCTION("""COMPUTED_VALUE"""),"Kenneth Go")</f>
        <v>Kenneth Go</v>
      </c>
      <c r="S1838" s="1"/>
      <c r="T1838" s="1"/>
      <c r="U1838" s="3">
        <f>IFERROR(__xludf.DUMMYFUNCTION("""COMPUTED_VALUE"""),0.0)</f>
        <v>0</v>
      </c>
      <c r="V1838" s="1" t="str">
        <f>IFERROR(__xludf.DUMMYFUNCTION("""COMPUTED_VALUE"""),"Jan Domingo")</f>
        <v>Jan Domingo</v>
      </c>
      <c r="W1838" s="1" t="str">
        <f>IFERROR(__xludf.DUMMYFUNCTION("""COMPUTED_VALUE"""),"Print Design Support")</f>
        <v>Print Design Support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IFERROR(__xludf.DUMMYFUNCTION("""COMPUTED_VALUE"""),"2025 Dec")</f>
        <v>2025 Dec</v>
      </c>
      <c r="P1839" s="1" t="str">
        <f>IFERROR(__xludf.DUMMYFUNCTION("""COMPUTED_VALUE"""),"Core Product Support")</f>
        <v>Core Product Support</v>
      </c>
      <c r="Q1839" s="1" t="str">
        <f>IFERROR(__xludf.DUMMYFUNCTION("""COMPUTED_VALUE"""),"kevingo@canva.com")</f>
        <v>kevingo@canva.com</v>
      </c>
      <c r="R1839" s="1" t="str">
        <f>IFERROR(__xludf.DUMMYFUNCTION("""COMPUTED_VALUE"""),"Kevin Go")</f>
        <v>Kevin Go</v>
      </c>
      <c r="S1839" s="1">
        <f>IFERROR(__xludf.DUMMYFUNCTION("""COMPUTED_VALUE"""),2.5)</f>
        <v>2.5</v>
      </c>
      <c r="T1839" s="1"/>
      <c r="U1839" s="3">
        <f>IFERROR(__xludf.DUMMYFUNCTION("""COMPUTED_VALUE"""),2.5)</f>
        <v>2.5</v>
      </c>
      <c r="V1839" s="1" t="str">
        <f>IFERROR(__xludf.DUMMYFUNCTION("""COMPUTED_VALUE"""),"Jelyn Elmido")</f>
        <v>Jelyn Elmido</v>
      </c>
      <c r="W1839" s="1" t="str">
        <f>IFERROR(__xludf.DUMMYFUNCTION("""COMPUTED_VALUE"""),"Advanced Product Support")</f>
        <v>Advanced Product Support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IFERROR(__xludf.DUMMYFUNCTION("""COMPUTED_VALUE"""),"2025 Dec")</f>
        <v>2025 Dec</v>
      </c>
      <c r="P1840" s="1" t="str">
        <f>IFERROR(__xludf.DUMMYFUNCTION("""COMPUTED_VALUE"""),"Core Product Support")</f>
        <v>Core Product Support</v>
      </c>
      <c r="Q1840" s="1" t="str">
        <f>IFERROR(__xludf.DUMMYFUNCTION("""COMPUTED_VALUE"""),"kevromuga@canva.com")</f>
        <v>kevromuga@canva.com</v>
      </c>
      <c r="R1840" s="1" t="str">
        <f>IFERROR(__xludf.DUMMYFUNCTION("""COMPUTED_VALUE"""),"Kevin John Romuga")</f>
        <v>Kevin John Romuga</v>
      </c>
      <c r="S1840" s="1">
        <f>IFERROR(__xludf.DUMMYFUNCTION("""COMPUTED_VALUE"""),1.5)</f>
        <v>1.5</v>
      </c>
      <c r="T1840" s="1">
        <f>IFERROR(__xludf.DUMMYFUNCTION("""COMPUTED_VALUE"""),4.0)</f>
        <v>4</v>
      </c>
      <c r="U1840" s="3">
        <f>IFERROR(__xludf.DUMMYFUNCTION("""COMPUTED_VALUE"""),5.5)</f>
        <v>5.5</v>
      </c>
      <c r="V1840" s="1" t="str">
        <f>IFERROR(__xludf.DUMMYFUNCTION("""COMPUTED_VALUE"""),"Renette Bok")</f>
        <v>Renette Bok</v>
      </c>
      <c r="W1840" s="1" t="str">
        <f>IFERROR(__xludf.DUMMYFUNCTION("""COMPUTED_VALUE"""),"Advanced Billing &amp; Subscriptions")</f>
        <v>Advanced Billing &amp; Subscriptions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IFERROR(__xludf.DUMMYFUNCTION("""COMPUTED_VALUE"""),"2025 Dec")</f>
        <v>2025 Dec</v>
      </c>
      <c r="P1841" s="1" t="str">
        <f>IFERROR(__xludf.DUMMYFUNCTION("""COMPUTED_VALUE"""),"Core Product Support")</f>
        <v>Core Product Support</v>
      </c>
      <c r="Q1841" s="1" t="str">
        <f>IFERROR(__xludf.DUMMYFUNCTION("""COMPUTED_VALUE"""),"kimmescallado@canva.com")</f>
        <v>kimmescallado@canva.com</v>
      </c>
      <c r="R1841" s="1" t="str">
        <f>IFERROR(__xludf.DUMMYFUNCTION("""COMPUTED_VALUE"""),"Kim Mescallado")</f>
        <v>Kim Mescallado</v>
      </c>
      <c r="S1841" s="1">
        <f>IFERROR(__xludf.DUMMYFUNCTION("""COMPUTED_VALUE"""),2.5)</f>
        <v>2.5</v>
      </c>
      <c r="T1841" s="1"/>
      <c r="U1841" s="3">
        <f>IFERROR(__xludf.DUMMYFUNCTION("""COMPUTED_VALUE"""),2.5)</f>
        <v>2.5</v>
      </c>
      <c r="V1841" s="1" t="str">
        <f>IFERROR(__xludf.DUMMYFUNCTION("""COMPUTED_VALUE"""),"Jelyn Elmido")</f>
        <v>Jelyn Elmido</v>
      </c>
      <c r="W1841" s="1" t="str">
        <f>IFERROR(__xludf.DUMMYFUNCTION("""COMPUTED_VALUE"""),"Advanced Product Support")</f>
        <v>Advanced Product Support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IFERROR(__xludf.DUMMYFUNCTION("""COMPUTED_VALUE"""),"2025 Dec")</f>
        <v>2025 Dec</v>
      </c>
      <c r="P1842" s="1" t="str">
        <f>IFERROR(__xludf.DUMMYFUNCTION("""COMPUTED_VALUE"""),"Admin Support")</f>
        <v>Admin Support</v>
      </c>
      <c r="Q1842" s="1" t="str">
        <f>IFERROR(__xludf.DUMMYFUNCTION("""COMPUTED_VALUE"""),"kimmi@canva.com")</f>
        <v>kimmi@canva.com</v>
      </c>
      <c r="R1842" s="1" t="str">
        <f>IFERROR(__xludf.DUMMYFUNCTION("""COMPUTED_VALUE"""),"Kim Mondala")</f>
        <v>Kim Mondala</v>
      </c>
      <c r="S1842" s="1"/>
      <c r="T1842" s="1">
        <f>IFERROR(__xludf.DUMMYFUNCTION("""COMPUTED_VALUE"""),11.0)</f>
        <v>11</v>
      </c>
      <c r="U1842" s="3">
        <f>IFERROR(__xludf.DUMMYFUNCTION("""COMPUTED_VALUE"""),11.0)</f>
        <v>11</v>
      </c>
      <c r="V1842" s="1" t="str">
        <f>IFERROR(__xludf.DUMMYFUNCTION("""COMPUTED_VALUE"""),"AL Suarez")</f>
        <v>AL Suarez</v>
      </c>
      <c r="W1842" s="1" t="str">
        <f>IFERROR(__xludf.DUMMYFUNCTION("""COMPUTED_VALUE"""),"Admin Support PH")</f>
        <v>Admin Support PH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IFERROR(__xludf.DUMMYFUNCTION("""COMPUTED_VALUE"""),"2025 Dec")</f>
        <v>2025 Dec</v>
      </c>
      <c r="P1843" s="1" t="str">
        <f>IFERROR(__xludf.DUMMYFUNCTION("""COMPUTED_VALUE"""),"Admin Support")</f>
        <v>Admin Support</v>
      </c>
      <c r="Q1843" s="1" t="str">
        <f>IFERROR(__xludf.DUMMYFUNCTION("""COMPUTED_VALUE"""),"kiro@canva.com")</f>
        <v>kiro@canva.com</v>
      </c>
      <c r="R1843" s="1" t="str">
        <f>IFERROR(__xludf.DUMMYFUNCTION("""COMPUTED_VALUE"""),"Kiro Mondala")</f>
        <v>Kiro Mondala</v>
      </c>
      <c r="S1843" s="1"/>
      <c r="T1843" s="1">
        <f>IFERROR(__xludf.DUMMYFUNCTION("""COMPUTED_VALUE"""),10.0)</f>
        <v>10</v>
      </c>
      <c r="U1843" s="3">
        <f>IFERROR(__xludf.DUMMYFUNCTION("""COMPUTED_VALUE"""),10.0)</f>
        <v>10</v>
      </c>
      <c r="V1843" s="1" t="str">
        <f>IFERROR(__xludf.DUMMYFUNCTION("""COMPUTED_VALUE"""),"Rose Gabilan")</f>
        <v>Rose Gabilan</v>
      </c>
      <c r="W1843" s="1" t="str">
        <f>IFERROR(__xludf.DUMMYFUNCTION("""COMPUTED_VALUE"""),"Admin Support PH SSO")</f>
        <v>Admin Support PH SSO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IFERROR(__xludf.DUMMYFUNCTION("""COMPUTED_VALUE"""),"2025 Dec")</f>
        <v>2025 Dec</v>
      </c>
      <c r="P1844" s="1" t="str">
        <f>IFERROR(__xludf.DUMMYFUNCTION("""COMPUTED_VALUE"""),"Core Product Support")</f>
        <v>Core Product Support</v>
      </c>
      <c r="Q1844" s="1" t="str">
        <f>IFERROR(__xludf.DUMMYFUNCTION("""COMPUTED_VALUE"""),"krisalava@canva.com")</f>
        <v>krisalava@canva.com</v>
      </c>
      <c r="R1844" s="1" t="str">
        <f>IFERROR(__xludf.DUMMYFUNCTION("""COMPUTED_VALUE"""),"Kris Alava")</f>
        <v>Kris Alava</v>
      </c>
      <c r="S1844" s="1">
        <f>IFERROR(__xludf.DUMMYFUNCTION("""COMPUTED_VALUE"""),1.5)</f>
        <v>1.5</v>
      </c>
      <c r="T1844" s="1">
        <f>IFERROR(__xludf.DUMMYFUNCTION("""COMPUTED_VALUE"""),11.0)</f>
        <v>11</v>
      </c>
      <c r="U1844" s="3">
        <f>IFERROR(__xludf.DUMMYFUNCTION("""COMPUTED_VALUE"""),12.5)</f>
        <v>12.5</v>
      </c>
      <c r="V1844" s="1" t="str">
        <f>IFERROR(__xludf.DUMMYFUNCTION("""COMPUTED_VALUE"""),"Sieg Ballelos")</f>
        <v>Sieg Ballelos</v>
      </c>
      <c r="W1844" s="1" t="str">
        <f>IFERROR(__xludf.DUMMYFUNCTION("""COMPUTED_VALUE"""),"Core Product Support Escalation Team")</f>
        <v>Core Product Support Escalation Team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IFERROR(__xludf.DUMMYFUNCTION("""COMPUTED_VALUE"""),"2025 Dec")</f>
        <v>2025 Dec</v>
      </c>
      <c r="P1845" s="1" t="str">
        <f>IFERROR(__xludf.DUMMYFUNCTION("""COMPUTED_VALUE"""),"Core Product Support")</f>
        <v>Core Product Support</v>
      </c>
      <c r="Q1845" s="1" t="str">
        <f>IFERROR(__xludf.DUMMYFUNCTION("""COMPUTED_VALUE"""),"kylep@canva.com")</f>
        <v>kylep@canva.com</v>
      </c>
      <c r="R1845" s="1" t="str">
        <f>IFERROR(__xludf.DUMMYFUNCTION("""COMPUTED_VALUE"""),"Kyle Pajarillo")</f>
        <v>Kyle Pajarillo</v>
      </c>
      <c r="S1845" s="1">
        <f>IFERROR(__xludf.DUMMYFUNCTION("""COMPUTED_VALUE"""),2.5)</f>
        <v>2.5</v>
      </c>
      <c r="T1845" s="1"/>
      <c r="U1845" s="3">
        <f>IFERROR(__xludf.DUMMYFUNCTION("""COMPUTED_VALUE"""),2.5)</f>
        <v>2.5</v>
      </c>
      <c r="V1845" s="1" t="str">
        <f>IFERROR(__xludf.DUMMYFUNCTION("""COMPUTED_VALUE"""),"Marie Mordeno")</f>
        <v>Marie Mordeno</v>
      </c>
      <c r="W1845" s="1" t="str">
        <f>IFERROR(__xludf.DUMMYFUNCTION("""COMPUTED_VALUE"""),"Advanced Billing &amp; Subscriptions")</f>
        <v>Advanced Billing &amp; Subscriptions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IFERROR(__xludf.DUMMYFUNCTION("""COMPUTED_VALUE"""),"2025 Dec")</f>
        <v>2025 Dec</v>
      </c>
      <c r="P1846" s="1" t="str">
        <f>IFERROR(__xludf.DUMMYFUNCTION("""COMPUTED_VALUE"""),"Core Product Support")</f>
        <v>Core Product Support</v>
      </c>
      <c r="Q1846" s="1" t="str">
        <f>IFERROR(__xludf.DUMMYFUNCTION("""COMPUTED_VALUE"""),"lailav@canva.com")</f>
        <v>lailav@canva.com</v>
      </c>
      <c r="R1846" s="1" t="str">
        <f>IFERROR(__xludf.DUMMYFUNCTION("""COMPUTED_VALUE"""),"Laila Villamor")</f>
        <v>Laila Villamor</v>
      </c>
      <c r="S1846" s="1">
        <f>IFERROR(__xludf.DUMMYFUNCTION("""COMPUTED_VALUE"""),0.5)</f>
        <v>0.5</v>
      </c>
      <c r="T1846" s="1">
        <f>IFERROR(__xludf.DUMMYFUNCTION("""COMPUTED_VALUE"""),4.0)</f>
        <v>4</v>
      </c>
      <c r="U1846" s="3">
        <f>IFERROR(__xludf.DUMMYFUNCTION("""COMPUTED_VALUE"""),4.5)</f>
        <v>4.5</v>
      </c>
      <c r="V1846" s="1" t="str">
        <f>IFERROR(__xludf.DUMMYFUNCTION("""COMPUTED_VALUE"""),"Jahmie Mae Barrameda")</f>
        <v>Jahmie Mae Barrameda</v>
      </c>
      <c r="W1846" s="1" t="str">
        <f>IFERROR(__xludf.DUMMYFUNCTION("""COMPUTED_VALUE"""),"Advanced Billing &amp; Subscriptions")</f>
        <v>Advanced Billing &amp; Subscriptions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IFERROR(__xludf.DUMMYFUNCTION("""COMPUTED_VALUE"""),"2025 Dec")</f>
        <v>2025 Dec</v>
      </c>
      <c r="P1847" s="1" t="str">
        <f>IFERROR(__xludf.DUMMYFUNCTION("""COMPUTED_VALUE"""),"Print Support")</f>
        <v>Print Support</v>
      </c>
      <c r="Q1847" s="1" t="str">
        <f>IFERROR(__xludf.DUMMYFUNCTION("""COMPUTED_VALUE"""),"lancer@canva.com")</f>
        <v>lancer@canva.com</v>
      </c>
      <c r="R1847" s="1" t="str">
        <f>IFERROR(__xludf.DUMMYFUNCTION("""COMPUTED_VALUE"""),"Lance Guevarra")</f>
        <v>Lance Guevarra</v>
      </c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IFERROR(__xludf.DUMMYFUNCTION("""COMPUTED_VALUE"""),"Jen Momo")</f>
        <v>Jen Momo</v>
      </c>
      <c r="W1847" s="1" t="str">
        <f>IFERROR(__xludf.DUMMYFUNCTION("""COMPUTED_VALUE"""),"Print Support PH")</f>
        <v>Print Support PH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IFERROR(__xludf.DUMMYFUNCTION("""COMPUTED_VALUE"""),"2025 Dec")</f>
        <v>2025 Dec</v>
      </c>
      <c r="P1848" s="1" t="str">
        <f>IFERROR(__xludf.DUMMYFUNCTION("""COMPUTED_VALUE"""),"Print Support")</f>
        <v>Print Support</v>
      </c>
      <c r="Q1848" s="1" t="str">
        <f>IFERROR(__xludf.DUMMYFUNCTION("""COMPUTED_VALUE"""),"lance@canva.com")</f>
        <v>lance@canva.com</v>
      </c>
      <c r="R1848" s="1" t="str">
        <f>IFERROR(__xludf.DUMMYFUNCTION("""COMPUTED_VALUE"""),"Lance Reyes")</f>
        <v>Lance Reyes</v>
      </c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IFERROR(__xludf.DUMMYFUNCTION("""COMPUTED_VALUE"""),"Ann Dumlao")</f>
        <v>Ann Dumlao</v>
      </c>
      <c r="W1848" s="1" t="str">
        <f>IFERROR(__xludf.DUMMYFUNCTION("""COMPUTED_VALUE"""),"Print Support PH")</f>
        <v>Print Support PH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IFERROR(__xludf.DUMMYFUNCTION("""COMPUTED_VALUE"""),"2025 Dec")</f>
        <v>2025 Dec</v>
      </c>
      <c r="P1849" s="1" t="str">
        <f>IFERROR(__xludf.DUMMYFUNCTION("""COMPUTED_VALUE"""),"Admin Support")</f>
        <v>Admin Support</v>
      </c>
      <c r="Q1849" s="1" t="str">
        <f>IFERROR(__xludf.DUMMYFUNCTION("""COMPUTED_VALUE"""),"le@canva.com")</f>
        <v>le@canva.com</v>
      </c>
      <c r="R1849" s="1" t="str">
        <f>IFERROR(__xludf.DUMMYFUNCTION("""COMPUTED_VALUE"""),"Lean Cruda")</f>
        <v>Lean Cruda</v>
      </c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IFERROR(__xludf.DUMMYFUNCTION("""COMPUTED_VALUE"""),"Karla Mananghaya")</f>
        <v>Karla Mananghaya</v>
      </c>
      <c r="W1849" s="1" t="str">
        <f>IFERROR(__xludf.DUMMYFUNCTION("""COMPUTED_VALUE"""),"Back of House Operations PH")</f>
        <v>Back of House Operations PH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IFERROR(__xludf.DUMMYFUNCTION("""COMPUTED_VALUE"""),"2025 Dec")</f>
        <v>2025 Dec</v>
      </c>
      <c r="P1850" s="1" t="str">
        <f>IFERROR(__xludf.DUMMYFUNCTION("""COMPUTED_VALUE"""),"High Sensitivity Support")</f>
        <v>High Sensitivity Support</v>
      </c>
      <c r="Q1850" s="1" t="str">
        <f>IFERROR(__xludf.DUMMYFUNCTION("""COMPUTED_VALUE"""),"leanp@canva.com")</f>
        <v>leanp@canva.com</v>
      </c>
      <c r="R1850" s="1" t="str">
        <f>IFERROR(__xludf.DUMMYFUNCTION("""COMPUTED_VALUE"""),"Lean Reyes")</f>
        <v>Lean Reyes</v>
      </c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IFERROR(__xludf.DUMMYFUNCTION("""COMPUTED_VALUE"""),"Issi Afable")</f>
        <v>Issi Afable</v>
      </c>
      <c r="W1850" s="1" t="str">
        <f>IFERROR(__xludf.DUMMYFUNCTION("""COMPUTED_VALUE"""),"High Sensitivity Support PH")</f>
        <v>High Sensitivity Support PH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IFERROR(__xludf.DUMMYFUNCTION("""COMPUTED_VALUE"""),"2025 Dec")</f>
        <v>2025 Dec</v>
      </c>
      <c r="P1851" s="1" t="str">
        <f>IFERROR(__xludf.DUMMYFUNCTION("""COMPUTED_VALUE"""),"Print Support")</f>
        <v>Print Support</v>
      </c>
      <c r="Q1851" s="1" t="str">
        <f>IFERROR(__xludf.DUMMYFUNCTION("""COMPUTED_VALUE"""),"larce@canva.com")</f>
        <v>larce@canva.com</v>
      </c>
      <c r="R1851" s="1" t="str">
        <f>IFERROR(__xludf.DUMMYFUNCTION("""COMPUTED_VALUE"""),"Lee Arce")</f>
        <v>Lee Arce</v>
      </c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IFERROR(__xludf.DUMMYFUNCTION("""COMPUTED_VALUE"""),"Althea Mercado")</f>
        <v>Althea Mercado</v>
      </c>
      <c r="W1851" s="1" t="str">
        <f>IFERROR(__xludf.DUMMYFUNCTION("""COMPUTED_VALUE"""),"Print Support PH")</f>
        <v>Print Support PH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IFERROR(__xludf.DUMMYFUNCTION("""COMPUTED_VALUE"""),"2025 Dec")</f>
        <v>2025 Dec</v>
      </c>
      <c r="P1852" s="1" t="str">
        <f>IFERROR(__xludf.DUMMYFUNCTION("""COMPUTED_VALUE"""),"Core Product Support")</f>
        <v>Core Product Support</v>
      </c>
      <c r="Q1852" s="1" t="str">
        <f>IFERROR(__xludf.DUMMYFUNCTION("""COMPUTED_VALUE"""),"leilanie@canva.com")</f>
        <v>leilanie@canva.com</v>
      </c>
      <c r="R1852" s="1" t="str">
        <f>IFERROR(__xludf.DUMMYFUNCTION("""COMPUTED_VALUE"""),"Lei Gratuito")</f>
        <v>Lei Gratuito</v>
      </c>
      <c r="S1852" s="1">
        <f>IFERROR(__xludf.DUMMYFUNCTION("""COMPUTED_VALUE"""),0.5)</f>
        <v>0.5</v>
      </c>
      <c r="T1852" s="1">
        <f>IFERROR(__xludf.DUMMYFUNCTION("""COMPUTED_VALUE"""),4.0)</f>
        <v>4</v>
      </c>
      <c r="U1852" s="3">
        <f>IFERROR(__xludf.DUMMYFUNCTION("""COMPUTED_VALUE"""),4.5)</f>
        <v>4.5</v>
      </c>
      <c r="V1852" s="1" t="str">
        <f>IFERROR(__xludf.DUMMYFUNCTION("""COMPUTED_VALUE"""),"Renette Bok")</f>
        <v>Renette Bok</v>
      </c>
      <c r="W1852" s="1" t="str">
        <f>IFERROR(__xludf.DUMMYFUNCTION("""COMPUTED_VALUE"""),"Advanced Billing &amp; Subscriptions")</f>
        <v>Advanced Billing &amp; Subscriptions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IFERROR(__xludf.DUMMYFUNCTION("""COMPUTED_VALUE"""),"2025 Dec")</f>
        <v>2025 Dec</v>
      </c>
      <c r="P1853" s="1" t="str">
        <f>IFERROR(__xludf.DUMMYFUNCTION("""COMPUTED_VALUE"""),"Core Product Support")</f>
        <v>Core Product Support</v>
      </c>
      <c r="Q1853" s="1" t="str">
        <f>IFERROR(__xludf.DUMMYFUNCTION("""COMPUTED_VALUE"""),"leonard@canva.com")</f>
        <v>leonard@canva.com</v>
      </c>
      <c r="R1853" s="1" t="str">
        <f>IFERROR(__xludf.DUMMYFUNCTION("""COMPUTED_VALUE"""),"Leonard Baguio")</f>
        <v>Leonard Baguio</v>
      </c>
      <c r="S1853" s="1">
        <f>IFERROR(__xludf.DUMMYFUNCTION("""COMPUTED_VALUE"""),1.5)</f>
        <v>1.5</v>
      </c>
      <c r="T1853" s="1">
        <f>IFERROR(__xludf.DUMMYFUNCTION("""COMPUTED_VALUE"""),10.5)</f>
        <v>10.5</v>
      </c>
      <c r="U1853" s="3">
        <f>IFERROR(__xludf.DUMMYFUNCTION("""COMPUTED_VALUE"""),12.0)</f>
        <v>12</v>
      </c>
      <c r="V1853" s="1" t="str">
        <f>IFERROR(__xludf.DUMMYFUNCTION("""COMPUTED_VALUE"""),"Bem Launte")</f>
        <v>Bem Launte</v>
      </c>
      <c r="W1853" s="1" t="str">
        <f>IFERROR(__xludf.DUMMYFUNCTION("""COMPUTED_VALUE"""),"Core Product Support Escalation Team")</f>
        <v>Core Product Support Escalation Team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IFERROR(__xludf.DUMMYFUNCTION("""COMPUTED_VALUE"""),"2025 Dec")</f>
        <v>2025 Dec</v>
      </c>
      <c r="P1854" s="1" t="str">
        <f>IFERROR(__xludf.DUMMYFUNCTION("""COMPUTED_VALUE"""),"Print Support")</f>
        <v>Print Support</v>
      </c>
      <c r="Q1854" s="1" t="str">
        <f>IFERROR(__xludf.DUMMYFUNCTION("""COMPUTED_VALUE"""),"anneharriet@canva.com")</f>
        <v>anneharriet@canva.com</v>
      </c>
      <c r="R1854" s="1" t="str">
        <f>IFERROR(__xludf.DUMMYFUNCTION("""COMPUTED_VALUE"""),"Leslie Anne Gilua")</f>
        <v>Leslie Anne Gilua</v>
      </c>
      <c r="S1854" s="1"/>
      <c r="T1854" s="1"/>
      <c r="U1854" s="3">
        <f>IFERROR(__xludf.DUMMYFUNCTION("""COMPUTED_VALUE"""),0.0)</f>
        <v>0</v>
      </c>
      <c r="V1854" s="1" t="str">
        <f>IFERROR(__xludf.DUMMYFUNCTION("""COMPUTED_VALUE"""),"Rae Erlano")</f>
        <v>Rae Erlano</v>
      </c>
      <c r="W1854" s="1" t="str">
        <f>IFERROR(__xludf.DUMMYFUNCTION("""COMPUTED_VALUE"""),"Print Support PH")</f>
        <v>Print Support PH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IFERROR(__xludf.DUMMYFUNCTION("""COMPUTED_VALUE"""),"2025 Dec")</f>
        <v>2025 Dec</v>
      </c>
      <c r="P1855" s="1" t="str">
        <f>IFERROR(__xludf.DUMMYFUNCTION("""COMPUTED_VALUE"""),"Core Product Support")</f>
        <v>Core Product Support</v>
      </c>
      <c r="Q1855" s="1" t="str">
        <f>IFERROR(__xludf.DUMMYFUNCTION("""COMPUTED_VALUE"""),"lewisjarvin@canva.com")</f>
        <v>lewisjarvin@canva.com</v>
      </c>
      <c r="R1855" s="1" t="str">
        <f>IFERROR(__xludf.DUMMYFUNCTION("""COMPUTED_VALUE"""),"Lewis Ramirez")</f>
        <v>Lewis Ramirez</v>
      </c>
      <c r="S1855" s="1">
        <f>IFERROR(__xludf.DUMMYFUNCTION("""COMPUTED_VALUE"""),2.5)</f>
        <v>2.5</v>
      </c>
      <c r="T1855" s="1"/>
      <c r="U1855" s="3">
        <f>IFERROR(__xludf.DUMMYFUNCTION("""COMPUTED_VALUE"""),2.5)</f>
        <v>2.5</v>
      </c>
      <c r="V1855" s="1" t="str">
        <f>IFERROR(__xludf.DUMMYFUNCTION("""COMPUTED_VALUE"""),"Mikhaela Decangchon")</f>
        <v>Mikhaela Decangchon</v>
      </c>
      <c r="W1855" s="1" t="str">
        <f>IFERROR(__xludf.DUMMYFUNCTION("""COMPUTED_VALUE"""),"Advanced Product Support")</f>
        <v>Advanced Product Support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IFERROR(__xludf.DUMMYFUNCTION("""COMPUTED_VALUE"""),"Admin Support")</f>
        <v>Admin Support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IFERROR(__xludf.DUMMYFUNCTION("""COMPUTED_VALUE"""),"Karla Mananghaya")</f>
        <v>Karla Mananghaya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IFERROR(__xludf.DUMMYFUNCTION("""COMPUTED_VALUE"""),"2025 Dec")</f>
        <v>2025 Dec</v>
      </c>
      <c r="P1856" s="1" t="str">
        <f>IFERROR(__xludf.DUMMYFUNCTION("""COMPUTED_VALUE"""),"Segment-specific Support")</f>
        <v>Segment-specific Support</v>
      </c>
      <c r="Q1856" s="1" t="str">
        <f>IFERROR(__xludf.DUMMYFUNCTION("""COMPUTED_VALUE"""),"liabaclay@canva.com")</f>
        <v>liabaclay@canva.com</v>
      </c>
      <c r="R1856" s="1" t="str">
        <f>IFERROR(__xludf.DUMMYFUNCTION("""COMPUTED_VALUE"""),"Lia Baclay")</f>
        <v>Lia Baclay</v>
      </c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IFERROR(__xludf.DUMMYFUNCTION("""COMPUTED_VALUE"""),"Tash Kelly")</f>
        <v>Tash Kelly</v>
      </c>
      <c r="W1856" s="1" t="str">
        <f>IFERROR(__xludf.DUMMYFUNCTION("""COMPUTED_VALUE"""),"Affinity Support")</f>
        <v>Affinity Support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IFERROR(__xludf.DUMMYFUNCTION("""COMPUTED_VALUE"""),"2025 Dec")</f>
        <v>2025 Dec</v>
      </c>
      <c r="P1857" s="1" t="str">
        <f>IFERROR(__xludf.DUMMYFUNCTION("""COMPUTED_VALUE"""),"Print Support")</f>
        <v>Print Support</v>
      </c>
      <c r="Q1857" s="1" t="str">
        <f>IFERROR(__xludf.DUMMYFUNCTION("""COMPUTED_VALUE"""),"liberty@canva.com")</f>
        <v>liberty@canva.com</v>
      </c>
      <c r="R1857" s="1" t="str">
        <f>IFERROR(__xludf.DUMMYFUNCTION("""COMPUTED_VALUE"""),"Liberty Casala")</f>
        <v>Liberty Casala</v>
      </c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IFERROR(__xludf.DUMMYFUNCTION("""COMPUTED_VALUE"""),"Rae Erlano")</f>
        <v>Rae Erlano</v>
      </c>
      <c r="W1857" s="1" t="str">
        <f>IFERROR(__xludf.DUMMYFUNCTION("""COMPUTED_VALUE"""),"Print Support PH")</f>
        <v>Print Support PH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IFERROR(__xludf.DUMMYFUNCTION("""COMPUTED_VALUE"""),"2025 Dec")</f>
        <v>2025 Dec</v>
      </c>
      <c r="P1858" s="1" t="str">
        <f>IFERROR(__xludf.DUMMYFUNCTION("""COMPUTED_VALUE"""),"Print Support")</f>
        <v>Print Support</v>
      </c>
      <c r="Q1858" s="1" t="str">
        <f>IFERROR(__xludf.DUMMYFUNCTION("""COMPUTED_VALUE"""),"loise@canva.com")</f>
        <v>loise@canva.com</v>
      </c>
      <c r="R1858" s="1" t="str">
        <f>IFERROR(__xludf.DUMMYFUNCTION("""COMPUTED_VALUE"""),"Loise Dela Cruz")</f>
        <v>Loise Dela Cruz</v>
      </c>
      <c r="S1858" s="1"/>
      <c r="T1858" s="1">
        <f>IFERROR(__xludf.DUMMYFUNCTION("""COMPUTED_VALUE"""),1.0)</f>
        <v>1</v>
      </c>
      <c r="U1858" s="3">
        <f>IFERROR(__xludf.DUMMYFUNCTION("""COMPUTED_VALUE"""),1.0)</f>
        <v>1</v>
      </c>
      <c r="V1858" s="1" t="str">
        <f>IFERROR(__xludf.DUMMYFUNCTION("""COMPUTED_VALUE"""),"Aliza Dote")</f>
        <v>Aliza Dote</v>
      </c>
      <c r="W1858" s="1" t="str">
        <f>IFERROR(__xludf.DUMMYFUNCTION("""COMPUTED_VALUE"""),"Print Design Support")</f>
        <v>Print Design Support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IFERROR(__xludf.DUMMYFUNCTION("""COMPUTED_VALUE"""),"2025 Dec")</f>
        <v>2025 Dec</v>
      </c>
      <c r="P1859" s="1" t="str">
        <f>IFERROR(__xludf.DUMMYFUNCTION("""COMPUTED_VALUE"""),"Core Product Support")</f>
        <v>Core Product Support</v>
      </c>
      <c r="Q1859" s="1" t="str">
        <f>IFERROR(__xludf.DUMMYFUNCTION("""COMPUTED_VALUE"""),"loudv@canva.com")</f>
        <v>loudv@canva.com</v>
      </c>
      <c r="R1859" s="1" t="str">
        <f>IFERROR(__xludf.DUMMYFUNCTION("""COMPUTED_VALUE"""),"Louieline Dela Vega")</f>
        <v>Louieline Dela Vega</v>
      </c>
      <c r="S1859" s="1">
        <f>IFERROR(__xludf.DUMMYFUNCTION("""COMPUTED_VALUE"""),1.5)</f>
        <v>1.5</v>
      </c>
      <c r="T1859" s="1">
        <f>IFERROR(__xludf.DUMMYFUNCTION("""COMPUTED_VALUE"""),1.0)</f>
        <v>1</v>
      </c>
      <c r="U1859" s="3">
        <f>IFERROR(__xludf.DUMMYFUNCTION("""COMPUTED_VALUE"""),2.5)</f>
        <v>2.5</v>
      </c>
      <c r="V1859" s="1" t="str">
        <f>IFERROR(__xludf.DUMMYFUNCTION("""COMPUTED_VALUE"""),"Vianca De Jesus")</f>
        <v>Vianca De Jesus</v>
      </c>
      <c r="W1859" s="1" t="str">
        <f>IFERROR(__xludf.DUMMYFUNCTION("""COMPUTED_VALUE"""),"Advanced Billing &amp; Subscriptions")</f>
        <v>Advanced Billing &amp; Subscriptions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IFERROR(__xludf.DUMMYFUNCTION("""COMPUTED_VALUE"""),"2025 Dec")</f>
        <v>2025 Dec</v>
      </c>
      <c r="P1860" s="1" t="str">
        <f>IFERROR(__xludf.DUMMYFUNCTION("""COMPUTED_VALUE"""),"Core Product Support")</f>
        <v>Core Product Support</v>
      </c>
      <c r="Q1860" s="1" t="str">
        <f>IFERROR(__xludf.DUMMYFUNCTION("""COMPUTED_VALUE"""),"lovejoyce@canva.com")</f>
        <v>lovejoyce@canva.com</v>
      </c>
      <c r="R1860" s="1" t="str">
        <f>IFERROR(__xludf.DUMMYFUNCTION("""COMPUTED_VALUE"""),"Love Joyce Pasagui")</f>
        <v>Love Joyce Pasagui</v>
      </c>
      <c r="S1860" s="1">
        <f>IFERROR(__xludf.DUMMYFUNCTION("""COMPUTED_VALUE"""),0.5)</f>
        <v>0.5</v>
      </c>
      <c r="T1860" s="1">
        <f>IFERROR(__xludf.DUMMYFUNCTION("""COMPUTED_VALUE"""),9.5)</f>
        <v>9.5</v>
      </c>
      <c r="U1860" s="3">
        <f>IFERROR(__xludf.DUMMYFUNCTION("""COMPUTED_VALUE"""),10.0)</f>
        <v>10</v>
      </c>
      <c r="V1860" s="1" t="str">
        <f>IFERROR(__xludf.DUMMYFUNCTION("""COMPUTED_VALUE"""),"Bem Launte")</f>
        <v>Bem Launte</v>
      </c>
      <c r="W1860" s="1" t="str">
        <f>IFERROR(__xludf.DUMMYFUNCTION("""COMPUTED_VALUE"""),"Core Product Support Escalation Team")</f>
        <v>Core Product Support Escalation Team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IFERROR(__xludf.DUMMYFUNCTION("""COMPUTED_VALUE"""),"2025 Dec")</f>
        <v>2025 Dec</v>
      </c>
      <c r="P1861" s="1" t="str">
        <f>IFERROR(__xludf.DUMMYFUNCTION("""COMPUTED_VALUE"""),"Print Support")</f>
        <v>Print Support</v>
      </c>
      <c r="Q1861" s="1" t="str">
        <f>IFERROR(__xludf.DUMMYFUNCTION("""COMPUTED_VALUE"""),"rlsalomia@canva.com")</f>
        <v>rlsalomia@canva.com</v>
      </c>
      <c r="R1861" s="1" t="str">
        <f>IFERROR(__xludf.DUMMYFUNCTION("""COMPUTED_VALUE"""),"Luis Salomia")</f>
        <v>Luis Salomia</v>
      </c>
      <c r="S1861" s="1"/>
      <c r="T1861" s="1">
        <f>IFERROR(__xludf.DUMMYFUNCTION("""COMPUTED_VALUE"""),1.0)</f>
        <v>1</v>
      </c>
      <c r="U1861" s="3">
        <f>IFERROR(__xludf.DUMMYFUNCTION("""COMPUTED_VALUE"""),1.0)</f>
        <v>1</v>
      </c>
      <c r="V1861" s="1" t="str">
        <f>IFERROR(__xludf.DUMMYFUNCTION("""COMPUTED_VALUE"""),"Rae Erlano")</f>
        <v>Rae Erlano</v>
      </c>
      <c r="W1861" s="1" t="str">
        <f>IFERROR(__xludf.DUMMYFUNCTION("""COMPUTED_VALUE"""),"Print Support PH")</f>
        <v>Print Support PH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IFERROR(__xludf.DUMMYFUNCTION("""COMPUTED_VALUE"""),"2025 Dec")</f>
        <v>2025 Dec</v>
      </c>
      <c r="P1862" s="1" t="str">
        <f>IFERROR(__xludf.DUMMYFUNCTION("""COMPUTED_VALUE"""),"Admin Support")</f>
        <v>Admin Support</v>
      </c>
      <c r="Q1862" s="1" t="str">
        <f>IFERROR(__xludf.DUMMYFUNCTION("""COMPUTED_VALUE"""),"lyzdr@canva.com")</f>
        <v>lyzdr@canva.com</v>
      </c>
      <c r="R1862" s="1" t="str">
        <f>IFERROR(__xludf.DUMMYFUNCTION("""COMPUTED_VALUE"""),"Lyzza Del Rosario")</f>
        <v>Lyzza Del Rosario</v>
      </c>
      <c r="S1862" s="1"/>
      <c r="T1862" s="1">
        <f>IFERROR(__xludf.DUMMYFUNCTION("""COMPUTED_VALUE"""),2.5)</f>
        <v>2.5</v>
      </c>
      <c r="U1862" s="3">
        <f>IFERROR(__xludf.DUMMYFUNCTION("""COMPUTED_VALUE"""),2.5)</f>
        <v>2.5</v>
      </c>
      <c r="V1862" s="1" t="str">
        <f>IFERROR(__xludf.DUMMYFUNCTION("""COMPUTED_VALUE"""),"Rose Gabilan")</f>
        <v>Rose Gabilan</v>
      </c>
      <c r="W1862" s="1" t="str">
        <f>IFERROR(__xludf.DUMMYFUNCTION("""COMPUTED_VALUE"""),"Admin Support PH SSO")</f>
        <v>Admin Support PH SSO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IFERROR(__xludf.DUMMYFUNCTION("""COMPUTED_VALUE"""),"2025 Dec")</f>
        <v>2025 Dec</v>
      </c>
      <c r="P1863" s="1" t="str">
        <f>IFERROR(__xludf.DUMMYFUNCTION("""COMPUTED_VALUE"""),"Admin Support")</f>
        <v>Admin Support</v>
      </c>
      <c r="Q1863" s="1" t="str">
        <f>IFERROR(__xludf.DUMMYFUNCTION("""COMPUTED_VALUE"""),"mac@canva.com")</f>
        <v>mac@canva.com</v>
      </c>
      <c r="R1863" s="1" t="str">
        <f>IFERROR(__xludf.DUMMYFUNCTION("""COMPUTED_VALUE"""),"Mac Mendoza")</f>
        <v>Mac Mendoza</v>
      </c>
      <c r="S1863" s="1"/>
      <c r="T1863" s="1">
        <f>IFERROR(__xludf.DUMMYFUNCTION("""COMPUTED_VALUE"""),13.25)</f>
        <v>13.25</v>
      </c>
      <c r="U1863" s="3">
        <f>IFERROR(__xludf.DUMMYFUNCTION("""COMPUTED_VALUE"""),13.25)</f>
        <v>13.25</v>
      </c>
      <c r="V1863" s="1" t="str">
        <f>IFERROR(__xludf.DUMMYFUNCTION("""COMPUTED_VALUE"""),"Kelden Laguting")</f>
        <v>Kelden Laguting</v>
      </c>
      <c r="W1863" s="1" t="str">
        <f>IFERROR(__xludf.DUMMYFUNCTION("""COMPUTED_VALUE"""),"Admin Support PH")</f>
        <v>Admin Support PH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IFERROR(__xludf.DUMMYFUNCTION("""COMPUTED_VALUE"""),"2025 Dec")</f>
        <v>2025 Dec</v>
      </c>
      <c r="P1864" s="1" t="str">
        <f>IFERROR(__xludf.DUMMYFUNCTION("""COMPUTED_VALUE"""),"High Sensitivity Support")</f>
        <v>High Sensitivity Support</v>
      </c>
      <c r="Q1864" s="1" t="str">
        <f>IFERROR(__xludf.DUMMYFUNCTION("""COMPUTED_VALUE"""),"macie@canva.com")</f>
        <v>macie@canva.com</v>
      </c>
      <c r="R1864" s="1" t="str">
        <f>IFERROR(__xludf.DUMMYFUNCTION("""COMPUTED_VALUE"""),"Macie del Mundo")</f>
        <v>Macie del Mundo</v>
      </c>
      <c r="S1864" s="1">
        <f>IFERROR(__xludf.DUMMYFUNCTION("""COMPUTED_VALUE"""),20.0)</f>
        <v>20</v>
      </c>
      <c r="T1864" s="1"/>
      <c r="U1864" s="3">
        <f>IFERROR(__xludf.DUMMYFUNCTION("""COMPUTED_VALUE"""),20.0)</f>
        <v>20</v>
      </c>
      <c r="V1864" s="1" t="str">
        <f>IFERROR(__xludf.DUMMYFUNCTION("""COMPUTED_VALUE"""),"Rossheen Pura")</f>
        <v>Rossheen Pura</v>
      </c>
      <c r="W1864" s="1" t="str">
        <f>IFERROR(__xludf.DUMMYFUNCTION("""COMPUTED_VALUE"""),"High Sensitivity Support PH")</f>
        <v>High Sensitivity Support PH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IFERROR(__xludf.DUMMYFUNCTION("""COMPUTED_VALUE"""),"2025 Dec")</f>
        <v>2025 Dec</v>
      </c>
      <c r="P1865" s="1" t="str">
        <f>IFERROR(__xludf.DUMMYFUNCTION("""COMPUTED_VALUE"""),"Core Product Support")</f>
        <v>Core Product Support</v>
      </c>
      <c r="Q1865" s="1" t="str">
        <f>IFERROR(__xludf.DUMMYFUNCTION("""COMPUTED_VALUE"""),"mackievitacion@canva.com")</f>
        <v>mackievitacion@canva.com</v>
      </c>
      <c r="R1865" s="1" t="str">
        <f>IFERROR(__xludf.DUMMYFUNCTION("""COMPUTED_VALUE"""),"Mackie Vitacion")</f>
        <v>Mackie Vitacion</v>
      </c>
      <c r="S1865" s="1">
        <f>IFERROR(__xludf.DUMMYFUNCTION("""COMPUTED_VALUE"""),2.5)</f>
        <v>2.5</v>
      </c>
      <c r="T1865" s="1"/>
      <c r="U1865" s="3">
        <f>IFERROR(__xludf.DUMMYFUNCTION("""COMPUTED_VALUE"""),2.5)</f>
        <v>2.5</v>
      </c>
      <c r="V1865" s="1" t="str">
        <f>IFERROR(__xludf.DUMMYFUNCTION("""COMPUTED_VALUE"""),"Jelyn Elmido")</f>
        <v>Jelyn Elmido</v>
      </c>
      <c r="W1865" s="1" t="str">
        <f>IFERROR(__xludf.DUMMYFUNCTION("""COMPUTED_VALUE"""),"Advanced Product Support")</f>
        <v>Advanced Product Support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IFERROR(__xludf.DUMMYFUNCTION("""COMPUTED_VALUE"""),"2025 Dec")</f>
        <v>2025 Dec</v>
      </c>
      <c r="P1866" s="1" t="str">
        <f>IFERROR(__xludf.DUMMYFUNCTION("""COMPUTED_VALUE"""),"High Sensitivity Support")</f>
        <v>High Sensitivity Support</v>
      </c>
      <c r="Q1866" s="1" t="str">
        <f>IFERROR(__xludf.DUMMYFUNCTION("""COMPUTED_VALUE"""),"mariav@canva.com")</f>
        <v>mariav@canva.com</v>
      </c>
      <c r="R1866" s="1" t="str">
        <f>IFERROR(__xludf.DUMMYFUNCTION("""COMPUTED_VALUE"""),"Maria Vergara")</f>
        <v>Maria Vergara</v>
      </c>
      <c r="S1866" s="1">
        <f>IFERROR(__xludf.DUMMYFUNCTION("""COMPUTED_VALUE"""),16.0)</f>
        <v>16</v>
      </c>
      <c r="T1866" s="1"/>
      <c r="U1866" s="3">
        <f>IFERROR(__xludf.DUMMYFUNCTION("""COMPUTED_VALUE"""),16.0)</f>
        <v>16</v>
      </c>
      <c r="V1866" s="1" t="str">
        <f>IFERROR(__xludf.DUMMYFUNCTION("""COMPUTED_VALUE"""),"Xandy Azarcon")</f>
        <v>Xandy Azarcon</v>
      </c>
      <c r="W1866" s="1" t="str">
        <f>IFERROR(__xludf.DUMMYFUNCTION("""COMPUTED_VALUE"""),"High Sensitivity Support PH")</f>
        <v>High Sensitivity Support PH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IFERROR(__xludf.DUMMYFUNCTION("""COMPUTED_VALUE"""),"2025 Dec")</f>
        <v>2025 Dec</v>
      </c>
      <c r="P1867" s="1" t="str">
        <f>IFERROR(__xludf.DUMMYFUNCTION("""COMPUTED_VALUE"""),"Core Product Support")</f>
        <v>Core Product Support</v>
      </c>
      <c r="Q1867" s="1" t="str">
        <f>IFERROR(__xludf.DUMMYFUNCTION("""COMPUTED_VALUE"""),"mariz@canva.com")</f>
        <v>mariz@canva.com</v>
      </c>
      <c r="R1867" s="1" t="str">
        <f>IFERROR(__xludf.DUMMYFUNCTION("""COMPUTED_VALUE"""),"Mariz Gain")</f>
        <v>Mariz Gain</v>
      </c>
      <c r="S1867" s="1">
        <f>IFERROR(__xludf.DUMMYFUNCTION("""COMPUTED_VALUE"""),2.0)</f>
        <v>2</v>
      </c>
      <c r="T1867" s="1"/>
      <c r="U1867" s="3">
        <f>IFERROR(__xludf.DUMMYFUNCTION("""COMPUTED_VALUE"""),2.0)</f>
        <v>2</v>
      </c>
      <c r="V1867" s="1" t="str">
        <f>IFERROR(__xludf.DUMMYFUNCTION("""COMPUTED_VALUE"""),"Ana Lazaro")</f>
        <v>Ana Lazaro</v>
      </c>
      <c r="W1867" s="1" t="str">
        <f>IFERROR(__xludf.DUMMYFUNCTION("""COMPUTED_VALUE"""),"Advanced Billing &amp; Subscriptions")</f>
        <v>Advanced Billing &amp; Subscriptions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IFERROR(__xludf.DUMMYFUNCTION("""COMPUTED_VALUE"""),"2025 Dec")</f>
        <v>2025 Dec</v>
      </c>
      <c r="P1868" s="1" t="str">
        <f>IFERROR(__xludf.DUMMYFUNCTION("""COMPUTED_VALUE"""),"Print Support")</f>
        <v>Print Support</v>
      </c>
      <c r="Q1868" s="1" t="str">
        <f>IFERROR(__xludf.DUMMYFUNCTION("""COMPUTED_VALUE"""),"mpalermo@canva.com")</f>
        <v>mpalermo@canva.com</v>
      </c>
      <c r="R1868" s="1" t="str">
        <f>IFERROR(__xludf.DUMMYFUNCTION("""COMPUTED_VALUE"""),"Marjorie Tsao")</f>
        <v>Marjorie Tsao</v>
      </c>
      <c r="S1868" s="1"/>
      <c r="T1868" s="1"/>
      <c r="U1868" s="3">
        <f>IFERROR(__xludf.DUMMYFUNCTION("""COMPUTED_VALUE"""),0.0)</f>
        <v>0</v>
      </c>
      <c r="V1868" s="1" t="str">
        <f>IFERROR(__xludf.DUMMYFUNCTION("""COMPUTED_VALUE"""),"Ann Dumlao")</f>
        <v>Ann Dumlao</v>
      </c>
      <c r="W1868" s="1" t="str">
        <f>IFERROR(__xludf.DUMMYFUNCTION("""COMPUTED_VALUE"""),"Print Support PH")</f>
        <v>Print Support PH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IFERROR(__xludf.DUMMYFUNCTION("""COMPUTED_VALUE"""),"2025 Dec")</f>
        <v>2025 Dec</v>
      </c>
      <c r="P1869" s="1" t="str">
        <f>IFERROR(__xludf.DUMMYFUNCTION("""COMPUTED_VALUE"""),"Core Product Support")</f>
        <v>Core Product Support</v>
      </c>
      <c r="Q1869" s="1" t="str">
        <f>IFERROR(__xludf.DUMMYFUNCTION("""COMPUTED_VALUE"""),"martyl@canva.com")</f>
        <v>martyl@canva.com</v>
      </c>
      <c r="R1869" s="1" t="str">
        <f>IFERROR(__xludf.DUMMYFUNCTION("""COMPUTED_VALUE"""),"Marty Lozada")</f>
        <v>Marty Lozada</v>
      </c>
      <c r="S1869" s="1">
        <f>IFERROR(__xludf.DUMMYFUNCTION("""COMPUTED_VALUE"""),1.5)</f>
        <v>1.5</v>
      </c>
      <c r="T1869" s="1"/>
      <c r="U1869" s="3">
        <f>IFERROR(__xludf.DUMMYFUNCTION("""COMPUTED_VALUE"""),1.5)</f>
        <v>1.5</v>
      </c>
      <c r="V1869" s="1" t="str">
        <f>IFERROR(__xludf.DUMMYFUNCTION("""COMPUTED_VALUE"""),"Vinz Lazaro")</f>
        <v>Vinz Lazaro</v>
      </c>
      <c r="W1869" s="1" t="str">
        <f>IFERROR(__xludf.DUMMYFUNCTION("""COMPUTED_VALUE"""),"Advanced Product Support")</f>
        <v>Advanced Product Support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IFERROR(__xludf.DUMMYFUNCTION("""COMPUTED_VALUE"""),"2025 Dec")</f>
        <v>2025 Dec</v>
      </c>
      <c r="P1870" s="1" t="str">
        <f>IFERROR(__xludf.DUMMYFUNCTION("""COMPUTED_VALUE"""),"High Sensitivity Support")</f>
        <v>High Sensitivity Support</v>
      </c>
      <c r="Q1870" s="1" t="str">
        <f>IFERROR(__xludf.DUMMYFUNCTION("""COMPUTED_VALUE"""),"mayann@canva.com")</f>
        <v>mayann@canva.com</v>
      </c>
      <c r="R1870" s="1" t="str">
        <f>IFERROR(__xludf.DUMMYFUNCTION("""COMPUTED_VALUE"""),"May Ann Caguioa")</f>
        <v>May Ann Caguioa</v>
      </c>
      <c r="S1870" s="1">
        <f>IFERROR(__xludf.DUMMYFUNCTION("""COMPUTED_VALUE"""),16.0)</f>
        <v>16</v>
      </c>
      <c r="T1870" s="1"/>
      <c r="U1870" s="3">
        <f>IFERROR(__xludf.DUMMYFUNCTION("""COMPUTED_VALUE"""),16.0)</f>
        <v>16</v>
      </c>
      <c r="V1870" s="1" t="str">
        <f>IFERROR(__xludf.DUMMYFUNCTION("""COMPUTED_VALUE"""),"Rossheen Pura")</f>
        <v>Rossheen Pura</v>
      </c>
      <c r="W1870" s="1" t="str">
        <f>IFERROR(__xludf.DUMMYFUNCTION("""COMPUTED_VALUE"""),"High Sensitivity Support PH")</f>
        <v>High Sensitivity Support PH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IFERROR(__xludf.DUMMYFUNCTION("""COMPUTED_VALUE"""),"2025 Dec")</f>
        <v>2025 Dec</v>
      </c>
      <c r="P1871" s="1" t="str">
        <f>IFERROR(__xludf.DUMMYFUNCTION("""COMPUTED_VALUE"""),"Core Product Support")</f>
        <v>Core Product Support</v>
      </c>
      <c r="Q1871" s="1" t="str">
        <f>IFERROR(__xludf.DUMMYFUNCTION("""COMPUTED_VALUE"""),"mccoyc@canva.com")</f>
        <v>mccoyc@canva.com</v>
      </c>
      <c r="R1871" s="1" t="str">
        <f>IFERROR(__xludf.DUMMYFUNCTION("""COMPUTED_VALUE"""),"McCoy Cacanindin")</f>
        <v>McCoy Cacanindin</v>
      </c>
      <c r="S1871" s="1">
        <f>IFERROR(__xludf.DUMMYFUNCTION("""COMPUTED_VALUE"""),2.0)</f>
        <v>2</v>
      </c>
      <c r="T1871" s="1">
        <f>IFERROR(__xludf.DUMMYFUNCTION("""COMPUTED_VALUE"""),0.25)</f>
        <v>0.25</v>
      </c>
      <c r="U1871" s="3">
        <f>IFERROR(__xludf.DUMMYFUNCTION("""COMPUTED_VALUE"""),2.25)</f>
        <v>2.25</v>
      </c>
      <c r="V1871" s="1" t="str">
        <f>IFERROR(__xludf.DUMMYFUNCTION("""COMPUTED_VALUE"""),"Vinz Lazaro")</f>
        <v>Vinz Lazaro</v>
      </c>
      <c r="W1871" s="1" t="str">
        <f>IFERROR(__xludf.DUMMYFUNCTION("""COMPUTED_VALUE"""),"Advanced Product Support")</f>
        <v>Advanced Product Support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IFERROR(__xludf.DUMMYFUNCTION("""COMPUTED_VALUE"""),"2025 Dec")</f>
        <v>2025 Dec</v>
      </c>
      <c r="P1872" s="1" t="str">
        <f>IFERROR(__xludf.DUMMYFUNCTION("""COMPUTED_VALUE"""),"High Sensitivity Support")</f>
        <v>High Sensitivity Support</v>
      </c>
      <c r="Q1872" s="1" t="str">
        <f>IFERROR(__xludf.DUMMYFUNCTION("""COMPUTED_VALUE"""),"mlabio@canva.com")</f>
        <v>mlabio@canva.com</v>
      </c>
      <c r="R1872" s="1" t="str">
        <f>IFERROR(__xludf.DUMMYFUNCTION("""COMPUTED_VALUE"""),"Melanie Labio")</f>
        <v>Melanie Labio</v>
      </c>
      <c r="S1872" s="1">
        <f>IFERROR(__xludf.DUMMYFUNCTION("""COMPUTED_VALUE"""),20.0)</f>
        <v>20</v>
      </c>
      <c r="T1872" s="1"/>
      <c r="U1872" s="3">
        <f>IFERROR(__xludf.DUMMYFUNCTION("""COMPUTED_VALUE"""),20.0)</f>
        <v>20</v>
      </c>
      <c r="V1872" s="1" t="str">
        <f>IFERROR(__xludf.DUMMYFUNCTION("""COMPUTED_VALUE"""),"Xandy Azarcon")</f>
        <v>Xandy Azarcon</v>
      </c>
      <c r="W1872" s="1" t="str">
        <f>IFERROR(__xludf.DUMMYFUNCTION("""COMPUTED_VALUE"""),"High Sensitivity Support PH")</f>
        <v>High Sensitivity Support PH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IFERROR(__xludf.DUMMYFUNCTION("""COMPUTED_VALUE"""),"2025 Dec")</f>
        <v>2025 Dec</v>
      </c>
      <c r="P1873" s="1" t="str">
        <f>IFERROR(__xludf.DUMMYFUNCTION("""COMPUTED_VALUE"""),"Admin Support")</f>
        <v>Admin Support</v>
      </c>
      <c r="Q1873" s="1" t="str">
        <f>IFERROR(__xludf.DUMMYFUNCTION("""COMPUTED_VALUE"""),"mmicah@canva.com")</f>
        <v>mmicah@canva.com</v>
      </c>
      <c r="R1873" s="1" t="str">
        <f>IFERROR(__xludf.DUMMYFUNCTION("""COMPUTED_VALUE"""),"Micah Geneviv Marcos")</f>
        <v>Micah Geneviv Marcos</v>
      </c>
      <c r="S1873" s="1"/>
      <c r="T1873" s="1">
        <f>IFERROR(__xludf.DUMMYFUNCTION("""COMPUTED_VALUE"""),1.75)</f>
        <v>1.75</v>
      </c>
      <c r="U1873" s="3">
        <f>IFERROR(__xludf.DUMMYFUNCTION("""COMPUTED_VALUE"""),1.75)</f>
        <v>1.75</v>
      </c>
      <c r="V1873" s="1" t="str">
        <f>IFERROR(__xludf.DUMMYFUNCTION("""COMPUTED_VALUE"""),"Karla Mananghaya")</f>
        <v>Karla Mananghaya</v>
      </c>
      <c r="W1873" s="1" t="str">
        <f>IFERROR(__xludf.DUMMYFUNCTION("""COMPUTED_VALUE"""),"Admin Support PH")</f>
        <v>Admin Support PH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IFERROR(__xludf.DUMMYFUNCTION("""COMPUTED_VALUE"""),"2025 Dec")</f>
        <v>2025 Dec</v>
      </c>
      <c r="P1874" s="1" t="str">
        <f>IFERROR(__xludf.DUMMYFUNCTION("""COMPUTED_VALUE"""),"Core Product Support")</f>
        <v>Core Product Support</v>
      </c>
      <c r="Q1874" s="1" t="str">
        <f>IFERROR(__xludf.DUMMYFUNCTION("""COMPUTED_VALUE"""),"nas@canva.com")</f>
        <v>nas@canva.com</v>
      </c>
      <c r="R1874" s="1" t="str">
        <f>IFERROR(__xludf.DUMMYFUNCTION("""COMPUTED_VALUE"""),"Miggy De Vibar")</f>
        <v>Miggy De Vibar</v>
      </c>
      <c r="S1874" s="1">
        <f>IFERROR(__xludf.DUMMYFUNCTION("""COMPUTED_VALUE"""),1.75)</f>
        <v>1.75</v>
      </c>
      <c r="T1874" s="1">
        <f>IFERROR(__xludf.DUMMYFUNCTION("""COMPUTED_VALUE"""),0.25)</f>
        <v>0.25</v>
      </c>
      <c r="U1874" s="3">
        <f>IFERROR(__xludf.DUMMYFUNCTION("""COMPUTED_VALUE"""),2.0)</f>
        <v>2</v>
      </c>
      <c r="V1874" s="1" t="str">
        <f>IFERROR(__xludf.DUMMYFUNCTION("""COMPUTED_VALUE"""),"Belle Bentazal")</f>
        <v>Belle Bentazal</v>
      </c>
      <c r="W1874" s="1" t="str">
        <f>IFERROR(__xludf.DUMMYFUNCTION("""COMPUTED_VALUE"""),"Advanced Product Support")</f>
        <v>Advanced Product Support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IFERROR(__xludf.DUMMYFUNCTION("""COMPUTED_VALUE"""),"2025 Dec")</f>
        <v>2025 Dec</v>
      </c>
      <c r="P1875" s="1" t="str">
        <f>IFERROR(__xludf.DUMMYFUNCTION("""COMPUTED_VALUE"""),"Core Product Support")</f>
        <v>Core Product Support</v>
      </c>
      <c r="Q1875" s="1" t="str">
        <f>IFERROR(__xludf.DUMMYFUNCTION("""COMPUTED_VALUE"""),"mika@canva.com")</f>
        <v>mika@canva.com</v>
      </c>
      <c r="R1875" s="1" t="str">
        <f>IFERROR(__xludf.DUMMYFUNCTION("""COMPUTED_VALUE"""),"Mika Magpantay")</f>
        <v>Mika Magpantay</v>
      </c>
      <c r="S1875" s="1">
        <f>IFERROR(__xludf.DUMMYFUNCTION("""COMPUTED_VALUE"""),2.0)</f>
        <v>2</v>
      </c>
      <c r="T1875" s="1">
        <f>IFERROR(__xludf.DUMMYFUNCTION("""COMPUTED_VALUE"""),1.0)</f>
        <v>1</v>
      </c>
      <c r="U1875" s="3">
        <f>IFERROR(__xludf.DUMMYFUNCTION("""COMPUTED_VALUE"""),3.0)</f>
        <v>3</v>
      </c>
      <c r="V1875" s="1" t="str">
        <f>IFERROR(__xludf.DUMMYFUNCTION("""COMPUTED_VALUE"""),"Vianca De Jesus")</f>
        <v>Vianca De Jesus</v>
      </c>
      <c r="W1875" s="1" t="str">
        <f>IFERROR(__xludf.DUMMYFUNCTION("""COMPUTED_VALUE"""),"Advanced Chat Support")</f>
        <v>Advanced Chat Support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IFERROR(__xludf.DUMMYFUNCTION("""COMPUTED_VALUE"""),"2025 Dec")</f>
        <v>2025 Dec</v>
      </c>
      <c r="P1876" s="1" t="str">
        <f>IFERROR(__xludf.DUMMYFUNCTION("""COMPUTED_VALUE"""),"Core Product Support")</f>
        <v>Core Product Support</v>
      </c>
      <c r="Q1876" s="1" t="str">
        <f>IFERROR(__xludf.DUMMYFUNCTION("""COMPUTED_VALUE"""),"mirielle@canva.com")</f>
        <v>mirielle@canva.com</v>
      </c>
      <c r="R1876" s="1" t="str">
        <f>IFERROR(__xludf.DUMMYFUNCTION("""COMPUTED_VALUE"""),"Mirielle Frances de Lara")</f>
        <v>Mirielle Frances de Lara</v>
      </c>
      <c r="S1876" s="1">
        <f>IFERROR(__xludf.DUMMYFUNCTION("""COMPUTED_VALUE"""),1.75)</f>
        <v>1.75</v>
      </c>
      <c r="T1876" s="1">
        <f>IFERROR(__xludf.DUMMYFUNCTION("""COMPUTED_VALUE"""),0.25)</f>
        <v>0.25</v>
      </c>
      <c r="U1876" s="3">
        <f>IFERROR(__xludf.DUMMYFUNCTION("""COMPUTED_VALUE"""),2.0)</f>
        <v>2</v>
      </c>
      <c r="V1876" s="1" t="str">
        <f>IFERROR(__xludf.DUMMYFUNCTION("""COMPUTED_VALUE"""),"Belle Bentazal")</f>
        <v>Belle Bentazal</v>
      </c>
      <c r="W1876" s="1" t="str">
        <f>IFERROR(__xludf.DUMMYFUNCTION("""COMPUTED_VALUE"""),"Advanced Product Support")</f>
        <v>Advanced Product Support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IFERROR(__xludf.DUMMYFUNCTION("""COMPUTED_VALUE"""),"2025 Dec")</f>
        <v>2025 Dec</v>
      </c>
      <c r="P1877" s="1" t="str">
        <f>IFERROR(__xludf.DUMMYFUNCTION("""COMPUTED_VALUE"""),"Admin Support")</f>
        <v>Admin Support</v>
      </c>
      <c r="Q1877" s="1" t="str">
        <f>IFERROR(__xludf.DUMMYFUNCTION("""COMPUTED_VALUE"""),"mjb@canva.com")</f>
        <v>mjb@canva.com</v>
      </c>
      <c r="R1877" s="1" t="str">
        <f>IFERROR(__xludf.DUMMYFUNCTION("""COMPUTED_VALUE"""),"MJ Billon")</f>
        <v>MJ Billon</v>
      </c>
      <c r="S1877" s="1"/>
      <c r="T1877" s="1">
        <f>IFERROR(__xludf.DUMMYFUNCTION("""COMPUTED_VALUE"""),11.5)</f>
        <v>11.5</v>
      </c>
      <c r="U1877" s="3">
        <f>IFERROR(__xludf.DUMMYFUNCTION("""COMPUTED_VALUE"""),11.5)</f>
        <v>11.5</v>
      </c>
      <c r="V1877" s="1" t="str">
        <f>IFERROR(__xludf.DUMMYFUNCTION("""COMPUTED_VALUE"""),"Pau Palmero")</f>
        <v>Pau Palmero</v>
      </c>
      <c r="W1877" s="1" t="str">
        <f>IFERROR(__xludf.DUMMYFUNCTION("""COMPUTED_VALUE"""),"Admin Support PH CEDD")</f>
        <v>Admin Support PH CEDD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IFERROR(__xludf.DUMMYFUNCTION("""COMPUTED_VALUE"""),"2025 Dec")</f>
        <v>2025 Dec</v>
      </c>
      <c r="P1878" s="1" t="str">
        <f>IFERROR(__xludf.DUMMYFUNCTION("""COMPUTED_VALUE"""),"Segment-specific Support")</f>
        <v>Segment-specific Support</v>
      </c>
      <c r="Q1878" s="1" t="str">
        <f>IFERROR(__xludf.DUMMYFUNCTION("""COMPUTED_VALUE"""),"molli@canva.com")</f>
        <v>molli@canva.com</v>
      </c>
      <c r="R1878" s="1" t="str">
        <f>IFERROR(__xludf.DUMMYFUNCTION("""COMPUTED_VALUE"""),"MJ Sol")</f>
        <v>MJ Sol</v>
      </c>
      <c r="S1878" s="1"/>
      <c r="T1878" s="1"/>
      <c r="U1878" s="3">
        <f>IFERROR(__xludf.DUMMYFUNCTION("""COMPUTED_VALUE"""),0.0)</f>
        <v>0</v>
      </c>
      <c r="V1878" s="1" t="str">
        <f>IFERROR(__xludf.DUMMYFUNCTION("""COMPUTED_VALUE"""),"Aileen Dayanghirang")</f>
        <v>Aileen Dayanghirang</v>
      </c>
      <c r="W1878" s="1" t="str">
        <f>IFERROR(__xludf.DUMMYFUNCTION("""COMPUTED_VALUE"""),"Creators Support")</f>
        <v>Creators Support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IFERROR(__xludf.DUMMYFUNCTION("""COMPUTED_VALUE"""),"Vinz Lazaro")</f>
        <v>Vinz Lazaro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IFERROR(__xludf.DUMMYFUNCTION("""COMPUTED_VALUE"""),"2025 Dec")</f>
        <v>2025 Dec</v>
      </c>
      <c r="P1879" s="1" t="str">
        <f>IFERROR(__xludf.DUMMYFUNCTION("""COMPUTED_VALUE"""),"Core Product Support")</f>
        <v>Core Product Support</v>
      </c>
      <c r="Q1879" s="1" t="str">
        <f>IFERROR(__xludf.DUMMYFUNCTION("""COMPUTED_VALUE"""),"raymondc@canva.com")</f>
        <v>raymondc@canva.com</v>
      </c>
      <c r="R1879" s="1" t="str">
        <f>IFERROR(__xludf.DUMMYFUNCTION("""COMPUTED_VALUE"""),"Mond Catimbang")</f>
        <v>Mond Catimbang</v>
      </c>
      <c r="S1879" s="1">
        <f>IFERROR(__xludf.DUMMYFUNCTION("""COMPUTED_VALUE"""),1.5)</f>
        <v>1.5</v>
      </c>
      <c r="T1879" s="1">
        <f>IFERROR(__xludf.DUMMYFUNCTION("""COMPUTED_VALUE"""),1.0)</f>
        <v>1</v>
      </c>
      <c r="U1879" s="3">
        <f>IFERROR(__xludf.DUMMYFUNCTION("""COMPUTED_VALUE"""),2.5)</f>
        <v>2.5</v>
      </c>
      <c r="V1879" s="1" t="str">
        <f>IFERROR(__xludf.DUMMYFUNCTION("""COMPUTED_VALUE"""),"Vianca De Jesus")</f>
        <v>Vianca De Jesus</v>
      </c>
      <c r="W1879" s="1" t="str">
        <f>IFERROR(__xludf.DUMMYFUNCTION("""COMPUTED_VALUE"""),"Advanced Chat Support")</f>
        <v>Advanced Chat Support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IFERROR(__xludf.DUMMYFUNCTION("""COMPUTED_VALUE"""),"2025 Dec")</f>
        <v>2025 Dec</v>
      </c>
      <c r="P1880" s="1" t="str">
        <f>IFERROR(__xludf.DUMMYFUNCTION("""COMPUTED_VALUE"""),"Print Support")</f>
        <v>Print Support</v>
      </c>
      <c r="Q1880" s="1" t="str">
        <f>IFERROR(__xludf.DUMMYFUNCTION("""COMPUTED_VALUE"""),"natedc@canva.com")</f>
        <v>natedc@canva.com</v>
      </c>
      <c r="R1880" s="1" t="str">
        <f>IFERROR(__xludf.DUMMYFUNCTION("""COMPUTED_VALUE"""),"Nate De la Cruz")</f>
        <v>Nate De la Cruz</v>
      </c>
      <c r="S1880" s="1"/>
      <c r="T1880" s="1"/>
      <c r="U1880" s="3">
        <f>IFERROR(__xludf.DUMMYFUNCTION("""COMPUTED_VALUE"""),0.0)</f>
        <v>0</v>
      </c>
      <c r="V1880" s="1" t="str">
        <f>IFERROR(__xludf.DUMMYFUNCTION("""COMPUTED_VALUE"""),"Gem Agoncillo")</f>
        <v>Gem Agoncillo</v>
      </c>
      <c r="W1880" s="1" t="str">
        <f>IFERROR(__xludf.DUMMYFUNCTION("""COMPUTED_VALUE"""),"Print Design Support")</f>
        <v>Print Design Support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IFERROR(__xludf.DUMMYFUNCTION("""COMPUTED_VALUE"""),"Vinz Lazaro")</f>
        <v>Vinz Lazaro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IFERROR(__xludf.DUMMYFUNCTION("""COMPUTED_VALUE"""),"2025 Dec")</f>
        <v>2025 Dec</v>
      </c>
      <c r="P1881" s="1" t="str">
        <f>IFERROR(__xludf.DUMMYFUNCTION("""COMPUTED_VALUE"""),"Admin Support")</f>
        <v>Admin Support</v>
      </c>
      <c r="Q1881" s="1" t="str">
        <f>IFERROR(__xludf.DUMMYFUNCTION("""COMPUTED_VALUE"""),"nsahagun@canva.com")</f>
        <v>nsahagun@canva.com</v>
      </c>
      <c r="R1881" s="1" t="str">
        <f>IFERROR(__xludf.DUMMYFUNCTION("""COMPUTED_VALUE"""),"Nathalie Sahagun")</f>
        <v>Nathalie Sahagun</v>
      </c>
      <c r="S1881" s="1">
        <f>IFERROR(__xludf.DUMMYFUNCTION("""COMPUTED_VALUE"""),2.5)</f>
        <v>2.5</v>
      </c>
      <c r="T1881" s="1"/>
      <c r="U1881" s="3">
        <f>IFERROR(__xludf.DUMMYFUNCTION("""COMPUTED_VALUE"""),2.5)</f>
        <v>2.5</v>
      </c>
      <c r="V1881" s="1" t="str">
        <f>IFERROR(__xludf.DUMMYFUNCTION("""COMPUTED_VALUE"""),"Tash Kelly")</f>
        <v>Tash Kelly</v>
      </c>
      <c r="W1881" s="1" t="str">
        <f>IFERROR(__xludf.DUMMYFUNCTION("""COMPUTED_VALUE"""),"Admin Support NA")</f>
        <v>Admin Support NA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IFERROR(__xludf.DUMMYFUNCTION("""COMPUTED_VALUE"""),"2025 Dec")</f>
        <v>2025 Dec</v>
      </c>
      <c r="P1882" s="1" t="str">
        <f>IFERROR(__xludf.DUMMYFUNCTION("""COMPUTED_VALUE"""),"High Sensitivity Support")</f>
        <v>High Sensitivity Support</v>
      </c>
      <c r="Q1882" s="1" t="str">
        <f>IFERROR(__xludf.DUMMYFUNCTION("""COMPUTED_VALUE"""),"naquiatan@canva.com")</f>
        <v>naquiatan@canva.com</v>
      </c>
      <c r="R1882" s="1" t="str">
        <f>IFERROR(__xludf.DUMMYFUNCTION("""COMPUTED_VALUE"""),"Nathaniel Aquiatan")</f>
        <v>Nathaniel Aquiatan</v>
      </c>
      <c r="S1882" s="1">
        <f>IFERROR(__xludf.DUMMYFUNCTION("""COMPUTED_VALUE"""),16.0)</f>
        <v>16</v>
      </c>
      <c r="T1882" s="1"/>
      <c r="U1882" s="3">
        <f>IFERROR(__xludf.DUMMYFUNCTION("""COMPUTED_VALUE"""),16.0)</f>
        <v>16</v>
      </c>
      <c r="V1882" s="1" t="str">
        <f>IFERROR(__xludf.DUMMYFUNCTION("""COMPUTED_VALUE"""),"Rex Villamor")</f>
        <v>Rex Villamor</v>
      </c>
      <c r="W1882" s="1" t="str">
        <f>IFERROR(__xludf.DUMMYFUNCTION("""COMPUTED_VALUE"""),"High Sensitivity Support PH")</f>
        <v>High Sensitivity Support PH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IFERROR(__xludf.DUMMYFUNCTION("""COMPUTED_VALUE"""),"2025 Dec")</f>
        <v>2025 Dec</v>
      </c>
      <c r="P1883" s="1" t="str">
        <f>IFERROR(__xludf.DUMMYFUNCTION("""COMPUTED_VALUE"""),"Core Product Support")</f>
        <v>Core Product Support</v>
      </c>
      <c r="Q1883" s="1" t="str">
        <f>IFERROR(__xludf.DUMMYFUNCTION("""COMPUTED_VALUE"""),"neeki@canva.com")</f>
        <v>neeki@canva.com</v>
      </c>
      <c r="R1883" s="1" t="str">
        <f>IFERROR(__xludf.DUMMYFUNCTION("""COMPUTED_VALUE"""),"Neeki Asido")</f>
        <v>Neeki Asido</v>
      </c>
      <c r="S1883" s="1">
        <f>IFERROR(__xludf.DUMMYFUNCTION("""COMPUTED_VALUE"""),0.5)</f>
        <v>0.5</v>
      </c>
      <c r="T1883" s="1">
        <f>IFERROR(__xludf.DUMMYFUNCTION("""COMPUTED_VALUE"""),10.0)</f>
        <v>10</v>
      </c>
      <c r="U1883" s="3">
        <f>IFERROR(__xludf.DUMMYFUNCTION("""COMPUTED_VALUE"""),10.5)</f>
        <v>10.5</v>
      </c>
      <c r="V1883" s="1" t="str">
        <f>IFERROR(__xludf.DUMMYFUNCTION("""COMPUTED_VALUE"""),"Bem Launte")</f>
        <v>Bem Launte</v>
      </c>
      <c r="W1883" s="1" t="str">
        <f>IFERROR(__xludf.DUMMYFUNCTION("""COMPUTED_VALUE"""),"Core Product Support Escalation Team")</f>
        <v>Core Product Support Escalation Team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IFERROR(__xludf.DUMMYFUNCTION("""COMPUTED_VALUE"""),"2025 Dec")</f>
        <v>2025 Dec</v>
      </c>
      <c r="P1884" s="1" t="str">
        <f>IFERROR(__xludf.DUMMYFUNCTION("""COMPUTED_VALUE"""),"Core Product Support")</f>
        <v>Core Product Support</v>
      </c>
      <c r="Q1884" s="1" t="str">
        <f>IFERROR(__xludf.DUMMYFUNCTION("""COMPUTED_VALUE"""),"nicholeb@canva.com")</f>
        <v>nicholeb@canva.com</v>
      </c>
      <c r="R1884" s="1" t="str">
        <f>IFERROR(__xludf.DUMMYFUNCTION("""COMPUTED_VALUE"""),"Nichole Braceliño")</f>
        <v>Nichole Braceliño</v>
      </c>
      <c r="S1884" s="1">
        <f>IFERROR(__xludf.DUMMYFUNCTION("""COMPUTED_VALUE"""),1.5)</f>
        <v>1.5</v>
      </c>
      <c r="T1884" s="1">
        <f>IFERROR(__xludf.DUMMYFUNCTION("""COMPUTED_VALUE"""),4.0)</f>
        <v>4</v>
      </c>
      <c r="U1884" s="3">
        <f>IFERROR(__xludf.DUMMYFUNCTION("""COMPUTED_VALUE"""),5.5)</f>
        <v>5.5</v>
      </c>
      <c r="V1884" s="1" t="str">
        <f>IFERROR(__xludf.DUMMYFUNCTION("""COMPUTED_VALUE"""),"Renette Bok")</f>
        <v>Renette Bok</v>
      </c>
      <c r="W1884" s="1" t="str">
        <f>IFERROR(__xludf.DUMMYFUNCTION("""COMPUTED_VALUE"""),"Advanced Billing &amp; Subscriptions")</f>
        <v>Advanced Billing &amp; Subscriptions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IFERROR(__xludf.DUMMYFUNCTION("""COMPUTED_VALUE"""),"2025 Dec")</f>
        <v>2025 Dec</v>
      </c>
      <c r="P1885" s="1" t="str">
        <f>IFERROR(__xludf.DUMMYFUNCTION("""COMPUTED_VALUE"""),"High Sensitivity Support")</f>
        <v>High Sensitivity Support</v>
      </c>
      <c r="Q1885" s="1" t="str">
        <f>IFERROR(__xludf.DUMMYFUNCTION("""COMPUTED_VALUE"""),"ncruz@canva.com")</f>
        <v>ncruz@canva.com</v>
      </c>
      <c r="R1885" s="1" t="str">
        <f>IFERROR(__xludf.DUMMYFUNCTION("""COMPUTED_VALUE"""),"Nikki Cruz")</f>
        <v>Nikki Cruz</v>
      </c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IFERROR(__xludf.DUMMYFUNCTION("""COMPUTED_VALUE"""),"Issi Afable")</f>
        <v>Issi Afable</v>
      </c>
      <c r="W1885" s="1" t="str">
        <f>IFERROR(__xludf.DUMMYFUNCTION("""COMPUTED_VALUE"""),"High Sensitivity Support PH")</f>
        <v>High Sensitivity Support PH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IFERROR(__xludf.DUMMYFUNCTION("""COMPUTED_VALUE"""),"2025 Dec")</f>
        <v>2025 Dec</v>
      </c>
      <c r="P1886" s="1" t="str">
        <f>IFERROR(__xludf.DUMMYFUNCTION("""COMPUTED_VALUE"""),"Print Support")</f>
        <v>Print Support</v>
      </c>
      <c r="Q1886" s="1" t="str">
        <f>IFERROR(__xludf.DUMMYFUNCTION("""COMPUTED_VALUE"""),"nonoimboy@canva.com")</f>
        <v>nonoimboy@canva.com</v>
      </c>
      <c r="R1886" s="1" t="str">
        <f>IFERROR(__xludf.DUMMYFUNCTION("""COMPUTED_VALUE"""),"Noel Imboy")</f>
        <v>Noel Imboy</v>
      </c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IFERROR(__xludf.DUMMYFUNCTION("""COMPUTED_VALUE"""),"Gem Agoncillo")</f>
        <v>Gem Agoncillo</v>
      </c>
      <c r="W1886" s="1" t="str">
        <f>IFERROR(__xludf.DUMMYFUNCTION("""COMPUTED_VALUE"""),"Print Design Support")</f>
        <v>Print Design Support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IFERROR(__xludf.DUMMYFUNCTION("""COMPUTED_VALUE"""),"2025 Dec")</f>
        <v>2025 Dec</v>
      </c>
      <c r="P1887" s="1" t="str">
        <f>IFERROR(__xludf.DUMMYFUNCTION("""COMPUTED_VALUE"""),"Print Support")</f>
        <v>Print Support</v>
      </c>
      <c r="Q1887" s="1" t="str">
        <f>IFERROR(__xludf.DUMMYFUNCTION("""COMPUTED_VALUE"""),"pao@canva.com")</f>
        <v>pao@canva.com</v>
      </c>
      <c r="R1887" s="1" t="str">
        <f>IFERROR(__xludf.DUMMYFUNCTION("""COMPUTED_VALUE"""),"Pao Domanais")</f>
        <v>Pao Domanais</v>
      </c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IFERROR(__xludf.DUMMYFUNCTION("""COMPUTED_VALUE"""),"Louise Dianne Estrella")</f>
        <v>Louise Dianne Estrella</v>
      </c>
      <c r="W1887" s="1" t="str">
        <f>IFERROR(__xludf.DUMMYFUNCTION("""COMPUTED_VALUE"""),"Print Support PH")</f>
        <v>Print Support PH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IFERROR(__xludf.DUMMYFUNCTION("""COMPUTED_VALUE"""),"2025 Dec")</f>
        <v>2025 Dec</v>
      </c>
      <c r="P1888" s="1" t="str">
        <f>IFERROR(__xludf.DUMMYFUNCTION("""COMPUTED_VALUE"""),"Print Support")</f>
        <v>Print Support</v>
      </c>
      <c r="Q1888" s="1" t="str">
        <f>IFERROR(__xludf.DUMMYFUNCTION("""COMPUTED_VALUE"""),"paolonati@canva.com")</f>
        <v>paolonati@canva.com</v>
      </c>
      <c r="R1888" s="1" t="str">
        <f>IFERROR(__xludf.DUMMYFUNCTION("""COMPUTED_VALUE"""),"Paolo Natividad")</f>
        <v>Paolo Natividad</v>
      </c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IFERROR(__xludf.DUMMYFUNCTION("""COMPUTED_VALUE"""),"Rei De Jesus")</f>
        <v>Rei De Jesus</v>
      </c>
      <c r="W1888" s="1" t="str">
        <f>IFERROR(__xludf.DUMMYFUNCTION("""COMPUTED_VALUE"""),"Print Design Support")</f>
        <v>Print Design Support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IFERROR(__xludf.DUMMYFUNCTION("""COMPUTED_VALUE"""),"2025 Dec")</f>
        <v>2025 Dec</v>
      </c>
      <c r="P1889" s="1" t="str">
        <f>IFERROR(__xludf.DUMMYFUNCTION("""COMPUTED_VALUE"""),"Core Product Support")</f>
        <v>Core Product Support</v>
      </c>
      <c r="Q1889" s="1" t="str">
        <f>IFERROR(__xludf.DUMMYFUNCTION("""COMPUTED_VALUE"""),"padelacruz@canva.com")</f>
        <v>padelacruz@canva.com</v>
      </c>
      <c r="R1889" s="1" t="str">
        <f>IFERROR(__xludf.DUMMYFUNCTION("""COMPUTED_VALUE"""),"Patrick Dela Cruz")</f>
        <v>Patrick Dela Cruz</v>
      </c>
      <c r="S1889" s="1">
        <f>IFERROR(__xludf.DUMMYFUNCTION("""COMPUTED_VALUE"""),2.5)</f>
        <v>2.5</v>
      </c>
      <c r="T1889" s="1">
        <f>IFERROR(__xludf.DUMMYFUNCTION("""COMPUTED_VALUE"""),0.17)</f>
        <v>0.17</v>
      </c>
      <c r="U1889" s="3">
        <f>IFERROR(__xludf.DUMMYFUNCTION("""COMPUTED_VALUE"""),2.67)</f>
        <v>2.67</v>
      </c>
      <c r="V1889" s="1" t="str">
        <f>IFERROR(__xludf.DUMMYFUNCTION("""COMPUTED_VALUE"""),"Cate Velasco")</f>
        <v>Cate Velasco</v>
      </c>
      <c r="W1889" s="1" t="str">
        <f>IFERROR(__xludf.DUMMYFUNCTION("""COMPUTED_VALUE"""),"Advanced Product Support")</f>
        <v>Advanced Product Support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IFERROR(__xludf.DUMMYFUNCTION("""COMPUTED_VALUE"""),"2025 Dec")</f>
        <v>2025 Dec</v>
      </c>
      <c r="P1890" s="1" t="str">
        <f>IFERROR(__xludf.DUMMYFUNCTION("""COMPUTED_VALUE"""),"Core Product Support")</f>
        <v>Core Product Support</v>
      </c>
      <c r="Q1890" s="1" t="str">
        <f>IFERROR(__xludf.DUMMYFUNCTION("""COMPUTED_VALUE"""),"patrickm@canva.com")</f>
        <v>patrickm@canva.com</v>
      </c>
      <c r="R1890" s="1" t="str">
        <f>IFERROR(__xludf.DUMMYFUNCTION("""COMPUTED_VALUE"""),"Patrick Mariano")</f>
        <v>Patrick Mariano</v>
      </c>
      <c r="S1890" s="1">
        <f>IFERROR(__xludf.DUMMYFUNCTION("""COMPUTED_VALUE"""),1.5)</f>
        <v>1.5</v>
      </c>
      <c r="T1890" s="1">
        <f>IFERROR(__xludf.DUMMYFUNCTION("""COMPUTED_VALUE"""),4.0)</f>
        <v>4</v>
      </c>
      <c r="U1890" s="3">
        <f>IFERROR(__xludf.DUMMYFUNCTION("""COMPUTED_VALUE"""),5.5)</f>
        <v>5.5</v>
      </c>
      <c r="V1890" s="1" t="str">
        <f>IFERROR(__xludf.DUMMYFUNCTION("""COMPUTED_VALUE"""),"Renette Bok")</f>
        <v>Renette Bok</v>
      </c>
      <c r="W1890" s="1" t="str">
        <f>IFERROR(__xludf.DUMMYFUNCTION("""COMPUTED_VALUE"""),"Advanced Billing &amp; Subscriptions")</f>
        <v>Advanced Billing &amp; Subscriptions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IFERROR(__xludf.DUMMYFUNCTION("""COMPUTED_VALUE"""),"2025 Dec")</f>
        <v>2025 Dec</v>
      </c>
      <c r="P1891" s="1" t="str">
        <f>IFERROR(__xludf.DUMMYFUNCTION("""COMPUTED_VALUE"""),"Core Product Support")</f>
        <v>Core Product Support</v>
      </c>
      <c r="Q1891" s="1" t="str">
        <f>IFERROR(__xludf.DUMMYFUNCTION("""COMPUTED_VALUE"""),"pathugo@canva.com")</f>
        <v>pathugo@canva.com</v>
      </c>
      <c r="R1891" s="1" t="str">
        <f>IFERROR(__xludf.DUMMYFUNCTION("""COMPUTED_VALUE"""),"Patriz Hugo")</f>
        <v>Patriz Hugo</v>
      </c>
      <c r="S1891" s="1">
        <f>IFERROR(__xludf.DUMMYFUNCTION("""COMPUTED_VALUE"""),1.0)</f>
        <v>1</v>
      </c>
      <c r="T1891" s="1">
        <f>IFERROR(__xludf.DUMMYFUNCTION("""COMPUTED_VALUE"""),10.0)</f>
        <v>10</v>
      </c>
      <c r="U1891" s="3">
        <f>IFERROR(__xludf.DUMMYFUNCTION("""COMPUTED_VALUE"""),11.0)</f>
        <v>11</v>
      </c>
      <c r="V1891" s="1" t="str">
        <f>IFERROR(__xludf.DUMMYFUNCTION("""COMPUTED_VALUE"""),"Sieg Ballelos")</f>
        <v>Sieg Ballelos</v>
      </c>
      <c r="W1891" s="1" t="str">
        <f>IFERROR(__xludf.DUMMYFUNCTION("""COMPUTED_VALUE"""),"Core Product Support Escalation Team")</f>
        <v>Core Product Support Escalation Team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IFERROR(__xludf.DUMMYFUNCTION("""COMPUTED_VALUE"""),"2025 Dec")</f>
        <v>2025 Dec</v>
      </c>
      <c r="P1892" s="1" t="str">
        <f>IFERROR(__xludf.DUMMYFUNCTION("""COMPUTED_VALUE"""),"High Sensitivity Support")</f>
        <v>High Sensitivity Support</v>
      </c>
      <c r="Q1892" s="1" t="str">
        <f>IFERROR(__xludf.DUMMYFUNCTION("""COMPUTED_VALUE"""),"paulwilbert@canva.com")</f>
        <v>paulwilbert@canva.com</v>
      </c>
      <c r="R1892" s="1" t="str">
        <f>IFERROR(__xludf.DUMMYFUNCTION("""COMPUTED_VALUE"""),"Paul Domingo")</f>
        <v>Paul Domingo</v>
      </c>
      <c r="S1892" s="1">
        <f>IFERROR(__xludf.DUMMYFUNCTION("""COMPUTED_VALUE"""),4.0)</f>
        <v>4</v>
      </c>
      <c r="T1892" s="1"/>
      <c r="U1892" s="3">
        <f>IFERROR(__xludf.DUMMYFUNCTION("""COMPUTED_VALUE"""),4.0)</f>
        <v>4</v>
      </c>
      <c r="V1892" s="1" t="str">
        <f>IFERROR(__xludf.DUMMYFUNCTION("""COMPUTED_VALUE"""),"Xandy Azarcon")</f>
        <v>Xandy Azarcon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IFERROR(__xludf.DUMMYFUNCTION("""COMPUTED_VALUE"""),"2025 Dec")</f>
        <v>2025 Dec</v>
      </c>
      <c r="P1893" s="1" t="str">
        <f>IFERROR(__xludf.DUMMYFUNCTION("""COMPUTED_VALUE"""),"Core Product Support")</f>
        <v>Core Product Support</v>
      </c>
      <c r="Q1893" s="1" t="str">
        <f>IFERROR(__xludf.DUMMYFUNCTION("""COMPUTED_VALUE"""),"paulv@canva.com")</f>
        <v>paulv@canva.com</v>
      </c>
      <c r="R1893" s="1" t="str">
        <f>IFERROR(__xludf.DUMMYFUNCTION("""COMPUTED_VALUE"""),"Paul Verdad")</f>
        <v>Paul Verdad</v>
      </c>
      <c r="S1893" s="1">
        <f>IFERROR(__xludf.DUMMYFUNCTION("""COMPUTED_VALUE"""),2.5)</f>
        <v>2.5</v>
      </c>
      <c r="T1893" s="1">
        <f>IFERROR(__xludf.DUMMYFUNCTION("""COMPUTED_VALUE"""),1.0)</f>
        <v>1</v>
      </c>
      <c r="U1893" s="3">
        <f>IFERROR(__xludf.DUMMYFUNCTION("""COMPUTED_VALUE"""),3.5)</f>
        <v>3.5</v>
      </c>
      <c r="V1893" s="1" t="str">
        <f>IFERROR(__xludf.DUMMYFUNCTION("""COMPUTED_VALUE"""),"Vinz Lazaro")</f>
        <v>Vinz Lazaro</v>
      </c>
      <c r="W1893" s="1" t="str">
        <f>IFERROR(__xludf.DUMMYFUNCTION("""COMPUTED_VALUE"""),"Advanced Product Support")</f>
        <v>Advanced Product Support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IFERROR(__xludf.DUMMYFUNCTION("""COMPUTED_VALUE"""),"2025 Dec")</f>
        <v>2025 Dec</v>
      </c>
      <c r="P1894" s="1" t="str">
        <f>IFERROR(__xludf.DUMMYFUNCTION("""COMPUTED_VALUE"""),"Core Product Support")</f>
        <v>Core Product Support</v>
      </c>
      <c r="Q1894" s="1" t="str">
        <f>IFERROR(__xludf.DUMMYFUNCTION("""COMPUTED_VALUE"""),"paul.y@canva.com")</f>
        <v>paul.y@canva.com</v>
      </c>
      <c r="R1894" s="1" t="str">
        <f>IFERROR(__xludf.DUMMYFUNCTION("""COMPUTED_VALUE"""),"Paul Yang")</f>
        <v>Paul Yang</v>
      </c>
      <c r="S1894" s="1">
        <f>IFERROR(__xludf.DUMMYFUNCTION("""COMPUTED_VALUE"""),1.0)</f>
        <v>1</v>
      </c>
      <c r="T1894" s="1">
        <f>IFERROR(__xludf.DUMMYFUNCTION("""COMPUTED_VALUE"""),12.5)</f>
        <v>12.5</v>
      </c>
      <c r="U1894" s="3">
        <f>IFERROR(__xludf.DUMMYFUNCTION("""COMPUTED_VALUE"""),13.5)</f>
        <v>13.5</v>
      </c>
      <c r="V1894" s="1" t="str">
        <f>IFERROR(__xludf.DUMMYFUNCTION("""COMPUTED_VALUE"""),"Ellaine Estayo")</f>
        <v>Ellaine Estayo</v>
      </c>
      <c r="W1894" s="1" t="str">
        <f>IFERROR(__xludf.DUMMYFUNCTION("""COMPUTED_VALUE"""),"Core Product Support Escalation Team")</f>
        <v>Core Product Support Escalation Team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IFERROR(__xludf.DUMMYFUNCTION("""COMPUTED_VALUE"""),"2025 Dec")</f>
        <v>2025 Dec</v>
      </c>
      <c r="P1895" s="1" t="str">
        <f>IFERROR(__xludf.DUMMYFUNCTION("""COMPUTED_VALUE"""),"High Sensitivity Support")</f>
        <v>High Sensitivity Support</v>
      </c>
      <c r="Q1895" s="1" t="str">
        <f>IFERROR(__xludf.DUMMYFUNCTION("""COMPUTED_VALUE"""),"phillipronquillo@canva.com")</f>
        <v>phillipronquillo@canva.com</v>
      </c>
      <c r="R1895" s="1" t="str">
        <f>IFERROR(__xludf.DUMMYFUNCTION("""COMPUTED_VALUE"""),"Phil Ronquillo")</f>
        <v>Phil Ronquillo</v>
      </c>
      <c r="S1895" s="1">
        <f>IFERROR(__xludf.DUMMYFUNCTION("""COMPUTED_VALUE"""),13.0)</f>
        <v>13</v>
      </c>
      <c r="T1895" s="1"/>
      <c r="U1895" s="3">
        <f>IFERROR(__xludf.DUMMYFUNCTION("""COMPUTED_VALUE"""),13.0)</f>
        <v>13</v>
      </c>
      <c r="V1895" s="1" t="str">
        <f>IFERROR(__xludf.DUMMYFUNCTION("""COMPUTED_VALUE"""),"Rossheen Pura")</f>
        <v>Rossheen Pura</v>
      </c>
      <c r="W1895" s="1" t="str">
        <f>IFERROR(__xludf.DUMMYFUNCTION("""COMPUTED_VALUE"""),"High Sensitivity Support PH")</f>
        <v>High Sensitivity Support PH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IFERROR(__xludf.DUMMYFUNCTION("""COMPUTED_VALUE"""),"2025 Dec")</f>
        <v>2025 Dec</v>
      </c>
      <c r="P1896" s="1" t="str">
        <f>IFERROR(__xludf.DUMMYFUNCTION("""COMPUTED_VALUE"""),"Core Product Support")</f>
        <v>Core Product Support</v>
      </c>
      <c r="Q1896" s="1" t="str">
        <f>IFERROR(__xludf.DUMMYFUNCTION("""COMPUTED_VALUE"""),"pnicolepescador@canva.com")</f>
        <v>pnicolepescador@canva.com</v>
      </c>
      <c r="R1896" s="1" t="str">
        <f>IFERROR(__xludf.DUMMYFUNCTION("""COMPUTED_VALUE"""),"Precious Pescador")</f>
        <v>Precious Pescador</v>
      </c>
      <c r="S1896" s="1">
        <f>IFERROR(__xludf.DUMMYFUNCTION("""COMPUTED_VALUE"""),2.0)</f>
        <v>2</v>
      </c>
      <c r="T1896" s="1">
        <f>IFERROR(__xludf.DUMMYFUNCTION("""COMPUTED_VALUE"""),0.48)</f>
        <v>0.48</v>
      </c>
      <c r="U1896" s="3">
        <f>IFERROR(__xludf.DUMMYFUNCTION("""COMPUTED_VALUE"""),2.48)</f>
        <v>2.48</v>
      </c>
      <c r="V1896" s="1" t="str">
        <f>IFERROR(__xludf.DUMMYFUNCTION("""COMPUTED_VALUE"""),"Ayza Marie Pascual")</f>
        <v>Ayza Marie Pascual</v>
      </c>
      <c r="W1896" s="1" t="str">
        <f>IFERROR(__xludf.DUMMYFUNCTION("""COMPUTED_VALUE"""),"Advanced Billing &amp; Subscriptions")</f>
        <v>Advanced Billing &amp; Subscriptions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IFERROR(__xludf.DUMMYFUNCTION("""COMPUTED_VALUE"""),"2025 Dec")</f>
        <v>2025 Dec</v>
      </c>
      <c r="P1897" s="1" t="str">
        <f>IFERROR(__xludf.DUMMYFUNCTION("""COMPUTED_VALUE"""),"Core Product Support")</f>
        <v>Core Product Support</v>
      </c>
      <c r="Q1897" s="1" t="str">
        <f>IFERROR(__xludf.DUMMYFUNCTION("""COMPUTED_VALUE"""),"rachellynanne@canva.com")</f>
        <v>rachellynanne@canva.com</v>
      </c>
      <c r="R1897" s="1" t="str">
        <f>IFERROR(__xludf.DUMMYFUNCTION("""COMPUTED_VALUE"""),"Rachellyn Medina")</f>
        <v>Rachellyn Medina</v>
      </c>
      <c r="S1897" s="1">
        <f>IFERROR(__xludf.DUMMYFUNCTION("""COMPUTED_VALUE"""),2.5)</f>
        <v>2.5</v>
      </c>
      <c r="T1897" s="1"/>
      <c r="U1897" s="3">
        <f>IFERROR(__xludf.DUMMYFUNCTION("""COMPUTED_VALUE"""),2.5)</f>
        <v>2.5</v>
      </c>
      <c r="V1897" s="1" t="str">
        <f>IFERROR(__xludf.DUMMYFUNCTION("""COMPUTED_VALUE"""),"Jem Mondoñedo")</f>
        <v>Jem Mondoñedo</v>
      </c>
      <c r="W1897" s="1" t="str">
        <f>IFERROR(__xludf.DUMMYFUNCTION("""COMPUTED_VALUE"""),"Advanced Chat Support")</f>
        <v>Advanced Chat Support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IFERROR(__xludf.DUMMYFUNCTION("""COMPUTED_VALUE"""),"2025 Dec")</f>
        <v>2025 Dec</v>
      </c>
      <c r="P1898" s="1" t="str">
        <f>IFERROR(__xludf.DUMMYFUNCTION("""COMPUTED_VALUE"""),"Core Product Support")</f>
        <v>Core Product Support</v>
      </c>
      <c r="Q1898" s="1" t="str">
        <f>IFERROR(__xludf.DUMMYFUNCTION("""COMPUTED_VALUE"""),"alfredomillares@canva.com")</f>
        <v>alfredomillares@canva.com</v>
      </c>
      <c r="R1898" s="1" t="str">
        <f>IFERROR(__xludf.DUMMYFUNCTION("""COMPUTED_VALUE"""),"Rael Millares")</f>
        <v>Rael Millares</v>
      </c>
      <c r="S1898" s="1">
        <f>IFERROR(__xludf.DUMMYFUNCTION("""COMPUTED_VALUE"""),2.0)</f>
        <v>2</v>
      </c>
      <c r="T1898" s="1">
        <f>IFERROR(__xludf.DUMMYFUNCTION("""COMPUTED_VALUE"""),4.0)</f>
        <v>4</v>
      </c>
      <c r="U1898" s="3">
        <f>IFERROR(__xludf.DUMMYFUNCTION("""COMPUTED_VALUE"""),6.0)</f>
        <v>6</v>
      </c>
      <c r="V1898" s="1" t="str">
        <f>IFERROR(__xludf.DUMMYFUNCTION("""COMPUTED_VALUE"""),"Jahmie Mae Barrameda")</f>
        <v>Jahmie Mae Barrameda</v>
      </c>
      <c r="W1898" s="1" t="str">
        <f>IFERROR(__xludf.DUMMYFUNCTION("""COMPUTED_VALUE"""),"Advanced Billing &amp; Subscriptions")</f>
        <v>Advanced Billing &amp; Subscriptions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IFERROR(__xludf.DUMMYFUNCTION("""COMPUTED_VALUE"""),"2025 Dec")</f>
        <v>2025 Dec</v>
      </c>
      <c r="P1899" s="1" t="str">
        <f>IFERROR(__xludf.DUMMYFUNCTION("""COMPUTED_VALUE"""),"Multilingual Support")</f>
        <v>Multilingual Support</v>
      </c>
      <c r="Q1899" s="1" t="str">
        <f>IFERROR(__xludf.DUMMYFUNCTION("""COMPUTED_VALUE"""),"ranufre@canva.com")</f>
        <v>ranufre@canva.com</v>
      </c>
      <c r="R1899" s="1" t="str">
        <f>IFERROR(__xludf.DUMMYFUNCTION("""COMPUTED_VALUE"""),"Rafa Freitas")</f>
        <v>Rafa Freitas</v>
      </c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IFERROR(__xludf.DUMMYFUNCTION("""COMPUTED_VALUE"""),"Arlene Maurillo")</f>
        <v>Arlene Maurillo</v>
      </c>
      <c r="W1899" s="1" t="str">
        <f>IFERROR(__xludf.DUMMYFUNCTION("""COMPUTED_VALUE"""),"PHL, Multilingual Support")</f>
        <v>PHL, Multilingual Support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IFERROR(__xludf.DUMMYFUNCTION("""COMPUTED_VALUE"""),"2025 Dec")</f>
        <v>2025 Dec</v>
      </c>
      <c r="P1900" s="1" t="str">
        <f>IFERROR(__xludf.DUMMYFUNCTION("""COMPUTED_VALUE"""),"Core Product Support")</f>
        <v>Core Product Support</v>
      </c>
      <c r="Q1900" s="1" t="str">
        <f>IFERROR(__xludf.DUMMYFUNCTION("""COMPUTED_VALUE"""),"rafaticzon@canva.com")</f>
        <v>rafaticzon@canva.com</v>
      </c>
      <c r="R1900" s="1" t="str">
        <f>IFERROR(__xludf.DUMMYFUNCTION("""COMPUTED_VALUE"""),"Rafa Ticzon")</f>
        <v>Rafa Ticzon</v>
      </c>
      <c r="S1900" s="1">
        <f>IFERROR(__xludf.DUMMYFUNCTION("""COMPUTED_VALUE"""),2.5)</f>
        <v>2.5</v>
      </c>
      <c r="T1900" s="1"/>
      <c r="U1900" s="3">
        <f>IFERROR(__xludf.DUMMYFUNCTION("""COMPUTED_VALUE"""),2.5)</f>
        <v>2.5</v>
      </c>
      <c r="V1900" s="1" t="str">
        <f>IFERROR(__xludf.DUMMYFUNCTION("""COMPUTED_VALUE"""),"Mikhaela Decangchon")</f>
        <v>Mikhaela Decangchon</v>
      </c>
      <c r="W1900" s="1" t="str">
        <f>IFERROR(__xludf.DUMMYFUNCTION("""COMPUTED_VALUE"""),"Advanced Product Support")</f>
        <v>Advanced Product Support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IFERROR(__xludf.DUMMYFUNCTION("""COMPUTED_VALUE"""),"2025 Dec")</f>
        <v>2025 Dec</v>
      </c>
      <c r="P1901" s="1" t="str">
        <f>IFERROR(__xludf.DUMMYFUNCTION("""COMPUTED_VALUE"""),"Core Product Support")</f>
        <v>Core Product Support</v>
      </c>
      <c r="Q1901" s="1" t="str">
        <f>IFERROR(__xludf.DUMMYFUNCTION("""COMPUTED_VALUE"""),"candace@canva.com")</f>
        <v>candace@canva.com</v>
      </c>
      <c r="R1901" s="1" t="str">
        <f>IFERROR(__xludf.DUMMYFUNCTION("""COMPUTED_VALUE"""),"Rainne Candace Llagas")</f>
        <v>Rainne Candace Llagas</v>
      </c>
      <c r="S1901" s="1">
        <f>IFERROR(__xludf.DUMMYFUNCTION("""COMPUTED_VALUE"""),1.75)</f>
        <v>1.75</v>
      </c>
      <c r="T1901" s="1">
        <f>IFERROR(__xludf.DUMMYFUNCTION("""COMPUTED_VALUE"""),0.25)</f>
        <v>0.25</v>
      </c>
      <c r="U1901" s="3">
        <f>IFERROR(__xludf.DUMMYFUNCTION("""COMPUTED_VALUE"""),2.0)</f>
        <v>2</v>
      </c>
      <c r="V1901" s="1" t="str">
        <f>IFERROR(__xludf.DUMMYFUNCTION("""COMPUTED_VALUE"""),"Belle Bentazal")</f>
        <v>Belle Bentazal</v>
      </c>
      <c r="W1901" s="1" t="str">
        <f>IFERROR(__xludf.DUMMYFUNCTION("""COMPUTED_VALUE"""),"Advanced Product Support")</f>
        <v>Advanced Product Support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IFERROR(__xludf.DUMMYFUNCTION("""COMPUTED_VALUE"""),"Xandy Azarcon")</f>
        <v>Xandy Azarcon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IFERROR(__xludf.DUMMYFUNCTION("""COMPUTED_VALUE"""),"2025 Dec")</f>
        <v>2025 Dec</v>
      </c>
      <c r="P1902" s="1" t="str">
        <f>IFERROR(__xludf.DUMMYFUNCTION("""COMPUTED_VALUE"""),"Core Product Support")</f>
        <v>Core Product Support</v>
      </c>
      <c r="Q1902" s="1" t="str">
        <f>IFERROR(__xludf.DUMMYFUNCTION("""COMPUTED_VALUE"""),"rmercado@canva.com")</f>
        <v>rmercado@canva.com</v>
      </c>
      <c r="R1902" s="1" t="str">
        <f>IFERROR(__xludf.DUMMYFUNCTION("""COMPUTED_VALUE"""),"Ram Mercado")</f>
        <v>Ram Mercado</v>
      </c>
      <c r="S1902" s="1">
        <f>IFERROR(__xludf.DUMMYFUNCTION("""COMPUTED_VALUE"""),1.0)</f>
        <v>1</v>
      </c>
      <c r="T1902" s="1">
        <f>IFERROR(__xludf.DUMMYFUNCTION("""COMPUTED_VALUE"""),11.0)</f>
        <v>11</v>
      </c>
      <c r="U1902" s="3">
        <f>IFERROR(__xludf.DUMMYFUNCTION("""COMPUTED_VALUE"""),12.0)</f>
        <v>12</v>
      </c>
      <c r="V1902" s="1" t="str">
        <f>IFERROR(__xludf.DUMMYFUNCTION("""COMPUTED_VALUE"""),"Bem Launte")</f>
        <v>Bem Launte</v>
      </c>
      <c r="W1902" s="1" t="str">
        <f>IFERROR(__xludf.DUMMYFUNCTION("""COMPUTED_VALUE"""),"Core Product Support Escalation Team")</f>
        <v>Core Product Support Escalation Team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IFERROR(__xludf.DUMMYFUNCTION("""COMPUTED_VALUE"""),"Vinz Lazaro")</f>
        <v>Vinz Lazaro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IFERROR(__xludf.DUMMYFUNCTION("""COMPUTED_VALUE"""),"2025 Dec")</f>
        <v>2025 Dec</v>
      </c>
      <c r="P1903" s="1" t="str">
        <f>IFERROR(__xludf.DUMMYFUNCTION("""COMPUTED_VALUE"""),"Core Product Support")</f>
        <v>Core Product Support</v>
      </c>
      <c r="Q1903" s="1" t="str">
        <f>IFERROR(__xludf.DUMMYFUNCTION("""COMPUTED_VALUE"""),"razelleroe@canva.com")</f>
        <v>razelleroe@canva.com</v>
      </c>
      <c r="R1903" s="1" t="str">
        <f>IFERROR(__xludf.DUMMYFUNCTION("""COMPUTED_VALUE"""),"Razelle Roe Garaza")</f>
        <v>Razelle Roe Garaza</v>
      </c>
      <c r="S1903" s="1">
        <f>IFERROR(__xludf.DUMMYFUNCTION("""COMPUTED_VALUE"""),1.75)</f>
        <v>1.75</v>
      </c>
      <c r="T1903" s="1">
        <f>IFERROR(__xludf.DUMMYFUNCTION("""COMPUTED_VALUE"""),0.75)</f>
        <v>0.75</v>
      </c>
      <c r="U1903" s="3">
        <f>IFERROR(__xludf.DUMMYFUNCTION("""COMPUTED_VALUE"""),2.5)</f>
        <v>2.5</v>
      </c>
      <c r="V1903" s="1" t="str">
        <f>IFERROR(__xludf.DUMMYFUNCTION("""COMPUTED_VALUE"""),"Ana Lazaro")</f>
        <v>Ana Lazaro</v>
      </c>
      <c r="W1903" s="1" t="str">
        <f>IFERROR(__xludf.DUMMYFUNCTION("""COMPUTED_VALUE"""),"Advanced Billing &amp; Subscriptions")</f>
        <v>Advanced Billing &amp; Subscriptions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IFERROR(__xludf.DUMMYFUNCTION("""COMPUTED_VALUE"""),"2025 Dec")</f>
        <v>2025 Dec</v>
      </c>
      <c r="P1904" s="1" t="str">
        <f>IFERROR(__xludf.DUMMYFUNCTION("""COMPUTED_VALUE"""),"Admin Support")</f>
        <v>Admin Support</v>
      </c>
      <c r="Q1904" s="1" t="str">
        <f>IFERROR(__xludf.DUMMYFUNCTION("""COMPUTED_VALUE"""),"rdolores@canva.com")</f>
        <v>rdolores@canva.com</v>
      </c>
      <c r="R1904" s="1" t="str">
        <f>IFERROR(__xludf.DUMMYFUNCTION("""COMPUTED_VALUE"""),"Rea Alexis Dolores")</f>
        <v>Rea Alexis Dolores</v>
      </c>
      <c r="S1904" s="1"/>
      <c r="T1904" s="1">
        <f>IFERROR(__xludf.DUMMYFUNCTION("""COMPUTED_VALUE"""),10.42)</f>
        <v>10.42</v>
      </c>
      <c r="U1904" s="3">
        <f>IFERROR(__xludf.DUMMYFUNCTION("""COMPUTED_VALUE"""),10.42)</f>
        <v>10.42</v>
      </c>
      <c r="V1904" s="1" t="str">
        <f>IFERROR(__xludf.DUMMYFUNCTION("""COMPUTED_VALUE"""),"Karla Mananghaya")</f>
        <v>Karla Mananghaya</v>
      </c>
      <c r="W1904" s="1" t="str">
        <f>IFERROR(__xludf.DUMMYFUNCTION("""COMPUTED_VALUE"""),"Admin Support PH SSO")</f>
        <v>Admin Support PH SSO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IFERROR(__xludf.DUMMYFUNCTION("""COMPUTED_VALUE"""),"2025 Dec")</f>
        <v>2025 Dec</v>
      </c>
      <c r="P1905" s="1" t="str">
        <f>IFERROR(__xludf.DUMMYFUNCTION("""COMPUTED_VALUE"""),"Admin Support")</f>
        <v>Admin Support</v>
      </c>
      <c r="Q1905" s="1" t="str">
        <f>IFERROR(__xludf.DUMMYFUNCTION("""COMPUTED_VALUE"""),"red@canva.com")</f>
        <v>red@canva.com</v>
      </c>
      <c r="R1905" s="1" t="str">
        <f>IFERROR(__xludf.DUMMYFUNCTION("""COMPUTED_VALUE"""),"Red Dela Rosa")</f>
        <v>Red Dela Rosa</v>
      </c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IFERROR(__xludf.DUMMYFUNCTION("""COMPUTED_VALUE"""),"Rose Gabilan")</f>
        <v>Rose Gabilan</v>
      </c>
      <c r="W1905" s="1" t="str">
        <f>IFERROR(__xludf.DUMMYFUNCTION("""COMPUTED_VALUE"""),"Admin Support PH SSO")</f>
        <v>Admin Support PH SSO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IFERROR(__xludf.DUMMYFUNCTION("""COMPUTED_VALUE"""),"2025 Dec")</f>
        <v>2025 Dec</v>
      </c>
      <c r="P1906" s="1" t="str">
        <f>IFERROR(__xludf.DUMMYFUNCTION("""COMPUTED_VALUE"""),"Admin Support")</f>
        <v>Admin Support</v>
      </c>
      <c r="Q1906" s="1" t="str">
        <f>IFERROR(__xludf.DUMMYFUNCTION("""COMPUTED_VALUE"""),"regie@canva.com")</f>
        <v>regie@canva.com</v>
      </c>
      <c r="R1906" s="1" t="str">
        <f>IFERROR(__xludf.DUMMYFUNCTION("""COMPUTED_VALUE"""),"Regie Yambot")</f>
        <v>Regie Yambot</v>
      </c>
      <c r="S1906" s="1"/>
      <c r="T1906" s="1">
        <f>IFERROR(__xludf.DUMMYFUNCTION("""COMPUTED_VALUE"""),12.0)</f>
        <v>12</v>
      </c>
      <c r="U1906" s="3">
        <f>IFERROR(__xludf.DUMMYFUNCTION("""COMPUTED_VALUE"""),12.0)</f>
        <v>12</v>
      </c>
      <c r="V1906" s="1" t="str">
        <f>IFERROR(__xludf.DUMMYFUNCTION("""COMPUTED_VALUE"""),"Rose Gabilan")</f>
        <v>Rose Gabilan</v>
      </c>
      <c r="W1906" s="1" t="str">
        <f>IFERROR(__xludf.DUMMYFUNCTION("""COMPUTED_VALUE"""),"Admin Support PH SSO")</f>
        <v>Admin Support PH SSO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IFERROR(__xludf.DUMMYFUNCTION("""COMPUTED_VALUE"""),"2025 Dec")</f>
        <v>2025 Dec</v>
      </c>
      <c r="P1907" s="1" t="str">
        <f>IFERROR(__xludf.DUMMYFUNCTION("""COMPUTED_VALUE"""),"Core Product Support")</f>
        <v>Core Product Support</v>
      </c>
      <c r="Q1907" s="1" t="str">
        <f>IFERROR(__xludf.DUMMYFUNCTION("""COMPUTED_VALUE"""),"rej@canva.com")</f>
        <v>rej@canva.com</v>
      </c>
      <c r="R1907" s="1" t="str">
        <f>IFERROR(__xludf.DUMMYFUNCTION("""COMPUTED_VALUE"""),"Rej Benipayo")</f>
        <v>Rej Benipayo</v>
      </c>
      <c r="S1907" s="1">
        <f>IFERROR(__xludf.DUMMYFUNCTION("""COMPUTED_VALUE"""),1.0)</f>
        <v>1</v>
      </c>
      <c r="T1907" s="1">
        <f>IFERROR(__xludf.DUMMYFUNCTION("""COMPUTED_VALUE"""),2.5)</f>
        <v>2.5</v>
      </c>
      <c r="U1907" s="3">
        <f>IFERROR(__xludf.DUMMYFUNCTION("""COMPUTED_VALUE"""),3.5)</f>
        <v>3.5</v>
      </c>
      <c r="V1907" s="1" t="str">
        <f>IFERROR(__xludf.DUMMYFUNCTION("""COMPUTED_VALUE"""),"Renette Bok")</f>
        <v>Renette Bok</v>
      </c>
      <c r="W1907" s="1" t="str">
        <f>IFERROR(__xludf.DUMMYFUNCTION("""COMPUTED_VALUE"""),"Advanced Billing &amp; Subscriptions")</f>
        <v>Advanced Billing &amp; Subscriptions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IFERROR(__xludf.DUMMYFUNCTION("""COMPUTED_VALUE"""),"2025 Dec")</f>
        <v>2025 Dec</v>
      </c>
      <c r="P1908" s="1" t="str">
        <f>IFERROR(__xludf.DUMMYFUNCTION("""COMPUTED_VALUE"""),"Core Product Support")</f>
        <v>Core Product Support</v>
      </c>
      <c r="Q1908" s="1" t="str">
        <f>IFERROR(__xludf.DUMMYFUNCTION("""COMPUTED_VALUE"""),"revisuarez@canva.com")</f>
        <v>revisuarez@canva.com</v>
      </c>
      <c r="R1908" s="1" t="str">
        <f>IFERROR(__xludf.DUMMYFUNCTION("""COMPUTED_VALUE"""),"Revi Suarez")</f>
        <v>Revi Suarez</v>
      </c>
      <c r="S1908" s="1">
        <f>IFERROR(__xludf.DUMMYFUNCTION("""COMPUTED_VALUE"""),1.0)</f>
        <v>1</v>
      </c>
      <c r="T1908" s="1">
        <f>IFERROR(__xludf.DUMMYFUNCTION("""COMPUTED_VALUE"""),12.0)</f>
        <v>12</v>
      </c>
      <c r="U1908" s="3">
        <f>IFERROR(__xludf.DUMMYFUNCTION("""COMPUTED_VALUE"""),13.0)</f>
        <v>13</v>
      </c>
      <c r="V1908" s="1" t="str">
        <f>IFERROR(__xludf.DUMMYFUNCTION("""COMPUTED_VALUE"""),"Bem Launte")</f>
        <v>Bem Launte</v>
      </c>
      <c r="W1908" s="1" t="str">
        <f>IFERROR(__xludf.DUMMYFUNCTION("""COMPUTED_VALUE"""),"Core Product Support Escalation Team")</f>
        <v>Core Product Support Escalation Team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IFERROR(__xludf.DUMMYFUNCTION("""COMPUTED_VALUE"""),"2025 Dec")</f>
        <v>2025 Dec</v>
      </c>
      <c r="P1909" s="1" t="str">
        <f>IFERROR(__xludf.DUMMYFUNCTION("""COMPUTED_VALUE"""),"High Sensitivity Support")</f>
        <v>High Sensitivity Support</v>
      </c>
      <c r="Q1909" s="1" t="str">
        <f>IFERROR(__xludf.DUMMYFUNCTION("""COMPUTED_VALUE"""),"reya@canva.com")</f>
        <v>reya@canva.com</v>
      </c>
      <c r="R1909" s="1" t="str">
        <f>IFERROR(__xludf.DUMMYFUNCTION("""COMPUTED_VALUE"""),"Reya Joson")</f>
        <v>Reya Joson</v>
      </c>
      <c r="S1909" s="1"/>
      <c r="T1909" s="1">
        <f>IFERROR(__xludf.DUMMYFUNCTION("""COMPUTED_VALUE"""),2.1)</f>
        <v>2.1</v>
      </c>
      <c r="U1909" s="3">
        <f>IFERROR(__xludf.DUMMYFUNCTION("""COMPUTED_VALUE"""),2.1)</f>
        <v>2.1</v>
      </c>
      <c r="V1909" s="1" t="str">
        <f>IFERROR(__xludf.DUMMYFUNCTION("""COMPUTED_VALUE"""),"Issi Afable")</f>
        <v>Issi Afable</v>
      </c>
      <c r="W1909" s="1" t="str">
        <f>IFERROR(__xludf.DUMMYFUNCTION("""COMPUTED_VALUE"""),"High Sensitivity Support PH")</f>
        <v>High Sensitivity Support PH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IFERROR(__xludf.DUMMYFUNCTION("""COMPUTED_VALUE"""),"2025 Dec")</f>
        <v>2025 Dec</v>
      </c>
      <c r="P1910" s="1" t="str">
        <f>IFERROR(__xludf.DUMMYFUNCTION("""COMPUTED_VALUE"""),"Segment-specific Support")</f>
        <v>Segment-specific Support</v>
      </c>
      <c r="Q1910" s="1" t="str">
        <f>IFERROR(__xludf.DUMMYFUNCTION("""COMPUTED_VALUE"""),"rizzah@canva.com")</f>
        <v>rizzah@canva.com</v>
      </c>
      <c r="R1910" s="1" t="str">
        <f>IFERROR(__xludf.DUMMYFUNCTION("""COMPUTED_VALUE"""),"Rizzah Hope Anjao")</f>
        <v>Rizzah Hope Anjao</v>
      </c>
      <c r="S1910" s="1"/>
      <c r="T1910" s="1"/>
      <c r="U1910" s="3">
        <f>IFERROR(__xludf.DUMMYFUNCTION("""COMPUTED_VALUE"""),0.0)</f>
        <v>0</v>
      </c>
      <c r="V1910" s="1" t="str">
        <f>IFERROR(__xludf.DUMMYFUNCTION("""COMPUTED_VALUE"""),"Tash Kelly")</f>
        <v>Tash Kelly</v>
      </c>
      <c r="W1910" s="1" t="str">
        <f>IFERROR(__xludf.DUMMYFUNCTION("""COMPUTED_VALUE"""),"Affinity Support")</f>
        <v>Affinity Support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IFERROR(__xludf.DUMMYFUNCTION("""COMPUTED_VALUE"""),"2025 Dec")</f>
        <v>2025 Dec</v>
      </c>
      <c r="P1911" s="1" t="str">
        <f>IFERROR(__xludf.DUMMYFUNCTION("""COMPUTED_VALUE"""),"Print Support")</f>
        <v>Print Support</v>
      </c>
      <c r="Q1911" s="1" t="str">
        <f>IFERROR(__xludf.DUMMYFUNCTION("""COMPUTED_VALUE"""),"robsuico@canva.com")</f>
        <v>robsuico@canva.com</v>
      </c>
      <c r="R1911" s="1" t="str">
        <f>IFERROR(__xludf.DUMMYFUNCTION("""COMPUTED_VALUE"""),"Robin Suico")</f>
        <v>Robin Suico</v>
      </c>
      <c r="S1911" s="1"/>
      <c r="T1911" s="1">
        <f>IFERROR(__xludf.DUMMYFUNCTION("""COMPUTED_VALUE"""),1.0)</f>
        <v>1</v>
      </c>
      <c r="U1911" s="3">
        <f>IFERROR(__xludf.DUMMYFUNCTION("""COMPUTED_VALUE"""),1.0)</f>
        <v>1</v>
      </c>
      <c r="V1911" s="1" t="str">
        <f>IFERROR(__xludf.DUMMYFUNCTION("""COMPUTED_VALUE"""),"Aliza Dote")</f>
        <v>Aliza Dote</v>
      </c>
      <c r="W1911" s="1" t="str">
        <f>IFERROR(__xludf.DUMMYFUNCTION("""COMPUTED_VALUE"""),"Print Design Support")</f>
        <v>Print Design Support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IFERROR(__xludf.DUMMYFUNCTION("""COMPUTED_VALUE"""),"2025 Dec")</f>
        <v>2025 Dec</v>
      </c>
      <c r="P1912" s="1" t="str">
        <f>IFERROR(__xludf.DUMMYFUNCTION("""COMPUTED_VALUE"""),"Core Product Support")</f>
        <v>Core Product Support</v>
      </c>
      <c r="Q1912" s="1" t="str">
        <f>IFERROR(__xludf.DUMMYFUNCTION("""COMPUTED_VALUE"""),"ronally@canva.com")</f>
        <v>ronally@canva.com</v>
      </c>
      <c r="R1912" s="1" t="str">
        <f>IFERROR(__xludf.DUMMYFUNCTION("""COMPUTED_VALUE"""),"Ronally Romero")</f>
        <v>Ronally Romero</v>
      </c>
      <c r="S1912" s="1">
        <f>IFERROR(__xludf.DUMMYFUNCTION("""COMPUTED_VALUE"""),2.5)</f>
        <v>2.5</v>
      </c>
      <c r="T1912" s="1"/>
      <c r="U1912" s="3">
        <f>IFERROR(__xludf.DUMMYFUNCTION("""COMPUTED_VALUE"""),2.5)</f>
        <v>2.5</v>
      </c>
      <c r="V1912" s="1" t="str">
        <f>IFERROR(__xludf.DUMMYFUNCTION("""COMPUTED_VALUE"""),"Cate Velasco")</f>
        <v>Cate Velasco</v>
      </c>
      <c r="W1912" s="1" t="str">
        <f>IFERROR(__xludf.DUMMYFUNCTION("""COMPUTED_VALUE"""),"Advanced Product Support")</f>
        <v>Advanced Product Support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IFERROR(__xludf.DUMMYFUNCTION("""COMPUTED_VALUE"""),"2025 Dec")</f>
        <v>2025 Dec</v>
      </c>
      <c r="P1913" s="1" t="str">
        <f>IFERROR(__xludf.DUMMYFUNCTION("""COMPUTED_VALUE"""),"Core Product Support")</f>
        <v>Core Product Support</v>
      </c>
      <c r="Q1913" s="1" t="str">
        <f>IFERROR(__xludf.DUMMYFUNCTION("""COMPUTED_VALUE"""),"rvalderrama@canva.com")</f>
        <v>rvalderrama@canva.com</v>
      </c>
      <c r="R1913" s="1" t="str">
        <f>IFERROR(__xludf.DUMMYFUNCTION("""COMPUTED_VALUE"""),"Rony Valderrama")</f>
        <v>Rony Valderrama</v>
      </c>
      <c r="S1913" s="1">
        <f>IFERROR(__xludf.DUMMYFUNCTION("""COMPUTED_VALUE"""),1.0)</f>
        <v>1</v>
      </c>
      <c r="T1913" s="1">
        <f>IFERROR(__xludf.DUMMYFUNCTION("""COMPUTED_VALUE"""),4.0)</f>
        <v>4</v>
      </c>
      <c r="U1913" s="3">
        <f>IFERROR(__xludf.DUMMYFUNCTION("""COMPUTED_VALUE"""),5.0)</f>
        <v>5</v>
      </c>
      <c r="V1913" s="1" t="str">
        <f>IFERROR(__xludf.DUMMYFUNCTION("""COMPUTED_VALUE"""),"Renette Bok")</f>
        <v>Renette Bok</v>
      </c>
      <c r="W1913" s="1" t="str">
        <f>IFERROR(__xludf.DUMMYFUNCTION("""COMPUTED_VALUE"""),"Advanced Billing &amp; Subscriptions")</f>
        <v>Advanced Billing &amp; Subscriptions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IFERROR(__xludf.DUMMYFUNCTION("""COMPUTED_VALUE"""),"2025 Dec")</f>
        <v>2025 Dec</v>
      </c>
      <c r="P1914" s="1" t="str">
        <f>IFERROR(__xludf.DUMMYFUNCTION("""COMPUTED_VALUE"""),"Core Product Support")</f>
        <v>Core Product Support</v>
      </c>
      <c r="Q1914" s="1" t="str">
        <f>IFERROR(__xludf.DUMMYFUNCTION("""COMPUTED_VALUE"""),"ronyl@canva.com")</f>
        <v>ronyl@canva.com</v>
      </c>
      <c r="R1914" s="1" t="str">
        <f>IFERROR(__xludf.DUMMYFUNCTION("""COMPUTED_VALUE"""),"Ronyl Masilang")</f>
        <v>Ronyl Masilang</v>
      </c>
      <c r="S1914" s="1">
        <f>IFERROR(__xludf.DUMMYFUNCTION("""COMPUTED_VALUE"""),2.5)</f>
        <v>2.5</v>
      </c>
      <c r="T1914" s="1">
        <f>IFERROR(__xludf.DUMMYFUNCTION("""COMPUTED_VALUE"""),0.17)</f>
        <v>0.17</v>
      </c>
      <c r="U1914" s="3">
        <f>IFERROR(__xludf.DUMMYFUNCTION("""COMPUTED_VALUE"""),2.67)</f>
        <v>2.67</v>
      </c>
      <c r="V1914" s="1" t="str">
        <f>IFERROR(__xludf.DUMMYFUNCTION("""COMPUTED_VALUE"""),"Cate Velasco")</f>
        <v>Cate Velasco</v>
      </c>
      <c r="W1914" s="1" t="str">
        <f>IFERROR(__xludf.DUMMYFUNCTION("""COMPUTED_VALUE"""),"Advanced Product Support")</f>
        <v>Advanced Product Support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IFERROR(__xludf.DUMMYFUNCTION("""COMPUTED_VALUE"""),"Karla Mananghaya")</f>
        <v>Karla Mananghaya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IFERROR(__xludf.DUMMYFUNCTION("""COMPUTED_VALUE"""),"2025 Dec")</f>
        <v>2025 Dec</v>
      </c>
      <c r="P1915" s="1" t="str">
        <f>IFERROR(__xludf.DUMMYFUNCTION("""COMPUTED_VALUE"""),"Core Product Support")</f>
        <v>Core Product Support</v>
      </c>
      <c r="Q1915" s="1" t="str">
        <f>IFERROR(__xludf.DUMMYFUNCTION("""COMPUTED_VALUE"""),"rounette@canva.com")</f>
        <v>rounette@canva.com</v>
      </c>
      <c r="R1915" s="1" t="str">
        <f>IFERROR(__xludf.DUMMYFUNCTION("""COMPUTED_VALUE"""),"Rounette Natividad")</f>
        <v>Rounette Natividad</v>
      </c>
      <c r="S1915" s="1">
        <f>IFERROR(__xludf.DUMMYFUNCTION("""COMPUTED_VALUE"""),2.0)</f>
        <v>2</v>
      </c>
      <c r="T1915" s="1"/>
      <c r="U1915" s="3">
        <f>IFERROR(__xludf.DUMMYFUNCTION("""COMPUTED_VALUE"""),2.0)</f>
        <v>2</v>
      </c>
      <c r="V1915" s="1" t="str">
        <f>IFERROR(__xludf.DUMMYFUNCTION("""COMPUTED_VALUE"""),"Mikhaela Decangchon")</f>
        <v>Mikhaela Decangchon</v>
      </c>
      <c r="W1915" s="1" t="str">
        <f>IFERROR(__xludf.DUMMYFUNCTION("""COMPUTED_VALUE"""),"Advanced Product Support")</f>
        <v>Advanced Product Support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IFERROR(__xludf.DUMMYFUNCTION("""COMPUTED_VALUE"""),"2025 Dec")</f>
        <v>2025 Dec</v>
      </c>
      <c r="P1916" s="1" t="str">
        <f>IFERROR(__xludf.DUMMYFUNCTION("""COMPUTED_VALUE"""),"Admin Support")</f>
        <v>Admin Support</v>
      </c>
      <c r="Q1916" s="1" t="str">
        <f>IFERROR(__xludf.DUMMYFUNCTION("""COMPUTED_VALUE"""),"rovie@canva.com")</f>
        <v>rovie@canva.com</v>
      </c>
      <c r="R1916" s="1" t="str">
        <f>IFERROR(__xludf.DUMMYFUNCTION("""COMPUTED_VALUE"""),"Rovie Hawang")</f>
        <v>Rovie Hawang</v>
      </c>
      <c r="S1916" s="1"/>
      <c r="T1916" s="1">
        <f>IFERROR(__xludf.DUMMYFUNCTION("""COMPUTED_VALUE"""),9.25)</f>
        <v>9.25</v>
      </c>
      <c r="U1916" s="3">
        <f>IFERROR(__xludf.DUMMYFUNCTION("""COMPUTED_VALUE"""),9.25)</f>
        <v>9.25</v>
      </c>
      <c r="V1916" s="1" t="str">
        <f>IFERROR(__xludf.DUMMYFUNCTION("""COMPUTED_VALUE"""),"Kelden Laguting")</f>
        <v>Kelden Laguting</v>
      </c>
      <c r="W1916" s="1" t="str">
        <f>IFERROR(__xludf.DUMMYFUNCTION("""COMPUTED_VALUE"""),"Admin Support PH")</f>
        <v>Admin Support PH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IFERROR(__xludf.DUMMYFUNCTION("""COMPUTED_VALUE"""),"2025 Dec")</f>
        <v>2025 Dec</v>
      </c>
      <c r="P1917" s="1" t="str">
        <f>IFERROR(__xludf.DUMMYFUNCTION("""COMPUTED_VALUE"""),"Admin Support")</f>
        <v>Admin Support</v>
      </c>
      <c r="Q1917" s="1" t="str">
        <f>IFERROR(__xludf.DUMMYFUNCTION("""COMPUTED_VALUE"""),"roxanne@canva.com")</f>
        <v>roxanne@canva.com</v>
      </c>
      <c r="R1917" s="1" t="str">
        <f>IFERROR(__xludf.DUMMYFUNCTION("""COMPUTED_VALUE"""),"Roxanne Joy Capunayan")</f>
        <v>Roxanne Joy Capunayan</v>
      </c>
      <c r="S1917" s="1"/>
      <c r="T1917" s="1">
        <f>IFERROR(__xludf.DUMMYFUNCTION("""COMPUTED_VALUE"""),14.75)</f>
        <v>14.75</v>
      </c>
      <c r="U1917" s="3">
        <f>IFERROR(__xludf.DUMMYFUNCTION("""COMPUTED_VALUE"""),14.75)</f>
        <v>14.75</v>
      </c>
      <c r="V1917" s="1" t="str">
        <f>IFERROR(__xludf.DUMMYFUNCTION("""COMPUTED_VALUE"""),"Rose Gabilan")</f>
        <v>Rose Gabilan</v>
      </c>
      <c r="W1917" s="1" t="str">
        <f>IFERROR(__xludf.DUMMYFUNCTION("""COMPUTED_VALUE"""),"Admin Support PH SSO")</f>
        <v>Admin Support PH SSO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IFERROR(__xludf.DUMMYFUNCTION("""COMPUTED_VALUE"""),"2025 Dec")</f>
        <v>2025 Dec</v>
      </c>
      <c r="P1918" s="1" t="str">
        <f>IFERROR(__xludf.DUMMYFUNCTION("""COMPUTED_VALUE"""),"Core Product Support")</f>
        <v>Core Product Support</v>
      </c>
      <c r="Q1918" s="1" t="str">
        <f>IFERROR(__xludf.DUMMYFUNCTION("""COMPUTED_VALUE"""),"rozelp@canva.com")</f>
        <v>rozelp@canva.com</v>
      </c>
      <c r="R1918" s="1" t="str">
        <f>IFERROR(__xludf.DUMMYFUNCTION("""COMPUTED_VALUE"""),"Rozel Punsalan")</f>
        <v>Rozel Punsalan</v>
      </c>
      <c r="S1918" s="1">
        <f>IFERROR(__xludf.DUMMYFUNCTION("""COMPUTED_VALUE"""),2.5)</f>
        <v>2.5</v>
      </c>
      <c r="T1918" s="1"/>
      <c r="U1918" s="3">
        <f>IFERROR(__xludf.DUMMYFUNCTION("""COMPUTED_VALUE"""),2.5)</f>
        <v>2.5</v>
      </c>
      <c r="V1918" s="1" t="str">
        <f>IFERROR(__xludf.DUMMYFUNCTION("""COMPUTED_VALUE"""),"Marie Mordeno")</f>
        <v>Marie Mordeno</v>
      </c>
      <c r="W1918" s="1" t="str">
        <f>IFERROR(__xludf.DUMMYFUNCTION("""COMPUTED_VALUE"""),"Advanced Billing &amp; Subscriptions")</f>
        <v>Advanced Billing &amp; Subscriptions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IFERROR(__xludf.DUMMYFUNCTION("""COMPUTED_VALUE"""),"2025 Dec")</f>
        <v>2025 Dec</v>
      </c>
      <c r="P1919" s="1" t="str">
        <f>IFERROR(__xludf.DUMMYFUNCTION("""COMPUTED_VALUE"""),"Core Product Support")</f>
        <v>Core Product Support</v>
      </c>
      <c r="Q1919" s="1" t="str">
        <f>IFERROR(__xludf.DUMMYFUNCTION("""COMPUTED_VALUE"""),"ruzel@canva.com")</f>
        <v>ruzel@canva.com</v>
      </c>
      <c r="R1919" s="1" t="str">
        <f>IFERROR(__xludf.DUMMYFUNCTION("""COMPUTED_VALUE"""),"Ruzel Raqueno")</f>
        <v>Ruzel Raqueno</v>
      </c>
      <c r="S1919" s="1">
        <f>IFERROR(__xludf.DUMMYFUNCTION("""COMPUTED_VALUE"""),1.0)</f>
        <v>1</v>
      </c>
      <c r="T1919" s="1">
        <f>IFERROR(__xludf.DUMMYFUNCTION("""COMPUTED_VALUE"""),10.5)</f>
        <v>10.5</v>
      </c>
      <c r="U1919" s="3">
        <f>IFERROR(__xludf.DUMMYFUNCTION("""COMPUTED_VALUE"""),11.5)</f>
        <v>11.5</v>
      </c>
      <c r="V1919" s="1" t="str">
        <f>IFERROR(__xludf.DUMMYFUNCTION("""COMPUTED_VALUE"""),"Ellaine Estayo")</f>
        <v>Ellaine Estayo</v>
      </c>
      <c r="W1919" s="1" t="str">
        <f>IFERROR(__xludf.DUMMYFUNCTION("""COMPUTED_VALUE"""),"Core Product Support Escalation Team")</f>
        <v>Core Product Support Escalation Team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IFERROR(__xludf.DUMMYFUNCTION("""COMPUTED_VALUE"""),"2025 Dec")</f>
        <v>2025 Dec</v>
      </c>
      <c r="P1920" s="1" t="str">
        <f>IFERROR(__xludf.DUMMYFUNCTION("""COMPUTED_VALUE"""),"Print Support")</f>
        <v>Print Support</v>
      </c>
      <c r="Q1920" s="1" t="str">
        <f>IFERROR(__xludf.DUMMYFUNCTION("""COMPUTED_VALUE"""),"rdominick@canva.com")</f>
        <v>rdominick@canva.com</v>
      </c>
      <c r="R1920" s="1" t="str">
        <f>IFERROR(__xludf.DUMMYFUNCTION("""COMPUTED_VALUE"""),"Ryan Dominick Razon")</f>
        <v>Ryan Dominick Razon</v>
      </c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IFERROR(__xludf.DUMMYFUNCTION("""COMPUTED_VALUE"""),"Jen Momo")</f>
        <v>Jen Momo</v>
      </c>
      <c r="W1920" s="1" t="str">
        <f>IFERROR(__xludf.DUMMYFUNCTION("""COMPUTED_VALUE"""),"Print Support PH")</f>
        <v>Print Support PH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IFERROR(__xludf.DUMMYFUNCTION("""COMPUTED_VALUE"""),"2025 Dec")</f>
        <v>2025 Dec</v>
      </c>
      <c r="P1921" s="1" t="str">
        <f>IFERROR(__xludf.DUMMYFUNCTION("""COMPUTED_VALUE"""),"Segment-specific Support")</f>
        <v>Segment-specific Support</v>
      </c>
      <c r="Q1921" s="1" t="str">
        <f>IFERROR(__xludf.DUMMYFUNCTION("""COMPUTED_VALUE"""),"sammiee@canva.com")</f>
        <v>sammiee@canva.com</v>
      </c>
      <c r="R1921" s="1" t="str">
        <f>IFERROR(__xludf.DUMMYFUNCTION("""COMPUTED_VALUE"""),"Sam Espelimbergo")</f>
        <v>Sam Espelimbergo</v>
      </c>
      <c r="S1921" s="1"/>
      <c r="T1921" s="1"/>
      <c r="U1921" s="3">
        <f>IFERROR(__xludf.DUMMYFUNCTION("""COMPUTED_VALUE"""),0.0)</f>
        <v>0</v>
      </c>
      <c r="V1921" s="1" t="str">
        <f>IFERROR(__xludf.DUMMYFUNCTION("""COMPUTED_VALUE"""),"Aileen Dayanghirang")</f>
        <v>Aileen Dayanghirang</v>
      </c>
      <c r="W1921" s="1" t="str">
        <f>IFERROR(__xludf.DUMMYFUNCTION("""COMPUTED_VALUE"""),"Creators Support")</f>
        <v>Creators Support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IFERROR(__xludf.DUMMYFUNCTION("""COMPUTED_VALUE"""),"2025 Dec")</f>
        <v>2025 Dec</v>
      </c>
      <c r="P1922" s="1" t="str">
        <f>IFERROR(__xludf.DUMMYFUNCTION("""COMPUTED_VALUE"""),"Admin Support")</f>
        <v>Admin Support</v>
      </c>
      <c r="Q1922" s="1" t="str">
        <f>IFERROR(__xludf.DUMMYFUNCTION("""COMPUTED_VALUE"""),"simber@canva.com")</f>
        <v>simber@canva.com</v>
      </c>
      <c r="R1922" s="1" t="str">
        <f>IFERROR(__xludf.DUMMYFUNCTION("""COMPUTED_VALUE"""),"Sean Imber")</f>
        <v>Sean Imber</v>
      </c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IFERROR(__xludf.DUMMYFUNCTION("""COMPUTED_VALUE"""),"Elise Cesario Mendes")</f>
        <v>Elise Cesario Mendes</v>
      </c>
      <c r="W1922" s="1" t="str">
        <f>IFERROR(__xludf.DUMMYFUNCTION("""COMPUTED_VALUE"""),"Admin Support APJ")</f>
        <v>Admin Support APJ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IFERROR(__xludf.DUMMYFUNCTION("""COMPUTED_VALUE"""),"2025 Dec")</f>
        <v>2025 Dec</v>
      </c>
      <c r="P1923" s="1" t="str">
        <f>IFERROR(__xludf.DUMMYFUNCTION("""COMPUTED_VALUE"""),"High Sensitivity Support")</f>
        <v>High Sensitivity Support</v>
      </c>
      <c r="Q1923" s="1" t="str">
        <f>IFERROR(__xludf.DUMMYFUNCTION("""COMPUTED_VALUE"""),"sbaldonado@canva.com")</f>
        <v>sbaldonado@canva.com</v>
      </c>
      <c r="R1923" s="1" t="str">
        <f>IFERROR(__xludf.DUMMYFUNCTION("""COMPUTED_VALUE"""),"Sheira Nicole Baldonado")</f>
        <v>Sheira Nicole Baldonado</v>
      </c>
      <c r="S1923" s="1">
        <f>IFERROR(__xludf.DUMMYFUNCTION("""COMPUTED_VALUE"""),16.0)</f>
        <v>16</v>
      </c>
      <c r="T1923" s="1"/>
      <c r="U1923" s="3">
        <f>IFERROR(__xludf.DUMMYFUNCTION("""COMPUTED_VALUE"""),16.0)</f>
        <v>16</v>
      </c>
      <c r="V1923" s="1" t="str">
        <f>IFERROR(__xludf.DUMMYFUNCTION("""COMPUTED_VALUE"""),"Rex Villamor")</f>
        <v>Rex Villamor</v>
      </c>
      <c r="W1923" s="1" t="str">
        <f>IFERROR(__xludf.DUMMYFUNCTION("""COMPUTED_VALUE"""),"High Sensitivity Support PH")</f>
        <v>High Sensitivity Support PH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IFERROR(__xludf.DUMMYFUNCTION("""COMPUTED_VALUE"""),"2025 Dec")</f>
        <v>2025 Dec</v>
      </c>
      <c r="P1924" s="1" t="str">
        <f>IFERROR(__xludf.DUMMYFUNCTION("""COMPUTED_VALUE"""),"Core Product Support")</f>
        <v>Core Product Support</v>
      </c>
      <c r="Q1924" s="1" t="str">
        <f>IFERROR(__xludf.DUMMYFUNCTION("""COMPUTED_VALUE"""),"sophiae@canva.com")</f>
        <v>sophiae@canva.com</v>
      </c>
      <c r="R1924" s="1" t="str">
        <f>IFERROR(__xludf.DUMMYFUNCTION("""COMPUTED_VALUE"""),"Sophia Ermac")</f>
        <v>Sophia Ermac</v>
      </c>
      <c r="S1924" s="1">
        <f>IFERROR(__xludf.DUMMYFUNCTION("""COMPUTED_VALUE"""),1.5)</f>
        <v>1.5</v>
      </c>
      <c r="T1924" s="1"/>
      <c r="U1924" s="3">
        <f>IFERROR(__xludf.DUMMYFUNCTION("""COMPUTED_VALUE"""),1.5)</f>
        <v>1.5</v>
      </c>
      <c r="V1924" s="1" t="str">
        <f>IFERROR(__xludf.DUMMYFUNCTION("""COMPUTED_VALUE"""),"Ana Lazaro")</f>
        <v>Ana Lazaro</v>
      </c>
      <c r="W1924" s="1" t="str">
        <f>IFERROR(__xludf.DUMMYFUNCTION("""COMPUTED_VALUE"""),"Advanced Billing &amp; Subscriptions")</f>
        <v>Advanced Billing &amp; Subscriptions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IFERROR(__xludf.DUMMYFUNCTION("""COMPUTED_VALUE"""),"2025 Dec")</f>
        <v>2025 Dec</v>
      </c>
      <c r="P1925" s="1" t="str">
        <f>IFERROR(__xludf.DUMMYFUNCTION("""COMPUTED_VALUE"""),"Admin Support")</f>
        <v>Admin Support</v>
      </c>
      <c r="Q1925" s="1" t="str">
        <f>IFERROR(__xludf.DUMMYFUNCTION("""COMPUTED_VALUE"""),"stephanie.t@canva.com")</f>
        <v>stephanie.t@canva.com</v>
      </c>
      <c r="R1925" s="1" t="str">
        <f>IFERROR(__xludf.DUMMYFUNCTION("""COMPUTED_VALUE"""),"Stephanie Lyn Tan")</f>
        <v>Stephanie Lyn Tan</v>
      </c>
      <c r="S1925" s="1"/>
      <c r="T1925" s="1">
        <f>IFERROR(__xludf.DUMMYFUNCTION("""COMPUTED_VALUE"""),21.5)</f>
        <v>21.5</v>
      </c>
      <c r="U1925" s="3">
        <f>IFERROR(__xludf.DUMMYFUNCTION("""COMPUTED_VALUE"""),21.5)</f>
        <v>21.5</v>
      </c>
      <c r="V1925" s="1" t="str">
        <f>IFERROR(__xludf.DUMMYFUNCTION("""COMPUTED_VALUE"""),"Kelden Laguting")</f>
        <v>Kelden Laguting</v>
      </c>
      <c r="W1925" s="1" t="str">
        <f>IFERROR(__xludf.DUMMYFUNCTION("""COMPUTED_VALUE"""),"Admin Support PH")</f>
        <v>Admin Support PH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IFERROR(__xludf.DUMMYFUNCTION("""COMPUTED_VALUE"""),"2025 Dec")</f>
        <v>2025 Dec</v>
      </c>
      <c r="P1926" s="1" t="str">
        <f>IFERROR(__xludf.DUMMYFUNCTION("""COMPUTED_VALUE"""),"Admin Support")</f>
        <v>Admin Support</v>
      </c>
      <c r="Q1926" s="1" t="str">
        <f>IFERROR(__xludf.DUMMYFUNCTION("""COMPUTED_VALUE"""),"stephen.k@canva.com")</f>
        <v>stephen.k@canva.com</v>
      </c>
      <c r="R1926" s="1" t="str">
        <f>IFERROR(__xludf.DUMMYFUNCTION("""COMPUTED_VALUE"""),"Stephen Kahanap")</f>
        <v>Stephen Kahanap</v>
      </c>
      <c r="S1926" s="1"/>
      <c r="T1926" s="1">
        <f>IFERROR(__xludf.DUMMYFUNCTION("""COMPUTED_VALUE"""),7.5)</f>
        <v>7.5</v>
      </c>
      <c r="U1926" s="3">
        <f>IFERROR(__xludf.DUMMYFUNCTION("""COMPUTED_VALUE"""),7.5)</f>
        <v>7.5</v>
      </c>
      <c r="V1926" s="1" t="str">
        <f>IFERROR(__xludf.DUMMYFUNCTION("""COMPUTED_VALUE"""),"Rose Gabilan")</f>
        <v>Rose Gabilan</v>
      </c>
      <c r="W1926" s="1" t="str">
        <f>IFERROR(__xludf.DUMMYFUNCTION("""COMPUTED_VALUE"""),"Admin Support PH SSO")</f>
        <v>Admin Support PH SSO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IFERROR(__xludf.DUMMYFUNCTION("""COMPUTED_VALUE"""),"2025 Dec")</f>
        <v>2025 Dec</v>
      </c>
      <c r="P1927" s="1" t="str">
        <f>IFERROR(__xludf.DUMMYFUNCTION("""COMPUTED_VALUE"""),"Segment-specific Support")</f>
        <v>Segment-specific Support</v>
      </c>
      <c r="Q1927" s="1" t="str">
        <f>IFERROR(__xludf.DUMMYFUNCTION("""COMPUTED_VALUE"""),"sremo@canva.com")</f>
        <v>sremo@canva.com</v>
      </c>
      <c r="R1927" s="1" t="str">
        <f>IFERROR(__xludf.DUMMYFUNCTION("""COMPUTED_VALUE"""),"Sunshine Remo")</f>
        <v>Sunshine Remo</v>
      </c>
      <c r="S1927" s="1"/>
      <c r="T1927" s="1"/>
      <c r="U1927" s="3">
        <f>IFERROR(__xludf.DUMMYFUNCTION("""COMPUTED_VALUE"""),0.0)</f>
        <v>0</v>
      </c>
      <c r="V1927" s="1" t="str">
        <f>IFERROR(__xludf.DUMMYFUNCTION("""COMPUTED_VALUE"""),"Tash Kelly")</f>
        <v>Tash Kelly</v>
      </c>
      <c r="W1927" s="1" t="str">
        <f>IFERROR(__xludf.DUMMYFUNCTION("""COMPUTED_VALUE"""),"Affinity Support")</f>
        <v>Affinity Support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IFERROR(__xludf.DUMMYFUNCTION("""COMPUTED_VALUE"""),"2025 Dec")</f>
        <v>2025 Dec</v>
      </c>
      <c r="P1928" s="1" t="str">
        <f>IFERROR(__xludf.DUMMYFUNCTION("""COMPUTED_VALUE"""),"Admin Support")</f>
        <v>Admin Support</v>
      </c>
      <c r="Q1928" s="1" t="str">
        <f>IFERROR(__xludf.DUMMYFUNCTION("""COMPUTED_VALUE"""),"susann@canva.com")</f>
        <v>susann@canva.com</v>
      </c>
      <c r="R1928" s="1" t="str">
        <f>IFERROR(__xludf.DUMMYFUNCTION("""COMPUTED_VALUE"""),"Susann Dierich")</f>
        <v>Susann Dierich</v>
      </c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IFERROR(__xludf.DUMMYFUNCTION("""COMPUTED_VALUE"""),"Tash Kelly")</f>
        <v>Tash Kelly</v>
      </c>
      <c r="W1928" s="1" t="str">
        <f>IFERROR(__xludf.DUMMYFUNCTION("""COMPUTED_VALUE"""),"Admin Support EMEA")</f>
        <v>Admin Support EMEA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IFERROR(__xludf.DUMMYFUNCTION("""COMPUTED_VALUE"""),"2025 Dec")</f>
        <v>2025 Dec</v>
      </c>
      <c r="P1929" s="1" t="str">
        <f>IFERROR(__xludf.DUMMYFUNCTION("""COMPUTED_VALUE"""),"Admin Support")</f>
        <v>Admin Support</v>
      </c>
      <c r="Q1929" s="1" t="str">
        <f>IFERROR(__xludf.DUMMYFUNCTION("""COMPUTED_VALUE"""),"skyles@canva.com")</f>
        <v>skyles@canva.com</v>
      </c>
      <c r="R1929" s="1" t="str">
        <f>IFERROR(__xludf.DUMMYFUNCTION("""COMPUTED_VALUE"""),"Sylvia Kyles")</f>
        <v>Sylvia Kyles</v>
      </c>
      <c r="S1929" s="1">
        <f>IFERROR(__xludf.DUMMYFUNCTION("""COMPUTED_VALUE"""),2.5)</f>
        <v>2.5</v>
      </c>
      <c r="T1929" s="1"/>
      <c r="U1929" s="3">
        <f>IFERROR(__xludf.DUMMYFUNCTION("""COMPUTED_VALUE"""),2.5)</f>
        <v>2.5</v>
      </c>
      <c r="V1929" s="1" t="str">
        <f>IFERROR(__xludf.DUMMYFUNCTION("""COMPUTED_VALUE"""),"Tash Kelly")</f>
        <v>Tash Kelly</v>
      </c>
      <c r="W1929" s="1" t="str">
        <f>IFERROR(__xludf.DUMMYFUNCTION("""COMPUTED_VALUE"""),"Admin Support NA")</f>
        <v>Admin Support NA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IFERROR(__xludf.DUMMYFUNCTION("""COMPUTED_VALUE"""),"2025 Dec")</f>
        <v>2025 Dec</v>
      </c>
      <c r="P1930" s="1" t="str">
        <f>IFERROR(__xludf.DUMMYFUNCTION("""COMPUTED_VALUE"""),"Print Support")</f>
        <v>Print Support</v>
      </c>
      <c r="Q1930" s="1" t="str">
        <f>IFERROR(__xludf.DUMMYFUNCTION("""COMPUTED_VALUE"""),"theag@canva.com")</f>
        <v>theag@canva.com</v>
      </c>
      <c r="R1930" s="1" t="str">
        <f>IFERROR(__xludf.DUMMYFUNCTION("""COMPUTED_VALUE"""),"Thea Gelua")</f>
        <v>Thea Gelua</v>
      </c>
      <c r="S1930" s="1">
        <f>IFERROR(__xludf.DUMMYFUNCTION("""COMPUTED_VALUE"""),10.0)</f>
        <v>10</v>
      </c>
      <c r="T1930" s="1"/>
      <c r="U1930" s="3">
        <f>IFERROR(__xludf.DUMMYFUNCTION("""COMPUTED_VALUE"""),10.0)</f>
        <v>10</v>
      </c>
      <c r="V1930" s="1" t="str">
        <f>IFERROR(__xludf.DUMMYFUNCTION("""COMPUTED_VALUE"""),"Rae Erlano")</f>
        <v>Rae Erlano</v>
      </c>
      <c r="W1930" s="1" t="str">
        <f>IFERROR(__xludf.DUMMYFUNCTION("""COMPUTED_VALUE"""),"Print Support PH")</f>
        <v>Print Support PH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IFERROR(__xludf.DUMMYFUNCTION("""COMPUTED_VALUE"""),"2025 Dec")</f>
        <v>2025 Dec</v>
      </c>
      <c r="P1931" s="1" t="str">
        <f>IFERROR(__xludf.DUMMYFUNCTION("""COMPUTED_VALUE"""),"Print Support")</f>
        <v>Print Support</v>
      </c>
      <c r="Q1931" s="1" t="str">
        <f>IFERROR(__xludf.DUMMYFUNCTION("""COMPUTED_VALUE"""),"tia@canva.com")</f>
        <v>tia@canva.com</v>
      </c>
      <c r="R1931" s="1" t="str">
        <f>IFERROR(__xludf.DUMMYFUNCTION("""COMPUTED_VALUE"""),"Tia Tilanduca")</f>
        <v>Tia Tilanduca</v>
      </c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IFERROR(__xludf.DUMMYFUNCTION("""COMPUTED_VALUE"""),"Rae Erlano")</f>
        <v>Rae Erlano</v>
      </c>
      <c r="W1931" s="1" t="str">
        <f>IFERROR(__xludf.DUMMYFUNCTION("""COMPUTED_VALUE"""),"Print Support PH")</f>
        <v>Print Support PH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IFERROR(__xludf.DUMMYFUNCTION("""COMPUTED_VALUE"""),"2025 Dec")</f>
        <v>2025 Dec</v>
      </c>
      <c r="P1932" s="1" t="str">
        <f>IFERROR(__xludf.DUMMYFUNCTION("""COMPUTED_VALUE"""),"Core Product Support")</f>
        <v>Core Product Support</v>
      </c>
      <c r="Q1932" s="1" t="str">
        <f>IFERROR(__xludf.DUMMYFUNCTION("""COMPUTED_VALUE"""),"tiara@canva.com")</f>
        <v>tiara@canva.com</v>
      </c>
      <c r="R1932" s="1" t="str">
        <f>IFERROR(__xludf.DUMMYFUNCTION("""COMPUTED_VALUE"""),"Tiara Samonte")</f>
        <v>Tiara Samonte</v>
      </c>
      <c r="S1932" s="1">
        <f>IFERROR(__xludf.DUMMYFUNCTION("""COMPUTED_VALUE"""),0.5)</f>
        <v>0.5</v>
      </c>
      <c r="T1932" s="1">
        <f>IFERROR(__xludf.DUMMYFUNCTION("""COMPUTED_VALUE"""),4.0)</f>
        <v>4</v>
      </c>
      <c r="U1932" s="3">
        <f>IFERROR(__xludf.DUMMYFUNCTION("""COMPUTED_VALUE"""),4.5)</f>
        <v>4.5</v>
      </c>
      <c r="V1932" s="1" t="str">
        <f>IFERROR(__xludf.DUMMYFUNCTION("""COMPUTED_VALUE"""),"Jahmie Mae Barrameda")</f>
        <v>Jahmie Mae Barrameda</v>
      </c>
      <c r="W1932" s="1" t="str">
        <f>IFERROR(__xludf.DUMMYFUNCTION("""COMPUTED_VALUE"""),"Advanced Billing &amp; Subscriptions")</f>
        <v>Advanced Billing &amp; Subscriptions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IFERROR(__xludf.DUMMYFUNCTION("""COMPUTED_VALUE"""),"2025 Dec")</f>
        <v>2025 Dec</v>
      </c>
      <c r="P1933" s="1" t="str">
        <f>IFERROR(__xludf.DUMMYFUNCTION("""COMPUTED_VALUE"""),"Segment-specific Support")</f>
        <v>Segment-specific Support</v>
      </c>
      <c r="Q1933" s="1" t="str">
        <f>IFERROR(__xludf.DUMMYFUNCTION("""COMPUTED_VALUE"""),"timdl@canva.com")</f>
        <v>timdl@canva.com</v>
      </c>
      <c r="R1933" s="1" t="str">
        <f>IFERROR(__xludf.DUMMYFUNCTION("""COMPUTED_VALUE"""),"Tim De Leon")</f>
        <v>Tim De Leon</v>
      </c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IFERROR(__xludf.DUMMYFUNCTION("""COMPUTED_VALUE"""),"Aileen Dayanghirang")</f>
        <v>Aileen Dayanghirang</v>
      </c>
      <c r="W1933" s="1" t="str">
        <f>IFERROR(__xludf.DUMMYFUNCTION("""COMPUTED_VALUE"""),"Creators Support")</f>
        <v>Creators Support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IFERROR(__xludf.DUMMYFUNCTION("""COMPUTED_VALUE"""),"2025 Dec")</f>
        <v>2025 Dec</v>
      </c>
      <c r="P1934" s="1" t="str">
        <f>IFERROR(__xludf.DUMMYFUNCTION("""COMPUTED_VALUE"""),"Admin Support")</f>
        <v>Admin Support</v>
      </c>
      <c r="Q1934" s="1" t="str">
        <f>IFERROR(__xludf.DUMMYFUNCTION("""COMPUTED_VALUE"""),"cnuyda@canva.com")</f>
        <v>cnuyda@canva.com</v>
      </c>
      <c r="R1934" s="1" t="str">
        <f>IFERROR(__xludf.DUMMYFUNCTION("""COMPUTED_VALUE"""),"Toff Nuyda")</f>
        <v>Toff Nuyda</v>
      </c>
      <c r="S1934" s="1"/>
      <c r="T1934" s="1">
        <f>IFERROR(__xludf.DUMMYFUNCTION("""COMPUTED_VALUE"""),10.0)</f>
        <v>10</v>
      </c>
      <c r="U1934" s="3">
        <f>IFERROR(__xludf.DUMMYFUNCTION("""COMPUTED_VALUE"""),10.0)</f>
        <v>10</v>
      </c>
      <c r="V1934" s="1" t="str">
        <f>IFERROR(__xludf.DUMMYFUNCTION("""COMPUTED_VALUE"""),"Kelden Laguting")</f>
        <v>Kelden Laguting</v>
      </c>
      <c r="W1934" s="1" t="str">
        <f>IFERROR(__xludf.DUMMYFUNCTION("""COMPUTED_VALUE"""),"Admin Support PH")</f>
        <v>Admin Support PH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IFERROR(__xludf.DUMMYFUNCTION("""COMPUTED_VALUE"""),"#N/A")</f>
        <v>#N/A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IFERROR(__xludf.DUMMYFUNCTION("""COMPUTED_VALUE"""),"#N/A")</f>
        <v>#N/A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IFERROR(__xludf.DUMMYFUNCTION("""COMPUTED_VALUE"""),"2025 Dec")</f>
        <v>2025 Dec</v>
      </c>
      <c r="P1935" s="1" t="str">
        <f>IFERROR(__xludf.DUMMYFUNCTION("""COMPUTED_VALUE"""),"Multilingual Support")</f>
        <v>Multilingual Support</v>
      </c>
      <c r="Q1935" s="1" t="str">
        <f>IFERROR(__xludf.DUMMYFUNCTION("""COMPUTED_VALUE"""),"tricia.p@canva.com")</f>
        <v>tricia.p@canva.com</v>
      </c>
      <c r="R1935" s="1" t="str">
        <f>IFERROR(__xludf.DUMMYFUNCTION("""COMPUTED_VALUE"""),"Tricia Pasagui")</f>
        <v>Tricia Pasagui</v>
      </c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IFERROR(__xludf.DUMMYFUNCTION("""COMPUTED_VALUE"""),"Arlene Maurillo")</f>
        <v>Arlene Maurillo</v>
      </c>
      <c r="W1935" s="1" t="str">
        <f>IFERROR(__xludf.DUMMYFUNCTION("""COMPUTED_VALUE"""),"PHL, Multilingual Support")</f>
        <v>PHL, Multilingual Support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IFERROR(__xludf.DUMMYFUNCTION("""COMPUTED_VALUE"""),"2025 Dec")</f>
        <v>2025 Dec</v>
      </c>
      <c r="P1936" s="1" t="str">
        <f>IFERROR(__xludf.DUMMYFUNCTION("""COMPUTED_VALUE"""),"High Sensitivity Support")</f>
        <v>High Sensitivity Support</v>
      </c>
      <c r="Q1936" s="1" t="str">
        <f>IFERROR(__xludf.DUMMYFUNCTION("""COMPUTED_VALUE"""),"trina@canva.com")</f>
        <v>trina@canva.com</v>
      </c>
      <c r="R1936" s="1" t="str">
        <f>IFERROR(__xludf.DUMMYFUNCTION("""COMPUTED_VALUE"""),"Trina Salcedo")</f>
        <v>Trina Salcedo</v>
      </c>
      <c r="S1936" s="1">
        <f>IFERROR(__xludf.DUMMYFUNCTION("""COMPUTED_VALUE"""),12.0)</f>
        <v>12</v>
      </c>
      <c r="T1936" s="1"/>
      <c r="U1936" s="3">
        <f>IFERROR(__xludf.DUMMYFUNCTION("""COMPUTED_VALUE"""),12.0)</f>
        <v>12</v>
      </c>
      <c r="V1936" s="1" t="str">
        <f>IFERROR(__xludf.DUMMYFUNCTION("""COMPUTED_VALUE"""),"Xandy Azarcon")</f>
        <v>Xandy Azarcon</v>
      </c>
      <c r="W1936" s="1" t="str">
        <f>IFERROR(__xludf.DUMMYFUNCTION("""COMPUTED_VALUE"""),"High Sensitivity Support PH")</f>
        <v>High Sensitivity Support PH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IFERROR(__xludf.DUMMYFUNCTION("""COMPUTED_VALUE"""),"2025 Dec")</f>
        <v>2025 Dec</v>
      </c>
      <c r="P1937" s="1" t="str">
        <f>IFERROR(__xludf.DUMMYFUNCTION("""COMPUTED_VALUE"""),"High Sensitivity Support")</f>
        <v>High Sensitivity Support</v>
      </c>
      <c r="Q1937" s="1" t="str">
        <f>IFERROR(__xludf.DUMMYFUNCTION("""COMPUTED_VALUE"""),"trishlee@canva.com")</f>
        <v>trishlee@canva.com</v>
      </c>
      <c r="R1937" s="1" t="str">
        <f>IFERROR(__xludf.DUMMYFUNCTION("""COMPUTED_VALUE"""),"Trish Lee")</f>
        <v>Trish Lee</v>
      </c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IFERROR(__xludf.DUMMYFUNCTION("""COMPUTED_VALUE"""),"Issi Afable")</f>
        <v>Issi Afable</v>
      </c>
      <c r="W1937" s="1" t="str">
        <f>IFERROR(__xludf.DUMMYFUNCTION("""COMPUTED_VALUE"""),"High Sensitivity Support PH")</f>
        <v>High Sensitivity Support PH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IFERROR(__xludf.DUMMYFUNCTION("""COMPUTED_VALUE"""),"2025 Dec")</f>
        <v>2025 Dec</v>
      </c>
      <c r="P1938" s="1" t="str">
        <f>IFERROR(__xludf.DUMMYFUNCTION("""COMPUTED_VALUE"""),"Print Support")</f>
        <v>Print Support</v>
      </c>
      <c r="Q1938" s="1" t="str">
        <f>IFERROR(__xludf.DUMMYFUNCTION("""COMPUTED_VALUE"""),"trissamiguel@canva.com")</f>
        <v>trissamiguel@canva.com</v>
      </c>
      <c r="R1938" s="1" t="str">
        <f>IFERROR(__xludf.DUMMYFUNCTION("""COMPUTED_VALUE"""),"Trissa Miguel")</f>
        <v>Trissa Miguel</v>
      </c>
      <c r="S1938" s="1"/>
      <c r="T1938" s="1"/>
      <c r="U1938" s="3">
        <f>IFERROR(__xludf.DUMMYFUNCTION("""COMPUTED_VALUE"""),0.0)</f>
        <v>0</v>
      </c>
      <c r="V1938" s="1" t="str">
        <f>IFERROR(__xludf.DUMMYFUNCTION("""COMPUTED_VALUE"""),"G-Anne Murillo")</f>
        <v>G-Anne Murillo</v>
      </c>
      <c r="W1938" s="1" t="str">
        <f>IFERROR(__xludf.DUMMYFUNCTION("""COMPUTED_VALUE"""),"Print Design Support")</f>
        <v>Print Design Support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IFERROR(__xludf.DUMMYFUNCTION("""COMPUTED_VALUE"""),"2025 Dec")</f>
        <v>2025 Dec</v>
      </c>
      <c r="P1939" s="1" t="str">
        <f>IFERROR(__xludf.DUMMYFUNCTION("""COMPUTED_VALUE"""),"Print Support")</f>
        <v>Print Support</v>
      </c>
      <c r="Q1939" s="1" t="str">
        <f>IFERROR(__xludf.DUMMYFUNCTION("""COMPUTED_VALUE"""),"vlad.b@canva.com")</f>
        <v>vlad.b@canva.com</v>
      </c>
      <c r="R1939" s="1" t="str">
        <f>IFERROR(__xludf.DUMMYFUNCTION("""COMPUTED_VALUE"""),"Vladimir Besana")</f>
        <v>Vladimir Besana</v>
      </c>
      <c r="S1939" s="1"/>
      <c r="T1939" s="1"/>
      <c r="U1939" s="3">
        <f>IFERROR(__xludf.DUMMYFUNCTION("""COMPUTED_VALUE"""),0.0)</f>
        <v>0</v>
      </c>
      <c r="V1939" s="1" t="str">
        <f>IFERROR(__xludf.DUMMYFUNCTION("""COMPUTED_VALUE"""),"Jan Domingo")</f>
        <v>Jan Domingo</v>
      </c>
      <c r="W1939" s="1" t="str">
        <f>IFERROR(__xludf.DUMMYFUNCTION("""COMPUTED_VALUE"""),"Print Design Support")</f>
        <v>Print Design Support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IFERROR(__xludf.DUMMYFUNCTION("""COMPUTED_VALUE"""),"2025 Dec")</f>
        <v>2025 Dec</v>
      </c>
      <c r="P1940" s="1" t="str">
        <f>IFERROR(__xludf.DUMMYFUNCTION("""COMPUTED_VALUE"""),"Print Support")</f>
        <v>Print Support</v>
      </c>
      <c r="Q1940" s="1" t="str">
        <f>IFERROR(__xludf.DUMMYFUNCTION("""COMPUTED_VALUE"""),"wesleyp@canva.com")</f>
        <v>wesleyp@canva.com</v>
      </c>
      <c r="R1940" s="1" t="str">
        <f>IFERROR(__xludf.DUMMYFUNCTION("""COMPUTED_VALUE"""),"Wes Paira")</f>
        <v>Wes Paira</v>
      </c>
      <c r="S1940" s="1">
        <f>IFERROR(__xludf.DUMMYFUNCTION("""COMPUTED_VALUE"""),10.0)</f>
        <v>10</v>
      </c>
      <c r="T1940" s="1"/>
      <c r="U1940" s="3">
        <f>IFERROR(__xludf.DUMMYFUNCTION("""COMPUTED_VALUE"""),10.0)</f>
        <v>10</v>
      </c>
      <c r="V1940" s="1" t="str">
        <f>IFERROR(__xludf.DUMMYFUNCTION("""COMPUTED_VALUE"""),"Memae Faustino")</f>
        <v>Memae Faustino</v>
      </c>
      <c r="W1940" s="1" t="str">
        <f>IFERROR(__xludf.DUMMYFUNCTION("""COMPUTED_VALUE"""),"Print Support PH")</f>
        <v>Print Support PH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IFERROR(__xludf.DUMMYFUNCTION("""COMPUTED_VALUE"""),"2025 Dec")</f>
        <v>2025 Dec</v>
      </c>
      <c r="P1941" s="1" t="str">
        <f>IFERROR(__xludf.DUMMYFUNCTION("""COMPUTED_VALUE"""),"Core Product Support")</f>
        <v>Core Product Support</v>
      </c>
      <c r="Q1941" s="1" t="str">
        <f>IFERROR(__xludf.DUMMYFUNCTION("""COMPUTED_VALUE"""),"xy@canva.com")</f>
        <v>xy@canva.com</v>
      </c>
      <c r="R1941" s="1" t="str">
        <f>IFERROR(__xludf.DUMMYFUNCTION("""COMPUTED_VALUE"""),"Xyren Bulan")</f>
        <v>Xyren Bulan</v>
      </c>
      <c r="S1941" s="1">
        <f>IFERROR(__xludf.DUMMYFUNCTION("""COMPUTED_VALUE"""),3.5)</f>
        <v>3.5</v>
      </c>
      <c r="T1941" s="1">
        <f>IFERROR(__xludf.DUMMYFUNCTION("""COMPUTED_VALUE"""),1.0)</f>
        <v>1</v>
      </c>
      <c r="U1941" s="3">
        <f>IFERROR(__xludf.DUMMYFUNCTION("""COMPUTED_VALUE"""),4.5)</f>
        <v>4.5</v>
      </c>
      <c r="V1941" s="1" t="str">
        <f>IFERROR(__xludf.DUMMYFUNCTION("""COMPUTED_VALUE"""),"Vinz Lazaro")</f>
        <v>Vinz Lazaro</v>
      </c>
      <c r="W1941" s="1" t="str">
        <f>IFERROR(__xludf.DUMMYFUNCTION("""COMPUTED_VALUE"""),"Advanced Product Support")</f>
        <v>Advanced Product Support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IFERROR(__xludf.DUMMYFUNCTION("""COMPUTED_VALUE"""),"2025 Dec")</f>
        <v>2025 Dec</v>
      </c>
      <c r="P1942" s="1" t="str">
        <f>IFERROR(__xludf.DUMMYFUNCTION("""COMPUTED_VALUE"""),"Print Support")</f>
        <v>Print Support</v>
      </c>
      <c r="Q1942" s="1" t="str">
        <f>IFERROR(__xludf.DUMMYFUNCTION("""COMPUTED_VALUE"""),"ysabel@canva.com")</f>
        <v>ysabel@canva.com</v>
      </c>
      <c r="R1942" s="1" t="str">
        <f>IFERROR(__xludf.DUMMYFUNCTION("""COMPUTED_VALUE"""),"Ysabel Locsin")</f>
        <v>Ysabel Locsin</v>
      </c>
      <c r="S1942" s="1"/>
      <c r="T1942" s="1">
        <f>IFERROR(__xludf.DUMMYFUNCTION("""COMPUTED_VALUE"""),0.83)</f>
        <v>0.83</v>
      </c>
      <c r="U1942" s="3">
        <f>IFERROR(__xludf.DUMMYFUNCTION("""COMPUTED_VALUE"""),0.83)</f>
        <v>0.83</v>
      </c>
      <c r="V1942" s="1" t="str">
        <f>IFERROR(__xludf.DUMMYFUNCTION("""COMPUTED_VALUE"""),"Rei De Jesus")</f>
        <v>Rei De Jesus</v>
      </c>
      <c r="W1942" s="1" t="str">
        <f>IFERROR(__xludf.DUMMYFUNCTION("""COMPUTED_VALUE"""),"Print Design Support")</f>
        <v>Print Design Support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IFERROR(__xludf.DUMMYFUNCTION("""COMPUTED_VALUE"""),"2025 Dec")</f>
        <v>2025 Dec</v>
      </c>
      <c r="P1943" s="1" t="str">
        <f>IFERROR(__xludf.DUMMYFUNCTION("""COMPUTED_VALUE"""),"Core Product Support")</f>
        <v>Core Product Support</v>
      </c>
      <c r="Q1943" s="1" t="str">
        <f>IFERROR(__xludf.DUMMYFUNCTION("""COMPUTED_VALUE"""),"ymagno@canva.com")</f>
        <v>ymagno@canva.com</v>
      </c>
      <c r="R1943" s="1" t="str">
        <f>IFERROR(__xludf.DUMMYFUNCTION("""COMPUTED_VALUE"""),"Ysabel Magno")</f>
        <v>Ysabel Magno</v>
      </c>
      <c r="S1943" s="1">
        <f>IFERROR(__xludf.DUMMYFUNCTION("""COMPUTED_VALUE"""),1.5)</f>
        <v>1.5</v>
      </c>
      <c r="T1943" s="1">
        <f>IFERROR(__xludf.DUMMYFUNCTION("""COMPUTED_VALUE"""),4.0)</f>
        <v>4</v>
      </c>
      <c r="U1943" s="3">
        <f>IFERROR(__xludf.DUMMYFUNCTION("""COMPUTED_VALUE"""),5.5)</f>
        <v>5.5</v>
      </c>
      <c r="V1943" s="1" t="str">
        <f>IFERROR(__xludf.DUMMYFUNCTION("""COMPUTED_VALUE"""),"Renette Bok")</f>
        <v>Renette Bok</v>
      </c>
      <c r="W1943" s="1" t="str">
        <f>IFERROR(__xludf.DUMMYFUNCTION("""COMPUTED_VALUE"""),"Advanced Billing &amp; Subscriptions")</f>
        <v>Advanced Billing &amp; Subscriptions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IFERROR(__xludf.DUMMYFUNCTION("""COMPUTED_VALUE"""),"2025 Dec")</f>
        <v>2025 Dec</v>
      </c>
      <c r="P1944" s="1" t="str">
        <f>IFERROR(__xludf.DUMMYFUNCTION("""COMPUTED_VALUE"""),"Multilingual Support")</f>
        <v>Multilingual Support</v>
      </c>
      <c r="Q1944" s="1" t="str">
        <f>IFERROR(__xludf.DUMMYFUNCTION("""COMPUTED_VALUE"""),"iuliia@canva.com")</f>
        <v>iuliia@canva.com</v>
      </c>
      <c r="R1944" s="1" t="str">
        <f>IFERROR(__xludf.DUMMYFUNCTION("""COMPUTED_VALUE"""),"Yulya Shevkunova")</f>
        <v>Yulya Shevkunova</v>
      </c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IFERROR(__xludf.DUMMYFUNCTION("""COMPUTED_VALUE"""),"Arlene Maurillo")</f>
        <v>Arlene Maurillo</v>
      </c>
      <c r="W1944" s="1" t="str">
        <f>IFERROR(__xludf.DUMMYFUNCTION("""COMPUTED_VALUE"""),"PHL, Multilingual Support")</f>
        <v>PHL, Multilingual Support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IFERROR(__xludf.DUMMYFUNCTION("""COMPUTED_VALUE"""),"2025 Dec")</f>
        <v>2025 Dec</v>
      </c>
      <c r="P1945" s="1" t="str">
        <f>IFERROR(__xludf.DUMMYFUNCTION("""COMPUTED_VALUE"""),"Core Product Support")</f>
        <v>Core Product Support</v>
      </c>
      <c r="Q1945" s="1" t="str">
        <f>IFERROR(__xludf.DUMMYFUNCTION("""COMPUTED_VALUE"""),"yumi@canva.com")</f>
        <v>yumi@canva.com</v>
      </c>
      <c r="R1945" s="1" t="str">
        <f>IFERROR(__xludf.DUMMYFUNCTION("""COMPUTED_VALUE"""),"Yumi Tominaga")</f>
        <v>Yumi Tominaga</v>
      </c>
      <c r="S1945" s="1">
        <f>IFERROR(__xludf.DUMMYFUNCTION("""COMPUTED_VALUE"""),2.0)</f>
        <v>2</v>
      </c>
      <c r="T1945" s="1"/>
      <c r="U1945" s="3">
        <f>IFERROR(__xludf.DUMMYFUNCTION("""COMPUTED_VALUE"""),2.0)</f>
        <v>2</v>
      </c>
      <c r="V1945" s="1" t="str">
        <f>IFERROR(__xludf.DUMMYFUNCTION("""COMPUTED_VALUE"""),"Ana Lazaro")</f>
        <v>Ana Lazaro</v>
      </c>
      <c r="W1945" s="1" t="str">
        <f>IFERROR(__xludf.DUMMYFUNCTION("""COMPUTED_VALUE"""),"Advanced Billing &amp; Subscriptions")</f>
        <v>Advanced Billing &amp; Subscriptions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IFERROR(__xludf.DUMMYFUNCTION("""COMPUTED_VALUE"""),"2025 Dec")</f>
        <v>2025 Dec</v>
      </c>
      <c r="P1946" s="1" t="str">
        <f>IFERROR(__xludf.DUMMYFUNCTION("""COMPUTED_VALUE"""),"Core Product Support")</f>
        <v>Core Product Support</v>
      </c>
      <c r="Q1946" s="1" t="str">
        <f>IFERROR(__xludf.DUMMYFUNCTION("""COMPUTED_VALUE"""),"yvette@canva.com")</f>
        <v>yvette@canva.com</v>
      </c>
      <c r="R1946" s="1" t="str">
        <f>IFERROR(__xludf.DUMMYFUNCTION("""COMPUTED_VALUE"""),"Yvette Nogoy")</f>
        <v>Yvette Nogoy</v>
      </c>
      <c r="S1946" s="1">
        <f>IFERROR(__xludf.DUMMYFUNCTION("""COMPUTED_VALUE"""),1.0)</f>
        <v>1</v>
      </c>
      <c r="T1946" s="1">
        <f>IFERROR(__xludf.DUMMYFUNCTION("""COMPUTED_VALUE"""),10.5)</f>
        <v>10.5</v>
      </c>
      <c r="U1946" s="3">
        <f>IFERROR(__xludf.DUMMYFUNCTION("""COMPUTED_VALUE"""),11.5)</f>
        <v>11.5</v>
      </c>
      <c r="V1946" s="1" t="str">
        <f>IFERROR(__xludf.DUMMYFUNCTION("""COMPUTED_VALUE"""),"Bem Launte")</f>
        <v>Bem Launte</v>
      </c>
      <c r="W1946" s="1" t="str">
        <f>IFERROR(__xludf.DUMMYFUNCTION("""COMPUTED_VALUE"""),"Core Product Support Escalation Team")</f>
        <v>Core Product Support Escalation Team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IFERROR(__xludf.DUMMYFUNCTION("""COMPUTED_VALUE"""),"2025 Dec")</f>
        <v>2025 Dec</v>
      </c>
      <c r="P1947" s="1" t="str">
        <f>IFERROR(__xludf.DUMMYFUNCTION("""COMPUTED_VALUE"""),"Admin Support")</f>
        <v>Admin Support</v>
      </c>
      <c r="Q1947" s="1" t="str">
        <f>IFERROR(__xludf.DUMMYFUNCTION("""COMPUTED_VALUE"""),"yvonne@canva.com")</f>
        <v>yvonne@canva.com</v>
      </c>
      <c r="R1947" s="1" t="str">
        <f>IFERROR(__xludf.DUMMYFUNCTION("""COMPUTED_VALUE"""),"Yvonne Romasanta")</f>
        <v>Yvonne Romasanta</v>
      </c>
      <c r="S1947" s="1"/>
      <c r="T1947" s="1">
        <f>IFERROR(__xludf.DUMMYFUNCTION("""COMPUTED_VALUE"""),8.25)</f>
        <v>8.25</v>
      </c>
      <c r="U1947" s="3">
        <f>IFERROR(__xludf.DUMMYFUNCTION("""COMPUTED_VALUE"""),8.25)</f>
        <v>8.25</v>
      </c>
      <c r="V1947" s="1" t="str">
        <f>IFERROR(__xludf.DUMMYFUNCTION("""COMPUTED_VALUE"""),"Camille Alvarez")</f>
        <v>Camille Alvarez</v>
      </c>
      <c r="W1947" s="1" t="str">
        <f>IFERROR(__xludf.DUMMYFUNCTION("""COMPUTED_VALUE"""),"Admin Support PH SSO")</f>
        <v>Admin Support PH SSO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IFERROR(__xludf.DUMMYFUNCTION("""COMPUTED_VALUE"""),"2025 Dec")</f>
        <v>2025 Dec</v>
      </c>
      <c r="P1948" s="1" t="str">
        <f>IFERROR(__xludf.DUMMYFUNCTION("""COMPUTED_VALUE"""),"Print Support")</f>
        <v>Print Support</v>
      </c>
      <c r="Q1948" s="1" t="str">
        <f>IFERROR(__xludf.DUMMYFUNCTION("""COMPUTED_VALUE"""),"zippy@canva.com")</f>
        <v>zippy@canva.com</v>
      </c>
      <c r="R1948" s="1" t="str">
        <f>IFERROR(__xludf.DUMMYFUNCTION("""COMPUTED_VALUE"""),"Zipporah Duque")</f>
        <v>Zipporah Duque</v>
      </c>
      <c r="S1948" s="1">
        <f>IFERROR(__xludf.DUMMYFUNCTION("""COMPUTED_VALUE"""),8.0)</f>
        <v>8</v>
      </c>
      <c r="T1948" s="1"/>
      <c r="U1948" s="3">
        <f>IFERROR(__xludf.DUMMYFUNCTION("""COMPUTED_VALUE"""),8.0)</f>
        <v>8</v>
      </c>
      <c r="V1948" s="1" t="str">
        <f>IFERROR(__xludf.DUMMYFUNCTION("""COMPUTED_VALUE"""),"Memae Faustino")</f>
        <v>Memae Faustino</v>
      </c>
      <c r="W1948" s="1" t="str">
        <f>IFERROR(__xludf.DUMMYFUNCTION("""COMPUTED_VALUE"""),"Print Support PH")</f>
        <v>Print Support PH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IFERROR(__xludf.DUMMYFUNCTION("""COMPUTED_VALUE"""),"Vinz Lazaro")</f>
        <v>Vinz Lazaro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IFERROR(__xludf.DUMMYFUNCTION("""COMPUTED_VALUE"""),"Abi Villajoaquin")</f>
        <v>Abi Villajoaquin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IFERROR(__xludf.DUMMYFUNCTION("""COMPUTED_VALUE"""),"Rae Erlano")</f>
        <v>Rae Erlano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IFERROR(__xludf.DUMMYFUNCTION("""COMPUTED_VALUE"""),"Rae Erlano")</f>
        <v>Rae Erlano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IFERROR(__xludf.DUMMYFUNCTION("""COMPUTED_VALUE"""),"Vinz Lazaro")</f>
        <v>Vinz Lazaro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IFERROR(__xludf.DUMMYFUNCTION("""COMPUTED_VALUE"""),"#N/A")</f>
        <v>#N/A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IFERROR(__xludf.DUMMYFUNCTION("""COMPUTED_VALUE"""),"#N/A")</f>
        <v>#N/A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/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IFERROR(__xludf.DUMMYFUNCTION("""COMPUTED_VALUE"""),"Vinz Lazaro")</f>
        <v>Vinz Lazaro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IFERROR(__xludf.DUMMYFUNCTION("""COMPUTED_VALUE"""),"Admin Support")</f>
        <v>Admin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IFERROR(__xludf.DUMMYFUNCTION("""COMPUTED_VALUE"""),"AL Suarez")</f>
        <v>AL Suarez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IFERROR(__xludf.DUMMYFUNCTION("""COMPUTED_VALUE"""),"Admin Support")</f>
        <v>Admin Support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IFERROR(__xludf.DUMMYFUNCTION("""COMPUTED_VALUE"""),"Karla Mananghaya")</f>
        <v>Karla Mananghaya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IFERROR(__xludf.DUMMYFUNCTION("""COMPUTED_VALUE"""),"Admin Support")</f>
        <v>Admin Support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IFERROR(__xludf.DUMMYFUNCTION("""COMPUTED_VALUE"""),"Karla Mananghaya")</f>
        <v>Karla Mananghaya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IFERROR(__xludf.DUMMYFUNCTION("""COMPUTED_VALUE"""),"Vinz Lazaro")</f>
        <v>Vinz Lazaro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IFERROR(__xludf.DUMMYFUNCTION("""COMPUTED_VALUE"""),"Vinz Lazaro")</f>
        <v>Vinz Lazaro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IFERROR(__xludf.DUMMYFUNCTION("""COMPUTED_VALUE"""),"Xandy Azarcon")</f>
        <v>Xandy Azarcon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IFERROR(__xludf.DUMMYFUNCTION("""COMPUTED_VALUE"""),"Vinz Lazaro")</f>
        <v>Vinz Lazaro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IFERROR(__xludf.DUMMYFUNCTION("""COMPUTED_VALUE"""),"Karla Mananghaya")</f>
        <v>Karla Mananghaya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IFERROR(__xludf.DUMMYFUNCTION("""COMPUTED_VALUE"""),"#N/A")</f>
        <v>#N/A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IFERROR(__xludf.DUMMYFUNCTION("""COMPUTED_VALUE"""),"#N/A")</f>
        <v>#N/A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IFERROR(__xludf.DUMMYFUNCTION("""COMPUTED_VALUE"""),"Vinz Lazaro")</f>
        <v>Vinz Lazaro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IFERROR(__xludf.DUMMYFUNCTION("""COMPUTED_VALUE"""),"Abi Villajoaquin")</f>
        <v>Abi Villajoaquin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IFERROR(__xludf.DUMMYFUNCTION("""COMPUTED_VALUE"""),"Rae Erlano")</f>
        <v>Rae Erlano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IFERROR(__xludf.DUMMYFUNCTION("""COMPUTED_VALUE"""),"Rae Erlano")</f>
        <v>Rae Erlano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IFERROR(__xludf.DUMMYFUNCTION("""COMPUTED_VALUE"""),"Vinz Lazaro")</f>
        <v>Vinz Lazaro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IFERROR(__xludf.DUMMYFUNCTION("""COMPUTED_VALUE"""),"#N/A")</f>
        <v>#N/A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IFERROR(__xludf.DUMMYFUNCTION("""COMPUTED_VALUE"""),"#N/A")</f>
        <v>#N/A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/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IFERROR(__xludf.DUMMYFUNCTION("""COMPUTED_VALUE"""),"Vinz Lazaro")</f>
        <v>Vinz Lazaro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IFERROR(__xludf.DUMMYFUNCTION("""COMPUTED_VALUE"""),"Admin Support")</f>
        <v>Admin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IFERROR(__xludf.DUMMYFUNCTION("""COMPUTED_VALUE"""),"AL Suarez")</f>
        <v>AL Suarez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IFERROR(__xludf.DUMMYFUNCTION("""COMPUTED_VALUE"""),"Admin Support")</f>
        <v>Admin Support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IFERROR(__xludf.DUMMYFUNCTION("""COMPUTED_VALUE"""),"Karla Mananghaya")</f>
        <v>Karla Mananghaya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IFERROR(__xludf.DUMMYFUNCTION("""COMPUTED_VALUE"""),"Admin Support")</f>
        <v>Admin Support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IFERROR(__xludf.DUMMYFUNCTION("""COMPUTED_VALUE"""),"Karla Mananghaya")</f>
        <v>Karla Mananghaya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IFERROR(__xludf.DUMMYFUNCTION("""COMPUTED_VALUE"""),"Vinz Lazaro")</f>
        <v>Vinz Lazaro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IFERROR(__xludf.DUMMYFUNCTION("""COMPUTED_VALUE"""),"Vinz Lazaro")</f>
        <v>Vinz Lazaro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IFERROR(__xludf.DUMMYFUNCTION("""COMPUTED_VALUE"""),"Xandy Azarcon")</f>
        <v>Xandy Azarcon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IFERROR(__xludf.DUMMYFUNCTION("""COMPUTED_VALUE"""),"Vinz Lazaro")</f>
        <v>Vinz Lazaro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IFERROR(__xludf.DUMMYFUNCTION("""COMPUTED_VALUE"""),"Karla Mananghaya")</f>
        <v>Karla Mananghaya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IFERROR(__xludf.DUMMYFUNCTION("""COMPUTED_VALUE"""),"#N/A")</f>
        <v>#N/A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IFERROR(__xludf.DUMMYFUNCTION("""COMPUTED_VALUE"""),"#N/A")</f>
        <v>#N/A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IFERROR(__xludf.DUMMYFUNCTION("""COMPUTED_VALUE"""),"Vinz Lazaro")</f>
        <v>Vinz Lazaro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IFERROR(__xludf.DUMMYFUNCTION("""COMPUTED_VALUE"""),"Abi Villajoaquin")</f>
        <v>Abi Villajoaquin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IFERROR(__xludf.DUMMYFUNCTION("""COMPUTED_VALUE"""),"Rae Erlano")</f>
        <v>Rae Erlano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IFERROR(__xludf.DUMMYFUNCTION("""COMPUTED_VALUE"""),"Rae Erlano")</f>
        <v>Rae Erlano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IFERROR(__xludf.DUMMYFUNCTION("""COMPUTED_VALUE"""),"Vinz Lazaro")</f>
        <v>Vinz Lazaro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IFERROR(__xludf.DUMMYFUNCTION("""COMPUTED_VALUE"""),"#N/A")</f>
        <v>#N/A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IFERROR(__xludf.DUMMYFUNCTION("""COMPUTED_VALUE"""),"#N/A")</f>
        <v>#N/A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/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IFERROR(__xludf.DUMMYFUNCTION("""COMPUTED_VALUE"""),"Vinz Lazaro")</f>
        <v>Vinz Lazaro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IFERROR(__xludf.DUMMYFUNCTION("""COMPUTED_VALUE"""),"Admin Support")</f>
        <v>Admin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IFERROR(__xludf.DUMMYFUNCTION("""COMPUTED_VALUE"""),"AL Suarez")</f>
        <v>AL Suarez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IFERROR(__xludf.DUMMYFUNCTION("""COMPUTED_VALUE"""),"Admin Support")</f>
        <v>Admin Support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IFERROR(__xludf.DUMMYFUNCTION("""COMPUTED_VALUE"""),"Karla Mananghaya")</f>
        <v>Karla Mananghaya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IFERROR(__xludf.DUMMYFUNCTION("""COMPUTED_VALUE"""),"Admin Support")</f>
        <v>Admin Support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IFERROR(__xludf.DUMMYFUNCTION("""COMPUTED_VALUE"""),"Karla Mananghaya")</f>
        <v>Karla Mananghaya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IFERROR(__xludf.DUMMYFUNCTION("""COMPUTED_VALUE"""),"Vinz Lazaro")</f>
        <v>Vinz Lazaro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IFERROR(__xludf.DUMMYFUNCTION("""COMPUTED_VALUE"""),"Vinz Lazaro")</f>
        <v>Vinz Lazaro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IFERROR(__xludf.DUMMYFUNCTION("""COMPUTED_VALUE"""),"Xandy Azarcon")</f>
        <v>Xandy Azarcon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IFERROR(__xludf.DUMMYFUNCTION("""COMPUTED_VALUE"""),"Vinz Lazaro")</f>
        <v>Vinz Lazaro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IFERROR(__xludf.DUMMYFUNCTION("""COMPUTED_VALUE"""),"Karla Mananghaya")</f>
        <v>Karla Mananghaya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IFERROR(__xludf.DUMMYFUNCTION("""COMPUTED_VALUE"""),"#N/A")</f>
        <v>#N/A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IFERROR(__xludf.DUMMYFUNCTION("""COMPUTED_VALUE"""),"#N/A")</f>
        <v>#N/A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IFERROR(__xludf.DUMMYFUNCTION("""COMPUTED_VALUE"""),"Vinz Lazaro")</f>
        <v>Vinz Lazaro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IFERROR(__xludf.DUMMYFUNCTION("""COMPUTED_VALUE"""),"Abi Villajoaquin")</f>
        <v>Abi Villajoaquin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IFERROR(__xludf.DUMMYFUNCTION("""COMPUTED_VALUE"""),"Rae Erlano")</f>
        <v>Rae Erlano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IFERROR(__xludf.DUMMYFUNCTION("""COMPUTED_VALUE"""),"Rae Erlano")</f>
        <v>Rae Erlano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IFERROR(__xludf.DUMMYFUNCTION("""COMPUTED_VALUE"""),"Vinz Lazaro")</f>
        <v>Vinz Lazaro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IFERROR(__xludf.DUMMYFUNCTION("""COMPUTED_VALUE"""),"#N/A")</f>
        <v>#N/A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IFERROR(__xludf.DUMMYFUNCTION("""COMPUTED_VALUE"""),"#N/A")</f>
        <v>#N/A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/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IFERROR(__xludf.DUMMYFUNCTION("""COMPUTED_VALUE"""),"Vinz Lazaro")</f>
        <v>Vinz Lazaro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IFERROR(__xludf.DUMMYFUNCTION("""COMPUTED_VALUE"""),"Admin Support")</f>
        <v>Admin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IFERROR(__xludf.DUMMYFUNCTION("""COMPUTED_VALUE"""),"AL Suarez")</f>
        <v>AL Suarez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IFERROR(__xludf.DUMMYFUNCTION("""COMPUTED_VALUE"""),"Admin Support")</f>
        <v>Admin Support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IFERROR(__xludf.DUMMYFUNCTION("""COMPUTED_VALUE"""),"Karla Mananghaya")</f>
        <v>Karla Mananghaya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IFERROR(__xludf.DUMMYFUNCTION("""COMPUTED_VALUE"""),"Admin Support")</f>
        <v>Admin Support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IFERROR(__xludf.DUMMYFUNCTION("""COMPUTED_VALUE"""),"Karla Mananghaya")</f>
        <v>Karla Mananghaya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IFERROR(__xludf.DUMMYFUNCTION("""COMPUTED_VALUE"""),"Vinz Lazaro")</f>
        <v>Vinz Lazaro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IFERROR(__xludf.DUMMYFUNCTION("""COMPUTED_VALUE"""),"Vinz Lazaro")</f>
        <v>Vinz Lazaro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IFERROR(__xludf.DUMMYFUNCTION("""COMPUTED_VALUE"""),"Xandy Azarcon")</f>
        <v>Xandy Azarcon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IFERROR(__xludf.DUMMYFUNCTION("""COMPUTED_VALUE"""),"Vinz Lazaro")</f>
        <v>Vinz Lazaro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IFERROR(__xludf.DUMMYFUNCTION("""COMPUTED_VALUE"""),"Karla Mananghaya")</f>
        <v>Karla Mananghaya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IFERROR(__xludf.DUMMYFUNCTION("""COMPUTED_VALUE"""),"#N/A")</f>
        <v>#N/A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IFERROR(__xludf.DUMMYFUNCTION("""COMPUTED_VALUE"""),"#N/A")</f>
        <v>#N/A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IFERROR(__xludf.DUMMYFUNCTION("""COMPUTED_VALUE"""),"Vinz Lazaro")</f>
        <v>Vinz Lazaro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IFERROR(__xludf.DUMMYFUNCTION("""COMPUTED_VALUE"""),"Abi Villajoaquin")</f>
        <v>Abi Villajoaquin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IFERROR(__xludf.DUMMYFUNCTION("""COMPUTED_VALUE"""),"Rae Erlano")</f>
        <v>Rae Erlano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IFERROR(__xludf.DUMMYFUNCTION("""COMPUTED_VALUE"""),"Rae Erlano")</f>
        <v>Rae Erlano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IFERROR(__xludf.DUMMYFUNCTION("""COMPUTED_VALUE"""),"Vinz Lazaro")</f>
        <v>Vinz Lazaro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IFERROR(__xludf.DUMMYFUNCTION("""COMPUTED_VALUE"""),"#N/A")</f>
        <v>#N/A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IFERROR(__xludf.DUMMYFUNCTION("""COMPUTED_VALUE"""),"#N/A")</f>
        <v>#N/A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/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IFERROR(__xludf.DUMMYFUNCTION("""COMPUTED_VALUE"""),"Vinz Lazaro")</f>
        <v>Vinz Lazaro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IFERROR(__xludf.DUMMYFUNCTION("""COMPUTED_VALUE"""),"Admin Support")</f>
        <v>Admin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IFERROR(__xludf.DUMMYFUNCTION("""COMPUTED_VALUE"""),"AL Suarez")</f>
        <v>AL Suarez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IFERROR(__xludf.DUMMYFUNCTION("""COMPUTED_VALUE"""),"Admin Support")</f>
        <v>Admin Support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IFERROR(__xludf.DUMMYFUNCTION("""COMPUTED_VALUE"""),"Karla Mananghaya")</f>
        <v>Karla Mananghaya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IFERROR(__xludf.DUMMYFUNCTION("""COMPUTED_VALUE"""),"Admin Support")</f>
        <v>Admin Support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IFERROR(__xludf.DUMMYFUNCTION("""COMPUTED_VALUE"""),"Karla Mananghaya")</f>
        <v>Karla Mananghaya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IFERROR(__xludf.DUMMYFUNCTION("""COMPUTED_VALUE"""),"Vinz Lazaro")</f>
        <v>Vinz Lazaro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IFERROR(__xludf.DUMMYFUNCTION("""COMPUTED_VALUE"""),"Vinz Lazaro")</f>
        <v>Vinz Lazaro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IFERROR(__xludf.DUMMYFUNCTION("""COMPUTED_VALUE"""),"Vinz Lazaro")</f>
        <v>Vinz Lazaro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IFERROR(__xludf.DUMMYFUNCTION("""COMPUTED_VALUE"""),"Karla Mananghaya")</f>
        <v>Karla Mananghaya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IFERROR(__xludf.DUMMYFUNCTION("""COMPUTED_VALUE"""),"#N/A")</f>
        <v>#N/A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IFERROR(__xludf.DUMMYFUNCTION("""COMPUTED_VALUE"""),"#N/A")</f>
        <v>#N/A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IFERROR(__xludf.DUMMYFUNCTION("""COMPUTED_VALUE"""),"Vinz Lazaro")</f>
        <v>Vinz Lazaro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IFERROR(__xludf.DUMMYFUNCTION("""COMPUTED_VALUE"""),"Abi Villajoaquin")</f>
        <v>Abi Villajoaquin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IFERROR(__xludf.DUMMYFUNCTION("""COMPUTED_VALUE"""),"Rae Erlano")</f>
        <v>Rae Erlano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IFERROR(__xludf.DUMMYFUNCTION("""COMPUTED_VALUE"""),"Rae Erlano")</f>
        <v>Rae Erlano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IFERROR(__xludf.DUMMYFUNCTION("""COMPUTED_VALUE"""),"Vinz Lazaro")</f>
        <v>Vinz Lazaro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IFERROR(__xludf.DUMMYFUNCTION("""COMPUTED_VALUE"""),"#N/A")</f>
        <v>#N/A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IFERROR(__xludf.DUMMYFUNCTION("""COMPUTED_VALUE"""),"#N/A")</f>
        <v>#N/A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IFERROR(__xludf.DUMMYFUNCTION("""COMPUTED_VALUE"""),"Vinz Lazaro")</f>
        <v>Vinz Lazaro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IFERROR(__xludf.DUMMYFUNCTION("""COMPUTED_VALUE"""),"Admin Support")</f>
        <v>Admin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IFERROR(__xludf.DUMMYFUNCTION("""COMPUTED_VALUE"""),"AL Suarez")</f>
        <v>AL Suarez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IFERROR(__xludf.DUMMYFUNCTION("""COMPUTED_VALUE"""),"Admin Support")</f>
        <v>Admin Support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IFERROR(__xludf.DUMMYFUNCTION("""COMPUTED_VALUE"""),"Karla Mananghaya")</f>
        <v>Karla Mananghaya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IFERROR(__xludf.DUMMYFUNCTION("""COMPUTED_VALUE"""),"Admin Support")</f>
        <v>Admin Support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IFERROR(__xludf.DUMMYFUNCTION("""COMPUTED_VALUE"""),"Karla Mananghaya")</f>
        <v>Karla Mananghaya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IFERROR(__xludf.DUMMYFUNCTION("""COMPUTED_VALUE"""),"Vinz Lazaro")</f>
        <v>Vinz Lazaro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IFERROR(__xludf.DUMMYFUNCTION("""COMPUTED_VALUE"""),"Vinz Lazaro")</f>
        <v>Vinz Lazaro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IFERROR(__xludf.DUMMYFUNCTION("""COMPUTED_VALUE"""),"Vinz Lazaro")</f>
        <v>Vinz Lazaro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IFERROR(__xludf.DUMMYFUNCTION("""COMPUTED_VALUE"""),"Karla Mananghaya")</f>
        <v>Karla Mananghaya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IFERROR(__xludf.DUMMYFUNCTION("""COMPUTED_VALUE"""),"#N/A")</f>
        <v>#N/A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IFERROR(__xludf.DUMMYFUNCTION("""COMPUTED_VALUE"""),"#N/A")</f>
        <v>#N/A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IFERROR(__xludf.DUMMYFUNCTION("""COMPUTED_VALUE"""),"Vinz Lazaro")</f>
        <v>Vinz Lazaro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IFERROR(__xludf.DUMMYFUNCTION("""COMPUTED_VALUE"""),"Abi Villajoaquin")</f>
        <v>Abi Villajoaquin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IFERROR(__xludf.DUMMYFUNCTION("""COMPUTED_VALUE"""),"Rae Erlano")</f>
        <v>Rae Erlano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IFERROR(__xludf.DUMMYFUNCTION("""COMPUTED_VALUE"""),"Rae Erlano")</f>
        <v>Rae Erlano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IFERROR(__xludf.DUMMYFUNCTION("""COMPUTED_VALUE"""),"Vinz Lazaro")</f>
        <v>Vinz Lazaro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IFERROR(__xludf.DUMMYFUNCTION("""COMPUTED_VALUE"""),"#N/A")</f>
        <v>#N/A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IFERROR(__xludf.DUMMYFUNCTION("""COMPUTED_VALUE"""),"#N/A")</f>
        <v>#N/A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IFERROR(__xludf.DUMMYFUNCTION("""COMPUTED_VALUE"""),"Vinz Lazaro")</f>
        <v>Vinz Lazaro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IFERROR(__xludf.DUMMYFUNCTION("""COMPUTED_VALUE"""),"Admin Support")</f>
        <v>Admin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IFERROR(__xludf.DUMMYFUNCTION("""COMPUTED_VALUE"""),"AL Suarez")</f>
        <v>AL Suarez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IFERROR(__xludf.DUMMYFUNCTION("""COMPUTED_VALUE"""),"Admin Support")</f>
        <v>Admin Support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IFERROR(__xludf.DUMMYFUNCTION("""COMPUTED_VALUE"""),"Karla Mananghaya")</f>
        <v>Karla Mananghaya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IFERROR(__xludf.DUMMYFUNCTION("""COMPUTED_VALUE"""),"Admin Support")</f>
        <v>Admin Support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IFERROR(__xludf.DUMMYFUNCTION("""COMPUTED_VALUE"""),"Karla Mananghaya")</f>
        <v>Karla Mananghaya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IFERROR(__xludf.DUMMYFUNCTION("""COMPUTED_VALUE"""),"Vinz Lazaro")</f>
        <v>Vinz Lazaro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IFERROR(__xludf.DUMMYFUNCTION("""COMPUTED_VALUE"""),"Vinz Lazaro")</f>
        <v>Vinz Lazaro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IFERROR(__xludf.DUMMYFUNCTION("""COMPUTED_VALUE"""),"Vinz Lazaro")</f>
        <v>Vinz Lazaro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IFERROR(__xludf.DUMMYFUNCTION("""COMPUTED_VALUE"""),"Karla Mananghaya")</f>
        <v>Karla Mananghaya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IFERROR(__xludf.DUMMYFUNCTION("""COMPUTED_VALUE"""),"#N/A")</f>
        <v>#N/A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IFERROR(__xludf.DUMMYFUNCTION("""COMPUTED_VALUE"""),"#N/A")</f>
        <v>#N/A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IFERROR(__xludf.DUMMYFUNCTION("""COMPUTED_VALUE"""),"Vinz Lazaro")</f>
        <v>Vinz Lazaro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IFERROR(__xludf.DUMMYFUNCTION("""COMPUTED_VALUE"""),"Abi Villajoaquin")</f>
        <v>Abi Villajoaquin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IFERROR(__xludf.DUMMYFUNCTION("""COMPUTED_VALUE"""),"Rae Erlano")</f>
        <v>Rae Erlano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IFERROR(__xludf.DUMMYFUNCTION("""COMPUTED_VALUE"""),"Rae Erlano")</f>
        <v>Rae Erlano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IFERROR(__xludf.DUMMYFUNCTION("""COMPUTED_VALUE"""),"Vinz Lazaro")</f>
        <v>Vinz Lazaro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IFERROR(__xludf.DUMMYFUNCTION("""COMPUTED_VALUE"""),"#N/A")</f>
        <v>#N/A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IFERROR(__xludf.DUMMYFUNCTION("""COMPUTED_VALUE"""),"#N/A")</f>
        <v>#N/A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IFERROR(__xludf.DUMMYFUNCTION("""COMPUTED_VALUE"""),"Vinz Lazaro")</f>
        <v>Vinz Lazaro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IFERROR(__xludf.DUMMYFUNCTION("""COMPUTED_VALUE"""),"Admin Support")</f>
        <v>Admin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IFERROR(__xludf.DUMMYFUNCTION("""COMPUTED_VALUE"""),"AL Suarez")</f>
        <v>AL Suarez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IFERROR(__xludf.DUMMYFUNCTION("""COMPUTED_VALUE"""),"Admin Support")</f>
        <v>Admin Support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IFERROR(__xludf.DUMMYFUNCTION("""COMPUTED_VALUE"""),"Karla Mananghaya")</f>
        <v>Karla Mananghaya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IFERROR(__xludf.DUMMYFUNCTION("""COMPUTED_VALUE"""),"Admin Support")</f>
        <v>Admin Support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IFERROR(__xludf.DUMMYFUNCTION("""COMPUTED_VALUE"""),"Karla Mananghaya")</f>
        <v>Karla Mananghaya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IFERROR(__xludf.DUMMYFUNCTION("""COMPUTED_VALUE"""),"Vinz Lazaro")</f>
        <v>Vinz Lazaro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IFERROR(__xludf.DUMMYFUNCTION("""COMPUTED_VALUE"""),"Vinz Lazaro")</f>
        <v>Vinz Lazaro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IFERROR(__xludf.DUMMYFUNCTION("""COMPUTED_VALUE"""),"Vinz Lazaro")</f>
        <v>Vinz Lazaro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IFERROR(__xludf.DUMMYFUNCTION("""COMPUTED_VALUE"""),"Karla Mananghaya")</f>
        <v>Karla Mananghaya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IFERROR(__xludf.DUMMYFUNCTION("""COMPUTED_VALUE"""),"#N/A")</f>
        <v>#N/A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IFERROR(__xludf.DUMMYFUNCTION("""COMPUTED_VALUE"""),"#N/A")</f>
        <v>#N/A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IFERROR(__xludf.DUMMYFUNCTION("""COMPUTED_VALUE"""),"Vinz Lazaro")</f>
        <v>Vinz Lazaro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IFERROR(__xludf.DUMMYFUNCTION("""COMPUTED_VALUE"""),"Abi Villajoaquin")</f>
        <v>Abi Villajoaquin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IFERROR(__xludf.DUMMYFUNCTION("""COMPUTED_VALUE"""),"Rae Erlano")</f>
        <v>Rae Erlano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IFERROR(__xludf.DUMMYFUNCTION("""COMPUTED_VALUE"""),"Vinz Lazaro")</f>
        <v>Vinz Lazaro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IFERROR(__xludf.DUMMYFUNCTION("""COMPUTED_VALUE"""),"#N/A")</f>
        <v>#N/A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IFERROR(__xludf.DUMMYFUNCTION("""COMPUTED_VALUE"""),"#N/A")</f>
        <v>#N/A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IFERROR(__xludf.DUMMYFUNCTION("""COMPUTED_VALUE"""),"Vinz Lazaro")</f>
        <v>Vinz Lazaro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IFERROR(__xludf.DUMMYFUNCTION("""COMPUTED_VALUE"""),"Admin Support")</f>
        <v>Admin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IFERROR(__xludf.DUMMYFUNCTION("""COMPUTED_VALUE"""),"AL Suarez")</f>
        <v>AL Suarez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IFERROR(__xludf.DUMMYFUNCTION("""COMPUTED_VALUE"""),"Admin Support")</f>
        <v>Admin Support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IFERROR(__xludf.DUMMYFUNCTION("""COMPUTED_VALUE"""),"Karla Mananghaya")</f>
        <v>Karla Mananghaya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IFERROR(__xludf.DUMMYFUNCTION("""COMPUTED_VALUE"""),"Admin Support")</f>
        <v>Admin Support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IFERROR(__xludf.DUMMYFUNCTION("""COMPUTED_VALUE"""),"Karla Mananghaya")</f>
        <v>Karla Mananghaya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IFERROR(__xludf.DUMMYFUNCTION("""COMPUTED_VALUE"""),"Vinz Lazaro")</f>
        <v>Vinz Lazaro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IFERROR(__xludf.DUMMYFUNCTION("""COMPUTED_VALUE"""),"Vinz Lazaro")</f>
        <v>Vinz Lazaro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IFERROR(__xludf.DUMMYFUNCTION("""COMPUTED_VALUE"""),"Vinz Lazaro")</f>
        <v>Vinz Lazaro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IFERROR(__xludf.DUMMYFUNCTION("""COMPUTED_VALUE"""),"Karla Mananghaya")</f>
        <v>Karla Mananghaya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IFERROR(__xludf.DUMMYFUNCTION("""COMPUTED_VALUE"""),"#N/A")</f>
        <v>#N/A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IFERROR(__xludf.DUMMYFUNCTION("""COMPUTED_VALUE"""),"#N/A")</f>
        <v>#N/A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IFERROR(__xludf.DUMMYFUNCTION("""COMPUTED_VALUE"""),"Vinz Lazaro")</f>
        <v>Vinz Lazaro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IFERROR(__xludf.DUMMYFUNCTION("""COMPUTED_VALUE"""),"Abi Villajoaquin")</f>
        <v>Abi Villajoaquin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IFERROR(__xludf.DUMMYFUNCTION("""COMPUTED_VALUE"""),"Rae Erlano")</f>
        <v>Rae Erlano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IFERROR(__xludf.DUMMYFUNCTION("""COMPUTED_VALUE"""),"Vinz Lazaro")</f>
        <v>Vinz Lazaro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IFERROR(__xludf.DUMMYFUNCTION("""COMPUTED_VALUE"""),"#N/A")</f>
        <v>#N/A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IFERROR(__xludf.DUMMYFUNCTION("""COMPUTED_VALUE"""),"#N/A")</f>
        <v>#N/A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IFERROR(__xludf.DUMMYFUNCTION("""COMPUTED_VALUE"""),"Vinz Lazaro")</f>
        <v>Vinz Lazaro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IFERROR(__xludf.DUMMYFUNCTION("""COMPUTED_VALUE"""),"Admin Support")</f>
        <v>Admin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IFERROR(__xludf.DUMMYFUNCTION("""COMPUTED_VALUE"""),"AL Suarez")</f>
        <v>AL Suarez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IFERROR(__xludf.DUMMYFUNCTION("""COMPUTED_VALUE"""),"Admin Support")</f>
        <v>Admin Support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IFERROR(__xludf.DUMMYFUNCTION("""COMPUTED_VALUE"""),"Karla Mananghaya")</f>
        <v>Karla Mananghaya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IFERROR(__xludf.DUMMYFUNCTION("""COMPUTED_VALUE"""),"Admin Support")</f>
        <v>Admin Support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IFERROR(__xludf.DUMMYFUNCTION("""COMPUTED_VALUE"""),"Karla Mananghaya")</f>
        <v>Karla Mananghaya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IFERROR(__xludf.DUMMYFUNCTION("""COMPUTED_VALUE"""),"Vinz Lazaro")</f>
        <v>Vinz Lazaro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IFERROR(__xludf.DUMMYFUNCTION("""COMPUTED_VALUE"""),"Vinz Lazaro")</f>
        <v>Vinz Lazaro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IFERROR(__xludf.DUMMYFUNCTION("""COMPUTED_VALUE"""),"Vinz Lazaro")</f>
        <v>Vinz Lazaro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IFERROR(__xludf.DUMMYFUNCTION("""COMPUTED_VALUE"""),"Karla Mananghaya")</f>
        <v>Karla Mananghaya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IFERROR(__xludf.DUMMYFUNCTION("""COMPUTED_VALUE"""),"#N/A")</f>
        <v>#N/A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IFERROR(__xludf.DUMMYFUNCTION("""COMPUTED_VALUE"""),"#N/A")</f>
        <v>#N/A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IFERROR(__xludf.DUMMYFUNCTION("""COMPUTED_VALUE"""),"Vinz Lazaro")</f>
        <v>Vinz Lazaro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IFERROR(__xludf.DUMMYFUNCTION("""COMPUTED_VALUE"""),"Abi Villajoaquin")</f>
        <v>Abi Villajoaquin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IFERROR(__xludf.DUMMYFUNCTION("""COMPUTED_VALUE"""),"Rae Erlano")</f>
        <v>Rae Erlano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IFERROR(__xludf.DUMMYFUNCTION("""COMPUTED_VALUE"""),"Vinz Lazaro")</f>
        <v>Vinz Lazaro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IFERROR(__xludf.DUMMYFUNCTION("""COMPUTED_VALUE"""),"#N/A")</f>
        <v>#N/A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IFERROR(__xludf.DUMMYFUNCTION("""COMPUTED_VALUE"""),"#N/A")</f>
        <v>#N/A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IFERROR(__xludf.DUMMYFUNCTION("""COMPUTED_VALUE"""),"Vinz Lazaro")</f>
        <v>Vinz Lazaro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IFERROR(__xludf.DUMMYFUNCTION("""COMPUTED_VALUE"""),"Admin Support")</f>
        <v>Admin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IFERROR(__xludf.DUMMYFUNCTION("""COMPUTED_VALUE"""),"AL Suarez")</f>
        <v>AL Suarez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IFERROR(__xludf.DUMMYFUNCTION("""COMPUTED_VALUE"""),"Admin Support")</f>
        <v>Admin Support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IFERROR(__xludf.DUMMYFUNCTION("""COMPUTED_VALUE"""),"Karla Mananghaya")</f>
        <v>Karla Mananghaya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IFERROR(__xludf.DUMMYFUNCTION("""COMPUTED_VALUE"""),"Admin Support")</f>
        <v>Admin Support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IFERROR(__xludf.DUMMYFUNCTION("""COMPUTED_VALUE"""),"Karla Mananghaya")</f>
        <v>Karla Mananghaya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IFERROR(__xludf.DUMMYFUNCTION("""COMPUTED_VALUE"""),"Vinz Lazaro")</f>
        <v>Vinz Lazaro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IFERROR(__xludf.DUMMYFUNCTION("""COMPUTED_VALUE"""),"Vinz Lazaro")</f>
        <v>Vinz Lazaro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IFERROR(__xludf.DUMMYFUNCTION("""COMPUTED_VALUE"""),"Vinz Lazaro")</f>
        <v>Vinz Lazaro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IFERROR(__xludf.DUMMYFUNCTION("""COMPUTED_VALUE"""),"Karla Mananghaya")</f>
        <v>Karla Mananghaya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IFERROR(__xludf.DUMMYFUNCTION("""COMPUTED_VALUE"""),"#N/A")</f>
        <v>#N/A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IFERROR(__xludf.DUMMYFUNCTION("""COMPUTED_VALUE"""),"#N/A")</f>
        <v>#N/A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IFERROR(__xludf.DUMMYFUNCTION("""COMPUTED_VALUE"""),"Vinz Lazaro")</f>
        <v>Vinz Lazaro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IFERROR(__xludf.DUMMYFUNCTION("""COMPUTED_VALUE"""),"Rae Erlano")</f>
        <v>Rae Erlano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IFERROR(__xludf.DUMMYFUNCTION("""COMPUTED_VALUE"""),"Vinz Lazaro")</f>
        <v>Vinz Lazaro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IFERROR(__xludf.DUMMYFUNCTION("""COMPUTED_VALUE"""),"#N/A")</f>
        <v>#N/A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IFERROR(__xludf.DUMMYFUNCTION("""COMPUTED_VALUE"""),"#N/A")</f>
        <v>#N/A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IFERROR(__xludf.DUMMYFUNCTION("""COMPUTED_VALUE"""),"Vinz Lazaro")</f>
        <v>Vinz Lazaro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IFERROR(__xludf.DUMMYFUNCTION("""COMPUTED_VALUE"""),"Admin Support")</f>
        <v>Admin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IFERROR(__xludf.DUMMYFUNCTION("""COMPUTED_VALUE"""),"AL Suarez")</f>
        <v>AL Suarez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IFERROR(__xludf.DUMMYFUNCTION("""COMPUTED_VALUE"""),"Admin Support")</f>
        <v>Admin Support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IFERROR(__xludf.DUMMYFUNCTION("""COMPUTED_VALUE"""),"Karla Mananghaya")</f>
        <v>Karla Mananghaya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IFERROR(__xludf.DUMMYFUNCTION("""COMPUTED_VALUE"""),"Admin Support")</f>
        <v>Admin Support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IFERROR(__xludf.DUMMYFUNCTION("""COMPUTED_VALUE"""),"Karla Mananghaya")</f>
        <v>Karla Mananghaya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IFERROR(__xludf.DUMMYFUNCTION("""COMPUTED_VALUE"""),"Vinz Lazaro")</f>
        <v>Vinz Lazaro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IFERROR(__xludf.DUMMYFUNCTION("""COMPUTED_VALUE"""),"Vinz Lazaro")</f>
        <v>Vinz Lazaro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IFERROR(__xludf.DUMMYFUNCTION("""COMPUTED_VALUE"""),"Vinz Lazaro")</f>
        <v>Vinz Lazaro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IFERROR(__xludf.DUMMYFUNCTION("""COMPUTED_VALUE"""),"Karla Mananghaya")</f>
        <v>Karla Mananghaya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IFERROR(__xludf.DUMMYFUNCTION("""COMPUTED_VALUE"""),"#N/A")</f>
        <v>#N/A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IFERROR(__xludf.DUMMYFUNCTION("""COMPUTED_VALUE"""),"#N/A")</f>
        <v>#N/A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IFERROR(__xludf.DUMMYFUNCTION("""COMPUTED_VALUE"""),"Vinz Lazaro")</f>
        <v>Vinz Lazaro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IFERROR(__xludf.DUMMYFUNCTION("""COMPUTED_VALUE"""),"Rae Erlano")</f>
        <v>Rae Erlano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IFERROR(__xludf.DUMMYFUNCTION("""COMPUTED_VALUE"""),"Vinz Lazaro")</f>
        <v>Vinz Lazaro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IFERROR(__xludf.DUMMYFUNCTION("""COMPUTED_VALUE"""),"#N/A")</f>
        <v>#N/A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IFERROR(__xludf.DUMMYFUNCTION("""COMPUTED_VALUE"""),"#N/A")</f>
        <v>#N/A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IFERROR(__xludf.DUMMYFUNCTION("""COMPUTED_VALUE"""),"Vinz Lazaro")</f>
        <v>Vinz Lazaro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IFERROR(__xludf.DUMMYFUNCTION("""COMPUTED_VALUE"""),"Admin Support")</f>
        <v>Admin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IFERROR(__xludf.DUMMYFUNCTION("""COMPUTED_VALUE"""),"AL Suarez")</f>
        <v>AL Suarez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IFERROR(__xludf.DUMMYFUNCTION("""COMPUTED_VALUE"""),"Admin Support")</f>
        <v>Admin Support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IFERROR(__xludf.DUMMYFUNCTION("""COMPUTED_VALUE"""),"Karla Mananghaya")</f>
        <v>Karla Mananghaya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IFERROR(__xludf.DUMMYFUNCTION("""COMPUTED_VALUE"""),"Admin Support")</f>
        <v>Admin Support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IFERROR(__xludf.DUMMYFUNCTION("""COMPUTED_VALUE"""),"Karla Mananghaya")</f>
        <v>Karla Mananghaya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IFERROR(__xludf.DUMMYFUNCTION("""COMPUTED_VALUE"""),"Vinz Lazaro")</f>
        <v>Vinz Lazaro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IFERROR(__xludf.DUMMYFUNCTION("""COMPUTED_VALUE"""),"Vinz Lazaro")</f>
        <v>Vinz Lazaro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IFERROR(__xludf.DUMMYFUNCTION("""COMPUTED_VALUE"""),"Vinz Lazaro")</f>
        <v>Vinz Lazaro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IFERROR(__xludf.DUMMYFUNCTION("""COMPUTED_VALUE"""),"Karla Mananghaya")</f>
        <v>Karla Mananghaya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IFERROR(__xludf.DUMMYFUNCTION("""COMPUTED_VALUE"""),"#N/A")</f>
        <v>#N/A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IFERROR(__xludf.DUMMYFUNCTION("""COMPUTED_VALUE"""),"#N/A")</f>
        <v>#N/A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IFERROR(__xludf.DUMMYFUNCTION("""COMPUTED_VALUE"""),"Vinz Lazaro")</f>
        <v>Vinz Lazaro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IFERROR(__xludf.DUMMYFUNCTION("""COMPUTED_VALUE"""),"Rae Erlano")</f>
        <v>Rae Erlano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IFERROR(__xludf.DUMMYFUNCTION("""COMPUTED_VALUE"""),"Vinz Lazaro")</f>
        <v>Vinz Lazaro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IFERROR(__xludf.DUMMYFUNCTION("""COMPUTED_VALUE"""),"#N/A")</f>
        <v>#N/A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IFERROR(__xludf.DUMMYFUNCTION("""COMPUTED_VALUE"""),"#N/A")</f>
        <v>#N/A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IFERROR(__xludf.DUMMYFUNCTION("""COMPUTED_VALUE"""),"Agent Id")</f>
        <v>Agent Id</v>
      </c>
      <c r="P5630" s="1" t="str">
        <f>IFERROR(__xludf.DUMMYFUNCTION("""COMPUTED_VALUE"""),"Window End")</f>
        <v>Window End</v>
      </c>
      <c r="Q5630" s="1"/>
      <c r="R5630" s="1"/>
      <c r="S5630" s="1"/>
      <c r="T5630" s="1"/>
      <c r="U5630" s="3"/>
      <c r="V5630" s="1"/>
      <c r="W5630" s="1"/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IFERROR(__xludf.DUMMYFUNCTION("""COMPUTED_VALUE"""),"71cc12d6-81ad-4480-9557-ff6a318e3277")</f>
        <v>71cc12d6-81ad-4480-9557-ff6a318e3277</v>
      </c>
      <c r="P5631" s="1" t="str">
        <f>IFERROR(__xludf.DUMMYFUNCTION("""COMPUTED_VALUE"""),"2025-11-30T16:00:00Z")</f>
        <v>2025-11-30T16:00:00Z</v>
      </c>
      <c r="Q5631" s="1"/>
      <c r="R5631" s="1"/>
      <c r="S5631" s="1"/>
      <c r="T5631" s="1"/>
      <c r="U5631" s="3"/>
      <c r="V5631" s="1"/>
      <c r="W5631" s="1"/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IFERROR(__xludf.DUMMYFUNCTION("""COMPUTED_VALUE"""),"ed8e075f-7119-4833-8af3-4c353a3fdda1")</f>
        <v>ed8e075f-7119-4833-8af3-4c353a3fdda1</v>
      </c>
      <c r="P5632" s="1" t="str">
        <f>IFERROR(__xludf.DUMMYFUNCTION("""COMPUTED_VALUE"""),"2025-11-30T16:00:00Z")</f>
        <v>2025-11-30T16:00:00Z</v>
      </c>
      <c r="Q5632" s="1"/>
      <c r="R5632" s="1"/>
      <c r="S5632" s="1"/>
      <c r="T5632" s="1"/>
      <c r="U5632" s="3"/>
      <c r="V5632" s="1"/>
      <c r="W5632" s="1"/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IFERROR(__xludf.DUMMYFUNCTION("""COMPUTED_VALUE"""),"000279e3-fb19-4b90-a95c-080adc98c9aa")</f>
        <v>000279e3-fb19-4b90-a95c-080adc98c9aa</v>
      </c>
      <c r="P5633" s="1" t="str">
        <f>IFERROR(__xludf.DUMMYFUNCTION("""COMPUTED_VALUE"""),"2025-11-30T16:00:00Z")</f>
        <v>2025-11-30T16:00:00Z</v>
      </c>
      <c r="Q5633" s="1"/>
      <c r="R5633" s="1"/>
      <c r="S5633" s="1"/>
      <c r="T5633" s="1"/>
      <c r="U5633" s="3"/>
      <c r="V5633" s="1"/>
      <c r="W5633" s="1"/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IFERROR(__xludf.DUMMYFUNCTION("""COMPUTED_VALUE"""),"61035b18-fc2e-492c-ae7d-227048511bcf")</f>
        <v>61035b18-fc2e-492c-ae7d-227048511bcf</v>
      </c>
      <c r="P5634" s="1" t="str">
        <f>IFERROR(__xludf.DUMMYFUNCTION("""COMPUTED_VALUE"""),"2025-11-30T16:00:00Z")</f>
        <v>2025-11-30T16:00:00Z</v>
      </c>
      <c r="Q5634" s="1"/>
      <c r="R5634" s="1"/>
      <c r="S5634" s="1"/>
      <c r="T5634" s="1"/>
      <c r="U5634" s="3"/>
      <c r="V5634" s="1"/>
      <c r="W5634" s="1"/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IFERROR(__xludf.DUMMYFUNCTION("""COMPUTED_VALUE"""),"7f6e3175-f6cd-4a70-93aa-118856f83921")</f>
        <v>7f6e3175-f6cd-4a70-93aa-118856f83921</v>
      </c>
      <c r="P5635" s="1" t="str">
        <f>IFERROR(__xludf.DUMMYFUNCTION("""COMPUTED_VALUE"""),"2025-11-30T16:00:00Z")</f>
        <v>2025-11-30T16:00:00Z</v>
      </c>
      <c r="Q5635" s="1"/>
      <c r="R5635" s="1"/>
      <c r="S5635" s="1"/>
      <c r="T5635" s="1"/>
      <c r="U5635" s="3"/>
      <c r="V5635" s="1"/>
      <c r="W5635" s="1"/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  <c r="O5636" s="1" t="str">
        <f>IFERROR(__xludf.DUMMYFUNCTION("""COMPUTED_VALUE"""),"8941a42e-630f-4e32-ac1a-aa9495a2b319")</f>
        <v>8941a42e-630f-4e32-ac1a-aa9495a2b319</v>
      </c>
      <c r="P5636" s="1" t="str">
        <f>IFERROR(__xludf.DUMMYFUNCTION("""COMPUTED_VALUE"""),"2025-11-30T16:00:00Z")</f>
        <v>2025-11-30T16:00:00Z</v>
      </c>
      <c r="Q5636" s="1"/>
      <c r="R5636" s="1"/>
      <c r="S5636" s="1"/>
      <c r="T5636" s="1"/>
      <c r="U5636" s="3"/>
      <c r="V5636" s="1"/>
      <c r="W5636" s="1"/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  <c r="O5637" s="1" t="str">
        <f>IFERROR(__xludf.DUMMYFUNCTION("""COMPUTED_VALUE"""),"dfd09cbc-1248-47f6-96ff-bb4b2c38ce63")</f>
        <v>dfd09cbc-1248-47f6-96ff-bb4b2c38ce63</v>
      </c>
      <c r="P5637" s="1" t="str">
        <f>IFERROR(__xludf.DUMMYFUNCTION("""COMPUTED_VALUE"""),"2025-11-30T16:00:00Z")</f>
        <v>2025-11-30T16:00:00Z</v>
      </c>
      <c r="Q5637" s="1"/>
      <c r="R5637" s="1"/>
      <c r="S5637" s="1"/>
      <c r="T5637" s="1"/>
      <c r="U5637" s="3"/>
      <c r="V5637" s="1"/>
      <c r="W5637" s="1"/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  <c r="O5638" s="1" t="str">
        <f>IFERROR(__xludf.DUMMYFUNCTION("""COMPUTED_VALUE"""),"14ab0e6b-ba36-4083-a4df-79ae04c36179")</f>
        <v>14ab0e6b-ba36-4083-a4df-79ae04c36179</v>
      </c>
      <c r="P5638" s="1" t="str">
        <f>IFERROR(__xludf.DUMMYFUNCTION("""COMPUTED_VALUE"""),"2025-11-30T16:00:00Z")</f>
        <v>2025-11-30T16:00:00Z</v>
      </c>
      <c r="Q5638" s="1"/>
      <c r="R5638" s="1"/>
      <c r="S5638" s="1"/>
      <c r="T5638" s="1"/>
      <c r="U5638" s="3"/>
      <c r="V5638" s="1"/>
      <c r="W5638" s="1"/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  <c r="O5639" s="1" t="str">
        <f>IFERROR(__xludf.DUMMYFUNCTION("""COMPUTED_VALUE"""),"37c57b4f-487c-4c75-8926-0d22cc125dcf")</f>
        <v>37c57b4f-487c-4c75-8926-0d22cc125dcf</v>
      </c>
      <c r="P5639" s="1" t="str">
        <f>IFERROR(__xludf.DUMMYFUNCTION("""COMPUTED_VALUE"""),"2025-11-30T16:00:00Z")</f>
        <v>2025-11-30T16:00:00Z</v>
      </c>
      <c r="Q5639" s="1"/>
      <c r="R5639" s="1"/>
      <c r="S5639" s="1"/>
      <c r="T5639" s="1"/>
      <c r="U5639" s="3"/>
      <c r="V5639" s="1"/>
      <c r="W5639" s="1"/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  <c r="O5640" s="1" t="str">
        <f>IFERROR(__xludf.DUMMYFUNCTION("""COMPUTED_VALUE"""),"745adc44-2fda-43ea-bdcd-39c28e369ddc")</f>
        <v>745adc44-2fda-43ea-bdcd-39c28e369ddc</v>
      </c>
      <c r="P5640" s="1" t="str">
        <f>IFERROR(__xludf.DUMMYFUNCTION("""COMPUTED_VALUE"""),"2025-11-30T16:00:00Z")</f>
        <v>2025-11-30T16:00:00Z</v>
      </c>
      <c r="Q5640" s="1"/>
      <c r="R5640" s="1"/>
      <c r="S5640" s="1"/>
      <c r="T5640" s="1"/>
      <c r="U5640" s="3"/>
      <c r="V5640" s="1"/>
      <c r="W5640" s="1"/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  <c r="O5641" s="1" t="str">
        <f>IFERROR(__xludf.DUMMYFUNCTION("""COMPUTED_VALUE"""),"927a5402-ae70-4b86-aaa9-53819fb46700")</f>
        <v>927a5402-ae70-4b86-aaa9-53819fb46700</v>
      </c>
      <c r="P5641" s="1" t="str">
        <f>IFERROR(__xludf.DUMMYFUNCTION("""COMPUTED_VALUE"""),"2025-11-30T16:00:00Z")</f>
        <v>2025-11-30T16:00:00Z</v>
      </c>
      <c r="Q5641" s="1"/>
      <c r="R5641" s="1"/>
      <c r="S5641" s="1"/>
      <c r="T5641" s="1"/>
      <c r="U5641" s="3"/>
      <c r="V5641" s="1"/>
      <c r="W5641" s="1"/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  <c r="O5642" s="1" t="str">
        <f>IFERROR(__xludf.DUMMYFUNCTION("""COMPUTED_VALUE"""),"98326c76-87c9-4e59-a377-8cc144d863d0")</f>
        <v>98326c76-87c9-4e59-a377-8cc144d863d0</v>
      </c>
      <c r="P5642" s="1" t="str">
        <f>IFERROR(__xludf.DUMMYFUNCTION("""COMPUTED_VALUE"""),"2025-11-30T16:00:00Z")</f>
        <v>2025-11-30T16:00:00Z</v>
      </c>
      <c r="Q5642" s="1"/>
      <c r="R5642" s="1"/>
      <c r="S5642" s="1"/>
      <c r="T5642" s="1"/>
      <c r="U5642" s="3"/>
      <c r="V5642" s="1"/>
      <c r="W5642" s="1"/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  <c r="O5643" s="1" t="str">
        <f>IFERROR(__xludf.DUMMYFUNCTION("""COMPUTED_VALUE"""),"233133e3-a3d0-492d-bb55-8a7c4ffc4966")</f>
        <v>233133e3-a3d0-492d-bb55-8a7c4ffc4966</v>
      </c>
      <c r="P5643" s="1" t="str">
        <f>IFERROR(__xludf.DUMMYFUNCTION("""COMPUTED_VALUE"""),"2025-11-30T16:00:00Z")</f>
        <v>2025-11-30T16:00:00Z</v>
      </c>
      <c r="Q5643" s="1"/>
      <c r="R5643" s="1"/>
      <c r="S5643" s="1"/>
      <c r="T5643" s="1"/>
      <c r="U5643" s="3"/>
      <c r="V5643" s="1"/>
      <c r="W5643" s="1"/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  <c r="O5644" s="1" t="str">
        <f>IFERROR(__xludf.DUMMYFUNCTION("""COMPUTED_VALUE"""),"0dc0eea0-be83-425b-9b40-b42bc444972b")</f>
        <v>0dc0eea0-be83-425b-9b40-b42bc444972b</v>
      </c>
      <c r="P5644" s="1" t="str">
        <f>IFERROR(__xludf.DUMMYFUNCTION("""COMPUTED_VALUE"""),"2025-11-30T16:00:00Z")</f>
        <v>2025-11-30T16:00:00Z</v>
      </c>
      <c r="Q5644" s="1"/>
      <c r="R5644" s="1"/>
      <c r="S5644" s="1"/>
      <c r="T5644" s="1"/>
      <c r="U5644" s="3"/>
      <c r="V5644" s="1"/>
      <c r="W5644" s="1"/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  <c r="O5645" s="1" t="str">
        <f>IFERROR(__xludf.DUMMYFUNCTION("""COMPUTED_VALUE"""),"9721fddb-68a3-4642-ad70-9c123debd6c5")</f>
        <v>9721fddb-68a3-4642-ad70-9c123debd6c5</v>
      </c>
      <c r="P5645" s="1" t="str">
        <f>IFERROR(__xludf.DUMMYFUNCTION("""COMPUTED_VALUE"""),"2025-11-30T16:00:00Z")</f>
        <v>2025-11-30T16:00:00Z</v>
      </c>
      <c r="Q5645" s="1"/>
      <c r="R5645" s="1"/>
      <c r="S5645" s="1"/>
      <c r="T5645" s="1"/>
      <c r="U5645" s="3"/>
      <c r="V5645" s="1"/>
      <c r="W5645" s="1"/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  <c r="O5646" s="1" t="str">
        <f>IFERROR(__xludf.DUMMYFUNCTION("""COMPUTED_VALUE"""),"63913765-f42c-45e4-8f9a-eb96d52c2d61")</f>
        <v>63913765-f42c-45e4-8f9a-eb96d52c2d61</v>
      </c>
      <c r="P5646" s="1" t="str">
        <f>IFERROR(__xludf.DUMMYFUNCTION("""COMPUTED_VALUE"""),"2025-11-30T16:00:00Z")</f>
        <v>2025-11-30T16:00:00Z</v>
      </c>
      <c r="Q5646" s="1"/>
      <c r="R5646" s="1"/>
      <c r="S5646" s="1"/>
      <c r="T5646" s="1"/>
      <c r="U5646" s="3"/>
      <c r="V5646" s="1"/>
      <c r="W5646" s="1"/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  <c r="O5647" s="1" t="str">
        <f>IFERROR(__xludf.DUMMYFUNCTION("""COMPUTED_VALUE"""),"ab157f99-7ffd-4d9d-9c79-c3cf66911088")</f>
        <v>ab157f99-7ffd-4d9d-9c79-c3cf66911088</v>
      </c>
      <c r="P5647" s="1" t="str">
        <f>IFERROR(__xludf.DUMMYFUNCTION("""COMPUTED_VALUE"""),"2025-11-30T16:00:00Z")</f>
        <v>2025-11-30T16:00:00Z</v>
      </c>
      <c r="Q5647" s="1"/>
      <c r="R5647" s="1"/>
      <c r="S5647" s="1"/>
      <c r="T5647" s="1"/>
      <c r="U5647" s="3"/>
      <c r="V5647" s="1"/>
      <c r="W5647" s="1"/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  <c r="O5648" s="1" t="str">
        <f>IFERROR(__xludf.DUMMYFUNCTION("""COMPUTED_VALUE"""),"eb8376ed-4cf6-4826-b5fb-2b6844150189")</f>
        <v>eb8376ed-4cf6-4826-b5fb-2b6844150189</v>
      </c>
      <c r="P5648" s="1" t="str">
        <f>IFERROR(__xludf.DUMMYFUNCTION("""COMPUTED_VALUE"""),"2025-11-30T16:00:00Z")</f>
        <v>2025-11-30T16:00:00Z</v>
      </c>
      <c r="Q5648" s="1"/>
      <c r="R5648" s="1"/>
      <c r="S5648" s="1"/>
      <c r="T5648" s="1"/>
      <c r="U5648" s="3"/>
      <c r="V5648" s="1"/>
      <c r="W5648" s="1"/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  <c r="O5649" s="1" t="str">
        <f>IFERROR(__xludf.DUMMYFUNCTION("""COMPUTED_VALUE"""),"5f0cce5a-c29c-416c-a9e9-e7e3fa282c8a")</f>
        <v>5f0cce5a-c29c-416c-a9e9-e7e3fa282c8a</v>
      </c>
      <c r="P5649" s="1" t="str">
        <f>IFERROR(__xludf.DUMMYFUNCTION("""COMPUTED_VALUE"""),"2025-11-30T16:00:00Z")</f>
        <v>2025-11-30T16:00:00Z</v>
      </c>
      <c r="Q5649" s="1"/>
      <c r="R5649" s="1"/>
      <c r="S5649" s="1"/>
      <c r="T5649" s="1"/>
      <c r="U5649" s="3"/>
      <c r="V5649" s="1"/>
      <c r="W5649" s="1"/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  <c r="O5650" s="1" t="str">
        <f>IFERROR(__xludf.DUMMYFUNCTION("""COMPUTED_VALUE"""),"618f1bf8-5458-45df-85f7-93c4f29332f8")</f>
        <v>618f1bf8-5458-45df-85f7-93c4f29332f8</v>
      </c>
      <c r="P5650" s="1" t="str">
        <f>IFERROR(__xludf.DUMMYFUNCTION("""COMPUTED_VALUE"""),"2025-11-30T16:00:00Z")</f>
        <v>2025-11-30T16:00:00Z</v>
      </c>
      <c r="Q5650" s="1"/>
      <c r="R5650" s="1"/>
      <c r="S5650" s="1"/>
      <c r="T5650" s="1"/>
      <c r="U5650" s="3"/>
      <c r="V5650" s="1"/>
      <c r="W5650" s="1"/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  <c r="O5651" s="1" t="str">
        <f>IFERROR(__xludf.DUMMYFUNCTION("""COMPUTED_VALUE"""),"9e452879-93e7-461c-b1a1-1bd079930eb2")</f>
        <v>9e452879-93e7-461c-b1a1-1bd079930eb2</v>
      </c>
      <c r="P5651" s="1" t="str">
        <f>IFERROR(__xludf.DUMMYFUNCTION("""COMPUTED_VALUE"""),"2025-11-30T16:00:00Z")</f>
        <v>2025-11-30T16:00:00Z</v>
      </c>
      <c r="Q5651" s="1"/>
      <c r="R5651" s="1"/>
      <c r="S5651" s="1"/>
      <c r="T5651" s="1"/>
      <c r="U5651" s="3"/>
      <c r="V5651" s="1"/>
      <c r="W5651" s="1"/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  <c r="O5652" s="1" t="str">
        <f>IFERROR(__xludf.DUMMYFUNCTION("""COMPUTED_VALUE"""),"2a3cbb81-c61e-4e7d-8a9e-ed241403cd4d")</f>
        <v>2a3cbb81-c61e-4e7d-8a9e-ed241403cd4d</v>
      </c>
      <c r="P5652" s="1" t="str">
        <f>IFERROR(__xludf.DUMMYFUNCTION("""COMPUTED_VALUE"""),"2025-11-30T16:00:00Z")</f>
        <v>2025-11-30T16:00:00Z</v>
      </c>
      <c r="Q5652" s="1"/>
      <c r="R5652" s="1"/>
      <c r="S5652" s="1"/>
      <c r="T5652" s="1"/>
      <c r="U5652" s="3"/>
      <c r="V5652" s="1"/>
      <c r="W5652" s="1"/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  <c r="O5653" s="1" t="str">
        <f>IFERROR(__xludf.DUMMYFUNCTION("""COMPUTED_VALUE"""),"b9ec9518-1035-4039-9e89-56312867ff3e")</f>
        <v>b9ec9518-1035-4039-9e89-56312867ff3e</v>
      </c>
      <c r="P5653" s="1" t="str">
        <f>IFERROR(__xludf.DUMMYFUNCTION("""COMPUTED_VALUE"""),"2025-11-30T16:00:00Z")</f>
        <v>2025-11-30T16:00:00Z</v>
      </c>
      <c r="Q5653" s="1"/>
      <c r="R5653" s="1"/>
      <c r="S5653" s="1"/>
      <c r="T5653" s="1"/>
      <c r="U5653" s="3"/>
      <c r="V5653" s="1"/>
      <c r="W5653" s="1"/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  <c r="O5654" s="1" t="str">
        <f>IFERROR(__xludf.DUMMYFUNCTION("""COMPUTED_VALUE"""),"b80ae9d0-5920-40ea-8338-5b197b10c2ea")</f>
        <v>b80ae9d0-5920-40ea-8338-5b197b10c2ea</v>
      </c>
      <c r="P5654" s="1" t="str">
        <f>IFERROR(__xludf.DUMMYFUNCTION("""COMPUTED_VALUE"""),"2025-11-30T16:00:00Z")</f>
        <v>2025-11-30T16:00:00Z</v>
      </c>
      <c r="Q5654" s="1"/>
      <c r="R5654" s="1"/>
      <c r="S5654" s="1"/>
      <c r="T5654" s="1"/>
      <c r="U5654" s="3"/>
      <c r="V5654" s="1"/>
      <c r="W5654" s="1"/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  <c r="O5655" s="1" t="str">
        <f>IFERROR(__xludf.DUMMYFUNCTION("""COMPUTED_VALUE"""),"96960398-b413-404a-acdf-c9c07c7a947d")</f>
        <v>96960398-b413-404a-acdf-c9c07c7a947d</v>
      </c>
      <c r="P5655" s="1" t="str">
        <f>IFERROR(__xludf.DUMMYFUNCTION("""COMPUTED_VALUE"""),"2025-11-30T16:00:00Z")</f>
        <v>2025-11-30T16:00:00Z</v>
      </c>
      <c r="Q5655" s="1"/>
      <c r="R5655" s="1"/>
      <c r="S5655" s="1"/>
      <c r="T5655" s="1"/>
      <c r="U5655" s="3"/>
      <c r="V5655" s="1"/>
      <c r="W5655" s="1"/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  <c r="O5656" s="1" t="str">
        <f>IFERROR(__xludf.DUMMYFUNCTION("""COMPUTED_VALUE"""),"b85e88a5-e05e-4b99-8314-1a4152e7f993")</f>
        <v>b85e88a5-e05e-4b99-8314-1a4152e7f993</v>
      </c>
      <c r="P5656" s="1" t="str">
        <f>IFERROR(__xludf.DUMMYFUNCTION("""COMPUTED_VALUE"""),"2025-11-30T16:00:00Z")</f>
        <v>2025-11-30T16:00:00Z</v>
      </c>
      <c r="Q5656" s="1"/>
      <c r="R5656" s="1"/>
      <c r="S5656" s="1"/>
      <c r="T5656" s="1"/>
      <c r="U5656" s="3"/>
      <c r="V5656" s="1"/>
      <c r="W5656" s="1"/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  <c r="O5657" s="1" t="str">
        <f>IFERROR(__xludf.DUMMYFUNCTION("""COMPUTED_VALUE"""),"f734e8ae-d81c-444b-8238-0989a571ddfc")</f>
        <v>f734e8ae-d81c-444b-8238-0989a571ddfc</v>
      </c>
      <c r="P5657" s="1" t="str">
        <f>IFERROR(__xludf.DUMMYFUNCTION("""COMPUTED_VALUE"""),"2025-11-30T16:00:00Z")</f>
        <v>2025-11-30T16:00:00Z</v>
      </c>
      <c r="Q5657" s="1"/>
      <c r="R5657" s="1"/>
      <c r="S5657" s="1"/>
      <c r="T5657" s="1"/>
      <c r="U5657" s="3"/>
      <c r="V5657" s="1"/>
      <c r="W5657" s="1"/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  <c r="O5658" s="1" t="str">
        <f>IFERROR(__xludf.DUMMYFUNCTION("""COMPUTED_VALUE"""),"325d8c4b-104e-45b5-8c24-46aee9a25b01")</f>
        <v>325d8c4b-104e-45b5-8c24-46aee9a25b01</v>
      </c>
      <c r="P5658" s="1" t="str">
        <f>IFERROR(__xludf.DUMMYFUNCTION("""COMPUTED_VALUE"""),"2025-11-30T16:00:00Z")</f>
        <v>2025-11-30T16:00:00Z</v>
      </c>
      <c r="Q5658" s="1"/>
      <c r="R5658" s="1"/>
      <c r="S5658" s="1"/>
      <c r="T5658" s="1"/>
      <c r="U5658" s="3"/>
      <c r="V5658" s="1"/>
      <c r="W5658" s="1"/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  <c r="O5659" s="1" t="str">
        <f>IFERROR(__xludf.DUMMYFUNCTION("""COMPUTED_VALUE"""),"fb99a0f5-9812-4401-a668-2a1e7f339b55")</f>
        <v>fb99a0f5-9812-4401-a668-2a1e7f339b55</v>
      </c>
      <c r="P5659" s="1" t="str">
        <f>IFERROR(__xludf.DUMMYFUNCTION("""COMPUTED_VALUE"""),"2025-11-30T16:00:00Z")</f>
        <v>2025-11-30T16:00:00Z</v>
      </c>
      <c r="Q5659" s="1"/>
      <c r="R5659" s="1"/>
      <c r="S5659" s="1"/>
      <c r="T5659" s="1"/>
      <c r="U5659" s="3"/>
      <c r="V5659" s="1"/>
      <c r="W5659" s="1"/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  <c r="O5660" s="1" t="str">
        <f>IFERROR(__xludf.DUMMYFUNCTION("""COMPUTED_VALUE"""),"04f92121-45c6-497f-b19a-2be8f0398769")</f>
        <v>04f92121-45c6-497f-b19a-2be8f0398769</v>
      </c>
      <c r="P5660" s="1" t="str">
        <f>IFERROR(__xludf.DUMMYFUNCTION("""COMPUTED_VALUE"""),"2025-11-30T16:00:00Z")</f>
        <v>2025-11-30T16:00:00Z</v>
      </c>
      <c r="Q5660" s="1"/>
      <c r="R5660" s="1"/>
      <c r="S5660" s="1"/>
      <c r="T5660" s="1"/>
      <c r="U5660" s="3"/>
      <c r="V5660" s="1"/>
      <c r="W5660" s="1"/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  <c r="O5661" s="1" t="str">
        <f>IFERROR(__xludf.DUMMYFUNCTION("""COMPUTED_VALUE"""),"e17b2445-0df5-45ff-92fc-2f25188c336c")</f>
        <v>e17b2445-0df5-45ff-92fc-2f25188c336c</v>
      </c>
      <c r="P5661" s="1" t="str">
        <f>IFERROR(__xludf.DUMMYFUNCTION("""COMPUTED_VALUE"""),"2025-11-30T16:00:00Z")</f>
        <v>2025-11-30T16:00:00Z</v>
      </c>
      <c r="Q5661" s="1"/>
      <c r="R5661" s="1"/>
      <c r="S5661" s="1"/>
      <c r="T5661" s="1"/>
      <c r="U5661" s="3"/>
      <c r="V5661" s="1"/>
      <c r="W5661" s="1"/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  <c r="O5662" s="1" t="str">
        <f>IFERROR(__xludf.DUMMYFUNCTION("""COMPUTED_VALUE"""),"afe991ce-72f0-4a1b-ae15-865b9a416d53")</f>
        <v>afe991ce-72f0-4a1b-ae15-865b9a416d53</v>
      </c>
      <c r="P5662" s="1" t="str">
        <f>IFERROR(__xludf.DUMMYFUNCTION("""COMPUTED_VALUE"""),"2025-11-30T16:00:00Z")</f>
        <v>2025-11-30T16:00:00Z</v>
      </c>
      <c r="Q5662" s="1"/>
      <c r="R5662" s="1"/>
      <c r="S5662" s="1"/>
      <c r="T5662" s="1"/>
      <c r="U5662" s="3"/>
      <c r="V5662" s="1"/>
      <c r="W5662" s="1"/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  <c r="O5663" s="1" t="str">
        <f>IFERROR(__xludf.DUMMYFUNCTION("""COMPUTED_VALUE"""),"b0701057-db2b-4208-bb14-e0c4e8b8f1ee")</f>
        <v>b0701057-db2b-4208-bb14-e0c4e8b8f1ee</v>
      </c>
      <c r="P5663" s="1" t="str">
        <f>IFERROR(__xludf.DUMMYFUNCTION("""COMPUTED_VALUE"""),"2025-11-30T16:00:00Z")</f>
        <v>2025-11-30T16:00:00Z</v>
      </c>
      <c r="Q5663" s="1"/>
      <c r="R5663" s="1"/>
      <c r="S5663" s="1"/>
      <c r="T5663" s="1"/>
      <c r="U5663" s="3"/>
      <c r="V5663" s="1"/>
      <c r="W5663" s="1"/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  <c r="O5664" s="1" t="str">
        <f>IFERROR(__xludf.DUMMYFUNCTION("""COMPUTED_VALUE"""),"e49eb420-7bd7-4503-a1d0-35028e015e43")</f>
        <v>e49eb420-7bd7-4503-a1d0-35028e015e43</v>
      </c>
      <c r="P5664" s="1" t="str">
        <f>IFERROR(__xludf.DUMMYFUNCTION("""COMPUTED_VALUE"""),"2025-11-30T16:00:00Z")</f>
        <v>2025-11-30T16:00:00Z</v>
      </c>
      <c r="Q5664" s="1"/>
      <c r="R5664" s="1"/>
      <c r="S5664" s="1"/>
      <c r="T5664" s="1"/>
      <c r="U5664" s="3"/>
      <c r="V5664" s="1"/>
      <c r="W5664" s="1"/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  <c r="O5665" s="1" t="str">
        <f>IFERROR(__xludf.DUMMYFUNCTION("""COMPUTED_VALUE"""),"03a2ac9e-65a5-409e-851b-a4c93a003187")</f>
        <v>03a2ac9e-65a5-409e-851b-a4c93a003187</v>
      </c>
      <c r="P5665" s="1" t="str">
        <f>IFERROR(__xludf.DUMMYFUNCTION("""COMPUTED_VALUE"""),"2025-11-30T16:00:00Z")</f>
        <v>2025-11-30T16:00:00Z</v>
      </c>
      <c r="Q5665" s="1"/>
      <c r="R5665" s="1"/>
      <c r="S5665" s="1"/>
      <c r="T5665" s="1"/>
      <c r="U5665" s="3"/>
      <c r="V5665" s="1"/>
      <c r="W5665" s="1"/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  <c r="O5666" s="1" t="str">
        <f>IFERROR(__xludf.DUMMYFUNCTION("""COMPUTED_VALUE"""),"f7d8f8dd-7764-471d-8254-300956d0e1c6")</f>
        <v>f7d8f8dd-7764-471d-8254-300956d0e1c6</v>
      </c>
      <c r="P5666" s="1" t="str">
        <f>IFERROR(__xludf.DUMMYFUNCTION("""COMPUTED_VALUE"""),"2025-11-30T16:00:00Z")</f>
        <v>2025-11-30T16:00:00Z</v>
      </c>
      <c r="Q5666" s="1"/>
      <c r="R5666" s="1"/>
      <c r="S5666" s="1"/>
      <c r="T5666" s="1"/>
      <c r="U5666" s="3"/>
      <c r="V5666" s="1"/>
      <c r="W5666" s="1"/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  <c r="O5667" s="1" t="str">
        <f>IFERROR(__xludf.DUMMYFUNCTION("""COMPUTED_VALUE"""),"1309ddc0-c081-4df4-b17d-ed2c31b14169")</f>
        <v>1309ddc0-c081-4df4-b17d-ed2c31b14169</v>
      </c>
      <c r="P5667" s="1" t="str">
        <f>IFERROR(__xludf.DUMMYFUNCTION("""COMPUTED_VALUE"""),"2025-11-30T16:00:00Z")</f>
        <v>2025-11-30T16:00:00Z</v>
      </c>
      <c r="Q5667" s="1"/>
      <c r="R5667" s="1"/>
      <c r="S5667" s="1"/>
      <c r="T5667" s="1"/>
      <c r="U5667" s="3"/>
      <c r="V5667" s="1"/>
      <c r="W5667" s="1"/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  <c r="O5668" s="1" t="str">
        <f>IFERROR(__xludf.DUMMYFUNCTION("""COMPUTED_VALUE"""),"7cdd4051-dd81-4e04-a905-67a7a6826826")</f>
        <v>7cdd4051-dd81-4e04-a905-67a7a6826826</v>
      </c>
      <c r="P5668" s="1" t="str">
        <f>IFERROR(__xludf.DUMMYFUNCTION("""COMPUTED_VALUE"""),"2025-11-30T16:00:00Z")</f>
        <v>2025-11-30T16:00:00Z</v>
      </c>
      <c r="Q5668" s="1"/>
      <c r="R5668" s="1"/>
      <c r="S5668" s="1"/>
      <c r="T5668" s="1"/>
      <c r="U5668" s="3"/>
      <c r="V5668" s="1"/>
      <c r="W5668" s="1"/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  <c r="O5669" s="1" t="str">
        <f>IFERROR(__xludf.DUMMYFUNCTION("""COMPUTED_VALUE"""),"4829712e-df33-4828-83e5-b005d53d0ece")</f>
        <v>4829712e-df33-4828-83e5-b005d53d0ece</v>
      </c>
      <c r="P5669" s="1" t="str">
        <f>IFERROR(__xludf.DUMMYFUNCTION("""COMPUTED_VALUE"""),"2025-11-30T16:00:00Z")</f>
        <v>2025-11-30T16:00:00Z</v>
      </c>
      <c r="Q5669" s="1"/>
      <c r="R5669" s="1"/>
      <c r="S5669" s="1"/>
      <c r="T5669" s="1"/>
      <c r="U5669" s="3"/>
      <c r="V5669" s="1"/>
      <c r="W5669" s="1"/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  <c r="O5670" s="1" t="str">
        <f>IFERROR(__xludf.DUMMYFUNCTION("""COMPUTED_VALUE"""),"4bb09346-5fba-40f0-ac06-0b644e9a6f20")</f>
        <v>4bb09346-5fba-40f0-ac06-0b644e9a6f20</v>
      </c>
      <c r="P5670" s="1" t="str">
        <f>IFERROR(__xludf.DUMMYFUNCTION("""COMPUTED_VALUE"""),"2025-11-30T16:00:00Z")</f>
        <v>2025-11-30T16:00:00Z</v>
      </c>
      <c r="Q5670" s="1"/>
      <c r="R5670" s="1"/>
      <c r="S5670" s="1"/>
      <c r="T5670" s="1"/>
      <c r="U5670" s="3"/>
      <c r="V5670" s="1"/>
      <c r="W5670" s="1"/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  <c r="O5671" s="1" t="str">
        <f>IFERROR(__xludf.DUMMYFUNCTION("""COMPUTED_VALUE"""),"1eb2b14b-89e0-4d0c-8dba-b1677f4e689a")</f>
        <v>1eb2b14b-89e0-4d0c-8dba-b1677f4e689a</v>
      </c>
      <c r="P5671" s="1" t="str">
        <f>IFERROR(__xludf.DUMMYFUNCTION("""COMPUTED_VALUE"""),"2025-11-30T16:00:00Z")</f>
        <v>2025-11-30T16:00:00Z</v>
      </c>
      <c r="Q5671" s="1"/>
      <c r="R5671" s="1"/>
      <c r="S5671" s="1"/>
      <c r="T5671" s="1"/>
      <c r="U5671" s="3"/>
      <c r="V5671" s="1"/>
      <c r="W5671" s="1"/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  <c r="O5672" s="1" t="str">
        <f>IFERROR(__xludf.DUMMYFUNCTION("""COMPUTED_VALUE"""),"02cee4cb-14b3-4217-8b7d-887c2209a7df")</f>
        <v>02cee4cb-14b3-4217-8b7d-887c2209a7df</v>
      </c>
      <c r="P5672" s="1" t="str">
        <f>IFERROR(__xludf.DUMMYFUNCTION("""COMPUTED_VALUE"""),"2025-11-30T16:00:00Z")</f>
        <v>2025-11-30T16:00:00Z</v>
      </c>
      <c r="Q5672" s="1"/>
      <c r="R5672" s="1"/>
      <c r="S5672" s="1"/>
      <c r="T5672" s="1"/>
      <c r="U5672" s="3"/>
      <c r="V5672" s="1"/>
      <c r="W5672" s="1"/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  <c r="O5673" s="1" t="str">
        <f>IFERROR(__xludf.DUMMYFUNCTION("""COMPUTED_VALUE"""),"7b0ced0a-55fc-49e4-b47c-ffbf2567dce1")</f>
        <v>7b0ced0a-55fc-49e4-b47c-ffbf2567dce1</v>
      </c>
      <c r="P5673" s="1" t="str">
        <f>IFERROR(__xludf.DUMMYFUNCTION("""COMPUTED_VALUE"""),"2025-11-30T16:00:00Z")</f>
        <v>2025-11-30T16:00:00Z</v>
      </c>
      <c r="Q5673" s="1"/>
      <c r="R5673" s="1"/>
      <c r="S5673" s="1"/>
      <c r="T5673" s="1"/>
      <c r="U5673" s="3"/>
      <c r="V5673" s="1"/>
      <c r="W5673" s="1"/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  <c r="O5674" s="1" t="str">
        <f>IFERROR(__xludf.DUMMYFUNCTION("""COMPUTED_VALUE"""),"3d997536-cb7f-49c5-af3e-e19fdf30bffc")</f>
        <v>3d997536-cb7f-49c5-af3e-e19fdf30bffc</v>
      </c>
      <c r="P5674" s="1" t="str">
        <f>IFERROR(__xludf.DUMMYFUNCTION("""COMPUTED_VALUE"""),"2025-11-30T16:00:00Z")</f>
        <v>2025-11-30T16:00:00Z</v>
      </c>
      <c r="Q5674" s="1"/>
      <c r="R5674" s="1"/>
      <c r="S5674" s="1"/>
      <c r="T5674" s="1"/>
      <c r="U5674" s="3"/>
      <c r="V5674" s="1"/>
      <c r="W5674" s="1"/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  <c r="O5675" s="1" t="str">
        <f>IFERROR(__xludf.DUMMYFUNCTION("""COMPUTED_VALUE"""),"c7dd845d-4621-4bea-affd-b79e038f7157")</f>
        <v>c7dd845d-4621-4bea-affd-b79e038f7157</v>
      </c>
      <c r="P5675" s="1" t="str">
        <f>IFERROR(__xludf.DUMMYFUNCTION("""COMPUTED_VALUE"""),"2025-11-30T16:00:00Z")</f>
        <v>2025-11-30T16:00:00Z</v>
      </c>
      <c r="Q5675" s="1"/>
      <c r="R5675" s="1"/>
      <c r="S5675" s="1"/>
      <c r="T5675" s="1"/>
      <c r="U5675" s="3"/>
      <c r="V5675" s="1"/>
      <c r="W5675" s="1"/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  <c r="O5676" s="1" t="str">
        <f>IFERROR(__xludf.DUMMYFUNCTION("""COMPUTED_VALUE"""),"2f47c76e-714d-4a76-a0f8-309c2f542347")</f>
        <v>2f47c76e-714d-4a76-a0f8-309c2f542347</v>
      </c>
      <c r="P5676" s="1" t="str">
        <f>IFERROR(__xludf.DUMMYFUNCTION("""COMPUTED_VALUE"""),"2025-11-30T16:00:00Z")</f>
        <v>2025-11-30T16:00:00Z</v>
      </c>
      <c r="Q5676" s="1"/>
      <c r="R5676" s="1"/>
      <c r="S5676" s="1"/>
      <c r="T5676" s="1"/>
      <c r="U5676" s="3"/>
      <c r="V5676" s="1"/>
      <c r="W5676" s="1"/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  <c r="O5677" s="1" t="str">
        <f>IFERROR(__xludf.DUMMYFUNCTION("""COMPUTED_VALUE"""),"7e09e164-9198-4707-9738-44a04cc51b7c")</f>
        <v>7e09e164-9198-4707-9738-44a04cc51b7c</v>
      </c>
      <c r="P5677" s="1" t="str">
        <f>IFERROR(__xludf.DUMMYFUNCTION("""COMPUTED_VALUE"""),"2025-11-30T16:00:00Z")</f>
        <v>2025-11-30T16:00:00Z</v>
      </c>
      <c r="Q5677" s="1"/>
      <c r="R5677" s="1"/>
      <c r="S5677" s="1"/>
      <c r="T5677" s="1"/>
      <c r="U5677" s="3"/>
      <c r="V5677" s="1"/>
      <c r="W5677" s="1"/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  <c r="O5678" s="1" t="str">
        <f>IFERROR(__xludf.DUMMYFUNCTION("""COMPUTED_VALUE"""),"a75c3ed6-de83-40cb-ad3d-ac0eaa323ceb")</f>
        <v>a75c3ed6-de83-40cb-ad3d-ac0eaa323ceb</v>
      </c>
      <c r="P5678" s="1" t="str">
        <f>IFERROR(__xludf.DUMMYFUNCTION("""COMPUTED_VALUE"""),"2025-11-30T16:00:00Z")</f>
        <v>2025-11-30T16:00:00Z</v>
      </c>
      <c r="Q5678" s="1"/>
      <c r="R5678" s="1"/>
      <c r="S5678" s="1"/>
      <c r="T5678" s="1"/>
      <c r="U5678" s="3"/>
      <c r="V5678" s="1"/>
      <c r="W5678" s="1"/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  <c r="O5679" s="1" t="str">
        <f>IFERROR(__xludf.DUMMYFUNCTION("""COMPUTED_VALUE"""),"5edc36fa-9df2-47e0-bbda-2c0b5a323efc")</f>
        <v>5edc36fa-9df2-47e0-bbda-2c0b5a323efc</v>
      </c>
      <c r="P5679" s="1" t="str">
        <f>IFERROR(__xludf.DUMMYFUNCTION("""COMPUTED_VALUE"""),"2025-11-30T16:00:00Z")</f>
        <v>2025-11-30T16:00:00Z</v>
      </c>
      <c r="Q5679" s="1"/>
      <c r="R5679" s="1"/>
      <c r="S5679" s="1"/>
      <c r="T5679" s="1"/>
      <c r="U5679" s="3"/>
      <c r="V5679" s="1"/>
      <c r="W5679" s="1"/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  <c r="O5680" s="1" t="str">
        <f>IFERROR(__xludf.DUMMYFUNCTION("""COMPUTED_VALUE"""),"19c32062-e149-4a3e-82ea-708be4d86c06")</f>
        <v>19c32062-e149-4a3e-82ea-708be4d86c06</v>
      </c>
      <c r="P5680" s="1" t="str">
        <f>IFERROR(__xludf.DUMMYFUNCTION("""COMPUTED_VALUE"""),"2025-11-30T16:00:00Z")</f>
        <v>2025-11-30T16:00:00Z</v>
      </c>
      <c r="Q5680" s="1"/>
      <c r="R5680" s="1"/>
      <c r="S5680" s="1"/>
      <c r="T5680" s="1"/>
      <c r="U5680" s="3"/>
      <c r="V5680" s="1"/>
      <c r="W5680" s="1"/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  <c r="O5681" s="1" t="str">
        <f>IFERROR(__xludf.DUMMYFUNCTION("""COMPUTED_VALUE"""),"5efa61d3-4fd2-4d01-a492-e08cab6832f9")</f>
        <v>5efa61d3-4fd2-4d01-a492-e08cab6832f9</v>
      </c>
      <c r="P5681" s="1" t="str">
        <f>IFERROR(__xludf.DUMMYFUNCTION("""COMPUTED_VALUE"""),"2025-11-30T16:00:00Z")</f>
        <v>2025-11-30T16:00:00Z</v>
      </c>
      <c r="Q5681" s="1"/>
      <c r="R5681" s="1"/>
      <c r="S5681" s="1"/>
      <c r="T5681" s="1"/>
      <c r="U5681" s="3"/>
      <c r="V5681" s="1"/>
      <c r="W5681" s="1"/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  <c r="O5682" s="1" t="str">
        <f>IFERROR(__xludf.DUMMYFUNCTION("""COMPUTED_VALUE"""),"1990c5cb-0154-48ce-9bac-f303f8b99ef1")</f>
        <v>1990c5cb-0154-48ce-9bac-f303f8b99ef1</v>
      </c>
      <c r="P5682" s="1" t="str">
        <f>IFERROR(__xludf.DUMMYFUNCTION("""COMPUTED_VALUE"""),"2025-11-30T16:00:00Z")</f>
        <v>2025-11-30T16:00:00Z</v>
      </c>
      <c r="Q5682" s="1"/>
      <c r="R5682" s="1"/>
      <c r="S5682" s="1"/>
      <c r="T5682" s="1"/>
      <c r="U5682" s="3"/>
      <c r="V5682" s="1"/>
      <c r="W5682" s="1"/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  <c r="O5683" s="1" t="str">
        <f>IFERROR(__xludf.DUMMYFUNCTION("""COMPUTED_VALUE"""),"1ee13beb-f5ac-4c80-bcfb-9f0dc190fe68")</f>
        <v>1ee13beb-f5ac-4c80-bcfb-9f0dc190fe68</v>
      </c>
      <c r="P5683" s="1" t="str">
        <f>IFERROR(__xludf.DUMMYFUNCTION("""COMPUTED_VALUE"""),"2025-11-30T16:00:00Z")</f>
        <v>2025-11-30T16:00:00Z</v>
      </c>
      <c r="Q5683" s="1"/>
      <c r="R5683" s="1"/>
      <c r="S5683" s="1"/>
      <c r="T5683" s="1"/>
      <c r="U5683" s="3"/>
      <c r="V5683" s="1"/>
      <c r="W5683" s="1"/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  <c r="O5684" s="1" t="str">
        <f>IFERROR(__xludf.DUMMYFUNCTION("""COMPUTED_VALUE"""),"d625e596-8198-45f9-94ea-d04d6f6a8b27")</f>
        <v>d625e596-8198-45f9-94ea-d04d6f6a8b27</v>
      </c>
      <c r="P5684" s="1" t="str">
        <f>IFERROR(__xludf.DUMMYFUNCTION("""COMPUTED_VALUE"""),"2025-11-30T16:00:00Z")</f>
        <v>2025-11-30T16:00:00Z</v>
      </c>
      <c r="Q5684" s="1"/>
      <c r="R5684" s="1"/>
      <c r="S5684" s="1"/>
      <c r="T5684" s="1"/>
      <c r="U5684" s="3"/>
      <c r="V5684" s="1"/>
      <c r="W5684" s="1"/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  <c r="O5685" s="1" t="str">
        <f>IFERROR(__xludf.DUMMYFUNCTION("""COMPUTED_VALUE"""),"c9fa58e5-ccb3-4c72-a2e7-5a6fc2210b69")</f>
        <v>c9fa58e5-ccb3-4c72-a2e7-5a6fc2210b69</v>
      </c>
      <c r="P5685" s="1" t="str">
        <f>IFERROR(__xludf.DUMMYFUNCTION("""COMPUTED_VALUE"""),"2025-11-30T16:00:00Z")</f>
        <v>2025-11-30T16:00:00Z</v>
      </c>
      <c r="Q5685" s="1"/>
      <c r="R5685" s="1"/>
      <c r="S5685" s="1"/>
      <c r="T5685" s="1"/>
      <c r="U5685" s="3"/>
      <c r="V5685" s="1"/>
      <c r="W5685" s="1"/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  <c r="O5686" s="1" t="str">
        <f>IFERROR(__xludf.DUMMYFUNCTION("""COMPUTED_VALUE"""),"6695b35c-7a53-4eb2-bcfc-9808f8e07dd8")</f>
        <v>6695b35c-7a53-4eb2-bcfc-9808f8e07dd8</v>
      </c>
      <c r="P5686" s="1" t="str">
        <f>IFERROR(__xludf.DUMMYFUNCTION("""COMPUTED_VALUE"""),"2025-11-30T16:00:00Z")</f>
        <v>2025-11-30T16:00:00Z</v>
      </c>
      <c r="Q5686" s="1"/>
      <c r="R5686" s="1"/>
      <c r="S5686" s="1"/>
      <c r="T5686" s="1"/>
      <c r="U5686" s="3"/>
      <c r="V5686" s="1"/>
      <c r="W5686" s="1"/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  <c r="O5687" s="1" t="str">
        <f>IFERROR(__xludf.DUMMYFUNCTION("""COMPUTED_VALUE"""),"a460fd1a-1ef6-4034-a4ca-14a4c4765f42")</f>
        <v>a460fd1a-1ef6-4034-a4ca-14a4c4765f42</v>
      </c>
      <c r="P5687" s="1" t="str">
        <f>IFERROR(__xludf.DUMMYFUNCTION("""COMPUTED_VALUE"""),"2025-11-30T16:00:00Z")</f>
        <v>2025-11-30T16:00:00Z</v>
      </c>
      <c r="Q5687" s="1"/>
      <c r="R5687" s="1"/>
      <c r="S5687" s="1"/>
      <c r="T5687" s="1"/>
      <c r="U5687" s="3"/>
      <c r="V5687" s="1"/>
      <c r="W5687" s="1"/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  <c r="O5688" s="1" t="str">
        <f>IFERROR(__xludf.DUMMYFUNCTION("""COMPUTED_VALUE"""),"2ffdab50-ba8e-4ff1-a8d9-e609f47d6cbd")</f>
        <v>2ffdab50-ba8e-4ff1-a8d9-e609f47d6cbd</v>
      </c>
      <c r="P5688" s="1" t="str">
        <f>IFERROR(__xludf.DUMMYFUNCTION("""COMPUTED_VALUE"""),"2025-11-30T16:00:00Z")</f>
        <v>2025-11-30T16:00:00Z</v>
      </c>
      <c r="Q5688" s="1"/>
      <c r="R5688" s="1"/>
      <c r="S5688" s="1"/>
      <c r="T5688" s="1"/>
      <c r="U5688" s="3"/>
      <c r="V5688" s="1"/>
      <c r="W5688" s="1"/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  <c r="O5689" s="1" t="str">
        <f>IFERROR(__xludf.DUMMYFUNCTION("""COMPUTED_VALUE"""),"53c72618-3bf9-4bcf-adf4-39677fd20e1f")</f>
        <v>53c72618-3bf9-4bcf-adf4-39677fd20e1f</v>
      </c>
      <c r="P5689" s="1" t="str">
        <f>IFERROR(__xludf.DUMMYFUNCTION("""COMPUTED_VALUE"""),"2025-11-30T16:00:00Z")</f>
        <v>2025-11-30T16:00:00Z</v>
      </c>
      <c r="Q5689" s="1"/>
      <c r="R5689" s="1"/>
      <c r="S5689" s="1"/>
      <c r="T5689" s="1"/>
      <c r="U5689" s="3"/>
      <c r="V5689" s="1"/>
      <c r="W5689" s="1"/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  <c r="O5690" s="1" t="str">
        <f>IFERROR(__xludf.DUMMYFUNCTION("""COMPUTED_VALUE"""),"08e80e21-5eab-4b4f-bd2a-c3d833caa4fc")</f>
        <v>08e80e21-5eab-4b4f-bd2a-c3d833caa4fc</v>
      </c>
      <c r="P5690" s="1" t="str">
        <f>IFERROR(__xludf.DUMMYFUNCTION("""COMPUTED_VALUE"""),"2025-11-30T16:00:00Z")</f>
        <v>2025-11-30T16:00:00Z</v>
      </c>
      <c r="Q5690" s="1"/>
      <c r="R5690" s="1"/>
      <c r="S5690" s="1"/>
      <c r="T5690" s="1"/>
      <c r="U5690" s="3"/>
      <c r="V5690" s="1"/>
      <c r="W5690" s="1"/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  <c r="O5691" s="1" t="str">
        <f>IFERROR(__xludf.DUMMYFUNCTION("""COMPUTED_VALUE"""),"41e73ce2-bda5-4412-b2d5-381b4a0a0fdd")</f>
        <v>41e73ce2-bda5-4412-b2d5-381b4a0a0fdd</v>
      </c>
      <c r="P5691" s="1" t="str">
        <f>IFERROR(__xludf.DUMMYFUNCTION("""COMPUTED_VALUE"""),"2025-11-30T16:00:00Z")</f>
        <v>2025-11-30T16:00:00Z</v>
      </c>
      <c r="Q5691" s="1"/>
      <c r="R5691" s="1"/>
      <c r="S5691" s="1"/>
      <c r="T5691" s="1"/>
      <c r="U5691" s="3"/>
      <c r="V5691" s="1"/>
      <c r="W5691" s="1"/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  <c r="O5692" s="1" t="str">
        <f>IFERROR(__xludf.DUMMYFUNCTION("""COMPUTED_VALUE"""),"a8e62322-b2dc-4c8a-842a-2a259dac6528")</f>
        <v>a8e62322-b2dc-4c8a-842a-2a259dac6528</v>
      </c>
      <c r="P5692" s="1" t="str">
        <f>IFERROR(__xludf.DUMMYFUNCTION("""COMPUTED_VALUE"""),"2025-11-30T16:00:00Z")</f>
        <v>2025-11-30T16:00:00Z</v>
      </c>
      <c r="Q5692" s="1"/>
      <c r="R5692" s="1"/>
      <c r="S5692" s="1"/>
      <c r="T5692" s="1"/>
      <c r="U5692" s="3"/>
      <c r="V5692" s="1"/>
      <c r="W5692" s="1"/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  <c r="O5693" s="1" t="str">
        <f>IFERROR(__xludf.DUMMYFUNCTION("""COMPUTED_VALUE"""),"ab14ac10-6fdd-4acd-92a0-afc53948f957")</f>
        <v>ab14ac10-6fdd-4acd-92a0-afc53948f957</v>
      </c>
      <c r="P5693" s="1" t="str">
        <f>IFERROR(__xludf.DUMMYFUNCTION("""COMPUTED_VALUE"""),"2025-11-30T16:00:00Z")</f>
        <v>2025-11-30T16:00:00Z</v>
      </c>
      <c r="Q5693" s="1"/>
      <c r="R5693" s="1"/>
      <c r="S5693" s="1"/>
      <c r="T5693" s="1"/>
      <c r="U5693" s="3"/>
      <c r="V5693" s="1"/>
      <c r="W5693" s="1"/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  <c r="O5694" s="1" t="str">
        <f>IFERROR(__xludf.DUMMYFUNCTION("""COMPUTED_VALUE"""),"b3a312bb-80a6-4404-a83b-85b5d7be9789")</f>
        <v>b3a312bb-80a6-4404-a83b-85b5d7be9789</v>
      </c>
      <c r="P5694" s="1" t="str">
        <f>IFERROR(__xludf.DUMMYFUNCTION("""COMPUTED_VALUE"""),"2025-11-30T16:00:00Z")</f>
        <v>2025-11-30T16:00:00Z</v>
      </c>
      <c r="Q5694" s="1"/>
      <c r="R5694" s="1"/>
      <c r="S5694" s="1"/>
      <c r="T5694" s="1"/>
      <c r="U5694" s="3"/>
      <c r="V5694" s="1"/>
      <c r="W5694" s="1"/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  <c r="O5695" s="1" t="str">
        <f>IFERROR(__xludf.DUMMYFUNCTION("""COMPUTED_VALUE"""),"c820bf34-a16a-4ab5-afca-78d6c71226e3")</f>
        <v>c820bf34-a16a-4ab5-afca-78d6c71226e3</v>
      </c>
      <c r="P5695" s="1" t="str">
        <f>IFERROR(__xludf.DUMMYFUNCTION("""COMPUTED_VALUE"""),"2025-11-30T16:00:00Z")</f>
        <v>2025-11-30T16:00:00Z</v>
      </c>
      <c r="Q5695" s="1"/>
      <c r="R5695" s="1"/>
      <c r="S5695" s="1"/>
      <c r="T5695" s="1"/>
      <c r="U5695" s="3"/>
      <c r="V5695" s="1"/>
      <c r="W5695" s="1"/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  <c r="O5696" s="1" t="str">
        <f>IFERROR(__xludf.DUMMYFUNCTION("""COMPUTED_VALUE"""),"283e2e77-f88a-4efa-b94d-fff3a66e663f")</f>
        <v>283e2e77-f88a-4efa-b94d-fff3a66e663f</v>
      </c>
      <c r="P5696" s="1" t="str">
        <f>IFERROR(__xludf.DUMMYFUNCTION("""COMPUTED_VALUE"""),"2025-11-30T16:00:00Z")</f>
        <v>2025-11-30T16:00:00Z</v>
      </c>
      <c r="Q5696" s="1"/>
      <c r="R5696" s="1"/>
      <c r="S5696" s="1"/>
      <c r="T5696" s="1"/>
      <c r="U5696" s="3"/>
      <c r="V5696" s="1"/>
      <c r="W5696" s="1"/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  <c r="O5697" s="1" t="str">
        <f>IFERROR(__xludf.DUMMYFUNCTION("""COMPUTED_VALUE"""),"759bff0c-8571-44a6-ac6a-7e74510a6a62")</f>
        <v>759bff0c-8571-44a6-ac6a-7e74510a6a62</v>
      </c>
      <c r="P5697" s="1" t="str">
        <f>IFERROR(__xludf.DUMMYFUNCTION("""COMPUTED_VALUE"""),"2025-11-30T16:00:00Z")</f>
        <v>2025-11-30T16:00:00Z</v>
      </c>
      <c r="Q5697" s="1"/>
      <c r="R5697" s="1"/>
      <c r="S5697" s="1"/>
      <c r="T5697" s="1"/>
      <c r="U5697" s="3"/>
      <c r="V5697" s="1"/>
      <c r="W5697" s="1"/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  <c r="O5698" s="1" t="str">
        <f>IFERROR(__xludf.DUMMYFUNCTION("""COMPUTED_VALUE"""),"435dbe60-cec1-4cb2-b1d3-b030b9d41646")</f>
        <v>435dbe60-cec1-4cb2-b1d3-b030b9d41646</v>
      </c>
      <c r="P5698" s="1" t="str">
        <f>IFERROR(__xludf.DUMMYFUNCTION("""COMPUTED_VALUE"""),"2025-11-30T16:00:00Z")</f>
        <v>2025-11-30T16:00:00Z</v>
      </c>
      <c r="Q5698" s="1"/>
      <c r="R5698" s="1"/>
      <c r="S5698" s="1"/>
      <c r="T5698" s="1"/>
      <c r="U5698" s="3"/>
      <c r="V5698" s="1"/>
      <c r="W5698" s="1"/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  <c r="O5699" s="1" t="str">
        <f>IFERROR(__xludf.DUMMYFUNCTION("""COMPUTED_VALUE"""),"d49e1c15-2cd1-4e35-9b3a-8acda7c42425")</f>
        <v>d49e1c15-2cd1-4e35-9b3a-8acda7c42425</v>
      </c>
      <c r="P5699" s="1" t="str">
        <f>IFERROR(__xludf.DUMMYFUNCTION("""COMPUTED_VALUE"""),"2025-11-30T16:00:00Z")</f>
        <v>2025-11-30T16:00:00Z</v>
      </c>
      <c r="Q5699" s="1"/>
      <c r="R5699" s="1"/>
      <c r="S5699" s="1"/>
      <c r="T5699" s="1"/>
      <c r="U5699" s="3"/>
      <c r="V5699" s="1"/>
      <c r="W5699" s="1"/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  <c r="O5700" s="1" t="str">
        <f>IFERROR(__xludf.DUMMYFUNCTION("""COMPUTED_VALUE"""),"273af0e8-ae9e-4171-b68c-6f2448bbd29f")</f>
        <v>273af0e8-ae9e-4171-b68c-6f2448bbd29f</v>
      </c>
      <c r="P5700" s="1" t="str">
        <f>IFERROR(__xludf.DUMMYFUNCTION("""COMPUTED_VALUE"""),"2025-11-30T16:00:00Z")</f>
        <v>2025-11-30T16:00:00Z</v>
      </c>
      <c r="Q5700" s="1"/>
      <c r="R5700" s="1"/>
      <c r="S5700" s="1"/>
      <c r="T5700" s="1"/>
      <c r="U5700" s="3"/>
      <c r="V5700" s="1"/>
      <c r="W5700" s="1"/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  <c r="O5701" s="1" t="str">
        <f>IFERROR(__xludf.DUMMYFUNCTION("""COMPUTED_VALUE"""),"d497a055-f2f2-4063-8890-6c9684355e4c")</f>
        <v>d497a055-f2f2-4063-8890-6c9684355e4c</v>
      </c>
      <c r="P5701" s="1" t="str">
        <f>IFERROR(__xludf.DUMMYFUNCTION("""COMPUTED_VALUE"""),"2025-11-30T16:00:00Z")</f>
        <v>2025-11-30T16:00:00Z</v>
      </c>
      <c r="Q5701" s="1"/>
      <c r="R5701" s="1"/>
      <c r="S5701" s="1"/>
      <c r="T5701" s="1"/>
      <c r="U5701" s="3"/>
      <c r="V5701" s="1"/>
      <c r="W5701" s="1"/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  <c r="O5702" s="1" t="str">
        <f>IFERROR(__xludf.DUMMYFUNCTION("""COMPUTED_VALUE"""),"725213c8-63bc-41f4-927e-adac2805ced0")</f>
        <v>725213c8-63bc-41f4-927e-adac2805ced0</v>
      </c>
      <c r="P5702" s="1" t="str">
        <f>IFERROR(__xludf.DUMMYFUNCTION("""COMPUTED_VALUE"""),"2025-11-30T16:00:00Z")</f>
        <v>2025-11-30T16:00:00Z</v>
      </c>
      <c r="Q5702" s="1"/>
      <c r="R5702" s="1"/>
      <c r="S5702" s="1"/>
      <c r="T5702" s="1"/>
      <c r="U5702" s="3"/>
      <c r="V5702" s="1"/>
      <c r="W5702" s="1"/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  <c r="O5703" s="1" t="str">
        <f>IFERROR(__xludf.DUMMYFUNCTION("""COMPUTED_VALUE"""),"adc14770-23af-4d9e-965d-0e955af819e0")</f>
        <v>adc14770-23af-4d9e-965d-0e955af819e0</v>
      </c>
      <c r="P5703" s="1" t="str">
        <f>IFERROR(__xludf.DUMMYFUNCTION("""COMPUTED_VALUE"""),"2025-11-30T16:00:00Z")</f>
        <v>2025-11-30T16:00:00Z</v>
      </c>
      <c r="Q5703" s="1"/>
      <c r="R5703" s="1"/>
      <c r="S5703" s="1"/>
      <c r="T5703" s="1"/>
      <c r="U5703" s="3"/>
      <c r="V5703" s="1"/>
      <c r="W5703" s="1"/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  <c r="O5704" s="1" t="str">
        <f>IFERROR(__xludf.DUMMYFUNCTION("""COMPUTED_VALUE"""),"d9cfc12e-6b04-430c-bb3b-22b9d67ee77c")</f>
        <v>d9cfc12e-6b04-430c-bb3b-22b9d67ee77c</v>
      </c>
      <c r="P5704" s="1" t="str">
        <f>IFERROR(__xludf.DUMMYFUNCTION("""COMPUTED_VALUE"""),"2025-11-30T16:00:00Z")</f>
        <v>2025-11-30T16:00:00Z</v>
      </c>
      <c r="Q5704" s="1"/>
      <c r="R5704" s="1"/>
      <c r="S5704" s="1"/>
      <c r="T5704" s="1"/>
      <c r="U5704" s="3"/>
      <c r="V5704" s="1"/>
      <c r="W5704" s="1"/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  <c r="O5705" s="1" t="str">
        <f>IFERROR(__xludf.DUMMYFUNCTION("""COMPUTED_VALUE"""),"d5b38678-ef33-449e-a4d3-7a7a69f2f5cb")</f>
        <v>d5b38678-ef33-449e-a4d3-7a7a69f2f5cb</v>
      </c>
      <c r="P5705" s="1" t="str">
        <f>IFERROR(__xludf.DUMMYFUNCTION("""COMPUTED_VALUE"""),"2025-11-30T16:00:00Z")</f>
        <v>2025-11-30T16:00:00Z</v>
      </c>
      <c r="Q5705" s="1"/>
      <c r="R5705" s="1"/>
      <c r="S5705" s="1"/>
      <c r="T5705" s="1"/>
      <c r="U5705" s="3"/>
      <c r="V5705" s="1"/>
      <c r="W5705" s="1"/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  <c r="O5706" s="1" t="str">
        <f>IFERROR(__xludf.DUMMYFUNCTION("""COMPUTED_VALUE"""),"65280774-7b68-4e6a-9312-4389148cbc01")</f>
        <v>65280774-7b68-4e6a-9312-4389148cbc01</v>
      </c>
      <c r="P5706" s="1" t="str">
        <f>IFERROR(__xludf.DUMMYFUNCTION("""COMPUTED_VALUE"""),"2025-11-30T16:00:00Z")</f>
        <v>2025-11-30T16:00:00Z</v>
      </c>
      <c r="Q5706" s="1"/>
      <c r="R5706" s="1"/>
      <c r="S5706" s="1"/>
      <c r="T5706" s="1"/>
      <c r="U5706" s="3"/>
      <c r="V5706" s="1"/>
      <c r="W5706" s="1"/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  <c r="O5707" s="1" t="str">
        <f>IFERROR(__xludf.DUMMYFUNCTION("""COMPUTED_VALUE"""),"0a5a8f36-7865-4df1-a7d1-fdbafdddd3eb")</f>
        <v>0a5a8f36-7865-4df1-a7d1-fdbafdddd3eb</v>
      </c>
      <c r="P5707" s="1" t="str">
        <f>IFERROR(__xludf.DUMMYFUNCTION("""COMPUTED_VALUE"""),"2025-11-30T16:00:00Z")</f>
        <v>2025-11-30T16:00:00Z</v>
      </c>
      <c r="Q5707" s="1"/>
      <c r="R5707" s="1"/>
      <c r="S5707" s="1"/>
      <c r="T5707" s="1"/>
      <c r="U5707" s="3"/>
      <c r="V5707" s="1"/>
      <c r="W5707" s="1"/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  <c r="O5708" s="1" t="str">
        <f>IFERROR(__xludf.DUMMYFUNCTION("""COMPUTED_VALUE"""),"626e971a-a1f2-466b-b3f0-fd32790eb440")</f>
        <v>626e971a-a1f2-466b-b3f0-fd32790eb440</v>
      </c>
      <c r="P5708" s="1" t="str">
        <f>IFERROR(__xludf.DUMMYFUNCTION("""COMPUTED_VALUE"""),"2025-11-30T16:00:00Z")</f>
        <v>2025-11-30T16:00:00Z</v>
      </c>
      <c r="Q5708" s="1"/>
      <c r="R5708" s="1"/>
      <c r="S5708" s="1"/>
      <c r="T5708" s="1"/>
      <c r="U5708" s="3"/>
      <c r="V5708" s="1"/>
      <c r="W5708" s="1"/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  <c r="O5709" s="1" t="str">
        <f>IFERROR(__xludf.DUMMYFUNCTION("""COMPUTED_VALUE"""),"238df195-1311-420b-9bfc-80204048a0d0")</f>
        <v>238df195-1311-420b-9bfc-80204048a0d0</v>
      </c>
      <c r="P5709" s="1" t="str">
        <f>IFERROR(__xludf.DUMMYFUNCTION("""COMPUTED_VALUE"""),"2025-11-30T16:00:00Z")</f>
        <v>2025-11-30T16:00:00Z</v>
      </c>
      <c r="Q5709" s="1"/>
      <c r="R5709" s="1"/>
      <c r="S5709" s="1"/>
      <c r="T5709" s="1"/>
      <c r="U5709" s="3"/>
      <c r="V5709" s="1"/>
      <c r="W5709" s="1"/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  <c r="O5710" s="1" t="str">
        <f>IFERROR(__xludf.DUMMYFUNCTION("""COMPUTED_VALUE"""),"4790af32-fa25-48b3-bdc4-76770b6ef929")</f>
        <v>4790af32-fa25-48b3-bdc4-76770b6ef929</v>
      </c>
      <c r="P5710" s="1" t="str">
        <f>IFERROR(__xludf.DUMMYFUNCTION("""COMPUTED_VALUE"""),"2025-11-30T16:00:00Z")</f>
        <v>2025-11-30T16:00:00Z</v>
      </c>
      <c r="Q5710" s="1"/>
      <c r="R5710" s="1"/>
      <c r="S5710" s="1"/>
      <c r="T5710" s="1"/>
      <c r="U5710" s="3"/>
      <c r="V5710" s="1"/>
      <c r="W5710" s="1"/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  <c r="O5711" s="1" t="str">
        <f>IFERROR(__xludf.DUMMYFUNCTION("""COMPUTED_VALUE"""),"c4abd336-8a5c-43a4-942f-2d3f5b2e85fd")</f>
        <v>c4abd336-8a5c-43a4-942f-2d3f5b2e85fd</v>
      </c>
      <c r="P5711" s="1" t="str">
        <f>IFERROR(__xludf.DUMMYFUNCTION("""COMPUTED_VALUE"""),"2025-11-30T16:00:00Z")</f>
        <v>2025-11-30T16:00:00Z</v>
      </c>
      <c r="Q5711" s="1"/>
      <c r="R5711" s="1"/>
      <c r="S5711" s="1"/>
      <c r="T5711" s="1"/>
      <c r="U5711" s="3"/>
      <c r="V5711" s="1"/>
      <c r="W5711" s="1"/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  <c r="O5712" s="1" t="str">
        <f>IFERROR(__xludf.DUMMYFUNCTION("""COMPUTED_VALUE"""),"fde5e5d2-449d-4b43-9d50-543fa050dfcf")</f>
        <v>fde5e5d2-449d-4b43-9d50-543fa050dfcf</v>
      </c>
      <c r="P5712" s="1" t="str">
        <f>IFERROR(__xludf.DUMMYFUNCTION("""COMPUTED_VALUE"""),"2025-11-30T16:00:00Z")</f>
        <v>2025-11-30T16:00:00Z</v>
      </c>
      <c r="Q5712" s="1"/>
      <c r="R5712" s="1"/>
      <c r="S5712" s="1"/>
      <c r="T5712" s="1"/>
      <c r="U5712" s="3"/>
      <c r="V5712" s="1"/>
      <c r="W5712" s="1"/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  <c r="O5713" s="1" t="str">
        <f>IFERROR(__xludf.DUMMYFUNCTION("""COMPUTED_VALUE"""),"99085273-2cc4-4932-aad9-eac22f3b9709")</f>
        <v>99085273-2cc4-4932-aad9-eac22f3b9709</v>
      </c>
      <c r="P5713" s="1" t="str">
        <f>IFERROR(__xludf.DUMMYFUNCTION("""COMPUTED_VALUE"""),"2025-11-30T16:00:00Z")</f>
        <v>2025-11-30T16:00:00Z</v>
      </c>
      <c r="Q5713" s="1"/>
      <c r="R5713" s="1"/>
      <c r="S5713" s="1"/>
      <c r="T5713" s="1"/>
      <c r="U5713" s="3"/>
      <c r="V5713" s="1"/>
      <c r="W5713" s="1"/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  <c r="O5714" s="1" t="str">
        <f>IFERROR(__xludf.DUMMYFUNCTION("""COMPUTED_VALUE"""),"c4296942-0752-4ab1-a016-50f83ec4677d")</f>
        <v>c4296942-0752-4ab1-a016-50f83ec4677d</v>
      </c>
      <c r="P5714" s="1" t="str">
        <f>IFERROR(__xludf.DUMMYFUNCTION("""COMPUTED_VALUE"""),"2025-11-30T16:00:00Z")</f>
        <v>2025-11-30T16:00:00Z</v>
      </c>
      <c r="Q5714" s="1"/>
      <c r="R5714" s="1"/>
      <c r="S5714" s="1"/>
      <c r="T5714" s="1"/>
      <c r="U5714" s="3"/>
      <c r="V5714" s="1"/>
      <c r="W5714" s="1"/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  <c r="O5715" s="1" t="str">
        <f>IFERROR(__xludf.DUMMYFUNCTION("""COMPUTED_VALUE"""),"e612249c-8f64-415b-befe-bb7e6027b43c")</f>
        <v>e612249c-8f64-415b-befe-bb7e6027b43c</v>
      </c>
      <c r="P5715" s="1" t="str">
        <f>IFERROR(__xludf.DUMMYFUNCTION("""COMPUTED_VALUE"""),"2025-11-30T16:00:00Z")</f>
        <v>2025-11-30T16:00:00Z</v>
      </c>
      <c r="Q5715" s="1"/>
      <c r="R5715" s="1"/>
      <c r="S5715" s="1"/>
      <c r="T5715" s="1"/>
      <c r="U5715" s="3"/>
      <c r="V5715" s="1"/>
      <c r="W5715" s="1"/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  <c r="O5716" s="1" t="str">
        <f>IFERROR(__xludf.DUMMYFUNCTION("""COMPUTED_VALUE"""),"3623161b-ff5b-4aee-8826-3d6522587a06")</f>
        <v>3623161b-ff5b-4aee-8826-3d6522587a06</v>
      </c>
      <c r="P5716" s="1" t="str">
        <f>IFERROR(__xludf.DUMMYFUNCTION("""COMPUTED_VALUE"""),"2025-11-30T16:00:00Z")</f>
        <v>2025-11-30T16:00:00Z</v>
      </c>
      <c r="Q5716" s="1"/>
      <c r="R5716" s="1"/>
      <c r="S5716" s="1"/>
      <c r="T5716" s="1"/>
      <c r="U5716" s="3"/>
      <c r="V5716" s="1"/>
      <c r="W5716" s="1"/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IFERROR(__xludf.DUMMYFUNCTION("""COMPUTED_VALUE"""),"Vinz Lazaro")</f>
        <v>Vinz Lazaro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  <c r="O5717" s="1" t="str">
        <f>IFERROR(__xludf.DUMMYFUNCTION("""COMPUTED_VALUE"""),"ae4ace4e-6cd8-4a8d-bb18-10768406ce5b")</f>
        <v>ae4ace4e-6cd8-4a8d-bb18-10768406ce5b</v>
      </c>
      <c r="P5717" s="1" t="str">
        <f>IFERROR(__xludf.DUMMYFUNCTION("""COMPUTED_VALUE"""),"2025-11-30T16:00:00Z")</f>
        <v>2025-11-30T16:00:00Z</v>
      </c>
      <c r="Q5717" s="1"/>
      <c r="R5717" s="1"/>
      <c r="S5717" s="1"/>
      <c r="T5717" s="1"/>
      <c r="U5717" s="3"/>
      <c r="V5717" s="1"/>
      <c r="W5717" s="1"/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  <c r="O5718" s="1" t="str">
        <f>IFERROR(__xludf.DUMMYFUNCTION("""COMPUTED_VALUE"""),"099dd243-b724-478e-9692-79686402a18c")</f>
        <v>099dd243-b724-478e-9692-79686402a18c</v>
      </c>
      <c r="P5718" s="1" t="str">
        <f>IFERROR(__xludf.DUMMYFUNCTION("""COMPUTED_VALUE"""),"2025-11-30T16:00:00Z")</f>
        <v>2025-11-30T16:00:00Z</v>
      </c>
      <c r="Q5718" s="1"/>
      <c r="R5718" s="1"/>
      <c r="S5718" s="1"/>
      <c r="T5718" s="1"/>
      <c r="U5718" s="3"/>
      <c r="V5718" s="1"/>
      <c r="W5718" s="1"/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  <c r="O5719" s="1" t="str">
        <f>IFERROR(__xludf.DUMMYFUNCTION("""COMPUTED_VALUE"""),"65e111e9-ab12-453f-afa3-155200027cc6")</f>
        <v>65e111e9-ab12-453f-afa3-155200027cc6</v>
      </c>
      <c r="P5719" s="1" t="str">
        <f>IFERROR(__xludf.DUMMYFUNCTION("""COMPUTED_VALUE"""),"2025-11-30T16:00:00Z")</f>
        <v>2025-11-30T16:00:00Z</v>
      </c>
      <c r="Q5719" s="1"/>
      <c r="R5719" s="1"/>
      <c r="S5719" s="1"/>
      <c r="T5719" s="1"/>
      <c r="U5719" s="3"/>
      <c r="V5719" s="1"/>
      <c r="W5719" s="1"/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  <c r="O5720" s="1" t="str">
        <f>IFERROR(__xludf.DUMMYFUNCTION("""COMPUTED_VALUE"""),"5cc46a1e-c49d-4562-acbb-742a43deb5f7")</f>
        <v>5cc46a1e-c49d-4562-acbb-742a43deb5f7</v>
      </c>
      <c r="P5720" s="1" t="str">
        <f>IFERROR(__xludf.DUMMYFUNCTION("""COMPUTED_VALUE"""),"2025-11-30T16:00:00Z")</f>
        <v>2025-11-30T16:00:00Z</v>
      </c>
      <c r="Q5720" s="1"/>
      <c r="R5720" s="1"/>
      <c r="S5720" s="1"/>
      <c r="T5720" s="1"/>
      <c r="U5720" s="3"/>
      <c r="V5720" s="1"/>
      <c r="W5720" s="1"/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  <c r="O5721" s="1" t="str">
        <f>IFERROR(__xludf.DUMMYFUNCTION("""COMPUTED_VALUE"""),"1d59ca6e-6219-4532-99a2-f499de8a1287")</f>
        <v>1d59ca6e-6219-4532-99a2-f499de8a1287</v>
      </c>
      <c r="P5721" s="1" t="str">
        <f>IFERROR(__xludf.DUMMYFUNCTION("""COMPUTED_VALUE"""),"2025-11-30T16:00:00Z")</f>
        <v>2025-11-30T16:00:00Z</v>
      </c>
      <c r="Q5721" s="1"/>
      <c r="R5721" s="1"/>
      <c r="S5721" s="1"/>
      <c r="T5721" s="1"/>
      <c r="U5721" s="3"/>
      <c r="V5721" s="1"/>
      <c r="W5721" s="1"/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  <c r="O5722" s="1" t="str">
        <f>IFERROR(__xludf.DUMMYFUNCTION("""COMPUTED_VALUE"""),"3eea6a70-1d1f-4def-93fa-d9de190c7fd7")</f>
        <v>3eea6a70-1d1f-4def-93fa-d9de190c7fd7</v>
      </c>
      <c r="P5722" s="1" t="str">
        <f>IFERROR(__xludf.DUMMYFUNCTION("""COMPUTED_VALUE"""),"2025-11-30T16:00:00Z")</f>
        <v>2025-11-30T16:00:00Z</v>
      </c>
      <c r="Q5722" s="1"/>
      <c r="R5722" s="1"/>
      <c r="S5722" s="1"/>
      <c r="T5722" s="1"/>
      <c r="U5722" s="3"/>
      <c r="V5722" s="1"/>
      <c r="W5722" s="1"/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  <c r="O5723" s="1" t="str">
        <f>IFERROR(__xludf.DUMMYFUNCTION("""COMPUTED_VALUE"""),"10c46fa3-c076-41b6-9aad-4ec7c4a07294")</f>
        <v>10c46fa3-c076-41b6-9aad-4ec7c4a07294</v>
      </c>
      <c r="P5723" s="1" t="str">
        <f>IFERROR(__xludf.DUMMYFUNCTION("""COMPUTED_VALUE"""),"2025-11-30T16:00:00Z")</f>
        <v>2025-11-30T16:00:00Z</v>
      </c>
      <c r="Q5723" s="1"/>
      <c r="R5723" s="1"/>
      <c r="S5723" s="1"/>
      <c r="T5723" s="1"/>
      <c r="U5723" s="3"/>
      <c r="V5723" s="1"/>
      <c r="W5723" s="1"/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  <c r="O5724" s="1" t="str">
        <f>IFERROR(__xludf.DUMMYFUNCTION("""COMPUTED_VALUE"""),"cf4102e5-f522-43ac-bf51-15cc96666fde")</f>
        <v>cf4102e5-f522-43ac-bf51-15cc96666fde</v>
      </c>
      <c r="P5724" s="1" t="str">
        <f>IFERROR(__xludf.DUMMYFUNCTION("""COMPUTED_VALUE"""),"2025-11-30T16:00:00Z")</f>
        <v>2025-11-30T16:00:00Z</v>
      </c>
      <c r="Q5724" s="1"/>
      <c r="R5724" s="1"/>
      <c r="S5724" s="1"/>
      <c r="T5724" s="1"/>
      <c r="U5724" s="3"/>
      <c r="V5724" s="1"/>
      <c r="W5724" s="1"/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  <c r="O5725" s="1" t="str">
        <f>IFERROR(__xludf.DUMMYFUNCTION("""COMPUTED_VALUE"""),"b0e1557c-d0d9-4265-a67b-f94aae240d24")</f>
        <v>b0e1557c-d0d9-4265-a67b-f94aae240d24</v>
      </c>
      <c r="P5725" s="1" t="str">
        <f>IFERROR(__xludf.DUMMYFUNCTION("""COMPUTED_VALUE"""),"2025-11-30T16:00:00Z")</f>
        <v>2025-11-30T16:00:00Z</v>
      </c>
      <c r="Q5725" s="1"/>
      <c r="R5725" s="1"/>
      <c r="S5725" s="1"/>
      <c r="T5725" s="1"/>
      <c r="U5725" s="3"/>
      <c r="V5725" s="1"/>
      <c r="W5725" s="1"/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  <c r="O5726" s="1" t="str">
        <f>IFERROR(__xludf.DUMMYFUNCTION("""COMPUTED_VALUE"""),"042e5ee4-7da0-42f9-92d0-d66496630cb9")</f>
        <v>042e5ee4-7da0-42f9-92d0-d66496630cb9</v>
      </c>
      <c r="P5726" s="1" t="str">
        <f>IFERROR(__xludf.DUMMYFUNCTION("""COMPUTED_VALUE"""),"2025-11-30T16:00:00Z")</f>
        <v>2025-11-30T16:00:00Z</v>
      </c>
      <c r="Q5726" s="1"/>
      <c r="R5726" s="1"/>
      <c r="S5726" s="1"/>
      <c r="T5726" s="1"/>
      <c r="U5726" s="3"/>
      <c r="V5726" s="1"/>
      <c r="W5726" s="1"/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  <c r="O5727" s="1" t="str">
        <f>IFERROR(__xludf.DUMMYFUNCTION("""COMPUTED_VALUE"""),"0cc61976-099e-4704-9248-c0d612333122")</f>
        <v>0cc61976-099e-4704-9248-c0d612333122</v>
      </c>
      <c r="P5727" s="1" t="str">
        <f>IFERROR(__xludf.DUMMYFUNCTION("""COMPUTED_VALUE"""),"2025-11-30T16:00:00Z")</f>
        <v>2025-11-30T16:00:00Z</v>
      </c>
      <c r="Q5727" s="1"/>
      <c r="R5727" s="1"/>
      <c r="S5727" s="1"/>
      <c r="T5727" s="1"/>
      <c r="U5727" s="3"/>
      <c r="V5727" s="1"/>
      <c r="W5727" s="1"/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  <c r="O5728" s="1" t="str">
        <f>IFERROR(__xludf.DUMMYFUNCTION("""COMPUTED_VALUE"""),"1eb6d900-9254-4ad7-b5e2-1f27f00e2077")</f>
        <v>1eb6d900-9254-4ad7-b5e2-1f27f00e2077</v>
      </c>
      <c r="P5728" s="1" t="str">
        <f>IFERROR(__xludf.DUMMYFUNCTION("""COMPUTED_VALUE"""),"2025-11-30T16:00:00Z")</f>
        <v>2025-11-30T16:00:00Z</v>
      </c>
      <c r="Q5728" s="1"/>
      <c r="R5728" s="1"/>
      <c r="S5728" s="1"/>
      <c r="T5728" s="1"/>
      <c r="U5728" s="3"/>
      <c r="V5728" s="1"/>
      <c r="W5728" s="1"/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  <c r="O5729" s="1" t="str">
        <f>IFERROR(__xludf.DUMMYFUNCTION("""COMPUTED_VALUE"""),"fb4299a4-0e59-4c64-8fbb-5fd3f6a3cb3e")</f>
        <v>fb4299a4-0e59-4c64-8fbb-5fd3f6a3cb3e</v>
      </c>
      <c r="P5729" s="1" t="str">
        <f>IFERROR(__xludf.DUMMYFUNCTION("""COMPUTED_VALUE"""),"2025-11-30T16:00:00Z")</f>
        <v>2025-11-30T16:00:00Z</v>
      </c>
      <c r="Q5729" s="1"/>
      <c r="R5729" s="1"/>
      <c r="S5729" s="1"/>
      <c r="T5729" s="1"/>
      <c r="U5729" s="3"/>
      <c r="V5729" s="1"/>
      <c r="W5729" s="1"/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  <c r="O5730" s="1" t="str">
        <f>IFERROR(__xludf.DUMMYFUNCTION("""COMPUTED_VALUE"""),"b9737663-79f8-4cad-a8f9-6db9a37d36bf")</f>
        <v>b9737663-79f8-4cad-a8f9-6db9a37d36bf</v>
      </c>
      <c r="P5730" s="1" t="str">
        <f>IFERROR(__xludf.DUMMYFUNCTION("""COMPUTED_VALUE"""),"2025-11-30T16:00:00Z")</f>
        <v>2025-11-30T16:00:00Z</v>
      </c>
      <c r="Q5730" s="1"/>
      <c r="R5730" s="1"/>
      <c r="S5730" s="1"/>
      <c r="T5730" s="1"/>
      <c r="U5730" s="3"/>
      <c r="V5730" s="1"/>
      <c r="W5730" s="1"/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  <c r="O5731" s="1" t="str">
        <f>IFERROR(__xludf.DUMMYFUNCTION("""COMPUTED_VALUE"""),"253d67a9-d468-454b-b17c-b16b05cc6794")</f>
        <v>253d67a9-d468-454b-b17c-b16b05cc6794</v>
      </c>
      <c r="P5731" s="1" t="str">
        <f>IFERROR(__xludf.DUMMYFUNCTION("""COMPUTED_VALUE"""),"2025-11-30T16:00:00Z")</f>
        <v>2025-11-30T16:00:00Z</v>
      </c>
      <c r="Q5731" s="1"/>
      <c r="R5731" s="1"/>
      <c r="S5731" s="1"/>
      <c r="T5731" s="1"/>
      <c r="U5731" s="3"/>
      <c r="V5731" s="1"/>
      <c r="W5731" s="1"/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  <c r="O5732" s="1" t="str">
        <f>IFERROR(__xludf.DUMMYFUNCTION("""COMPUTED_VALUE"""),"e2ffb663-8d10-4463-8bb8-3bd130fdce1c")</f>
        <v>e2ffb663-8d10-4463-8bb8-3bd130fdce1c</v>
      </c>
      <c r="P5732" s="1" t="str">
        <f>IFERROR(__xludf.DUMMYFUNCTION("""COMPUTED_VALUE"""),"2025-11-30T16:00:00Z")</f>
        <v>2025-11-30T16:00:00Z</v>
      </c>
      <c r="Q5732" s="1"/>
      <c r="R5732" s="1"/>
      <c r="S5732" s="1"/>
      <c r="T5732" s="1"/>
      <c r="U5732" s="3"/>
      <c r="V5732" s="1"/>
      <c r="W5732" s="1"/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IFERROR(__xludf.DUMMYFUNCTION("""COMPUTED_VALUE"""),"Admin Support")</f>
        <v>Admin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IFERROR(__xludf.DUMMYFUNCTION("""COMPUTED_VALUE"""),"AL Suarez")</f>
        <v>AL Suarez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  <c r="O5733" s="1" t="str">
        <f>IFERROR(__xludf.DUMMYFUNCTION("""COMPUTED_VALUE"""),"1a6492df-fa9a-416f-b1d1-da6edc22036f")</f>
        <v>1a6492df-fa9a-416f-b1d1-da6edc22036f</v>
      </c>
      <c r="P5733" s="1" t="str">
        <f>IFERROR(__xludf.DUMMYFUNCTION("""COMPUTED_VALUE"""),"2025-11-30T16:00:00Z")</f>
        <v>2025-11-30T16:00:00Z</v>
      </c>
      <c r="Q5733" s="1"/>
      <c r="R5733" s="1"/>
      <c r="S5733" s="1"/>
      <c r="T5733" s="1"/>
      <c r="U5733" s="3"/>
      <c r="V5733" s="1"/>
      <c r="W5733" s="1"/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  <c r="O5734" s="1" t="str">
        <f>IFERROR(__xludf.DUMMYFUNCTION("""COMPUTED_VALUE"""),"8b075f45-27b1-469e-bbc3-e97261e6934d")</f>
        <v>8b075f45-27b1-469e-bbc3-e97261e6934d</v>
      </c>
      <c r="P5734" s="1" t="str">
        <f>IFERROR(__xludf.DUMMYFUNCTION("""COMPUTED_VALUE"""),"2025-11-30T16:00:00Z")</f>
        <v>2025-11-30T16:00:00Z</v>
      </c>
      <c r="Q5734" s="1"/>
      <c r="R5734" s="1"/>
      <c r="S5734" s="1"/>
      <c r="T5734" s="1"/>
      <c r="U5734" s="3"/>
      <c r="V5734" s="1"/>
      <c r="W5734" s="1"/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  <c r="O5735" s="1" t="str">
        <f>IFERROR(__xludf.DUMMYFUNCTION("""COMPUTED_VALUE"""),"50f6ee84-cef1-4ed8-84ed-42a64211811d")</f>
        <v>50f6ee84-cef1-4ed8-84ed-42a64211811d</v>
      </c>
      <c r="P5735" s="1" t="str">
        <f>IFERROR(__xludf.DUMMYFUNCTION("""COMPUTED_VALUE"""),"2025-11-30T16:00:00Z")</f>
        <v>2025-11-30T16:00:00Z</v>
      </c>
      <c r="Q5735" s="1"/>
      <c r="R5735" s="1"/>
      <c r="S5735" s="1"/>
      <c r="T5735" s="1"/>
      <c r="U5735" s="3"/>
      <c r="V5735" s="1"/>
      <c r="W5735" s="1"/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IFERROR(__xludf.DUMMYFUNCTION("""COMPUTED_VALUE"""),"Admin Support")</f>
        <v>Admin Support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IFERROR(__xludf.DUMMYFUNCTION("""COMPUTED_VALUE"""),"Karla Mananghaya")</f>
        <v>Karla Mananghaya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  <c r="O5736" s="1" t="str">
        <f>IFERROR(__xludf.DUMMYFUNCTION("""COMPUTED_VALUE"""),"68027150-37ee-48bc-8dee-e459591aca37")</f>
        <v>68027150-37ee-48bc-8dee-e459591aca37</v>
      </c>
      <c r="P5736" s="1" t="str">
        <f>IFERROR(__xludf.DUMMYFUNCTION("""COMPUTED_VALUE"""),"2025-11-30T16:00:00Z")</f>
        <v>2025-11-30T16:00:00Z</v>
      </c>
      <c r="Q5736" s="1"/>
      <c r="R5736" s="1"/>
      <c r="S5736" s="1"/>
      <c r="T5736" s="1"/>
      <c r="U5736" s="3"/>
      <c r="V5736" s="1"/>
      <c r="W5736" s="1"/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  <c r="O5737" s="1" t="str">
        <f>IFERROR(__xludf.DUMMYFUNCTION("""COMPUTED_VALUE"""),"2417322d-d75a-4184-9e3c-95ae48393a05")</f>
        <v>2417322d-d75a-4184-9e3c-95ae48393a05</v>
      </c>
      <c r="P5737" s="1" t="str">
        <f>IFERROR(__xludf.DUMMYFUNCTION("""COMPUTED_VALUE"""),"2025-11-30T16:00:00Z")</f>
        <v>2025-11-30T16:00:00Z</v>
      </c>
      <c r="Q5737" s="1"/>
      <c r="R5737" s="1"/>
      <c r="S5737" s="1"/>
      <c r="T5737" s="1"/>
      <c r="U5737" s="3"/>
      <c r="V5737" s="1"/>
      <c r="W5737" s="1"/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  <c r="O5738" s="1" t="str">
        <f>IFERROR(__xludf.DUMMYFUNCTION("""COMPUTED_VALUE"""),"4cae5e1d-2159-4afc-b9cd-a826e7f3982e")</f>
        <v>4cae5e1d-2159-4afc-b9cd-a826e7f3982e</v>
      </c>
      <c r="P5738" s="1" t="str">
        <f>IFERROR(__xludf.DUMMYFUNCTION("""COMPUTED_VALUE"""),"2025-11-30T16:00:00Z")</f>
        <v>2025-11-30T16:00:00Z</v>
      </c>
      <c r="Q5738" s="1"/>
      <c r="R5738" s="1"/>
      <c r="S5738" s="1"/>
      <c r="T5738" s="1"/>
      <c r="U5738" s="3"/>
      <c r="V5738" s="1"/>
      <c r="W5738" s="1"/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  <c r="O5739" s="1" t="str">
        <f>IFERROR(__xludf.DUMMYFUNCTION("""COMPUTED_VALUE"""),"ecc3a54c-2b13-4ea5-ad1e-96b8b278e7da")</f>
        <v>ecc3a54c-2b13-4ea5-ad1e-96b8b278e7da</v>
      </c>
      <c r="P5739" s="1" t="str">
        <f>IFERROR(__xludf.DUMMYFUNCTION("""COMPUTED_VALUE"""),"2025-11-30T16:00:00Z")</f>
        <v>2025-11-30T16:00:00Z</v>
      </c>
      <c r="Q5739" s="1"/>
      <c r="R5739" s="1"/>
      <c r="S5739" s="1"/>
      <c r="T5739" s="1"/>
      <c r="U5739" s="3"/>
      <c r="V5739" s="1"/>
      <c r="W5739" s="1"/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  <c r="O5740" s="1" t="str">
        <f>IFERROR(__xludf.DUMMYFUNCTION("""COMPUTED_VALUE"""),"c6cec3c3-9fe7-48ea-b63e-7658cdee4747")</f>
        <v>c6cec3c3-9fe7-48ea-b63e-7658cdee4747</v>
      </c>
      <c r="P5740" s="1" t="str">
        <f>IFERROR(__xludf.DUMMYFUNCTION("""COMPUTED_VALUE"""),"2025-11-30T16:00:00Z")</f>
        <v>2025-11-30T16:00:00Z</v>
      </c>
      <c r="Q5740" s="1"/>
      <c r="R5740" s="1"/>
      <c r="S5740" s="1"/>
      <c r="T5740" s="1"/>
      <c r="U5740" s="3"/>
      <c r="V5740" s="1"/>
      <c r="W5740" s="1"/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  <c r="O5741" s="1" t="str">
        <f>IFERROR(__xludf.DUMMYFUNCTION("""COMPUTED_VALUE"""),"f1bbdd3e-ea42-496f-87a0-14d656a67a92")</f>
        <v>f1bbdd3e-ea42-496f-87a0-14d656a67a92</v>
      </c>
      <c r="P5741" s="1" t="str">
        <f>IFERROR(__xludf.DUMMYFUNCTION("""COMPUTED_VALUE"""),"2025-11-30T16:00:00Z")</f>
        <v>2025-11-30T16:00:00Z</v>
      </c>
      <c r="Q5741" s="1"/>
      <c r="R5741" s="1"/>
      <c r="S5741" s="1"/>
      <c r="T5741" s="1"/>
      <c r="U5741" s="3"/>
      <c r="V5741" s="1"/>
      <c r="W5741" s="1"/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  <c r="O5742" s="1" t="str">
        <f>IFERROR(__xludf.DUMMYFUNCTION("""COMPUTED_VALUE"""),"3146744a-956c-4560-bc5a-70bcebe20785")</f>
        <v>3146744a-956c-4560-bc5a-70bcebe20785</v>
      </c>
      <c r="P5742" s="1" t="str">
        <f>IFERROR(__xludf.DUMMYFUNCTION("""COMPUTED_VALUE"""),"2025-11-30T16:00:00Z")</f>
        <v>2025-11-30T16:00:00Z</v>
      </c>
      <c r="Q5742" s="1"/>
      <c r="R5742" s="1"/>
      <c r="S5742" s="1"/>
      <c r="T5742" s="1"/>
      <c r="U5742" s="3"/>
      <c r="V5742" s="1"/>
      <c r="W5742" s="1"/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  <c r="O5743" s="1" t="str">
        <f>IFERROR(__xludf.DUMMYFUNCTION("""COMPUTED_VALUE"""),"30527ca4-aa21-4ba1-bf53-3e00c15dfada")</f>
        <v>30527ca4-aa21-4ba1-bf53-3e00c15dfada</v>
      </c>
      <c r="P5743" s="1" t="str">
        <f>IFERROR(__xludf.DUMMYFUNCTION("""COMPUTED_VALUE"""),"2025-11-30T16:00:00Z")</f>
        <v>2025-11-30T16:00:00Z</v>
      </c>
      <c r="Q5743" s="1"/>
      <c r="R5743" s="1"/>
      <c r="S5743" s="1"/>
      <c r="T5743" s="1"/>
      <c r="U5743" s="3"/>
      <c r="V5743" s="1"/>
      <c r="W5743" s="1"/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  <c r="O5744" s="1" t="str">
        <f>IFERROR(__xludf.DUMMYFUNCTION("""COMPUTED_VALUE"""),"ed28aa1c-230f-414c-b415-191d703a8bac")</f>
        <v>ed28aa1c-230f-414c-b415-191d703a8bac</v>
      </c>
      <c r="P5744" s="1" t="str">
        <f>IFERROR(__xludf.DUMMYFUNCTION("""COMPUTED_VALUE"""),"2025-11-30T16:00:00Z")</f>
        <v>2025-11-30T16:00:00Z</v>
      </c>
      <c r="Q5744" s="1"/>
      <c r="R5744" s="1"/>
      <c r="S5744" s="1"/>
      <c r="T5744" s="1"/>
      <c r="U5744" s="3"/>
      <c r="V5744" s="1"/>
      <c r="W5744" s="1"/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  <c r="O5745" s="1" t="str">
        <f>IFERROR(__xludf.DUMMYFUNCTION("""COMPUTED_VALUE"""),"df9ba7dd-188f-4978-8344-eb262fcbed64")</f>
        <v>df9ba7dd-188f-4978-8344-eb262fcbed64</v>
      </c>
      <c r="P5745" s="1" t="str">
        <f>IFERROR(__xludf.DUMMYFUNCTION("""COMPUTED_VALUE"""),"2025-11-30T16:00:00Z")</f>
        <v>2025-11-30T16:00:00Z</v>
      </c>
      <c r="Q5745" s="1"/>
      <c r="R5745" s="1"/>
      <c r="S5745" s="1"/>
      <c r="T5745" s="1"/>
      <c r="U5745" s="3"/>
      <c r="V5745" s="1"/>
      <c r="W5745" s="1"/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  <c r="O5746" s="1" t="str">
        <f>IFERROR(__xludf.DUMMYFUNCTION("""COMPUTED_VALUE"""),"438e36b3-4d38-44fd-b78d-2f3e27dfd609")</f>
        <v>438e36b3-4d38-44fd-b78d-2f3e27dfd609</v>
      </c>
      <c r="P5746" s="1" t="str">
        <f>IFERROR(__xludf.DUMMYFUNCTION("""COMPUTED_VALUE"""),"2025-11-30T16:00:00Z")</f>
        <v>2025-11-30T16:00:00Z</v>
      </c>
      <c r="Q5746" s="1"/>
      <c r="R5746" s="1"/>
      <c r="S5746" s="1"/>
      <c r="T5746" s="1"/>
      <c r="U5746" s="3"/>
      <c r="V5746" s="1"/>
      <c r="W5746" s="1"/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  <c r="O5747" s="1" t="str">
        <f>IFERROR(__xludf.DUMMYFUNCTION("""COMPUTED_VALUE"""),"d7fa60f7-5345-4940-b70f-a9ee1e24882e")</f>
        <v>d7fa60f7-5345-4940-b70f-a9ee1e24882e</v>
      </c>
      <c r="P5747" s="1" t="str">
        <f>IFERROR(__xludf.DUMMYFUNCTION("""COMPUTED_VALUE"""),"2025-11-30T16:00:00Z")</f>
        <v>2025-11-30T16:00:00Z</v>
      </c>
      <c r="Q5747" s="1"/>
      <c r="R5747" s="1"/>
      <c r="S5747" s="1"/>
      <c r="T5747" s="1"/>
      <c r="U5747" s="3"/>
      <c r="V5747" s="1"/>
      <c r="W5747" s="1"/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  <c r="O5748" s="1" t="str">
        <f>IFERROR(__xludf.DUMMYFUNCTION("""COMPUTED_VALUE"""),"5a22b3ea-0755-416b-a006-f5a0d4b19aba")</f>
        <v>5a22b3ea-0755-416b-a006-f5a0d4b19aba</v>
      </c>
      <c r="P5748" s="1" t="str">
        <f>IFERROR(__xludf.DUMMYFUNCTION("""COMPUTED_VALUE"""),"2025-11-30T16:00:00Z")</f>
        <v>2025-11-30T16:00:00Z</v>
      </c>
      <c r="Q5748" s="1"/>
      <c r="R5748" s="1"/>
      <c r="S5748" s="1"/>
      <c r="T5748" s="1"/>
      <c r="U5748" s="3"/>
      <c r="V5748" s="1"/>
      <c r="W5748" s="1"/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  <c r="O5749" s="1" t="str">
        <f>IFERROR(__xludf.DUMMYFUNCTION("""COMPUTED_VALUE"""),"0ae24c9b-6172-4326-bb51-99cd5756da29")</f>
        <v>0ae24c9b-6172-4326-bb51-99cd5756da29</v>
      </c>
      <c r="P5749" s="1" t="str">
        <f>IFERROR(__xludf.DUMMYFUNCTION("""COMPUTED_VALUE"""),"2025-11-30T16:00:00Z")</f>
        <v>2025-11-30T16:00:00Z</v>
      </c>
      <c r="Q5749" s="1"/>
      <c r="R5749" s="1"/>
      <c r="S5749" s="1"/>
      <c r="T5749" s="1"/>
      <c r="U5749" s="3"/>
      <c r="V5749" s="1"/>
      <c r="W5749" s="1"/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  <c r="O5750" s="1" t="str">
        <f>IFERROR(__xludf.DUMMYFUNCTION("""COMPUTED_VALUE"""),"702a1682-65ec-47f2-b736-d60aecc92e68")</f>
        <v>702a1682-65ec-47f2-b736-d60aecc92e68</v>
      </c>
      <c r="P5750" s="1" t="str">
        <f>IFERROR(__xludf.DUMMYFUNCTION("""COMPUTED_VALUE"""),"2025-11-30T16:00:00Z")</f>
        <v>2025-11-30T16:00:00Z</v>
      </c>
      <c r="Q5750" s="1"/>
      <c r="R5750" s="1"/>
      <c r="S5750" s="1"/>
      <c r="T5750" s="1"/>
      <c r="U5750" s="3"/>
      <c r="V5750" s="1"/>
      <c r="W5750" s="1"/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  <c r="O5751" s="1" t="str">
        <f>IFERROR(__xludf.DUMMYFUNCTION("""COMPUTED_VALUE"""),"5b9a60b0-b877-48e1-8013-eb7cdd15bd64")</f>
        <v>5b9a60b0-b877-48e1-8013-eb7cdd15bd64</v>
      </c>
      <c r="P5751" s="1" t="str">
        <f>IFERROR(__xludf.DUMMYFUNCTION("""COMPUTED_VALUE"""),"2025-11-30T16:00:00Z")</f>
        <v>2025-11-30T16:00:00Z</v>
      </c>
      <c r="Q5751" s="1"/>
      <c r="R5751" s="1"/>
      <c r="S5751" s="1"/>
      <c r="T5751" s="1"/>
      <c r="U5751" s="3"/>
      <c r="V5751" s="1"/>
      <c r="W5751" s="1"/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  <c r="O5752" s="1" t="str">
        <f>IFERROR(__xludf.DUMMYFUNCTION("""COMPUTED_VALUE"""),"582c23f3-af21-4402-83b6-920f8fd6fe88")</f>
        <v>582c23f3-af21-4402-83b6-920f8fd6fe88</v>
      </c>
      <c r="P5752" s="1" t="str">
        <f>IFERROR(__xludf.DUMMYFUNCTION("""COMPUTED_VALUE"""),"2025-11-30T16:00:00Z")</f>
        <v>2025-11-30T16:00:00Z</v>
      </c>
      <c r="Q5752" s="1"/>
      <c r="R5752" s="1"/>
      <c r="S5752" s="1"/>
      <c r="T5752" s="1"/>
      <c r="U5752" s="3"/>
      <c r="V5752" s="1"/>
      <c r="W5752" s="1"/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  <c r="O5753" s="1" t="str">
        <f>IFERROR(__xludf.DUMMYFUNCTION("""COMPUTED_VALUE"""),"a08e6c23-8f56-4eb2-a86d-ff398e709601")</f>
        <v>a08e6c23-8f56-4eb2-a86d-ff398e709601</v>
      </c>
      <c r="P5753" s="1" t="str">
        <f>IFERROR(__xludf.DUMMYFUNCTION("""COMPUTED_VALUE"""),"2025-11-30T16:00:00Z")</f>
        <v>2025-11-30T16:00:00Z</v>
      </c>
      <c r="Q5753" s="1"/>
      <c r="R5753" s="1"/>
      <c r="S5753" s="1"/>
      <c r="T5753" s="1"/>
      <c r="U5753" s="3"/>
      <c r="V5753" s="1"/>
      <c r="W5753" s="1"/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  <c r="O5754" s="1" t="str">
        <f>IFERROR(__xludf.DUMMYFUNCTION("""COMPUTED_VALUE"""),"9160bc84-9174-4736-bd46-926c52c66223")</f>
        <v>9160bc84-9174-4736-bd46-926c52c66223</v>
      </c>
      <c r="P5754" s="1" t="str">
        <f>IFERROR(__xludf.DUMMYFUNCTION("""COMPUTED_VALUE"""),"2025-11-30T16:00:00Z")</f>
        <v>2025-11-30T16:00:00Z</v>
      </c>
      <c r="Q5754" s="1"/>
      <c r="R5754" s="1"/>
      <c r="S5754" s="1"/>
      <c r="T5754" s="1"/>
      <c r="U5754" s="3"/>
      <c r="V5754" s="1"/>
      <c r="W5754" s="1"/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IFERROR(__xludf.DUMMYFUNCTION("""COMPUTED_VALUE"""),"Admin Support")</f>
        <v>Admin Support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IFERROR(__xludf.DUMMYFUNCTION("""COMPUTED_VALUE"""),"Karla Mananghaya")</f>
        <v>Karla Mananghaya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  <c r="O5755" s="1" t="str">
        <f>IFERROR(__xludf.DUMMYFUNCTION("""COMPUTED_VALUE"""),"4db6d8c1-797e-4f39-9494-3babf0366bc0")</f>
        <v>4db6d8c1-797e-4f39-9494-3babf0366bc0</v>
      </c>
      <c r="P5755" s="1" t="str">
        <f>IFERROR(__xludf.DUMMYFUNCTION("""COMPUTED_VALUE"""),"2025-11-30T16:00:00Z")</f>
        <v>2025-11-30T16:00:00Z</v>
      </c>
      <c r="Q5755" s="1"/>
      <c r="R5755" s="1"/>
      <c r="S5755" s="1"/>
      <c r="T5755" s="1"/>
      <c r="U5755" s="3"/>
      <c r="V5755" s="1"/>
      <c r="W5755" s="1"/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  <c r="O5756" s="1" t="str">
        <f>IFERROR(__xludf.DUMMYFUNCTION("""COMPUTED_VALUE"""),"961e0a53-62a6-4087-8811-6449381daa52")</f>
        <v>961e0a53-62a6-4087-8811-6449381daa52</v>
      </c>
      <c r="P5756" s="1" t="str">
        <f>IFERROR(__xludf.DUMMYFUNCTION("""COMPUTED_VALUE"""),"2025-11-30T16:00:00Z")</f>
        <v>2025-11-30T16:00:00Z</v>
      </c>
      <c r="Q5756" s="1"/>
      <c r="R5756" s="1"/>
      <c r="S5756" s="1"/>
      <c r="T5756" s="1"/>
      <c r="U5756" s="3"/>
      <c r="V5756" s="1"/>
      <c r="W5756" s="1"/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  <c r="O5757" s="1" t="str">
        <f>IFERROR(__xludf.DUMMYFUNCTION("""COMPUTED_VALUE"""),"50f4f34a-5f46-4ee9-a2ab-686901231801")</f>
        <v>50f4f34a-5f46-4ee9-a2ab-686901231801</v>
      </c>
      <c r="P5757" s="1" t="str">
        <f>IFERROR(__xludf.DUMMYFUNCTION("""COMPUTED_VALUE"""),"2025-11-30T16:00:00Z")</f>
        <v>2025-11-30T16:00:00Z</v>
      </c>
      <c r="Q5757" s="1"/>
      <c r="R5757" s="1"/>
      <c r="S5757" s="1"/>
      <c r="T5757" s="1"/>
      <c r="U5757" s="3"/>
      <c r="V5757" s="1"/>
      <c r="W5757" s="1"/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  <c r="O5758" s="1" t="str">
        <f>IFERROR(__xludf.DUMMYFUNCTION("""COMPUTED_VALUE"""),"4b906fe3-66c8-454a-a7d0-1f50f4b6cdf4")</f>
        <v>4b906fe3-66c8-454a-a7d0-1f50f4b6cdf4</v>
      </c>
      <c r="P5758" s="1" t="str">
        <f>IFERROR(__xludf.DUMMYFUNCTION("""COMPUTED_VALUE"""),"2025-11-30T16:00:00Z")</f>
        <v>2025-11-30T16:00:00Z</v>
      </c>
      <c r="Q5758" s="1"/>
      <c r="R5758" s="1"/>
      <c r="S5758" s="1"/>
      <c r="T5758" s="1"/>
      <c r="U5758" s="3"/>
      <c r="V5758" s="1"/>
      <c r="W5758" s="1"/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  <c r="O5759" s="1" t="str">
        <f>IFERROR(__xludf.DUMMYFUNCTION("""COMPUTED_VALUE"""),"7f8ea57d-3bc6-435c-ac89-36216f416d2b")</f>
        <v>7f8ea57d-3bc6-435c-ac89-36216f416d2b</v>
      </c>
      <c r="P5759" s="1" t="str">
        <f>IFERROR(__xludf.DUMMYFUNCTION("""COMPUTED_VALUE"""),"2025-11-30T16:00:00Z")</f>
        <v>2025-11-30T16:00:00Z</v>
      </c>
      <c r="Q5759" s="1"/>
      <c r="R5759" s="1"/>
      <c r="S5759" s="1"/>
      <c r="T5759" s="1"/>
      <c r="U5759" s="3"/>
      <c r="V5759" s="1"/>
      <c r="W5759" s="1"/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  <c r="O5760" s="1" t="str">
        <f>IFERROR(__xludf.DUMMYFUNCTION("""COMPUTED_VALUE"""),"5aed746e-cb5c-469a-8821-9e6506c7b9e6")</f>
        <v>5aed746e-cb5c-469a-8821-9e6506c7b9e6</v>
      </c>
      <c r="P5760" s="1" t="str">
        <f>IFERROR(__xludf.DUMMYFUNCTION("""COMPUTED_VALUE"""),"2025-11-30T16:00:00Z")</f>
        <v>2025-11-30T16:00:00Z</v>
      </c>
      <c r="Q5760" s="1"/>
      <c r="R5760" s="1"/>
      <c r="S5760" s="1"/>
      <c r="T5760" s="1"/>
      <c r="U5760" s="3"/>
      <c r="V5760" s="1"/>
      <c r="W5760" s="1"/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  <c r="O5761" s="1" t="str">
        <f>IFERROR(__xludf.DUMMYFUNCTION("""COMPUTED_VALUE"""),"a5566f0b-0c7b-4dd5-a5bf-cc571ed45f36")</f>
        <v>a5566f0b-0c7b-4dd5-a5bf-cc571ed45f36</v>
      </c>
      <c r="P5761" s="1" t="str">
        <f>IFERROR(__xludf.DUMMYFUNCTION("""COMPUTED_VALUE"""),"2025-11-30T16:00:00Z")</f>
        <v>2025-11-30T16:00:00Z</v>
      </c>
      <c r="Q5761" s="1"/>
      <c r="R5761" s="1"/>
      <c r="S5761" s="1"/>
      <c r="T5761" s="1"/>
      <c r="U5761" s="3"/>
      <c r="V5761" s="1"/>
      <c r="W5761" s="1"/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  <c r="O5762" s="1" t="str">
        <f>IFERROR(__xludf.DUMMYFUNCTION("""COMPUTED_VALUE"""),"98f36067-d801-431b-ba9a-fcb9a6ae433a")</f>
        <v>98f36067-d801-431b-ba9a-fcb9a6ae433a</v>
      </c>
      <c r="P5762" s="1" t="str">
        <f>IFERROR(__xludf.DUMMYFUNCTION("""COMPUTED_VALUE"""),"2025-11-30T16:00:00Z")</f>
        <v>2025-11-30T16:00:00Z</v>
      </c>
      <c r="Q5762" s="1"/>
      <c r="R5762" s="1"/>
      <c r="S5762" s="1"/>
      <c r="T5762" s="1"/>
      <c r="U5762" s="3"/>
      <c r="V5762" s="1"/>
      <c r="W5762" s="1"/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  <c r="O5763" s="1" t="str">
        <f>IFERROR(__xludf.DUMMYFUNCTION("""COMPUTED_VALUE"""),"7d586eb5-1b74-4e56-b56f-6c2807700cb7")</f>
        <v>7d586eb5-1b74-4e56-b56f-6c2807700cb7</v>
      </c>
      <c r="P5763" s="1" t="str">
        <f>IFERROR(__xludf.DUMMYFUNCTION("""COMPUTED_VALUE"""),"2025-11-30T16:00:00Z")</f>
        <v>2025-11-30T16:00:00Z</v>
      </c>
      <c r="Q5763" s="1"/>
      <c r="R5763" s="1"/>
      <c r="S5763" s="1"/>
      <c r="T5763" s="1"/>
      <c r="U5763" s="3"/>
      <c r="V5763" s="1"/>
      <c r="W5763" s="1"/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  <c r="O5764" s="1" t="str">
        <f>IFERROR(__xludf.DUMMYFUNCTION("""COMPUTED_VALUE"""),"c7d7e66b-4dfe-47b9-a47f-66af76d8fb19")</f>
        <v>c7d7e66b-4dfe-47b9-a47f-66af76d8fb19</v>
      </c>
      <c r="P5764" s="1" t="str">
        <f>IFERROR(__xludf.DUMMYFUNCTION("""COMPUTED_VALUE"""),"2025-11-30T16:00:00Z")</f>
        <v>2025-11-30T16:00:00Z</v>
      </c>
      <c r="Q5764" s="1"/>
      <c r="R5764" s="1"/>
      <c r="S5764" s="1"/>
      <c r="T5764" s="1"/>
      <c r="U5764" s="3"/>
      <c r="V5764" s="1"/>
      <c r="W5764" s="1"/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  <c r="O5765" s="1" t="str">
        <f>IFERROR(__xludf.DUMMYFUNCTION("""COMPUTED_VALUE"""),"10b96ef4-077e-4868-9c27-17d96d8b4f68")</f>
        <v>10b96ef4-077e-4868-9c27-17d96d8b4f68</v>
      </c>
      <c r="P5765" s="1" t="str">
        <f>IFERROR(__xludf.DUMMYFUNCTION("""COMPUTED_VALUE"""),"2025-11-30T16:00:00Z")</f>
        <v>2025-11-30T16:00:00Z</v>
      </c>
      <c r="Q5765" s="1"/>
      <c r="R5765" s="1"/>
      <c r="S5765" s="1"/>
      <c r="T5765" s="1"/>
      <c r="U5765" s="3"/>
      <c r="V5765" s="1"/>
      <c r="W5765" s="1"/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  <c r="O5766" s="1" t="str">
        <f>IFERROR(__xludf.DUMMYFUNCTION("""COMPUTED_VALUE"""),"12eca747-9244-47cb-894e-d3c873c08566")</f>
        <v>12eca747-9244-47cb-894e-d3c873c08566</v>
      </c>
      <c r="P5766" s="1" t="str">
        <f>IFERROR(__xludf.DUMMYFUNCTION("""COMPUTED_VALUE"""),"2025-11-30T16:00:00Z")</f>
        <v>2025-11-30T16:00:00Z</v>
      </c>
      <c r="Q5766" s="1"/>
      <c r="R5766" s="1"/>
      <c r="S5766" s="1"/>
      <c r="T5766" s="1"/>
      <c r="U5766" s="3"/>
      <c r="V5766" s="1"/>
      <c r="W5766" s="1"/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  <c r="O5767" s="1" t="str">
        <f>IFERROR(__xludf.DUMMYFUNCTION("""COMPUTED_VALUE"""),"757d9757-27bf-49d1-a07c-15a426289b02")</f>
        <v>757d9757-27bf-49d1-a07c-15a426289b02</v>
      </c>
      <c r="P5767" s="1" t="str">
        <f>IFERROR(__xludf.DUMMYFUNCTION("""COMPUTED_VALUE"""),"2025-11-30T16:00:00Z")</f>
        <v>2025-11-30T16:00:00Z</v>
      </c>
      <c r="Q5767" s="1"/>
      <c r="R5767" s="1"/>
      <c r="S5767" s="1"/>
      <c r="T5767" s="1"/>
      <c r="U5767" s="3"/>
      <c r="V5767" s="1"/>
      <c r="W5767" s="1"/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  <c r="O5768" s="1" t="str">
        <f>IFERROR(__xludf.DUMMYFUNCTION("""COMPUTED_VALUE"""),"a3fade96-9131-4bb4-90c2-f54d385ec4bf")</f>
        <v>a3fade96-9131-4bb4-90c2-f54d385ec4bf</v>
      </c>
      <c r="P5768" s="1" t="str">
        <f>IFERROR(__xludf.DUMMYFUNCTION("""COMPUTED_VALUE"""),"2025-11-30T16:00:00Z")</f>
        <v>2025-11-30T16:00:00Z</v>
      </c>
      <c r="Q5768" s="1"/>
      <c r="R5768" s="1"/>
      <c r="S5768" s="1"/>
      <c r="T5768" s="1"/>
      <c r="U5768" s="3"/>
      <c r="V5768" s="1"/>
      <c r="W5768" s="1"/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  <c r="O5769" s="1" t="str">
        <f>IFERROR(__xludf.DUMMYFUNCTION("""COMPUTED_VALUE"""),"09d87fc9-bd97-4b66-b6e5-fc2d50b135a4")</f>
        <v>09d87fc9-bd97-4b66-b6e5-fc2d50b135a4</v>
      </c>
      <c r="P5769" s="1" t="str">
        <f>IFERROR(__xludf.DUMMYFUNCTION("""COMPUTED_VALUE"""),"2025-11-30T16:00:00Z")</f>
        <v>2025-11-30T16:00:00Z</v>
      </c>
      <c r="Q5769" s="1"/>
      <c r="R5769" s="1"/>
      <c r="S5769" s="1"/>
      <c r="T5769" s="1"/>
      <c r="U5769" s="3"/>
      <c r="V5769" s="1"/>
      <c r="W5769" s="1"/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  <c r="O5770" s="1" t="str">
        <f>IFERROR(__xludf.DUMMYFUNCTION("""COMPUTED_VALUE"""),"f955e205-68df-47fa-8f47-3ee8758dc76e")</f>
        <v>f955e205-68df-47fa-8f47-3ee8758dc76e</v>
      </c>
      <c r="P5770" s="1" t="str">
        <f>IFERROR(__xludf.DUMMYFUNCTION("""COMPUTED_VALUE"""),"2025-11-30T16:00:00Z")</f>
        <v>2025-11-30T16:00:00Z</v>
      </c>
      <c r="Q5770" s="1"/>
      <c r="R5770" s="1"/>
      <c r="S5770" s="1"/>
      <c r="T5770" s="1"/>
      <c r="U5770" s="3"/>
      <c r="V5770" s="1"/>
      <c r="W5770" s="1"/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  <c r="O5771" s="1" t="str">
        <f>IFERROR(__xludf.DUMMYFUNCTION("""COMPUTED_VALUE"""),"00be8036-de23-4dcc-a683-b039df965fa3")</f>
        <v>00be8036-de23-4dcc-a683-b039df965fa3</v>
      </c>
      <c r="P5771" s="1" t="str">
        <f>IFERROR(__xludf.DUMMYFUNCTION("""COMPUTED_VALUE"""),"2025-11-30T16:00:00Z")</f>
        <v>2025-11-30T16:00:00Z</v>
      </c>
      <c r="Q5771" s="1"/>
      <c r="R5771" s="1"/>
      <c r="S5771" s="1"/>
      <c r="T5771" s="1"/>
      <c r="U5771" s="3"/>
      <c r="V5771" s="1"/>
      <c r="W5771" s="1"/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  <c r="O5772" s="1" t="str">
        <f>IFERROR(__xludf.DUMMYFUNCTION("""COMPUTED_VALUE"""),"5f0096f6-f7a7-4fe8-ac45-0435aaacdfb4")</f>
        <v>5f0096f6-f7a7-4fe8-ac45-0435aaacdfb4</v>
      </c>
      <c r="P5772" s="1" t="str">
        <f>IFERROR(__xludf.DUMMYFUNCTION("""COMPUTED_VALUE"""),"2025-11-30T16:00:00Z")</f>
        <v>2025-11-30T16:00:00Z</v>
      </c>
      <c r="Q5772" s="1"/>
      <c r="R5772" s="1"/>
      <c r="S5772" s="1"/>
      <c r="T5772" s="1"/>
      <c r="U5772" s="3"/>
      <c r="V5772" s="1"/>
      <c r="W5772" s="1"/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  <c r="O5773" s="1" t="str">
        <f>IFERROR(__xludf.DUMMYFUNCTION("""COMPUTED_VALUE"""),"a5b6f808-7e87-4668-a7a6-2faa138923c8")</f>
        <v>a5b6f808-7e87-4668-a7a6-2faa138923c8</v>
      </c>
      <c r="P5773" s="1" t="str">
        <f>IFERROR(__xludf.DUMMYFUNCTION("""COMPUTED_VALUE"""),"2025-11-30T16:00:00Z")</f>
        <v>2025-11-30T16:00:00Z</v>
      </c>
      <c r="Q5773" s="1"/>
      <c r="R5773" s="1"/>
      <c r="S5773" s="1"/>
      <c r="T5773" s="1"/>
      <c r="U5773" s="3"/>
      <c r="V5773" s="1"/>
      <c r="W5773" s="1"/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  <c r="O5774" s="1" t="str">
        <f>IFERROR(__xludf.DUMMYFUNCTION("""COMPUTED_VALUE"""),"e930b948-a2f3-4c3f-8b54-7ddcb5c13c7b")</f>
        <v>e930b948-a2f3-4c3f-8b54-7ddcb5c13c7b</v>
      </c>
      <c r="P5774" s="1" t="str">
        <f>IFERROR(__xludf.DUMMYFUNCTION("""COMPUTED_VALUE"""),"2025-11-30T16:00:00Z")</f>
        <v>2025-11-30T16:00:00Z</v>
      </c>
      <c r="Q5774" s="1"/>
      <c r="R5774" s="1"/>
      <c r="S5774" s="1"/>
      <c r="T5774" s="1"/>
      <c r="U5774" s="3"/>
      <c r="V5774" s="1"/>
      <c r="W5774" s="1"/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IFERROR(__xludf.DUMMYFUNCTION("""COMPUTED_VALUE"""),"Vinz Lazaro")</f>
        <v>Vinz Lazaro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  <c r="O5775" s="1" t="str">
        <f>IFERROR(__xludf.DUMMYFUNCTION("""COMPUTED_VALUE"""),"b5bf3764-4c76-47b7-b10d-b1f8e9a0087e")</f>
        <v>b5bf3764-4c76-47b7-b10d-b1f8e9a0087e</v>
      </c>
      <c r="P5775" s="1" t="str">
        <f>IFERROR(__xludf.DUMMYFUNCTION("""COMPUTED_VALUE"""),"2025-11-30T16:00:00Z")</f>
        <v>2025-11-30T16:00:00Z</v>
      </c>
      <c r="Q5775" s="1"/>
      <c r="R5775" s="1"/>
      <c r="S5775" s="1"/>
      <c r="T5775" s="1"/>
      <c r="U5775" s="3"/>
      <c r="V5775" s="1"/>
      <c r="W5775" s="1"/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  <c r="O5776" s="1" t="str">
        <f>IFERROR(__xludf.DUMMYFUNCTION("""COMPUTED_VALUE"""),"d50b210b-01b8-4681-be11-0604b6046af3")</f>
        <v>d50b210b-01b8-4681-be11-0604b6046af3</v>
      </c>
      <c r="P5776" s="1" t="str">
        <f>IFERROR(__xludf.DUMMYFUNCTION("""COMPUTED_VALUE"""),"2025-11-30T16:00:00Z")</f>
        <v>2025-11-30T16:00:00Z</v>
      </c>
      <c r="Q5776" s="1"/>
      <c r="R5776" s="1"/>
      <c r="S5776" s="1"/>
      <c r="T5776" s="1"/>
      <c r="U5776" s="3"/>
      <c r="V5776" s="1"/>
      <c r="W5776" s="1"/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IFERROR(__xludf.DUMMYFUNCTION("""COMPUTED_VALUE"""),"Vinz Lazaro")</f>
        <v>Vinz Lazaro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  <c r="O5777" s="1" t="str">
        <f>IFERROR(__xludf.DUMMYFUNCTION("""COMPUTED_VALUE"""),"bdf574f0-069d-4493-a93e-73eb74edd906")</f>
        <v>bdf574f0-069d-4493-a93e-73eb74edd906</v>
      </c>
      <c r="P5777" s="1" t="str">
        <f>IFERROR(__xludf.DUMMYFUNCTION("""COMPUTED_VALUE"""),"2025-11-30T16:00:00Z")</f>
        <v>2025-11-30T16:00:00Z</v>
      </c>
      <c r="Q5777" s="1"/>
      <c r="R5777" s="1"/>
      <c r="S5777" s="1"/>
      <c r="T5777" s="1"/>
      <c r="U5777" s="3"/>
      <c r="V5777" s="1"/>
      <c r="W5777" s="1"/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  <c r="O5778" s="1" t="str">
        <f>IFERROR(__xludf.DUMMYFUNCTION("""COMPUTED_VALUE"""),"1f5a4168-ecb9-42df-a403-8c86095beba7")</f>
        <v>1f5a4168-ecb9-42df-a403-8c86095beba7</v>
      </c>
      <c r="P5778" s="1" t="str">
        <f>IFERROR(__xludf.DUMMYFUNCTION("""COMPUTED_VALUE"""),"2025-11-30T16:00:00Z")</f>
        <v>2025-11-30T16:00:00Z</v>
      </c>
      <c r="Q5778" s="1"/>
      <c r="R5778" s="1"/>
      <c r="S5778" s="1"/>
      <c r="T5778" s="1"/>
      <c r="U5778" s="3"/>
      <c r="V5778" s="1"/>
      <c r="W5778" s="1"/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  <c r="O5779" s="1" t="str">
        <f>IFERROR(__xludf.DUMMYFUNCTION("""COMPUTED_VALUE"""),"a404c935-ed2c-453c-a3d5-0af18b23cb55")</f>
        <v>a404c935-ed2c-453c-a3d5-0af18b23cb55</v>
      </c>
      <c r="P5779" s="1" t="str">
        <f>IFERROR(__xludf.DUMMYFUNCTION("""COMPUTED_VALUE"""),"2025-11-30T16:00:00Z")</f>
        <v>2025-11-30T16:00:00Z</v>
      </c>
      <c r="Q5779" s="1"/>
      <c r="R5779" s="1"/>
      <c r="S5779" s="1"/>
      <c r="T5779" s="1"/>
      <c r="U5779" s="3"/>
      <c r="V5779" s="1"/>
      <c r="W5779" s="1"/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  <c r="O5780" s="1" t="str">
        <f>IFERROR(__xludf.DUMMYFUNCTION("""COMPUTED_VALUE"""),"d34aba25-1e55-4f8e-b85b-ef3d3928a2d3")</f>
        <v>d34aba25-1e55-4f8e-b85b-ef3d3928a2d3</v>
      </c>
      <c r="P5780" s="1" t="str">
        <f>IFERROR(__xludf.DUMMYFUNCTION("""COMPUTED_VALUE"""),"2025-11-30T16:00:00Z")</f>
        <v>2025-11-30T16:00:00Z</v>
      </c>
      <c r="Q5780" s="1"/>
      <c r="R5780" s="1"/>
      <c r="S5780" s="1"/>
      <c r="T5780" s="1"/>
      <c r="U5780" s="3"/>
      <c r="V5780" s="1"/>
      <c r="W5780" s="1"/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  <c r="O5781" s="1" t="str">
        <f>IFERROR(__xludf.DUMMYFUNCTION("""COMPUTED_VALUE"""),"c5ba42b5-b56e-4880-adbe-57292f722509")</f>
        <v>c5ba42b5-b56e-4880-adbe-57292f722509</v>
      </c>
      <c r="P5781" s="1" t="str">
        <f>IFERROR(__xludf.DUMMYFUNCTION("""COMPUTED_VALUE"""),"2025-11-30T16:00:00Z")</f>
        <v>2025-11-30T16:00:00Z</v>
      </c>
      <c r="Q5781" s="1"/>
      <c r="R5781" s="1"/>
      <c r="S5781" s="1"/>
      <c r="T5781" s="1"/>
      <c r="U5781" s="3"/>
      <c r="V5781" s="1"/>
      <c r="W5781" s="1"/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  <c r="O5782" s="1" t="str">
        <f>IFERROR(__xludf.DUMMYFUNCTION("""COMPUTED_VALUE"""),"f154e992-ffb0-484a-b731-9da1092e886a")</f>
        <v>f154e992-ffb0-484a-b731-9da1092e886a</v>
      </c>
      <c r="P5782" s="1" t="str">
        <f>IFERROR(__xludf.DUMMYFUNCTION("""COMPUTED_VALUE"""),"2025-11-30T16:00:00Z")</f>
        <v>2025-11-30T16:00:00Z</v>
      </c>
      <c r="Q5782" s="1"/>
      <c r="R5782" s="1"/>
      <c r="S5782" s="1"/>
      <c r="T5782" s="1"/>
      <c r="U5782" s="3"/>
      <c r="V5782" s="1"/>
      <c r="W5782" s="1"/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  <c r="O5783" s="1" t="str">
        <f>IFERROR(__xludf.DUMMYFUNCTION("""COMPUTED_VALUE"""),"123e8c80-f84d-46ba-8ddf-e514a808d270")</f>
        <v>123e8c80-f84d-46ba-8ddf-e514a808d270</v>
      </c>
      <c r="P5783" s="1" t="str">
        <f>IFERROR(__xludf.DUMMYFUNCTION("""COMPUTED_VALUE"""),"2025-11-30T16:00:00Z")</f>
        <v>2025-11-30T16:00:00Z</v>
      </c>
      <c r="Q5783" s="1"/>
      <c r="R5783" s="1"/>
      <c r="S5783" s="1"/>
      <c r="T5783" s="1"/>
      <c r="U5783" s="3"/>
      <c r="V5783" s="1"/>
      <c r="W5783" s="1"/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  <c r="O5784" s="1" t="str">
        <f>IFERROR(__xludf.DUMMYFUNCTION("""COMPUTED_VALUE"""),"12813a5b-5274-49dd-9f6b-59da40c97ee7")</f>
        <v>12813a5b-5274-49dd-9f6b-59da40c97ee7</v>
      </c>
      <c r="P5784" s="1" t="str">
        <f>IFERROR(__xludf.DUMMYFUNCTION("""COMPUTED_VALUE"""),"2025-11-30T16:00:00Z")</f>
        <v>2025-11-30T16:00:00Z</v>
      </c>
      <c r="Q5784" s="1"/>
      <c r="R5784" s="1"/>
      <c r="S5784" s="1"/>
      <c r="T5784" s="1"/>
      <c r="U5784" s="3"/>
      <c r="V5784" s="1"/>
      <c r="W5784" s="1"/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  <c r="O5785" s="1" t="str">
        <f>IFERROR(__xludf.DUMMYFUNCTION("""COMPUTED_VALUE"""),"3a47626d-5d83-4eb3-99f0-da594375a7a4")</f>
        <v>3a47626d-5d83-4eb3-99f0-da594375a7a4</v>
      </c>
      <c r="P5785" s="1" t="str">
        <f>IFERROR(__xludf.DUMMYFUNCTION("""COMPUTED_VALUE"""),"2025-11-30T16:00:00Z")</f>
        <v>2025-11-30T16:00:00Z</v>
      </c>
      <c r="Q5785" s="1"/>
      <c r="R5785" s="1"/>
      <c r="S5785" s="1"/>
      <c r="T5785" s="1"/>
      <c r="U5785" s="3"/>
      <c r="V5785" s="1"/>
      <c r="W5785" s="1"/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  <c r="O5786" s="1" t="str">
        <f>IFERROR(__xludf.DUMMYFUNCTION("""COMPUTED_VALUE"""),"4ab45a4c-a376-4058-a184-5b3f466a5947")</f>
        <v>4ab45a4c-a376-4058-a184-5b3f466a5947</v>
      </c>
      <c r="P5786" s="1" t="str">
        <f>IFERROR(__xludf.DUMMYFUNCTION("""COMPUTED_VALUE"""),"2025-11-30T16:00:00Z")</f>
        <v>2025-11-30T16:00:00Z</v>
      </c>
      <c r="Q5786" s="1"/>
      <c r="R5786" s="1"/>
      <c r="S5786" s="1"/>
      <c r="T5786" s="1"/>
      <c r="U5786" s="3"/>
      <c r="V5786" s="1"/>
      <c r="W5786" s="1"/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  <c r="O5787" s="1" t="str">
        <f>IFERROR(__xludf.DUMMYFUNCTION("""COMPUTED_VALUE"""),"73b91882-25ef-4c9c-8b6f-9152a825d832")</f>
        <v>73b91882-25ef-4c9c-8b6f-9152a825d832</v>
      </c>
      <c r="P5787" s="1" t="str">
        <f>IFERROR(__xludf.DUMMYFUNCTION("""COMPUTED_VALUE"""),"2025-11-30T16:00:00Z")</f>
        <v>2025-11-30T16:00:00Z</v>
      </c>
      <c r="Q5787" s="1"/>
      <c r="R5787" s="1"/>
      <c r="S5787" s="1"/>
      <c r="T5787" s="1"/>
      <c r="U5787" s="3"/>
      <c r="V5787" s="1"/>
      <c r="W5787" s="1"/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  <c r="O5788" s="1" t="str">
        <f>IFERROR(__xludf.DUMMYFUNCTION("""COMPUTED_VALUE"""),"75169e9a-969f-480f-aae4-eff49591cf56")</f>
        <v>75169e9a-969f-480f-aae4-eff49591cf56</v>
      </c>
      <c r="P5788" s="1" t="str">
        <f>IFERROR(__xludf.DUMMYFUNCTION("""COMPUTED_VALUE"""),"2025-11-30T16:00:00Z")</f>
        <v>2025-11-30T16:00:00Z</v>
      </c>
      <c r="Q5788" s="1"/>
      <c r="R5788" s="1"/>
      <c r="S5788" s="1"/>
      <c r="T5788" s="1"/>
      <c r="U5788" s="3"/>
      <c r="V5788" s="1"/>
      <c r="W5788" s="1"/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  <c r="O5789" s="1" t="str">
        <f>IFERROR(__xludf.DUMMYFUNCTION("""COMPUTED_VALUE"""),"d235389b-3321-47e0-9816-c2275d682304")</f>
        <v>d235389b-3321-47e0-9816-c2275d682304</v>
      </c>
      <c r="P5789" s="1" t="str">
        <f>IFERROR(__xludf.DUMMYFUNCTION("""COMPUTED_VALUE"""),"2025-11-30T16:00:00Z")</f>
        <v>2025-11-30T16:00:00Z</v>
      </c>
      <c r="Q5789" s="1"/>
      <c r="R5789" s="1"/>
      <c r="S5789" s="1"/>
      <c r="T5789" s="1"/>
      <c r="U5789" s="3"/>
      <c r="V5789" s="1"/>
      <c r="W5789" s="1"/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  <c r="O5790" s="1" t="str">
        <f>IFERROR(__xludf.DUMMYFUNCTION("""COMPUTED_VALUE"""),"e5eebde5-1bdf-4fc4-a4e5-e5f13689363d")</f>
        <v>e5eebde5-1bdf-4fc4-a4e5-e5f13689363d</v>
      </c>
      <c r="P5790" s="1" t="str">
        <f>IFERROR(__xludf.DUMMYFUNCTION("""COMPUTED_VALUE"""),"2025-11-30T16:00:00Z")</f>
        <v>2025-11-30T16:00:00Z</v>
      </c>
      <c r="Q5790" s="1"/>
      <c r="R5790" s="1"/>
      <c r="S5790" s="1"/>
      <c r="T5790" s="1"/>
      <c r="U5790" s="3"/>
      <c r="V5790" s="1"/>
      <c r="W5790" s="1"/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  <c r="O5791" s="1" t="str">
        <f>IFERROR(__xludf.DUMMYFUNCTION("""COMPUTED_VALUE"""),"298d5f55-b7f6-4164-b84e-face9b3cbecb")</f>
        <v>298d5f55-b7f6-4164-b84e-face9b3cbecb</v>
      </c>
      <c r="P5791" s="1" t="str">
        <f>IFERROR(__xludf.DUMMYFUNCTION("""COMPUTED_VALUE"""),"2025-11-30T16:00:00Z")</f>
        <v>2025-11-30T16:00:00Z</v>
      </c>
      <c r="Q5791" s="1"/>
      <c r="R5791" s="1"/>
      <c r="S5791" s="1"/>
      <c r="T5791" s="1"/>
      <c r="U5791" s="3"/>
      <c r="V5791" s="1"/>
      <c r="W5791" s="1"/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  <c r="O5792" s="1" t="str">
        <f>IFERROR(__xludf.DUMMYFUNCTION("""COMPUTED_VALUE"""),"bb9992e4-86b4-4be4-9177-e09f03299559")</f>
        <v>bb9992e4-86b4-4be4-9177-e09f03299559</v>
      </c>
      <c r="P5792" s="1" t="str">
        <f>IFERROR(__xludf.DUMMYFUNCTION("""COMPUTED_VALUE"""),"2025-11-30T16:00:00Z")</f>
        <v>2025-11-30T16:00:00Z</v>
      </c>
      <c r="Q5792" s="1"/>
      <c r="R5792" s="1"/>
      <c r="S5792" s="1"/>
      <c r="T5792" s="1"/>
      <c r="U5792" s="3"/>
      <c r="V5792" s="1"/>
      <c r="W5792" s="1"/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  <c r="O5793" s="1" t="str">
        <f>IFERROR(__xludf.DUMMYFUNCTION("""COMPUTED_VALUE"""),"1fa942bd-1815-4054-9636-810d3c7d937c")</f>
        <v>1fa942bd-1815-4054-9636-810d3c7d937c</v>
      </c>
      <c r="P5793" s="1" t="str">
        <f>IFERROR(__xludf.DUMMYFUNCTION("""COMPUTED_VALUE"""),"2025-11-30T16:00:00Z")</f>
        <v>2025-11-30T16:00:00Z</v>
      </c>
      <c r="Q5793" s="1"/>
      <c r="R5793" s="1"/>
      <c r="S5793" s="1"/>
      <c r="T5793" s="1"/>
      <c r="U5793" s="3"/>
      <c r="V5793" s="1"/>
      <c r="W5793" s="1"/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  <c r="O5794" s="1" t="str">
        <f>IFERROR(__xludf.DUMMYFUNCTION("""COMPUTED_VALUE"""),"b366931c-0597-40c7-babb-0a89ffc75e01")</f>
        <v>b366931c-0597-40c7-babb-0a89ffc75e01</v>
      </c>
      <c r="P5794" s="1" t="str">
        <f>IFERROR(__xludf.DUMMYFUNCTION("""COMPUTED_VALUE"""),"2025-11-30T16:00:00Z")</f>
        <v>2025-11-30T16:00:00Z</v>
      </c>
      <c r="Q5794" s="1"/>
      <c r="R5794" s="1"/>
      <c r="S5794" s="1"/>
      <c r="T5794" s="1"/>
      <c r="U5794" s="3"/>
      <c r="V5794" s="1"/>
      <c r="W5794" s="1"/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  <c r="O5795" s="1" t="str">
        <f>IFERROR(__xludf.DUMMYFUNCTION("""COMPUTED_VALUE"""),"d8cafb49-0513-4066-8298-8198c1c303c8")</f>
        <v>d8cafb49-0513-4066-8298-8198c1c303c8</v>
      </c>
      <c r="P5795" s="1" t="str">
        <f>IFERROR(__xludf.DUMMYFUNCTION("""COMPUTED_VALUE"""),"2025-11-30T16:00:00Z")</f>
        <v>2025-11-30T16:00:00Z</v>
      </c>
      <c r="Q5795" s="1"/>
      <c r="R5795" s="1"/>
      <c r="S5795" s="1"/>
      <c r="T5795" s="1"/>
      <c r="U5795" s="3"/>
      <c r="V5795" s="1"/>
      <c r="W5795" s="1"/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  <c r="O5796" s="1" t="str">
        <f>IFERROR(__xludf.DUMMYFUNCTION("""COMPUTED_VALUE"""),"b38dd32d-e840-4454-9bff-9270032e26ec")</f>
        <v>b38dd32d-e840-4454-9bff-9270032e26ec</v>
      </c>
      <c r="P5796" s="1" t="str">
        <f>IFERROR(__xludf.DUMMYFUNCTION("""COMPUTED_VALUE"""),"2025-11-30T16:00:00Z")</f>
        <v>2025-11-30T16:00:00Z</v>
      </c>
      <c r="Q5796" s="1"/>
      <c r="R5796" s="1"/>
      <c r="S5796" s="1"/>
      <c r="T5796" s="1"/>
      <c r="U5796" s="3"/>
      <c r="V5796" s="1"/>
      <c r="W5796" s="1"/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  <c r="O5797" s="1" t="str">
        <f>IFERROR(__xludf.DUMMYFUNCTION("""COMPUTED_VALUE"""),"f6ab909a-8fae-4139-af23-d06c28a32b8c")</f>
        <v>f6ab909a-8fae-4139-af23-d06c28a32b8c</v>
      </c>
      <c r="P5797" s="1" t="str">
        <f>IFERROR(__xludf.DUMMYFUNCTION("""COMPUTED_VALUE"""),"2025-11-30T16:00:00Z")</f>
        <v>2025-11-30T16:00:00Z</v>
      </c>
      <c r="Q5797" s="1"/>
      <c r="R5797" s="1"/>
      <c r="S5797" s="1"/>
      <c r="T5797" s="1"/>
      <c r="U5797" s="3"/>
      <c r="V5797" s="1"/>
      <c r="W5797" s="1"/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IFERROR(__xludf.DUMMYFUNCTION("""COMPUTED_VALUE"""),"Vinz Lazaro")</f>
        <v>Vinz Lazaro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  <c r="O5798" s="1" t="str">
        <f>IFERROR(__xludf.DUMMYFUNCTION("""COMPUTED_VALUE"""),"2440a395-2ee9-49c8-95dd-ec980955ac7b")</f>
        <v>2440a395-2ee9-49c8-95dd-ec980955ac7b</v>
      </c>
      <c r="P5798" s="1" t="str">
        <f>IFERROR(__xludf.DUMMYFUNCTION("""COMPUTED_VALUE"""),"2025-11-30T16:00:00Z")</f>
        <v>2025-11-30T16:00:00Z</v>
      </c>
      <c r="Q5798" s="1"/>
      <c r="R5798" s="1"/>
      <c r="S5798" s="1"/>
      <c r="T5798" s="1"/>
      <c r="U5798" s="3"/>
      <c r="V5798" s="1"/>
      <c r="W5798" s="1"/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  <c r="O5799" s="1" t="str">
        <f>IFERROR(__xludf.DUMMYFUNCTION("""COMPUTED_VALUE"""),"0bb396c0-8b48-4382-addc-66818b7167ec")</f>
        <v>0bb396c0-8b48-4382-addc-66818b7167ec</v>
      </c>
      <c r="P5799" s="1" t="str">
        <f>IFERROR(__xludf.DUMMYFUNCTION("""COMPUTED_VALUE"""),"2025-11-30T16:00:00Z")</f>
        <v>2025-11-30T16:00:00Z</v>
      </c>
      <c r="Q5799" s="1"/>
      <c r="R5799" s="1"/>
      <c r="S5799" s="1"/>
      <c r="T5799" s="1"/>
      <c r="U5799" s="3"/>
      <c r="V5799" s="1"/>
      <c r="W5799" s="1"/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  <c r="O5800" s="1" t="str">
        <f>IFERROR(__xludf.DUMMYFUNCTION("""COMPUTED_VALUE"""),"bfafe2d2-bab4-4d76-87e0-5b42d5285805")</f>
        <v>bfafe2d2-bab4-4d76-87e0-5b42d5285805</v>
      </c>
      <c r="P5800" s="1" t="str">
        <f>IFERROR(__xludf.DUMMYFUNCTION("""COMPUTED_VALUE"""),"2025-11-30T16:00:00Z")</f>
        <v>2025-11-30T16:00:00Z</v>
      </c>
      <c r="Q5800" s="1"/>
      <c r="R5800" s="1"/>
      <c r="S5800" s="1"/>
      <c r="T5800" s="1"/>
      <c r="U5800" s="3"/>
      <c r="V5800" s="1"/>
      <c r="W5800" s="1"/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  <c r="O5801" s="1" t="str">
        <f>IFERROR(__xludf.DUMMYFUNCTION("""COMPUTED_VALUE"""),"c0f3492c-b6e0-4663-88e9-07ef49890f6a")</f>
        <v>c0f3492c-b6e0-4663-88e9-07ef49890f6a</v>
      </c>
      <c r="P5801" s="1" t="str">
        <f>IFERROR(__xludf.DUMMYFUNCTION("""COMPUTED_VALUE"""),"2025-11-30T16:00:00Z")</f>
        <v>2025-11-30T16:00:00Z</v>
      </c>
      <c r="Q5801" s="1"/>
      <c r="R5801" s="1"/>
      <c r="S5801" s="1"/>
      <c r="T5801" s="1"/>
      <c r="U5801" s="3"/>
      <c r="V5801" s="1"/>
      <c r="W5801" s="1"/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  <c r="O5802" s="1" t="str">
        <f>IFERROR(__xludf.DUMMYFUNCTION("""COMPUTED_VALUE"""),"3335501a-b303-4b1b-b874-e502875b9c00")</f>
        <v>3335501a-b303-4b1b-b874-e502875b9c00</v>
      </c>
      <c r="P5802" s="1" t="str">
        <f>IFERROR(__xludf.DUMMYFUNCTION("""COMPUTED_VALUE"""),"2025-11-30T16:00:00Z")</f>
        <v>2025-11-30T16:00:00Z</v>
      </c>
      <c r="Q5802" s="1"/>
      <c r="R5802" s="1"/>
      <c r="S5802" s="1"/>
      <c r="T5802" s="1"/>
      <c r="U5802" s="3"/>
      <c r="V5802" s="1"/>
      <c r="W5802" s="1"/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  <c r="O5803" s="1" t="str">
        <f>IFERROR(__xludf.DUMMYFUNCTION("""COMPUTED_VALUE"""),"81f19830-f845-4879-96ee-0654dc8f6f68")</f>
        <v>81f19830-f845-4879-96ee-0654dc8f6f68</v>
      </c>
      <c r="P5803" s="1" t="str">
        <f>IFERROR(__xludf.DUMMYFUNCTION("""COMPUTED_VALUE"""),"2025-11-30T16:00:00Z")</f>
        <v>2025-11-30T16:00:00Z</v>
      </c>
      <c r="Q5803" s="1"/>
      <c r="R5803" s="1"/>
      <c r="S5803" s="1"/>
      <c r="T5803" s="1"/>
      <c r="U5803" s="3"/>
      <c r="V5803" s="1"/>
      <c r="W5803" s="1"/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  <c r="O5804" s="1" t="str">
        <f>IFERROR(__xludf.DUMMYFUNCTION("""COMPUTED_VALUE"""),"2e981db7-61ee-4b53-aef6-4c4cc65464d7")</f>
        <v>2e981db7-61ee-4b53-aef6-4c4cc65464d7</v>
      </c>
      <c r="P5804" s="1" t="str">
        <f>IFERROR(__xludf.DUMMYFUNCTION("""COMPUTED_VALUE"""),"2025-11-30T16:00:00Z")</f>
        <v>2025-11-30T16:00:00Z</v>
      </c>
      <c r="Q5804" s="1"/>
      <c r="R5804" s="1"/>
      <c r="S5804" s="1"/>
      <c r="T5804" s="1"/>
      <c r="U5804" s="3"/>
      <c r="V5804" s="1"/>
      <c r="W5804" s="1"/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  <c r="O5805" s="1" t="str">
        <f>IFERROR(__xludf.DUMMYFUNCTION("""COMPUTED_VALUE"""),"a9175f4e-c2a3-4f80-bd6c-76adc2cfcef8")</f>
        <v>a9175f4e-c2a3-4f80-bd6c-76adc2cfcef8</v>
      </c>
      <c r="P5805" s="1" t="str">
        <f>IFERROR(__xludf.DUMMYFUNCTION("""COMPUTED_VALUE"""),"2025-11-30T16:00:00Z")</f>
        <v>2025-11-30T16:00:00Z</v>
      </c>
      <c r="Q5805" s="1"/>
      <c r="R5805" s="1"/>
      <c r="S5805" s="1"/>
      <c r="T5805" s="1"/>
      <c r="U5805" s="3"/>
      <c r="V5805" s="1"/>
      <c r="W5805" s="1"/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  <c r="O5806" s="1" t="str">
        <f>IFERROR(__xludf.DUMMYFUNCTION("""COMPUTED_VALUE"""),"c099fecd-f2e4-4b33-8ba3-1c6779033d42")</f>
        <v>c099fecd-f2e4-4b33-8ba3-1c6779033d42</v>
      </c>
      <c r="P5806" s="1" t="str">
        <f>IFERROR(__xludf.DUMMYFUNCTION("""COMPUTED_VALUE"""),"2025-11-30T16:00:00Z")</f>
        <v>2025-11-30T16:00:00Z</v>
      </c>
      <c r="Q5806" s="1"/>
      <c r="R5806" s="1"/>
      <c r="S5806" s="1"/>
      <c r="T5806" s="1"/>
      <c r="U5806" s="3"/>
      <c r="V5806" s="1"/>
      <c r="W5806" s="1"/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  <c r="O5807" s="1" t="str">
        <f>IFERROR(__xludf.DUMMYFUNCTION("""COMPUTED_VALUE"""),"f49619b0-d053-442f-946d-b652dbfb2703")</f>
        <v>f49619b0-d053-442f-946d-b652dbfb2703</v>
      </c>
      <c r="P5807" s="1" t="str">
        <f>IFERROR(__xludf.DUMMYFUNCTION("""COMPUTED_VALUE"""),"2025-11-30T16:00:00Z")</f>
        <v>2025-11-30T16:00:00Z</v>
      </c>
      <c r="Q5807" s="1"/>
      <c r="R5807" s="1"/>
      <c r="S5807" s="1"/>
      <c r="T5807" s="1"/>
      <c r="U5807" s="3"/>
      <c r="V5807" s="1"/>
      <c r="W5807" s="1"/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  <c r="O5808" s="1" t="str">
        <f>IFERROR(__xludf.DUMMYFUNCTION("""COMPUTED_VALUE"""),"34b01611-0778-4238-845c-71a5fb4b19f1")</f>
        <v>34b01611-0778-4238-845c-71a5fb4b19f1</v>
      </c>
      <c r="P5808" s="1" t="str">
        <f>IFERROR(__xludf.DUMMYFUNCTION("""COMPUTED_VALUE"""),"2025-11-30T16:00:00Z")</f>
        <v>2025-11-30T16:00:00Z</v>
      </c>
      <c r="Q5808" s="1"/>
      <c r="R5808" s="1"/>
      <c r="S5808" s="1"/>
      <c r="T5808" s="1"/>
      <c r="U5808" s="3"/>
      <c r="V5808" s="1"/>
      <c r="W5808" s="1"/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IFERROR(__xludf.DUMMYFUNCTION("""COMPUTED_VALUE"""),"Karla Mananghaya")</f>
        <v>Karla Mananghaya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  <c r="O5809" s="1" t="str">
        <f>IFERROR(__xludf.DUMMYFUNCTION("""COMPUTED_VALUE"""),"29f1cfbb-326c-4f39-b32d-9350f380b21a")</f>
        <v>29f1cfbb-326c-4f39-b32d-9350f380b21a</v>
      </c>
      <c r="P5809" s="1" t="str">
        <f>IFERROR(__xludf.DUMMYFUNCTION("""COMPUTED_VALUE"""),"2025-11-30T16:00:00Z")</f>
        <v>2025-11-30T16:00:00Z</v>
      </c>
      <c r="Q5809" s="1"/>
      <c r="R5809" s="1"/>
      <c r="S5809" s="1"/>
      <c r="T5809" s="1"/>
      <c r="U5809" s="3"/>
      <c r="V5809" s="1"/>
      <c r="W5809" s="1"/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  <c r="O5810" s="1" t="str">
        <f>IFERROR(__xludf.DUMMYFUNCTION("""COMPUTED_VALUE"""),"e7288a86-def8-455e-9571-0e09ee52eb10")</f>
        <v>e7288a86-def8-455e-9571-0e09ee52eb10</v>
      </c>
      <c r="P5810" s="1" t="str">
        <f>IFERROR(__xludf.DUMMYFUNCTION("""COMPUTED_VALUE"""),"2025-11-30T16:00:00Z")</f>
        <v>2025-11-30T16:00:00Z</v>
      </c>
      <c r="Q5810" s="1"/>
      <c r="R5810" s="1"/>
      <c r="S5810" s="1"/>
      <c r="T5810" s="1"/>
      <c r="U5810" s="3"/>
      <c r="V5810" s="1"/>
      <c r="W5810" s="1"/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  <c r="O5811" s="1" t="str">
        <f>IFERROR(__xludf.DUMMYFUNCTION("""COMPUTED_VALUE"""),"c771ba05-3c70-40d0-afa5-186bade746f2")</f>
        <v>c771ba05-3c70-40d0-afa5-186bade746f2</v>
      </c>
      <c r="P5811" s="1" t="str">
        <f>IFERROR(__xludf.DUMMYFUNCTION("""COMPUTED_VALUE"""),"2025-11-30T16:00:00Z")</f>
        <v>2025-11-30T16:00:00Z</v>
      </c>
      <c r="Q5811" s="1"/>
      <c r="R5811" s="1"/>
      <c r="S5811" s="1"/>
      <c r="T5811" s="1"/>
      <c r="U5811" s="3"/>
      <c r="V5811" s="1"/>
      <c r="W5811" s="1"/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  <c r="O5812" s="1" t="str">
        <f>IFERROR(__xludf.DUMMYFUNCTION("""COMPUTED_VALUE"""),"5e57a2c8-fe7b-40fb-b179-0090e8e3060b")</f>
        <v>5e57a2c8-fe7b-40fb-b179-0090e8e3060b</v>
      </c>
      <c r="P5812" s="1" t="str">
        <f>IFERROR(__xludf.DUMMYFUNCTION("""COMPUTED_VALUE"""),"2025-11-30T16:00:00Z")</f>
        <v>2025-11-30T16:00:00Z</v>
      </c>
      <c r="Q5812" s="1"/>
      <c r="R5812" s="1"/>
      <c r="S5812" s="1"/>
      <c r="T5812" s="1"/>
      <c r="U5812" s="3"/>
      <c r="V5812" s="1"/>
      <c r="W5812" s="1"/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  <c r="O5813" s="1" t="str">
        <f>IFERROR(__xludf.DUMMYFUNCTION("""COMPUTED_VALUE"""),"b7fd1097-c419-4ccc-9d67-4b66f71021a1")</f>
        <v>b7fd1097-c419-4ccc-9d67-4b66f71021a1</v>
      </c>
      <c r="P5813" s="1" t="str">
        <f>IFERROR(__xludf.DUMMYFUNCTION("""COMPUTED_VALUE"""),"2025-11-30T16:00:00Z")</f>
        <v>2025-11-30T16:00:00Z</v>
      </c>
      <c r="Q5813" s="1"/>
      <c r="R5813" s="1"/>
      <c r="S5813" s="1"/>
      <c r="T5813" s="1"/>
      <c r="U5813" s="3"/>
      <c r="V5813" s="1"/>
      <c r="W5813" s="1"/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  <c r="O5814" s="1" t="str">
        <f>IFERROR(__xludf.DUMMYFUNCTION("""COMPUTED_VALUE"""),"20080360-d6b6-487a-ad2b-4d92f14a3e3a")</f>
        <v>20080360-d6b6-487a-ad2b-4d92f14a3e3a</v>
      </c>
      <c r="P5814" s="1" t="str">
        <f>IFERROR(__xludf.DUMMYFUNCTION("""COMPUTED_VALUE"""),"2025-11-30T16:00:00Z")</f>
        <v>2025-11-30T16:00:00Z</v>
      </c>
      <c r="Q5814" s="1"/>
      <c r="R5814" s="1"/>
      <c r="S5814" s="1"/>
      <c r="T5814" s="1"/>
      <c r="U5814" s="3"/>
      <c r="V5814" s="1"/>
      <c r="W5814" s="1"/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  <c r="O5815" s="1" t="str">
        <f>IFERROR(__xludf.DUMMYFUNCTION("""COMPUTED_VALUE"""),"27bbaf2c-6971-4b55-91a0-193260eb00dd")</f>
        <v>27bbaf2c-6971-4b55-91a0-193260eb00dd</v>
      </c>
      <c r="P5815" s="1" t="str">
        <f>IFERROR(__xludf.DUMMYFUNCTION("""COMPUTED_VALUE"""),"2025-11-30T16:00:00Z")</f>
        <v>2025-11-30T16:00:00Z</v>
      </c>
      <c r="Q5815" s="1"/>
      <c r="R5815" s="1"/>
      <c r="S5815" s="1"/>
      <c r="T5815" s="1"/>
      <c r="U5815" s="3"/>
      <c r="V5815" s="1"/>
      <c r="W5815" s="1"/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  <c r="O5816" s="1" t="str">
        <f>IFERROR(__xludf.DUMMYFUNCTION("""COMPUTED_VALUE"""),"426201d1-0b5d-4900-95cc-7a8b0c35e471")</f>
        <v>426201d1-0b5d-4900-95cc-7a8b0c35e471</v>
      </c>
      <c r="P5816" s="1" t="str">
        <f>IFERROR(__xludf.DUMMYFUNCTION("""COMPUTED_VALUE"""),"2025-11-30T16:00:00Z")</f>
        <v>2025-11-30T16:00:00Z</v>
      </c>
      <c r="Q5816" s="1"/>
      <c r="R5816" s="1"/>
      <c r="S5816" s="1"/>
      <c r="T5816" s="1"/>
      <c r="U5816" s="3"/>
      <c r="V5816" s="1"/>
      <c r="W5816" s="1"/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  <c r="O5817" s="1" t="str">
        <f>IFERROR(__xludf.DUMMYFUNCTION("""COMPUTED_VALUE"""),"ae33c457-9730-4b61-af51-a03edb80253a")</f>
        <v>ae33c457-9730-4b61-af51-a03edb80253a</v>
      </c>
      <c r="P5817" s="1" t="str">
        <f>IFERROR(__xludf.DUMMYFUNCTION("""COMPUTED_VALUE"""),"2025-11-30T16:00:00Z")</f>
        <v>2025-11-30T16:00:00Z</v>
      </c>
      <c r="Q5817" s="1"/>
      <c r="R5817" s="1"/>
      <c r="S5817" s="1"/>
      <c r="T5817" s="1"/>
      <c r="U5817" s="3"/>
      <c r="V5817" s="1"/>
      <c r="W5817" s="1"/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  <c r="O5818" s="1" t="str">
        <f>IFERROR(__xludf.DUMMYFUNCTION("""COMPUTED_VALUE"""),"2436b15f-d23f-4ea2-bd46-0852b5df957c")</f>
        <v>2436b15f-d23f-4ea2-bd46-0852b5df957c</v>
      </c>
      <c r="P5818" s="1" t="str">
        <f>IFERROR(__xludf.DUMMYFUNCTION("""COMPUTED_VALUE"""),"2025-11-30T16:00:00Z")</f>
        <v>2025-11-30T16:00:00Z</v>
      </c>
      <c r="Q5818" s="1"/>
      <c r="R5818" s="1"/>
      <c r="S5818" s="1"/>
      <c r="T5818" s="1"/>
      <c r="U5818" s="3"/>
      <c r="V5818" s="1"/>
      <c r="W5818" s="1"/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  <c r="O5819" s="1" t="str">
        <f>IFERROR(__xludf.DUMMYFUNCTION("""COMPUTED_VALUE"""),"3a5a6ab5-8abf-422b-9670-8975c03a0818")</f>
        <v>3a5a6ab5-8abf-422b-9670-8975c03a0818</v>
      </c>
      <c r="P5819" s="1" t="str">
        <f>IFERROR(__xludf.DUMMYFUNCTION("""COMPUTED_VALUE"""),"2025-11-30T16:00:00Z")</f>
        <v>2025-11-30T16:00:00Z</v>
      </c>
      <c r="Q5819" s="1"/>
      <c r="R5819" s="1"/>
      <c r="S5819" s="1"/>
      <c r="T5819" s="1"/>
      <c r="U5819" s="3"/>
      <c r="V5819" s="1"/>
      <c r="W5819" s="1"/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  <c r="O5820" s="1" t="str">
        <f>IFERROR(__xludf.DUMMYFUNCTION("""COMPUTED_VALUE"""),"ec2c53f2-66fa-462e-9ac9-b9e626e485b4")</f>
        <v>ec2c53f2-66fa-462e-9ac9-b9e626e485b4</v>
      </c>
      <c r="P5820" s="1" t="str">
        <f>IFERROR(__xludf.DUMMYFUNCTION("""COMPUTED_VALUE"""),"2025-11-30T16:00:00Z")</f>
        <v>2025-11-30T16:00:00Z</v>
      </c>
      <c r="Q5820" s="1"/>
      <c r="R5820" s="1"/>
      <c r="S5820" s="1"/>
      <c r="T5820" s="1"/>
      <c r="U5820" s="3"/>
      <c r="V5820" s="1"/>
      <c r="W5820" s="1"/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  <c r="O5821" s="1" t="str">
        <f>IFERROR(__xludf.DUMMYFUNCTION("""COMPUTED_VALUE"""),"ac409d1d-146f-4f2e-97cf-ac668184be31")</f>
        <v>ac409d1d-146f-4f2e-97cf-ac668184be31</v>
      </c>
      <c r="P5821" s="1" t="str">
        <f>IFERROR(__xludf.DUMMYFUNCTION("""COMPUTED_VALUE"""),"2025-11-30T16:00:00Z")</f>
        <v>2025-11-30T16:00:00Z</v>
      </c>
      <c r="Q5821" s="1"/>
      <c r="R5821" s="1"/>
      <c r="S5821" s="1"/>
      <c r="T5821" s="1"/>
      <c r="U5821" s="3"/>
      <c r="V5821" s="1"/>
      <c r="W5821" s="1"/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  <c r="O5822" s="1" t="str">
        <f>IFERROR(__xludf.DUMMYFUNCTION("""COMPUTED_VALUE"""),"390ace33-d7f9-4dda-8f95-3d06e72320ce")</f>
        <v>390ace33-d7f9-4dda-8f95-3d06e72320ce</v>
      </c>
      <c r="P5822" s="1" t="str">
        <f>IFERROR(__xludf.DUMMYFUNCTION("""COMPUTED_VALUE"""),"2025-11-30T16:00:00Z")</f>
        <v>2025-11-30T16:00:00Z</v>
      </c>
      <c r="Q5822" s="1"/>
      <c r="R5822" s="1"/>
      <c r="S5822" s="1"/>
      <c r="T5822" s="1"/>
      <c r="U5822" s="3"/>
      <c r="V5822" s="1"/>
      <c r="W5822" s="1"/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  <c r="O5823" s="1" t="str">
        <f>IFERROR(__xludf.DUMMYFUNCTION("""COMPUTED_VALUE"""),"4213e169-349c-47c9-b613-f4356c986a3d")</f>
        <v>4213e169-349c-47c9-b613-f4356c986a3d</v>
      </c>
      <c r="P5823" s="1" t="str">
        <f>IFERROR(__xludf.DUMMYFUNCTION("""COMPUTED_VALUE"""),"2025-11-30T16:00:00Z")</f>
        <v>2025-11-30T16:00:00Z</v>
      </c>
      <c r="Q5823" s="1"/>
      <c r="R5823" s="1"/>
      <c r="S5823" s="1"/>
      <c r="T5823" s="1"/>
      <c r="U5823" s="3"/>
      <c r="V5823" s="1"/>
      <c r="W5823" s="1"/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  <c r="O5824" s="1" t="str">
        <f>IFERROR(__xludf.DUMMYFUNCTION("""COMPUTED_VALUE"""),"3d49537c-dbf0-4f04-896b-1d3cc141a183")</f>
        <v>3d49537c-dbf0-4f04-896b-1d3cc141a183</v>
      </c>
      <c r="P5824" s="1" t="str">
        <f>IFERROR(__xludf.DUMMYFUNCTION("""COMPUTED_VALUE"""),"2025-11-30T16:00:00Z")</f>
        <v>2025-11-30T16:00:00Z</v>
      </c>
      <c r="Q5824" s="1"/>
      <c r="R5824" s="1"/>
      <c r="S5824" s="1"/>
      <c r="T5824" s="1"/>
      <c r="U5824" s="3"/>
      <c r="V5824" s="1"/>
      <c r="W5824" s="1"/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  <c r="O5825" s="1" t="str">
        <f>IFERROR(__xludf.DUMMYFUNCTION("""COMPUTED_VALUE"""),"b5f49a72-6ea0-44a0-8325-970c0e83dea7")</f>
        <v>b5f49a72-6ea0-44a0-8325-970c0e83dea7</v>
      </c>
      <c r="P5825" s="1" t="str">
        <f>IFERROR(__xludf.DUMMYFUNCTION("""COMPUTED_VALUE"""),"2025-11-30T16:00:00Z")</f>
        <v>2025-11-30T16:00:00Z</v>
      </c>
      <c r="Q5825" s="1"/>
      <c r="R5825" s="1"/>
      <c r="S5825" s="1"/>
      <c r="T5825" s="1"/>
      <c r="U5825" s="3"/>
      <c r="V5825" s="1"/>
      <c r="W5825" s="1"/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  <c r="O5826" s="1" t="str">
        <f>IFERROR(__xludf.DUMMYFUNCTION("""COMPUTED_VALUE"""),"3960812e-748b-47a3-8dea-3a0c6b21aee1")</f>
        <v>3960812e-748b-47a3-8dea-3a0c6b21aee1</v>
      </c>
      <c r="P5826" s="1" t="str">
        <f>IFERROR(__xludf.DUMMYFUNCTION("""COMPUTED_VALUE"""),"2025-11-30T16:00:00Z")</f>
        <v>2025-11-30T16:00:00Z</v>
      </c>
      <c r="Q5826" s="1"/>
      <c r="R5826" s="1"/>
      <c r="S5826" s="1"/>
      <c r="T5826" s="1"/>
      <c r="U5826" s="3"/>
      <c r="V5826" s="1"/>
      <c r="W5826" s="1"/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  <c r="O5827" s="1" t="str">
        <f>IFERROR(__xludf.DUMMYFUNCTION("""COMPUTED_VALUE"""),"0519f8dd-38e2-4c44-b925-77b43587196d")</f>
        <v>0519f8dd-38e2-4c44-b925-77b43587196d</v>
      </c>
      <c r="P5827" s="1" t="str">
        <f>IFERROR(__xludf.DUMMYFUNCTION("""COMPUTED_VALUE"""),"2025-11-30T16:00:00Z")</f>
        <v>2025-11-30T16:00:00Z</v>
      </c>
      <c r="Q5827" s="1"/>
      <c r="R5827" s="1"/>
      <c r="S5827" s="1"/>
      <c r="T5827" s="1"/>
      <c r="U5827" s="3"/>
      <c r="V5827" s="1"/>
      <c r="W5827" s="1"/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IFERROR(__xludf.DUMMYFUNCTION("""COMPUTED_VALUE"""),"#N/A")</f>
        <v>#N/A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IFERROR(__xludf.DUMMYFUNCTION("""COMPUTED_VALUE"""),"#N/A")</f>
        <v>#N/A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  <c r="O5828" s="1" t="str">
        <f>IFERROR(__xludf.DUMMYFUNCTION("""COMPUTED_VALUE"""),"3ea48634-b6a2-4b3f-b17e-bc63a77dd069")</f>
        <v>3ea48634-b6a2-4b3f-b17e-bc63a77dd069</v>
      </c>
      <c r="P5828" s="1" t="str">
        <f>IFERROR(__xludf.DUMMYFUNCTION("""COMPUTED_VALUE"""),"2025-11-30T16:00:00Z")</f>
        <v>2025-11-30T16:00:00Z</v>
      </c>
      <c r="Q5828" s="1"/>
      <c r="R5828" s="1"/>
      <c r="S5828" s="1"/>
      <c r="T5828" s="1"/>
      <c r="U5828" s="3"/>
      <c r="V5828" s="1"/>
      <c r="W5828" s="1"/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  <c r="O5829" s="1" t="str">
        <f>IFERROR(__xludf.DUMMYFUNCTION("""COMPUTED_VALUE"""),"5957e659-d004-4b50-a833-96d89b506744")</f>
        <v>5957e659-d004-4b50-a833-96d89b506744</v>
      </c>
      <c r="P5829" s="1" t="str">
        <f>IFERROR(__xludf.DUMMYFUNCTION("""COMPUTED_VALUE"""),"2025-11-30T16:00:00Z")</f>
        <v>2025-11-30T16:00:00Z</v>
      </c>
      <c r="Q5829" s="1"/>
      <c r="R5829" s="1"/>
      <c r="S5829" s="1"/>
      <c r="T5829" s="1"/>
      <c r="U5829" s="3"/>
      <c r="V5829" s="1"/>
      <c r="W5829" s="1"/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  <c r="O5830" s="1" t="str">
        <f>IFERROR(__xludf.DUMMYFUNCTION("""COMPUTED_VALUE"""),"aba1b506-4ed6-4f4a-abad-f264703b1937")</f>
        <v>aba1b506-4ed6-4f4a-abad-f264703b1937</v>
      </c>
      <c r="P5830" s="1" t="str">
        <f>IFERROR(__xludf.DUMMYFUNCTION("""COMPUTED_VALUE"""),"2025-11-30T16:00:00Z")</f>
        <v>2025-11-30T16:00:00Z</v>
      </c>
      <c r="Q5830" s="1"/>
      <c r="R5830" s="1"/>
      <c r="S5830" s="1"/>
      <c r="T5830" s="1"/>
      <c r="U5830" s="3"/>
      <c r="V5830" s="1"/>
      <c r="W5830" s="1"/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  <c r="O5831" s="1" t="str">
        <f>IFERROR(__xludf.DUMMYFUNCTION("""COMPUTED_VALUE"""),"1b0e8a89-47b2-4607-8a32-61610d221409")</f>
        <v>1b0e8a89-47b2-4607-8a32-61610d221409</v>
      </c>
      <c r="P5831" s="1" t="str">
        <f>IFERROR(__xludf.DUMMYFUNCTION("""COMPUTED_VALUE"""),"2025-11-30T16:00:00Z")</f>
        <v>2025-11-30T16:00:00Z</v>
      </c>
      <c r="Q5831" s="1"/>
      <c r="R5831" s="1"/>
      <c r="S5831" s="1"/>
      <c r="T5831" s="1"/>
      <c r="U5831" s="3"/>
      <c r="V5831" s="1"/>
      <c r="W5831" s="1"/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  <c r="O5832" s="1" t="str">
        <f>IFERROR(__xludf.DUMMYFUNCTION("""COMPUTED_VALUE"""),"34f2d71e-2948-4046-b11a-6ec3d91fb2f7")</f>
        <v>34f2d71e-2948-4046-b11a-6ec3d91fb2f7</v>
      </c>
      <c r="P5832" s="1" t="str">
        <f>IFERROR(__xludf.DUMMYFUNCTION("""COMPUTED_VALUE"""),"2025-11-30T16:00:00Z")</f>
        <v>2025-11-30T16:00:00Z</v>
      </c>
      <c r="Q5832" s="1"/>
      <c r="R5832" s="1"/>
      <c r="S5832" s="1"/>
      <c r="T5832" s="1"/>
      <c r="U5832" s="3"/>
      <c r="V5832" s="1"/>
      <c r="W5832" s="1"/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  <c r="O5833" s="1" t="str">
        <f>IFERROR(__xludf.DUMMYFUNCTION("""COMPUTED_VALUE"""),"d0bf168c-4c21-43be-abef-2d821133980c")</f>
        <v>d0bf168c-4c21-43be-abef-2d821133980c</v>
      </c>
      <c r="P5833" s="1" t="str">
        <f>IFERROR(__xludf.DUMMYFUNCTION("""COMPUTED_VALUE"""),"2025-11-30T16:00:00Z")</f>
        <v>2025-11-30T16:00:00Z</v>
      </c>
      <c r="Q5833" s="1"/>
      <c r="R5833" s="1"/>
      <c r="S5833" s="1"/>
      <c r="T5833" s="1"/>
      <c r="U5833" s="3"/>
      <c r="V5833" s="1"/>
      <c r="W5833" s="1"/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  <c r="O5834" s="1" t="str">
        <f>IFERROR(__xludf.DUMMYFUNCTION("""COMPUTED_VALUE"""),"f56a1f10-27ad-435d-9c50-8e847d04dbcf")</f>
        <v>f56a1f10-27ad-435d-9c50-8e847d04dbcf</v>
      </c>
      <c r="P5834" s="1" t="str">
        <f>IFERROR(__xludf.DUMMYFUNCTION("""COMPUTED_VALUE"""),"2025-11-30T16:00:00Z")</f>
        <v>2025-11-30T16:00:00Z</v>
      </c>
      <c r="Q5834" s="1"/>
      <c r="R5834" s="1"/>
      <c r="S5834" s="1"/>
      <c r="T5834" s="1"/>
      <c r="U5834" s="3"/>
      <c r="V5834" s="1"/>
      <c r="W5834" s="1"/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  <c r="O5835" s="1" t="str">
        <f>IFERROR(__xludf.DUMMYFUNCTION("""COMPUTED_VALUE"""),"298f0d76-bd7a-4274-ba39-7bf5fff1a6f0")</f>
        <v>298f0d76-bd7a-4274-ba39-7bf5fff1a6f0</v>
      </c>
      <c r="P5835" s="1" t="str">
        <f>IFERROR(__xludf.DUMMYFUNCTION("""COMPUTED_VALUE"""),"2025-11-30T16:00:00Z")</f>
        <v>2025-11-30T16:00:00Z</v>
      </c>
      <c r="Q5835" s="1"/>
      <c r="R5835" s="1"/>
      <c r="S5835" s="1"/>
      <c r="T5835" s="1"/>
      <c r="U5835" s="3"/>
      <c r="V5835" s="1"/>
      <c r="W5835" s="1"/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  <c r="O5836" s="1" t="str">
        <f>IFERROR(__xludf.DUMMYFUNCTION("""COMPUTED_VALUE"""),"6a7b954c-b6c3-49ee-b531-c1516331ca46")</f>
        <v>6a7b954c-b6c3-49ee-b531-c1516331ca46</v>
      </c>
      <c r="P5836" s="1" t="str">
        <f>IFERROR(__xludf.DUMMYFUNCTION("""COMPUTED_VALUE"""),"2025-11-30T16:00:00Z")</f>
        <v>2025-11-30T16:00:00Z</v>
      </c>
      <c r="Q5836" s="1"/>
      <c r="R5836" s="1"/>
      <c r="S5836" s="1"/>
      <c r="T5836" s="1"/>
      <c r="U5836" s="3"/>
      <c r="V5836" s="1"/>
      <c r="W5836" s="1"/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  <c r="O5837" s="1" t="str">
        <f>IFERROR(__xludf.DUMMYFUNCTION("""COMPUTED_VALUE"""),"795981ce-4d10-4d82-8c86-abfaee5aa819")</f>
        <v>795981ce-4d10-4d82-8c86-abfaee5aa819</v>
      </c>
      <c r="P5837" s="1" t="str">
        <f>IFERROR(__xludf.DUMMYFUNCTION("""COMPUTED_VALUE"""),"2025-11-30T16:00:00Z")</f>
        <v>2025-11-30T16:00:00Z</v>
      </c>
      <c r="Q5837" s="1"/>
      <c r="R5837" s="1"/>
      <c r="S5837" s="1"/>
      <c r="T5837" s="1"/>
      <c r="U5837" s="3"/>
      <c r="V5837" s="1"/>
      <c r="W5837" s="1"/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  <c r="O5838" s="1" t="str">
        <f>IFERROR(__xludf.DUMMYFUNCTION("""COMPUTED_VALUE"""),"c3188fb3-23e5-43d8-86c2-072029c768d3")</f>
        <v>c3188fb3-23e5-43d8-86c2-072029c768d3</v>
      </c>
      <c r="P5838" s="1" t="str">
        <f>IFERROR(__xludf.DUMMYFUNCTION("""COMPUTED_VALUE"""),"2025-11-30T16:00:00Z")</f>
        <v>2025-11-30T16:00:00Z</v>
      </c>
      <c r="Q5838" s="1"/>
      <c r="R5838" s="1"/>
      <c r="S5838" s="1"/>
      <c r="T5838" s="1"/>
      <c r="U5838" s="3"/>
      <c r="V5838" s="1"/>
      <c r="W5838" s="1"/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  <c r="O5839" s="1" t="str">
        <f>IFERROR(__xludf.DUMMYFUNCTION("""COMPUTED_VALUE"""),"484a67d0-5e69-4c98-848a-5ffa0b23046e")</f>
        <v>484a67d0-5e69-4c98-848a-5ffa0b23046e</v>
      </c>
      <c r="P5839" s="1" t="str">
        <f>IFERROR(__xludf.DUMMYFUNCTION("""COMPUTED_VALUE"""),"2025-11-30T16:00:00Z")</f>
        <v>2025-11-30T16:00:00Z</v>
      </c>
      <c r="Q5839" s="1"/>
      <c r="R5839" s="1"/>
      <c r="S5839" s="1"/>
      <c r="T5839" s="1"/>
      <c r="U5839" s="3"/>
      <c r="V5839" s="1"/>
      <c r="W5839" s="1"/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  <c r="O5840" s="1" t="str">
        <f>IFERROR(__xludf.DUMMYFUNCTION("""COMPUTED_VALUE"""),"64aee857-09bd-4a17-90d8-7b6e2d71c216")</f>
        <v>64aee857-09bd-4a17-90d8-7b6e2d71c216</v>
      </c>
      <c r="P5840" s="1" t="str">
        <f>IFERROR(__xludf.DUMMYFUNCTION("""COMPUTED_VALUE"""),"2025-11-30T16:00:00Z")</f>
        <v>2025-11-30T16:00:00Z</v>
      </c>
      <c r="Q5840" s="1"/>
      <c r="R5840" s="1"/>
      <c r="S5840" s="1"/>
      <c r="T5840" s="1"/>
      <c r="U5840" s="3"/>
      <c r="V5840" s="1"/>
      <c r="W5840" s="1"/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  <c r="O5841" s="1" t="str">
        <f>IFERROR(__xludf.DUMMYFUNCTION("""COMPUTED_VALUE"""),"1b08e244-a5e3-48ac-9d85-880d42b6e733")</f>
        <v>1b08e244-a5e3-48ac-9d85-880d42b6e733</v>
      </c>
      <c r="P5841" s="1" t="str">
        <f>IFERROR(__xludf.DUMMYFUNCTION("""COMPUTED_VALUE"""),"2025-11-30T16:00:00Z")</f>
        <v>2025-11-30T16:00:00Z</v>
      </c>
      <c r="Q5841" s="1"/>
      <c r="R5841" s="1"/>
      <c r="S5841" s="1"/>
      <c r="T5841" s="1"/>
      <c r="U5841" s="3"/>
      <c r="V5841" s="1"/>
      <c r="W5841" s="1"/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  <c r="O5842" s="1" t="str">
        <f>IFERROR(__xludf.DUMMYFUNCTION("""COMPUTED_VALUE"""),"fc9b38e6-bcda-447e-bc09-efbb10174ad9")</f>
        <v>fc9b38e6-bcda-447e-bc09-efbb10174ad9</v>
      </c>
      <c r="P5842" s="1" t="str">
        <f>IFERROR(__xludf.DUMMYFUNCTION("""COMPUTED_VALUE"""),"2025-11-30T16:00:00Z")</f>
        <v>2025-11-30T16:00:00Z</v>
      </c>
      <c r="Q5842" s="1"/>
      <c r="R5842" s="1"/>
      <c r="S5842" s="1"/>
      <c r="T5842" s="1"/>
      <c r="U5842" s="3"/>
      <c r="V5842" s="1"/>
      <c r="W5842" s="1"/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  <c r="O5843" s="1" t="str">
        <f>IFERROR(__xludf.DUMMYFUNCTION("""COMPUTED_VALUE"""),"42147b58-e8e5-4766-a41a-8d98cf8a5872")</f>
        <v>42147b58-e8e5-4766-a41a-8d98cf8a5872</v>
      </c>
      <c r="P5843" s="1" t="str">
        <f>IFERROR(__xludf.DUMMYFUNCTION("""COMPUTED_VALUE"""),"2025-11-30T16:00:00Z")</f>
        <v>2025-11-30T16:00:00Z</v>
      </c>
      <c r="Q5843" s="1"/>
      <c r="R5843" s="1"/>
      <c r="S5843" s="1"/>
      <c r="T5843" s="1"/>
      <c r="U5843" s="3"/>
      <c r="V5843" s="1"/>
      <c r="W5843" s="1"/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  <c r="O5844" s="1" t="str">
        <f>IFERROR(__xludf.DUMMYFUNCTION("""COMPUTED_VALUE"""),"b70eebc6-c7c9-48bc-a876-82736f994fb9")</f>
        <v>b70eebc6-c7c9-48bc-a876-82736f994fb9</v>
      </c>
      <c r="P5844" s="1" t="str">
        <f>IFERROR(__xludf.DUMMYFUNCTION("""COMPUTED_VALUE"""),"2025-11-30T16:00:00Z")</f>
        <v>2025-11-30T16:00:00Z</v>
      </c>
      <c r="Q5844" s="1"/>
      <c r="R5844" s="1"/>
      <c r="S5844" s="1"/>
      <c r="T5844" s="1"/>
      <c r="U5844" s="3"/>
      <c r="V5844" s="1"/>
      <c r="W5844" s="1"/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  <c r="O5845" s="1" t="str">
        <f>IFERROR(__xludf.DUMMYFUNCTION("""COMPUTED_VALUE"""),"9d825d2e-3519-4559-9782-f32e81d2d824")</f>
        <v>9d825d2e-3519-4559-9782-f32e81d2d824</v>
      </c>
      <c r="P5845" s="1" t="str">
        <f>IFERROR(__xludf.DUMMYFUNCTION("""COMPUTED_VALUE"""),"2025-11-30T16:00:00Z")</f>
        <v>2025-11-30T16:00:00Z</v>
      </c>
      <c r="Q5845" s="1"/>
      <c r="R5845" s="1"/>
      <c r="S5845" s="1"/>
      <c r="T5845" s="1"/>
      <c r="U5845" s="3"/>
      <c r="V5845" s="1"/>
      <c r="W5845" s="1"/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  <c r="O5846" s="1" t="str">
        <f>IFERROR(__xludf.DUMMYFUNCTION("""COMPUTED_VALUE"""),"f05426fa-d3ef-48ef-9506-1b0d003468b9")</f>
        <v>f05426fa-d3ef-48ef-9506-1b0d003468b9</v>
      </c>
      <c r="P5846" s="1" t="str">
        <f>IFERROR(__xludf.DUMMYFUNCTION("""COMPUTED_VALUE"""),"2025-11-30T16:00:00Z")</f>
        <v>2025-11-30T16:00:00Z</v>
      </c>
      <c r="Q5846" s="1"/>
      <c r="R5846" s="1"/>
      <c r="S5846" s="1"/>
      <c r="T5846" s="1"/>
      <c r="U5846" s="3"/>
      <c r="V5846" s="1"/>
      <c r="W5846" s="1"/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IFERROR(__xludf.DUMMYFUNCTION("""COMPUTED_VALUE"""),"Vinz Lazaro")</f>
        <v>Vinz Lazaro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  <c r="O5847" s="1" t="str">
        <f>IFERROR(__xludf.DUMMYFUNCTION("""COMPUTED_VALUE"""),"ddff770a-8bbb-4a78-9bec-f5c563c6b901")</f>
        <v>ddff770a-8bbb-4a78-9bec-f5c563c6b901</v>
      </c>
      <c r="P5847" s="1" t="str">
        <f>IFERROR(__xludf.DUMMYFUNCTION("""COMPUTED_VALUE"""),"2025-11-30T16:00:00Z")</f>
        <v>2025-11-30T16:00:00Z</v>
      </c>
      <c r="Q5847" s="1"/>
      <c r="R5847" s="1"/>
      <c r="S5847" s="1"/>
      <c r="T5847" s="1"/>
      <c r="U5847" s="3"/>
      <c r="V5847" s="1"/>
      <c r="W5847" s="1"/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  <c r="O5848" s="1" t="str">
        <f>IFERROR(__xludf.DUMMYFUNCTION("""COMPUTED_VALUE"""),"50370a17-1382-4a9f-8e42-5d34af042f22")</f>
        <v>50370a17-1382-4a9f-8e42-5d34af042f22</v>
      </c>
      <c r="P5848" s="1" t="str">
        <f>IFERROR(__xludf.DUMMYFUNCTION("""COMPUTED_VALUE"""),"2025-11-30T16:00:00Z")</f>
        <v>2025-11-30T16:00:00Z</v>
      </c>
      <c r="Q5848" s="1"/>
      <c r="R5848" s="1"/>
      <c r="S5848" s="1"/>
      <c r="T5848" s="1"/>
      <c r="U5848" s="3"/>
      <c r="V5848" s="1"/>
      <c r="W5848" s="1"/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  <c r="O5849" s="1" t="str">
        <f>IFERROR(__xludf.DUMMYFUNCTION("""COMPUTED_VALUE"""),"6472d23f-e427-46f0-a9cb-1e9b17ddfd44")</f>
        <v>6472d23f-e427-46f0-a9cb-1e9b17ddfd44</v>
      </c>
      <c r="P5849" s="1" t="str">
        <f>IFERROR(__xludf.DUMMYFUNCTION("""COMPUTED_VALUE"""),"2025-11-30T16:00:00Z")</f>
        <v>2025-11-30T16:00:00Z</v>
      </c>
      <c r="Q5849" s="1"/>
      <c r="R5849" s="1"/>
      <c r="S5849" s="1"/>
      <c r="T5849" s="1"/>
      <c r="U5849" s="3"/>
      <c r="V5849" s="1"/>
      <c r="W5849" s="1"/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  <c r="O5850" s="1" t="str">
        <f>IFERROR(__xludf.DUMMYFUNCTION("""COMPUTED_VALUE"""),"03428ca1-a361-4015-9a9f-9609cb3ad0fe")</f>
        <v>03428ca1-a361-4015-9a9f-9609cb3ad0fe</v>
      </c>
      <c r="P5850" s="1" t="str">
        <f>IFERROR(__xludf.DUMMYFUNCTION("""COMPUTED_VALUE"""),"2025-11-30T16:00:00Z")</f>
        <v>2025-11-30T16:00:00Z</v>
      </c>
      <c r="Q5850" s="1"/>
      <c r="R5850" s="1"/>
      <c r="S5850" s="1"/>
      <c r="T5850" s="1"/>
      <c r="U5850" s="3"/>
      <c r="V5850" s="1"/>
      <c r="W5850" s="1"/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  <c r="O5851" s="1" t="str">
        <f>IFERROR(__xludf.DUMMYFUNCTION("""COMPUTED_VALUE"""),"eb75942b-e616-42a5-bbc5-1d6cc92843bb")</f>
        <v>eb75942b-e616-42a5-bbc5-1d6cc92843bb</v>
      </c>
      <c r="P5851" s="1" t="str">
        <f>IFERROR(__xludf.DUMMYFUNCTION("""COMPUTED_VALUE"""),"2025-11-30T16:00:00Z")</f>
        <v>2025-11-30T16:00:00Z</v>
      </c>
      <c r="Q5851" s="1"/>
      <c r="R5851" s="1"/>
      <c r="S5851" s="1"/>
      <c r="T5851" s="1"/>
      <c r="U5851" s="3"/>
      <c r="V5851" s="1"/>
      <c r="W5851" s="1"/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  <c r="O5852" s="1" t="str">
        <f>IFERROR(__xludf.DUMMYFUNCTION("""COMPUTED_VALUE"""),"3f58d026-d7af-4464-8ba2-17fb4976b8ac")</f>
        <v>3f58d026-d7af-4464-8ba2-17fb4976b8ac</v>
      </c>
      <c r="P5852" s="1" t="str">
        <f>IFERROR(__xludf.DUMMYFUNCTION("""COMPUTED_VALUE"""),"2025-11-30T16:00:00Z")</f>
        <v>2025-11-30T16:00:00Z</v>
      </c>
      <c r="Q5852" s="1"/>
      <c r="R5852" s="1"/>
      <c r="S5852" s="1"/>
      <c r="T5852" s="1"/>
      <c r="U5852" s="3"/>
      <c r="V5852" s="1"/>
      <c r="W5852" s="1"/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  <c r="O5853" s="1" t="str">
        <f>IFERROR(__xludf.DUMMYFUNCTION("""COMPUTED_VALUE"""),"021b74ea-5511-4b56-9f2a-6ea9d6443caa")</f>
        <v>021b74ea-5511-4b56-9f2a-6ea9d6443caa</v>
      </c>
      <c r="P5853" s="1" t="str">
        <f>IFERROR(__xludf.DUMMYFUNCTION("""COMPUTED_VALUE"""),"2025-11-30T16:00:00Z")</f>
        <v>2025-11-30T16:00:00Z</v>
      </c>
      <c r="Q5853" s="1"/>
      <c r="R5853" s="1"/>
      <c r="S5853" s="1"/>
      <c r="T5853" s="1"/>
      <c r="U5853" s="3"/>
      <c r="V5853" s="1"/>
      <c r="W5853" s="1"/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  <c r="O5854" s="1" t="str">
        <f>IFERROR(__xludf.DUMMYFUNCTION("""COMPUTED_VALUE"""),"328935f7-c639-4b8f-8512-a9641b2cf808")</f>
        <v>328935f7-c639-4b8f-8512-a9641b2cf808</v>
      </c>
      <c r="P5854" s="1" t="str">
        <f>IFERROR(__xludf.DUMMYFUNCTION("""COMPUTED_VALUE"""),"2025-11-30T16:00:00Z")</f>
        <v>2025-11-30T16:00:00Z</v>
      </c>
      <c r="Q5854" s="1"/>
      <c r="R5854" s="1"/>
      <c r="S5854" s="1"/>
      <c r="T5854" s="1"/>
      <c r="U5854" s="3"/>
      <c r="V5854" s="1"/>
      <c r="W5854" s="1"/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  <c r="O5855" s="1" t="str">
        <f>IFERROR(__xludf.DUMMYFUNCTION("""COMPUTED_VALUE"""),"157b66db-b9f4-4a3d-a00a-5cf3eefe9b58")</f>
        <v>157b66db-b9f4-4a3d-a00a-5cf3eefe9b58</v>
      </c>
      <c r="P5855" s="1" t="str">
        <f>IFERROR(__xludf.DUMMYFUNCTION("""COMPUTED_VALUE"""),"2025-11-30T16:00:00Z")</f>
        <v>2025-11-30T16:00:00Z</v>
      </c>
      <c r="Q5855" s="1"/>
      <c r="R5855" s="1"/>
      <c r="S5855" s="1"/>
      <c r="T5855" s="1"/>
      <c r="U5855" s="3"/>
      <c r="V5855" s="1"/>
      <c r="W5855" s="1"/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  <c r="O5856" s="1" t="str">
        <f>IFERROR(__xludf.DUMMYFUNCTION("""COMPUTED_VALUE"""),"9f2b3750-482b-4498-a201-4e32c8fad021")</f>
        <v>9f2b3750-482b-4498-a201-4e32c8fad021</v>
      </c>
      <c r="P5856" s="1" t="str">
        <f>IFERROR(__xludf.DUMMYFUNCTION("""COMPUTED_VALUE"""),"2025-11-30T16:00:00Z")</f>
        <v>2025-11-30T16:00:00Z</v>
      </c>
      <c r="Q5856" s="1"/>
      <c r="R5856" s="1"/>
      <c r="S5856" s="1"/>
      <c r="T5856" s="1"/>
      <c r="U5856" s="3"/>
      <c r="V5856" s="1"/>
      <c r="W5856" s="1"/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  <c r="O5857" s="1" t="str">
        <f>IFERROR(__xludf.DUMMYFUNCTION("""COMPUTED_VALUE"""),"572f7cc4-e4a6-4132-92cf-6f6ba75ee4d7")</f>
        <v>572f7cc4-e4a6-4132-92cf-6f6ba75ee4d7</v>
      </c>
      <c r="P5857" s="1" t="str">
        <f>IFERROR(__xludf.DUMMYFUNCTION("""COMPUTED_VALUE"""),"2025-11-30T16:00:00Z")</f>
        <v>2025-11-30T16:00:00Z</v>
      </c>
      <c r="Q5857" s="1"/>
      <c r="R5857" s="1"/>
      <c r="S5857" s="1"/>
      <c r="T5857" s="1"/>
      <c r="U5857" s="3"/>
      <c r="V5857" s="1"/>
      <c r="W5857" s="1"/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  <c r="O5858" s="1" t="str">
        <f>IFERROR(__xludf.DUMMYFUNCTION("""COMPUTED_VALUE"""),"78d3efd2-2d00-4986-b5cc-7ca6a1d3542d")</f>
        <v>78d3efd2-2d00-4986-b5cc-7ca6a1d3542d</v>
      </c>
      <c r="P5858" s="1" t="str">
        <f>IFERROR(__xludf.DUMMYFUNCTION("""COMPUTED_VALUE"""),"2025-11-30T16:00:00Z")</f>
        <v>2025-11-30T16:00:00Z</v>
      </c>
      <c r="Q5858" s="1"/>
      <c r="R5858" s="1"/>
      <c r="S5858" s="1"/>
      <c r="T5858" s="1"/>
      <c r="U5858" s="3"/>
      <c r="V5858" s="1"/>
      <c r="W5858" s="1"/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/>
      <c r="H5859" s="3">
        <f>IFERROR(__xludf.DUMMYFUNCTION("""COMPUTED_VALUE"""),0.0)</f>
        <v>0</v>
      </c>
      <c r="I5859" s="4"/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  <c r="O5859" s="1" t="str">
        <f>IFERROR(__xludf.DUMMYFUNCTION("""COMPUTED_VALUE"""),"03738c45-2c9f-44bf-bb4b-58a2fe9fdf5d")</f>
        <v>03738c45-2c9f-44bf-bb4b-58a2fe9fdf5d</v>
      </c>
      <c r="P5859" s="1" t="str">
        <f>IFERROR(__xludf.DUMMYFUNCTION("""COMPUTED_VALUE"""),"2025-11-30T16:00:00Z")</f>
        <v>2025-11-30T16:00:00Z</v>
      </c>
      <c r="Q5859" s="1"/>
      <c r="R5859" s="1"/>
      <c r="S5859" s="1"/>
      <c r="T5859" s="1"/>
      <c r="U5859" s="3"/>
      <c r="V5859" s="1"/>
      <c r="W5859" s="1"/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  <c r="O5860" s="1" t="str">
        <f>IFERROR(__xludf.DUMMYFUNCTION("""COMPUTED_VALUE"""),"9c934de8-6199-4bb2-bcc9-bd8b70ec7a9c")</f>
        <v>9c934de8-6199-4bb2-bcc9-bd8b70ec7a9c</v>
      </c>
      <c r="P5860" s="1" t="str">
        <f>IFERROR(__xludf.DUMMYFUNCTION("""COMPUTED_VALUE"""),"2025-11-30T16:00:00Z")</f>
        <v>2025-11-30T16:00:00Z</v>
      </c>
      <c r="Q5860" s="1"/>
      <c r="R5860" s="1"/>
      <c r="S5860" s="1"/>
      <c r="T5860" s="1"/>
      <c r="U5860" s="3"/>
      <c r="V5860" s="1"/>
      <c r="W5860" s="1"/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  <c r="O5861" s="1" t="str">
        <f>IFERROR(__xludf.DUMMYFUNCTION("""COMPUTED_VALUE"""),"0f8d8927-aad1-40c2-82ac-95b7b823eec0")</f>
        <v>0f8d8927-aad1-40c2-82ac-95b7b823eec0</v>
      </c>
      <c r="P5861" s="1" t="str">
        <f>IFERROR(__xludf.DUMMYFUNCTION("""COMPUTED_VALUE"""),"2025-11-30T16:00:00Z")</f>
        <v>2025-11-30T16:00:00Z</v>
      </c>
      <c r="Q5861" s="1"/>
      <c r="R5861" s="1"/>
      <c r="S5861" s="1"/>
      <c r="T5861" s="1"/>
      <c r="U5861" s="3"/>
      <c r="V5861" s="1"/>
      <c r="W5861" s="1"/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  <c r="O5862" s="1" t="str">
        <f>IFERROR(__xludf.DUMMYFUNCTION("""COMPUTED_VALUE"""),"e33e46e4-d59d-4c5b-9834-288e99d79b63")</f>
        <v>e33e46e4-d59d-4c5b-9834-288e99d79b63</v>
      </c>
      <c r="P5862" s="1" t="str">
        <f>IFERROR(__xludf.DUMMYFUNCTION("""COMPUTED_VALUE"""),"2025-11-30T16:00:00Z")</f>
        <v>2025-11-30T16:00:00Z</v>
      </c>
      <c r="Q5862" s="1"/>
      <c r="R5862" s="1"/>
      <c r="S5862" s="1"/>
      <c r="T5862" s="1"/>
      <c r="U5862" s="3"/>
      <c r="V5862" s="1"/>
      <c r="W5862" s="1"/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  <c r="O5863" s="1" t="str">
        <f>IFERROR(__xludf.DUMMYFUNCTION("""COMPUTED_VALUE"""),"748f7375-5497-4286-b6df-38229b609d09")</f>
        <v>748f7375-5497-4286-b6df-38229b609d09</v>
      </c>
      <c r="P5863" s="1" t="str">
        <f>IFERROR(__xludf.DUMMYFUNCTION("""COMPUTED_VALUE"""),"2025-11-30T16:00:00Z")</f>
        <v>2025-11-30T16:00:00Z</v>
      </c>
      <c r="Q5863" s="1"/>
      <c r="R5863" s="1"/>
      <c r="S5863" s="1"/>
      <c r="T5863" s="1"/>
      <c r="U5863" s="3"/>
      <c r="V5863" s="1"/>
      <c r="W5863" s="1"/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  <c r="O5864" s="1" t="str">
        <f>IFERROR(__xludf.DUMMYFUNCTION("""COMPUTED_VALUE"""),"8d05170b-44c2-4973-963a-14bb293f18ab")</f>
        <v>8d05170b-44c2-4973-963a-14bb293f18ab</v>
      </c>
      <c r="P5864" s="1" t="str">
        <f>IFERROR(__xludf.DUMMYFUNCTION("""COMPUTED_VALUE"""),"2025-11-30T16:00:00Z")</f>
        <v>2025-11-30T16:00:00Z</v>
      </c>
      <c r="Q5864" s="1"/>
      <c r="R5864" s="1"/>
      <c r="S5864" s="1"/>
      <c r="T5864" s="1"/>
      <c r="U5864" s="3"/>
      <c r="V5864" s="1"/>
      <c r="W5864" s="1"/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  <c r="O5865" s="1" t="str">
        <f>IFERROR(__xludf.DUMMYFUNCTION("""COMPUTED_VALUE"""),"c51116f5-04d9-48df-a12a-dbf63eaf9c18")</f>
        <v>c51116f5-04d9-48df-a12a-dbf63eaf9c18</v>
      </c>
      <c r="P5865" s="1" t="str">
        <f>IFERROR(__xludf.DUMMYFUNCTION("""COMPUTED_VALUE"""),"2025-11-30T16:00:00Z")</f>
        <v>2025-11-30T16:00:00Z</v>
      </c>
      <c r="Q5865" s="1"/>
      <c r="R5865" s="1"/>
      <c r="S5865" s="1"/>
      <c r="T5865" s="1"/>
      <c r="U5865" s="3"/>
      <c r="V5865" s="1"/>
      <c r="W5865" s="1"/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IFERROR(__xludf.DUMMYFUNCTION("""COMPUTED_VALUE"""),1.25)</f>
        <v>1.25</v>
      </c>
      <c r="G5866" s="1">
        <f>IFERROR(__xludf.DUMMYFUNCTION("""COMPUTED_VALUE"""),4.75)</f>
        <v>4.75</v>
      </c>
      <c r="H5866" s="3">
        <f>IFERROR(__xludf.DUMMYFUNCTION("""COMPUTED_VALUE"""),6.0)</f>
        <v>6</v>
      </c>
      <c r="I5866" s="4">
        <f>IFERROR(__xludf.DUMMYFUNCTION("""COMPUTED_VALUE"""),0.7916666666666666)</f>
        <v>0.7916666667</v>
      </c>
      <c r="J5866" s="1" t="str">
        <f>IFERROR(__xludf.DUMMYFUNCTION("""COMPUTED_VALUE"""),"Rae Erlano")</f>
        <v>Rae Erlano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  <c r="O5866" s="1" t="str">
        <f>IFERROR(__xludf.DUMMYFUNCTION("""COMPUTED_VALUE"""),"ee26274a-f5bb-4f8f-aa29-94921d6e67a9")</f>
        <v>ee26274a-f5bb-4f8f-aa29-94921d6e67a9</v>
      </c>
      <c r="P5866" s="1" t="str">
        <f>IFERROR(__xludf.DUMMYFUNCTION("""COMPUTED_VALUE"""),"2025-11-30T16:00:00Z")</f>
        <v>2025-11-30T16:00:00Z</v>
      </c>
      <c r="Q5866" s="1"/>
      <c r="R5866" s="1"/>
      <c r="S5866" s="1"/>
      <c r="T5866" s="1"/>
      <c r="U5866" s="3"/>
      <c r="V5866" s="1"/>
      <c r="W5866" s="1"/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  <c r="O5867" s="1" t="str">
        <f>IFERROR(__xludf.DUMMYFUNCTION("""COMPUTED_VALUE"""),"9ec42277-802e-4dea-b288-c3f190cff1eb")</f>
        <v>9ec42277-802e-4dea-b288-c3f190cff1eb</v>
      </c>
      <c r="P5867" s="1" t="str">
        <f>IFERROR(__xludf.DUMMYFUNCTION("""COMPUTED_VALUE"""),"2025-11-30T16:00:00Z")</f>
        <v>2025-11-30T16:00:00Z</v>
      </c>
      <c r="Q5867" s="1"/>
      <c r="R5867" s="1"/>
      <c r="S5867" s="1"/>
      <c r="T5867" s="1"/>
      <c r="U5867" s="3"/>
      <c r="V5867" s="1"/>
      <c r="W5867" s="1"/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  <c r="O5868" s="1" t="str">
        <f>IFERROR(__xludf.DUMMYFUNCTION("""COMPUTED_VALUE"""),"9e3b5d29-0e29-4565-a70a-6e7ee3c7be84")</f>
        <v>9e3b5d29-0e29-4565-a70a-6e7ee3c7be84</v>
      </c>
      <c r="P5868" s="1" t="str">
        <f>IFERROR(__xludf.DUMMYFUNCTION("""COMPUTED_VALUE"""),"2025-11-30T16:00:00Z")</f>
        <v>2025-11-30T16:00:00Z</v>
      </c>
      <c r="Q5868" s="1"/>
      <c r="R5868" s="1"/>
      <c r="S5868" s="1"/>
      <c r="T5868" s="1"/>
      <c r="U5868" s="3"/>
      <c r="V5868" s="1"/>
      <c r="W5868" s="1"/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  <c r="O5869" s="1" t="str">
        <f>IFERROR(__xludf.DUMMYFUNCTION("""COMPUTED_VALUE"""),"eda8dc46-d638-4955-b85e-554ac98c41d8")</f>
        <v>eda8dc46-d638-4955-b85e-554ac98c41d8</v>
      </c>
      <c r="P5869" s="1" t="str">
        <f>IFERROR(__xludf.DUMMYFUNCTION("""COMPUTED_VALUE"""),"2025-11-30T16:00:00Z")</f>
        <v>2025-11-30T16:00:00Z</v>
      </c>
      <c r="Q5869" s="1"/>
      <c r="R5869" s="1"/>
      <c r="S5869" s="1"/>
      <c r="T5869" s="1"/>
      <c r="U5869" s="3"/>
      <c r="V5869" s="1"/>
      <c r="W5869" s="1"/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IFERROR(__xludf.DUMMYFUNCTION("""COMPUTED_VALUE"""),"Vinz Lazaro")</f>
        <v>Vinz Lazaro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  <c r="O5870" s="1" t="str">
        <f>IFERROR(__xludf.DUMMYFUNCTION("""COMPUTED_VALUE"""),"1135d838-4518-48e7-a5b8-f1738f44245c")</f>
        <v>1135d838-4518-48e7-a5b8-f1738f44245c</v>
      </c>
      <c r="P5870" s="1" t="str">
        <f>IFERROR(__xludf.DUMMYFUNCTION("""COMPUTED_VALUE"""),"2025-11-30T16:00:00Z")</f>
        <v>2025-11-30T16:00:00Z</v>
      </c>
      <c r="Q5870" s="1"/>
      <c r="R5870" s="1"/>
      <c r="S5870" s="1"/>
      <c r="T5870" s="1"/>
      <c r="U5870" s="3"/>
      <c r="V5870" s="1"/>
      <c r="W5870" s="1"/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/>
      <c r="G5871" s="1">
        <f>IFERROR(__xludf.DUMMYFUNCTION("""COMPUTED_VALUE"""),3.5)</f>
        <v>3.5</v>
      </c>
      <c r="H5871" s="3">
        <f>IFERROR(__xludf.DUMMYFUNCTION("""COMPUTED_VALUE"""),3.5)</f>
        <v>3.5</v>
      </c>
      <c r="I5871" s="4">
        <f>IFERROR(__xludf.DUMMYFUNCTION("""COMPUTED_VALUE"""),1.0)</f>
        <v>1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  <c r="O5871" s="1" t="str">
        <f>IFERROR(__xludf.DUMMYFUNCTION("""COMPUTED_VALUE"""),"415a5e08-54f0-4280-b179-b938b4a67267")</f>
        <v>415a5e08-54f0-4280-b179-b938b4a67267</v>
      </c>
      <c r="P5871" s="1" t="str">
        <f>IFERROR(__xludf.DUMMYFUNCTION("""COMPUTED_VALUE"""),"2025-11-30T16:00:00Z")</f>
        <v>2025-11-30T16:00:00Z</v>
      </c>
      <c r="Q5871" s="1"/>
      <c r="R5871" s="1"/>
      <c r="S5871" s="1"/>
      <c r="T5871" s="1"/>
      <c r="U5871" s="3"/>
      <c r="V5871" s="1"/>
      <c r="W5871" s="1"/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  <c r="O5872" s="1" t="str">
        <f>IFERROR(__xludf.DUMMYFUNCTION("""COMPUTED_VALUE"""),"a3bbe934-01ae-4e93-9369-021e3581998d")</f>
        <v>a3bbe934-01ae-4e93-9369-021e3581998d</v>
      </c>
      <c r="P5872" s="1" t="str">
        <f>IFERROR(__xludf.DUMMYFUNCTION("""COMPUTED_VALUE"""),"2025-11-30T16:00:00Z")</f>
        <v>2025-11-30T16:00:00Z</v>
      </c>
      <c r="Q5872" s="1"/>
      <c r="R5872" s="1"/>
      <c r="S5872" s="1"/>
      <c r="T5872" s="1"/>
      <c r="U5872" s="3"/>
      <c r="V5872" s="1"/>
      <c r="W5872" s="1"/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  <c r="O5873" s="1" t="str">
        <f>IFERROR(__xludf.DUMMYFUNCTION("""COMPUTED_VALUE"""),"3160ea91-bbe8-47f3-b356-db1889bfb947")</f>
        <v>3160ea91-bbe8-47f3-b356-db1889bfb947</v>
      </c>
      <c r="P5873" s="1" t="str">
        <f>IFERROR(__xludf.DUMMYFUNCTION("""COMPUTED_VALUE"""),"2025-11-30T16:00:00Z")</f>
        <v>2025-11-30T16:00:00Z</v>
      </c>
      <c r="Q5873" s="1"/>
      <c r="R5873" s="1"/>
      <c r="S5873" s="1"/>
      <c r="T5873" s="1"/>
      <c r="U5873" s="3"/>
      <c r="V5873" s="1"/>
      <c r="W5873" s="1"/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IFERROR(__xludf.DUMMYFUNCTION("""COMPUTED_VALUE"""),3.25)</f>
        <v>3.25</v>
      </c>
      <c r="H5874" s="3">
        <f>IFERROR(__xludf.DUMMYFUNCTION("""COMPUTED_VALUE"""),3.25)</f>
        <v>3.25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  <c r="O5874" s="1" t="str">
        <f>IFERROR(__xludf.DUMMYFUNCTION("""COMPUTED_VALUE"""),"0c4907ba-7b85-4f42-8afb-a62cdeb8fbd3")</f>
        <v>0c4907ba-7b85-4f42-8afb-a62cdeb8fbd3</v>
      </c>
      <c r="P5874" s="1" t="str">
        <f>IFERROR(__xludf.DUMMYFUNCTION("""COMPUTED_VALUE"""),"2025-11-30T16:00:00Z")</f>
        <v>2025-11-30T16:00:00Z</v>
      </c>
      <c r="Q5874" s="1"/>
      <c r="R5874" s="1"/>
      <c r="S5874" s="1"/>
      <c r="T5874" s="1"/>
      <c r="U5874" s="3"/>
      <c r="V5874" s="1"/>
      <c r="W5874" s="1"/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  <c r="O5875" s="1" t="str">
        <f>IFERROR(__xludf.DUMMYFUNCTION("""COMPUTED_VALUE"""),"f3e01c36-ae47-4587-bb42-c4f8b42102e5")</f>
        <v>f3e01c36-ae47-4587-bb42-c4f8b42102e5</v>
      </c>
      <c r="P5875" s="1" t="str">
        <f>IFERROR(__xludf.DUMMYFUNCTION("""COMPUTED_VALUE"""),"2025-11-30T16:00:00Z")</f>
        <v>2025-11-30T16:00:00Z</v>
      </c>
      <c r="Q5875" s="1"/>
      <c r="R5875" s="1"/>
      <c r="S5875" s="1"/>
      <c r="T5875" s="1"/>
      <c r="U5875" s="3"/>
      <c r="V5875" s="1"/>
      <c r="W5875" s="1"/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  <c r="O5876" s="1" t="str">
        <f>IFERROR(__xludf.DUMMYFUNCTION("""COMPUTED_VALUE"""),"0a760e6d-f69c-4cfc-a59a-917274456550")</f>
        <v>0a760e6d-f69c-4cfc-a59a-917274456550</v>
      </c>
      <c r="P5876" s="1" t="str">
        <f>IFERROR(__xludf.DUMMYFUNCTION("""COMPUTED_VALUE"""),"2025-11-30T16:00:00Z")</f>
        <v>2025-11-30T16:00:00Z</v>
      </c>
      <c r="Q5876" s="1"/>
      <c r="R5876" s="1"/>
      <c r="S5876" s="1"/>
      <c r="T5876" s="1"/>
      <c r="U5876" s="3"/>
      <c r="V5876" s="1"/>
      <c r="W5876" s="1"/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IFERROR(__xludf.DUMMYFUNCTION("""COMPUTED_VALUE"""),0.58)</f>
        <v>0.58</v>
      </c>
      <c r="H5877" s="3">
        <f>IFERROR(__xludf.DUMMYFUNCTION("""COMPUTED_VALUE"""),0.58)</f>
        <v>0.58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  <c r="O5877" s="1" t="str">
        <f>IFERROR(__xludf.DUMMYFUNCTION("""COMPUTED_VALUE"""),"97756389-1733-4bfe-bf0b-b3fe225fe510")</f>
        <v>97756389-1733-4bfe-bf0b-b3fe225fe510</v>
      </c>
      <c r="P5877" s="1" t="str">
        <f>IFERROR(__xludf.DUMMYFUNCTION("""COMPUTED_VALUE"""),"2025-11-30T16:00:00Z")</f>
        <v>2025-11-30T16:00:00Z</v>
      </c>
      <c r="Q5877" s="1"/>
      <c r="R5877" s="1"/>
      <c r="S5877" s="1"/>
      <c r="T5877" s="1"/>
      <c r="U5877" s="3"/>
      <c r="V5877" s="1"/>
      <c r="W5877" s="1"/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  <c r="O5878" s="1" t="str">
        <f>IFERROR(__xludf.DUMMYFUNCTION("""COMPUTED_VALUE"""),"b8e64047-ce95-4bd1-ba70-97209dbdd968")</f>
        <v>b8e64047-ce95-4bd1-ba70-97209dbdd968</v>
      </c>
      <c r="P5878" s="1" t="str">
        <f>IFERROR(__xludf.DUMMYFUNCTION("""COMPUTED_VALUE"""),"2025-11-30T16:00:00Z")</f>
        <v>2025-11-30T16:00:00Z</v>
      </c>
      <c r="Q5878" s="1"/>
      <c r="R5878" s="1"/>
      <c r="S5878" s="1"/>
      <c r="T5878" s="1"/>
      <c r="U5878" s="3"/>
      <c r="V5878" s="1"/>
      <c r="W5878" s="1"/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  <c r="O5879" s="1" t="str">
        <f>IFERROR(__xludf.DUMMYFUNCTION("""COMPUTED_VALUE"""),"0a8eade5-f55e-4b55-9dca-c83c736a8818")</f>
        <v>0a8eade5-f55e-4b55-9dca-c83c736a8818</v>
      </c>
      <c r="P5879" s="1" t="str">
        <f>IFERROR(__xludf.DUMMYFUNCTION("""COMPUTED_VALUE"""),"2025-11-30T16:00:00Z")</f>
        <v>2025-11-30T16:00:00Z</v>
      </c>
      <c r="Q5879" s="1"/>
      <c r="R5879" s="1"/>
      <c r="S5879" s="1"/>
      <c r="T5879" s="1"/>
      <c r="U5879" s="3"/>
      <c r="V5879" s="1"/>
      <c r="W5879" s="1"/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  <c r="O5880" s="1" t="str">
        <f>IFERROR(__xludf.DUMMYFUNCTION("""COMPUTED_VALUE"""),"7938e720-2f23-4ae8-a8bc-a1aeb68883d0")</f>
        <v>7938e720-2f23-4ae8-a8bc-a1aeb68883d0</v>
      </c>
      <c r="P5880" s="1" t="str">
        <f>IFERROR(__xludf.DUMMYFUNCTION("""COMPUTED_VALUE"""),"2025-11-30T16:00:00Z")</f>
        <v>2025-11-30T16:00:00Z</v>
      </c>
      <c r="Q5880" s="1"/>
      <c r="R5880" s="1"/>
      <c r="S5880" s="1"/>
      <c r="T5880" s="1"/>
      <c r="U5880" s="3"/>
      <c r="V5880" s="1"/>
      <c r="W5880" s="1"/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  <c r="O5881" s="1" t="str">
        <f>IFERROR(__xludf.DUMMYFUNCTION("""COMPUTED_VALUE"""),"7bf5cef1-9473-43c3-9aff-115283ed0e7a")</f>
        <v>7bf5cef1-9473-43c3-9aff-115283ed0e7a</v>
      </c>
      <c r="P5881" s="1" t="str">
        <f>IFERROR(__xludf.DUMMYFUNCTION("""COMPUTED_VALUE"""),"2025-11-30T16:00:00Z")</f>
        <v>2025-11-30T16:00:00Z</v>
      </c>
      <c r="Q5881" s="1"/>
      <c r="R5881" s="1"/>
      <c r="S5881" s="1"/>
      <c r="T5881" s="1"/>
      <c r="U5881" s="3"/>
      <c r="V5881" s="1"/>
      <c r="W5881" s="1"/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  <c r="O5882" s="1" t="str">
        <f>IFERROR(__xludf.DUMMYFUNCTION("""COMPUTED_VALUE"""),"ea5d3075-1c56-458e-abc7-f25ded5a9d76")</f>
        <v>ea5d3075-1c56-458e-abc7-f25ded5a9d76</v>
      </c>
      <c r="P5882" s="1" t="str">
        <f>IFERROR(__xludf.DUMMYFUNCTION("""COMPUTED_VALUE"""),"2025-11-30T16:00:00Z")</f>
        <v>2025-11-30T16:00:00Z</v>
      </c>
      <c r="Q5882" s="1"/>
      <c r="R5882" s="1"/>
      <c r="S5882" s="1"/>
      <c r="T5882" s="1"/>
      <c r="U5882" s="3"/>
      <c r="V5882" s="1"/>
      <c r="W5882" s="1"/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  <c r="O5883" s="1" t="str">
        <f>IFERROR(__xludf.DUMMYFUNCTION("""COMPUTED_VALUE"""),"ac612821-c478-4ed1-8b21-3e20fb1b17d4")</f>
        <v>ac612821-c478-4ed1-8b21-3e20fb1b17d4</v>
      </c>
      <c r="P5883" s="1" t="str">
        <f>IFERROR(__xludf.DUMMYFUNCTION("""COMPUTED_VALUE"""),"2025-11-30T16:00:00Z")</f>
        <v>2025-11-30T16:00:00Z</v>
      </c>
      <c r="Q5883" s="1"/>
      <c r="R5883" s="1"/>
      <c r="S5883" s="1"/>
      <c r="T5883" s="1"/>
      <c r="U5883" s="3"/>
      <c r="V5883" s="1"/>
      <c r="W5883" s="1"/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  <c r="O5884" s="1" t="str">
        <f>IFERROR(__xludf.DUMMYFUNCTION("""COMPUTED_VALUE"""),"c643f4d3-31ef-4155-ba4e-a552baeb6f23")</f>
        <v>c643f4d3-31ef-4155-ba4e-a552baeb6f23</v>
      </c>
      <c r="P5884" s="1" t="str">
        <f>IFERROR(__xludf.DUMMYFUNCTION("""COMPUTED_VALUE"""),"2025-11-30T16:00:00Z")</f>
        <v>2025-11-30T16:00:00Z</v>
      </c>
      <c r="Q5884" s="1"/>
      <c r="R5884" s="1"/>
      <c r="S5884" s="1"/>
      <c r="T5884" s="1"/>
      <c r="U5884" s="3"/>
      <c r="V5884" s="1"/>
      <c r="W5884" s="1"/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IFERROR(__xludf.DUMMYFUNCTION("""COMPUTED_VALUE"""),"#N/A")</f>
        <v>#N/A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IFERROR(__xludf.DUMMYFUNCTION("""COMPUTED_VALUE"""),"#N/A")</f>
        <v>#N/A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  <c r="O5885" s="1" t="str">
        <f>IFERROR(__xludf.DUMMYFUNCTION("""COMPUTED_VALUE"""),"19ca9753-f76b-4593-ad5b-20f0e6bda57d")</f>
        <v>19ca9753-f76b-4593-ad5b-20f0e6bda57d</v>
      </c>
      <c r="P5885" s="1" t="str">
        <f>IFERROR(__xludf.DUMMYFUNCTION("""COMPUTED_VALUE"""),"2025-11-30T16:00:00Z")</f>
        <v>2025-11-30T16:00:00Z</v>
      </c>
      <c r="Q5885" s="1"/>
      <c r="R5885" s="1"/>
      <c r="S5885" s="1"/>
      <c r="T5885" s="1"/>
      <c r="U5885" s="3"/>
      <c r="V5885" s="1"/>
      <c r="W5885" s="1"/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  <c r="O5886" s="1" t="str">
        <f>IFERROR(__xludf.DUMMYFUNCTION("""COMPUTED_VALUE"""),"9ade6020-1c9b-4fab-b5d6-fa3b2ae1a212")</f>
        <v>9ade6020-1c9b-4fab-b5d6-fa3b2ae1a212</v>
      </c>
      <c r="P5886" s="1" t="str">
        <f>IFERROR(__xludf.DUMMYFUNCTION("""COMPUTED_VALUE"""),"2025-11-30T16:00:00Z")</f>
        <v>2025-11-30T16:00:00Z</v>
      </c>
      <c r="Q5886" s="1"/>
      <c r="R5886" s="1"/>
      <c r="S5886" s="1"/>
      <c r="T5886" s="1"/>
      <c r="U5886" s="3"/>
      <c r="V5886" s="1"/>
      <c r="W5886" s="1"/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  <c r="O5887" s="1" t="str">
        <f>IFERROR(__xludf.DUMMYFUNCTION("""COMPUTED_VALUE"""),"05869263-0d01-4309-8f73-ab6deb080e16")</f>
        <v>05869263-0d01-4309-8f73-ab6deb080e16</v>
      </c>
      <c r="P5887" s="1" t="str">
        <f>IFERROR(__xludf.DUMMYFUNCTION("""COMPUTED_VALUE"""),"2025-11-30T16:00:00Z")</f>
        <v>2025-11-30T16:00:00Z</v>
      </c>
      <c r="Q5887" s="1"/>
      <c r="R5887" s="1"/>
      <c r="S5887" s="1"/>
      <c r="T5887" s="1"/>
      <c r="U5887" s="3"/>
      <c r="V5887" s="1"/>
      <c r="W5887" s="1"/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  <c r="O5888" s="1" t="str">
        <f>IFERROR(__xludf.DUMMYFUNCTION("""COMPUTED_VALUE"""),"5fe68c01-0359-40ab-9a6d-78a5cd050024")</f>
        <v>5fe68c01-0359-40ab-9a6d-78a5cd050024</v>
      </c>
      <c r="P5888" s="1" t="str">
        <f>IFERROR(__xludf.DUMMYFUNCTION("""COMPUTED_VALUE"""),"2025-11-30T16:00:00Z")</f>
        <v>2025-11-30T16:00:00Z</v>
      </c>
      <c r="Q5888" s="1"/>
      <c r="R5888" s="1"/>
      <c r="S5888" s="1"/>
      <c r="T5888" s="1"/>
      <c r="U5888" s="3"/>
      <c r="V5888" s="1"/>
      <c r="W5888" s="1"/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IFERROR(__xludf.DUMMYFUNCTION("""COMPUTED_VALUE"""),1.25)</f>
        <v>1.25</v>
      </c>
      <c r="H5889" s="3">
        <f>IFERROR(__xludf.DUMMYFUNCTION("""COMPUTED_VALUE"""),1.25)</f>
        <v>1.25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  <c r="O5889" s="1" t="str">
        <f>IFERROR(__xludf.DUMMYFUNCTION("""COMPUTED_VALUE"""),"50551296-1c12-4ee1-842f-b3c74e1d0706")</f>
        <v>50551296-1c12-4ee1-842f-b3c74e1d0706</v>
      </c>
      <c r="P5889" s="1" t="str">
        <f>IFERROR(__xludf.DUMMYFUNCTION("""COMPUTED_VALUE"""),"2025-11-30T16:00:00Z")</f>
        <v>2025-11-30T16:00:00Z</v>
      </c>
      <c r="Q5889" s="1"/>
      <c r="R5889" s="1"/>
      <c r="S5889" s="1"/>
      <c r="T5889" s="1"/>
      <c r="U5889" s="3"/>
      <c r="V5889" s="1"/>
      <c r="W5889" s="1"/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  <c r="O5890" s="1" t="str">
        <f>IFERROR(__xludf.DUMMYFUNCTION("""COMPUTED_VALUE"""),"4dbfa916-5ac6-473d-aa13-5812e02f0be2")</f>
        <v>4dbfa916-5ac6-473d-aa13-5812e02f0be2</v>
      </c>
      <c r="P5890" s="1" t="str">
        <f>IFERROR(__xludf.DUMMYFUNCTION("""COMPUTED_VALUE"""),"2025-11-30T16:00:00Z")</f>
        <v>2025-11-30T16:00:00Z</v>
      </c>
      <c r="Q5890" s="1"/>
      <c r="R5890" s="1"/>
      <c r="S5890" s="1"/>
      <c r="T5890" s="1"/>
      <c r="U5890" s="3"/>
      <c r="V5890" s="1"/>
      <c r="W5890" s="1"/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  <c r="O5891" s="1" t="str">
        <f>IFERROR(__xludf.DUMMYFUNCTION("""COMPUTED_VALUE"""),"9c6c901c-ce92-460f-9d6d-5ee12b03a1ec")</f>
        <v>9c6c901c-ce92-460f-9d6d-5ee12b03a1ec</v>
      </c>
      <c r="P5891" s="1" t="str">
        <f>IFERROR(__xludf.DUMMYFUNCTION("""COMPUTED_VALUE"""),"2025-11-30T16:00:00Z")</f>
        <v>2025-11-30T16:00:00Z</v>
      </c>
      <c r="Q5891" s="1"/>
      <c r="R5891" s="1"/>
      <c r="S5891" s="1"/>
      <c r="T5891" s="1"/>
      <c r="U5891" s="3"/>
      <c r="V5891" s="1"/>
      <c r="W5891" s="1"/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IFERROR(__xludf.DUMMYFUNCTION("""COMPUTED_VALUE"""),6.75)</f>
        <v>6.75</v>
      </c>
      <c r="H5892" s="3">
        <f>IFERROR(__xludf.DUMMYFUNCTION("""COMPUTED_VALUE"""),6.75)</f>
        <v>6.75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  <c r="O5892" s="1" t="str">
        <f>IFERROR(__xludf.DUMMYFUNCTION("""COMPUTED_VALUE"""),"cc817a63-c749-4aa1-ad3c-e3d33f5e04ff")</f>
        <v>cc817a63-c749-4aa1-ad3c-e3d33f5e04ff</v>
      </c>
      <c r="P5892" s="1" t="str">
        <f>IFERROR(__xludf.DUMMYFUNCTION("""COMPUTED_VALUE"""),"2025-11-30T16:00:00Z")</f>
        <v>2025-11-30T16:00:00Z</v>
      </c>
      <c r="Q5892" s="1"/>
      <c r="R5892" s="1"/>
      <c r="S5892" s="1"/>
      <c r="T5892" s="1"/>
      <c r="U5892" s="3"/>
      <c r="V5892" s="1"/>
      <c r="W5892" s="1"/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  <c r="O5893" s="1" t="str">
        <f>IFERROR(__xludf.DUMMYFUNCTION("""COMPUTED_VALUE"""),"6f52f807-9641-4f21-b34f-312ae3e9b3c9")</f>
        <v>6f52f807-9641-4f21-b34f-312ae3e9b3c9</v>
      </c>
      <c r="P5893" s="1" t="str">
        <f>IFERROR(__xludf.DUMMYFUNCTION("""COMPUTED_VALUE"""),"2025-11-30T16:00:00Z")</f>
        <v>2025-11-30T16:00:00Z</v>
      </c>
      <c r="Q5893" s="1"/>
      <c r="R5893" s="1"/>
      <c r="S5893" s="1"/>
      <c r="T5893" s="1"/>
      <c r="U5893" s="3"/>
      <c r="V5893" s="1"/>
      <c r="W5893" s="1"/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  <c r="O5894" s="1" t="str">
        <f>IFERROR(__xludf.DUMMYFUNCTION("""COMPUTED_VALUE"""),"e9348ef0-6be7-4d18-8f01-bbb3181a2030")</f>
        <v>e9348ef0-6be7-4d18-8f01-bbb3181a2030</v>
      </c>
      <c r="P5894" s="1" t="str">
        <f>IFERROR(__xludf.DUMMYFUNCTION("""COMPUTED_VALUE"""),"2025-11-30T16:00:00Z")</f>
        <v>2025-11-30T16:00:00Z</v>
      </c>
      <c r="Q5894" s="1"/>
      <c r="R5894" s="1"/>
      <c r="S5894" s="1"/>
      <c r="T5894" s="1"/>
      <c r="U5894" s="3"/>
      <c r="V5894" s="1"/>
      <c r="W5894" s="1"/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  <c r="O5895" s="1" t="str">
        <f>IFERROR(__xludf.DUMMYFUNCTION("""COMPUTED_VALUE"""),"5917755d-94e1-4bcf-b3d5-736f4efd635f")</f>
        <v>5917755d-94e1-4bcf-b3d5-736f4efd635f</v>
      </c>
      <c r="P5895" s="1" t="str">
        <f>IFERROR(__xludf.DUMMYFUNCTION("""COMPUTED_VALUE"""),"2025-11-30T16:00:00Z")</f>
        <v>2025-11-30T16:00:00Z</v>
      </c>
      <c r="Q5895" s="1"/>
      <c r="R5895" s="1"/>
      <c r="S5895" s="1"/>
      <c r="T5895" s="1"/>
      <c r="U5895" s="3"/>
      <c r="V5895" s="1"/>
      <c r="W5895" s="1"/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  <c r="O5896" s="1" t="str">
        <f>IFERROR(__xludf.DUMMYFUNCTION("""COMPUTED_VALUE"""),"869426c4-df7f-4a39-b2f3-8e70e583ed69")</f>
        <v>869426c4-df7f-4a39-b2f3-8e70e583ed69</v>
      </c>
      <c r="P5896" s="1" t="str">
        <f>IFERROR(__xludf.DUMMYFUNCTION("""COMPUTED_VALUE"""),"2025-11-30T16:00:00Z")</f>
        <v>2025-11-30T16:00:00Z</v>
      </c>
      <c r="Q5896" s="1"/>
      <c r="R5896" s="1"/>
      <c r="S5896" s="1"/>
      <c r="T5896" s="1"/>
      <c r="U5896" s="3"/>
      <c r="V5896" s="1"/>
      <c r="W5896" s="1"/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  <c r="O5897" s="1" t="str">
        <f>IFERROR(__xludf.DUMMYFUNCTION("""COMPUTED_VALUE"""),"cb7f900d-e2ff-4ff8-b74f-c2db90bdfb62")</f>
        <v>cb7f900d-e2ff-4ff8-b74f-c2db90bdfb62</v>
      </c>
      <c r="P5897" s="1" t="str">
        <f>IFERROR(__xludf.DUMMYFUNCTION("""COMPUTED_VALUE"""),"2025-11-30T16:00:00Z")</f>
        <v>2025-11-30T16:00:00Z</v>
      </c>
      <c r="Q5897" s="1"/>
      <c r="R5897" s="1"/>
      <c r="S5897" s="1"/>
      <c r="T5897" s="1"/>
      <c r="U5897" s="3"/>
      <c r="V5897" s="1"/>
      <c r="W5897" s="1"/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IFERROR(__xludf.DUMMYFUNCTION("""COMPUTED_VALUE"""),1.98)</f>
        <v>1.98</v>
      </c>
      <c r="H5912" s="3">
        <f>IFERROR(__xludf.DUMMYFUNCTION("""COMPUTED_VALUE"""),1.98)</f>
        <v>1.98</v>
      </c>
      <c r="I5912" s="4">
        <f>IFERROR(__xludf.DUMMYFUNCTION("""COMPUTED_VALUE"""),1.0)</f>
        <v>1</v>
      </c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IFERROR(__xludf.DUMMYFUNCTION("""COMPUTED_VALUE"""),2.0)</f>
        <v>2</v>
      </c>
      <c r="H5915" s="3">
        <f>IFERROR(__xludf.DUMMYFUNCTION("""COMPUTED_VALUE"""),2.5)</f>
        <v>2.5</v>
      </c>
      <c r="I5915" s="4">
        <f>IFERROR(__xludf.DUMMYFUNCTION("""COMPUTED_VALUE"""),0.8)</f>
        <v>0.8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IFERROR(__xludf.DUMMYFUNCTION("""COMPUTED_VALUE"""),0.5)</f>
        <v>0.5</v>
      </c>
      <c r="H5919" s="3">
        <f>IFERROR(__xludf.DUMMYFUNCTION("""COMPUTED_VALUE"""),0.5)</f>
        <v>0.5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/>
      <c r="G5922" s="1"/>
      <c r="H5922" s="3">
        <f>IFERROR(__xludf.DUMMYFUNCTION("""COMPUTED_VALUE"""),0.0)</f>
        <v>0</v>
      </c>
      <c r="I5922" s="4"/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>
        <f>IFERROR(__xludf.DUMMYFUNCTION("""COMPUTED_VALUE"""),1.0)</f>
        <v>1</v>
      </c>
      <c r="H5926" s="3">
        <f>IFERROR(__xludf.DUMMYFUNCTION("""COMPUTED_VALUE"""),6.0)</f>
        <v>6</v>
      </c>
      <c r="I5926" s="4">
        <f>IFERROR(__xludf.DUMMYFUNCTION("""COMPUTED_VALUE"""),0.16666666666666666)</f>
        <v>0.1666666667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>
        <f>IFERROR(__xludf.DUMMYFUNCTION("""COMPUTED_VALUE"""),1.0)</f>
        <v>1</v>
      </c>
      <c r="G5933" s="1"/>
      <c r="H5933" s="3">
        <f>IFERROR(__xludf.DUMMYFUNCTION("""COMPUTED_VALUE"""),1.0)</f>
        <v>1</v>
      </c>
      <c r="I5933" s="4">
        <f>IFERROR(__xludf.DUMMYFUNCTION("""COMPUTED_VALUE"""),0.0)</f>
        <v>0</v>
      </c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IFERROR(__xludf.DUMMYFUNCTION("""COMPUTED_VALUE"""),2.25)</f>
        <v>2.25</v>
      </c>
      <c r="H5951" s="3">
        <f>IFERROR(__xludf.DUMMYFUNCTION("""COMPUTED_VALUE"""),2.25)</f>
        <v>2.25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/>
      <c r="G5953" s="1">
        <f>IFERROR(__xludf.DUMMYFUNCTION("""COMPUTED_VALUE"""),2.63)</f>
        <v>2.63</v>
      </c>
      <c r="H5953" s="3">
        <f>IFERROR(__xludf.DUMMYFUNCTION("""COMPUTED_VALUE"""),2.63)</f>
        <v>2.63</v>
      </c>
      <c r="I5953" s="4">
        <f>IFERROR(__xludf.DUMMYFUNCTION("""COMPUTED_VALUE"""),1.0)</f>
        <v>1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/>
      <c r="H5973" s="3">
        <f>IFERROR(__xludf.DUMMYFUNCTION("""COMPUTED_VALUE"""),0.0)</f>
        <v>0</v>
      </c>
      <c r="I5973" s="4"/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/>
      <c r="G5979" s="1">
        <f>IFERROR(__xludf.DUMMYFUNCTION("""COMPUTED_VALUE"""),1.78)</f>
        <v>1.78</v>
      </c>
      <c r="H5979" s="3">
        <f>IFERROR(__xludf.DUMMYFUNCTION("""COMPUTED_VALUE"""),1.78)</f>
        <v>1.78</v>
      </c>
      <c r="I5979" s="4">
        <f>IFERROR(__xludf.DUMMYFUNCTION("""COMPUTED_VALUE"""),1.0)</f>
        <v>1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IFERROR(__xludf.DUMMYFUNCTION("""COMPUTED_VALUE"""),2.48)</f>
        <v>2.48</v>
      </c>
      <c r="G5981" s="1">
        <f>IFERROR(__xludf.DUMMYFUNCTION("""COMPUTED_VALUE"""),0.12)</f>
        <v>0.12</v>
      </c>
      <c r="H5981" s="3">
        <f>IFERROR(__xludf.DUMMYFUNCTION("""COMPUTED_VALUE"""),2.6)</f>
        <v>2.6</v>
      </c>
      <c r="I5981" s="4">
        <f>IFERROR(__xludf.DUMMYFUNCTION("""COMPUTED_VALUE"""),0.04615384615384615)</f>
        <v>0.04615384615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IFERROR(__xludf.DUMMYFUNCTION("""COMPUTED_VALUE"""),"Vinz Lazaro")</f>
        <v>Vinz Lazaro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IFERROR(__xludf.DUMMYFUNCTION("""COMPUTED_VALUE"""),4.33)</f>
        <v>4.33</v>
      </c>
      <c r="H5990" s="3">
        <f>IFERROR(__xludf.DUMMYFUNCTION("""COMPUTED_VALUE"""),4.33)</f>
        <v>4.33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IFERROR(__xludf.DUMMYFUNCTION("""COMPUTED_VALUE"""),2.75)</f>
        <v>2.75</v>
      </c>
      <c r="H5995" s="3">
        <f>IFERROR(__xludf.DUMMYFUNCTION("""COMPUTED_VALUE"""),3.25)</f>
        <v>3.25</v>
      </c>
      <c r="I5995" s="4">
        <f>IFERROR(__xludf.DUMMYFUNCTION("""COMPUTED_VALUE"""),0.8461538461538461)</f>
        <v>0.8461538462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>
        <f>IFERROR(__xludf.DUMMYFUNCTION("""COMPUTED_VALUE"""),0.75)</f>
        <v>0.75</v>
      </c>
      <c r="H5997" s="3">
        <f>IFERROR(__xludf.DUMMYFUNCTION("""COMPUTED_VALUE"""),0.75)</f>
        <v>0.75</v>
      </c>
      <c r="I5997" s="4">
        <f>IFERROR(__xludf.DUMMYFUNCTION("""COMPUTED_VALUE"""),1.0)</f>
        <v>1</v>
      </c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/>
      <c r="G5998" s="1">
        <f>IFERROR(__xludf.DUMMYFUNCTION("""COMPUTED_VALUE"""),2.0)</f>
        <v>2</v>
      </c>
      <c r="H5998" s="3">
        <f>IFERROR(__xludf.DUMMYFUNCTION("""COMPUTED_VALUE"""),2.0)</f>
        <v>2</v>
      </c>
      <c r="I5998" s="4">
        <f>IFERROR(__xludf.DUMMYFUNCTION("""COMPUTED_VALUE"""),1.0)</f>
        <v>1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IFERROR(__xludf.DUMMYFUNCTION("""COMPUTED_VALUE"""),"Admin Support")</f>
        <v>Admin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IFERROR(__xludf.DUMMYFUNCTION("""COMPUTED_VALUE"""),"AL Suarez")</f>
        <v>AL Suarez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IFERROR(__xludf.DUMMYFUNCTION("""COMPUTED_VALUE"""),"Admin Support")</f>
        <v>Admin Support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IFERROR(__xludf.DUMMYFUNCTION("""COMPUTED_VALUE"""),"Karla Mananghaya")</f>
        <v>Karla Mananghaya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IFERROR(__xludf.DUMMYFUNCTION("""COMPUTED_VALUE"""),7.0)</f>
        <v>7</v>
      </c>
      <c r="H6016" s="3">
        <f>IFERROR(__xludf.DUMMYFUNCTION("""COMPUTED_VALUE"""),7.0)</f>
        <v>7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IFERROR(__xludf.DUMMYFUNCTION("""COMPUTED_VALUE"""),4.75)</f>
        <v>4.75</v>
      </c>
      <c r="H6020" s="3">
        <f>IFERROR(__xludf.DUMMYFUNCTION("""COMPUTED_VALUE"""),4.75)</f>
        <v>4.75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IFERROR(__xludf.DUMMYFUNCTION("""COMPUTED_VALUE"""),1.0)</f>
        <v>1</v>
      </c>
      <c r="H6021" s="3">
        <f>IFERROR(__xludf.DUMMYFUNCTION("""COMPUTED_VALUE"""),1.0)</f>
        <v>1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IFERROR(__xludf.DUMMYFUNCTION("""COMPUTED_VALUE"""),"Admin Support")</f>
        <v>Admin Support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IFERROR(__xludf.DUMMYFUNCTION("""COMPUTED_VALUE"""),"Karla Mananghaya")</f>
        <v>Karla Mananghaya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/>
      <c r="H6025" s="3">
        <f>IFERROR(__xludf.DUMMYFUNCTION("""COMPUTED_VALUE"""),0.0)</f>
        <v>0</v>
      </c>
      <c r="I6025" s="4"/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IFERROR(__xludf.DUMMYFUNCTION("""COMPUTED_VALUE"""),1.58)</f>
        <v>1.58</v>
      </c>
      <c r="H6027" s="3">
        <f>IFERROR(__xludf.DUMMYFUNCTION("""COMPUTED_VALUE"""),1.58)</f>
        <v>1.58</v>
      </c>
      <c r="I6027" s="4">
        <f>IFERROR(__xludf.DUMMYFUNCTION("""COMPUTED_VALUE"""),1.0)</f>
        <v>1</v>
      </c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IFERROR(__xludf.DUMMYFUNCTION("""COMPUTED_VALUE"""),"Vinz Lazaro")</f>
        <v>Vinz Lazaro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IFERROR(__xludf.DUMMYFUNCTION("""COMPUTED_VALUE"""),"Vinz Lazaro")</f>
        <v>Vinz Lazaro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>
        <f>IFERROR(__xludf.DUMMYFUNCTION("""COMPUTED_VALUE"""),1.17)</f>
        <v>1.17</v>
      </c>
      <c r="H6049" s="3">
        <f>IFERROR(__xludf.DUMMYFUNCTION("""COMPUTED_VALUE"""),1.17)</f>
        <v>1.17</v>
      </c>
      <c r="I6049" s="4">
        <f>IFERROR(__xludf.DUMMYFUNCTION("""COMPUTED_VALUE"""),1.0)</f>
        <v>1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>
        <f>IFERROR(__xludf.DUMMYFUNCTION("""COMPUTED_VALUE"""),0.5)</f>
        <v>0.5</v>
      </c>
      <c r="G6054" s="1">
        <f>IFERROR(__xludf.DUMMYFUNCTION("""COMPUTED_VALUE"""),3.5)</f>
        <v>3.5</v>
      </c>
      <c r="H6054" s="3">
        <f>IFERROR(__xludf.DUMMYFUNCTION("""COMPUTED_VALUE"""),4.0)</f>
        <v>4</v>
      </c>
      <c r="I6054" s="4">
        <f>IFERROR(__xludf.DUMMYFUNCTION("""COMPUTED_VALUE"""),0.875)</f>
        <v>0.875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IFERROR(__xludf.DUMMYFUNCTION("""COMPUTED_VALUE"""),2.0)</f>
        <v>2</v>
      </c>
      <c r="H6056" s="3">
        <f>IFERROR(__xludf.DUMMYFUNCTION("""COMPUTED_VALUE"""),2.5)</f>
        <v>2.5</v>
      </c>
      <c r="I6056" s="4">
        <f>IFERROR(__xludf.DUMMYFUNCTION("""COMPUTED_VALUE"""),0.8)</f>
        <v>0.8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IFERROR(__xludf.DUMMYFUNCTION("""COMPUTED_VALUE"""),1.67)</f>
        <v>1.67</v>
      </c>
      <c r="H6060" s="3">
        <f>IFERROR(__xludf.DUMMYFUNCTION("""COMPUTED_VALUE"""),1.67)</f>
        <v>1.67</v>
      </c>
      <c r="I6060" s="4">
        <f>IFERROR(__xludf.DUMMYFUNCTION("""COMPUTED_VALUE"""),1.0)</f>
        <v>1</v>
      </c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IFERROR(__xludf.DUMMYFUNCTION("""COMPUTED_VALUE"""),"Vinz Lazaro")</f>
        <v>Vinz Lazaro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IFERROR(__xludf.DUMMYFUNCTION("""COMPUTED_VALUE"""),3.75)</f>
        <v>3.75</v>
      </c>
      <c r="H6066" s="3">
        <f>IFERROR(__xludf.DUMMYFUNCTION("""COMPUTED_VALUE"""),4.25)</f>
        <v>4.25</v>
      </c>
      <c r="I6066" s="4">
        <f>IFERROR(__xludf.DUMMYFUNCTION("""COMPUTED_VALUE"""),0.8823529411764706)</f>
        <v>0.8823529412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IFERROR(__xludf.DUMMYFUNCTION("""COMPUTED_VALUE"""),2.48)</f>
        <v>2.48</v>
      </c>
      <c r="G6067" s="1"/>
      <c r="H6067" s="3">
        <f>IFERROR(__xludf.DUMMYFUNCTION("""COMPUTED_VALUE"""),2.48)</f>
        <v>2.48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>
        <f>IFERROR(__xludf.DUMMYFUNCTION("""COMPUTED_VALUE"""),1.0)</f>
        <v>1</v>
      </c>
      <c r="H6073" s="3">
        <f>IFERROR(__xludf.DUMMYFUNCTION("""COMPUTED_VALUE"""),1.5)</f>
        <v>1.5</v>
      </c>
      <c r="I6073" s="4">
        <f>IFERROR(__xludf.DUMMYFUNCTION("""COMPUTED_VALUE"""),0.6666666666666666)</f>
        <v>0.6666666667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IFERROR(__xludf.DUMMYFUNCTION("""COMPUTED_VALUE"""),"Karla Mananghaya")</f>
        <v>Karla Mananghaya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IFERROR(__xludf.DUMMYFUNCTION("""COMPUTED_VALUE"""),2.75)</f>
        <v>2.75</v>
      </c>
      <c r="H6091" s="3">
        <f>IFERROR(__xludf.DUMMYFUNCTION("""COMPUTED_VALUE"""),2.75)</f>
        <v>2.75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>
        <f>IFERROR(__xludf.DUMMYFUNCTION("""COMPUTED_VALUE"""),0.75)</f>
        <v>0.75</v>
      </c>
      <c r="H6092" s="3">
        <f>IFERROR(__xludf.DUMMYFUNCTION("""COMPUTED_VALUE"""),0.75)</f>
        <v>0.75</v>
      </c>
      <c r="I6092" s="4">
        <f>IFERROR(__xludf.DUMMYFUNCTION("""COMPUTED_VALUE"""),1.0)</f>
        <v>1</v>
      </c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IFERROR(__xludf.DUMMYFUNCTION("""COMPUTED_VALUE"""),"#N/A")</f>
        <v>#N/A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IFERROR(__xludf.DUMMYFUNCTION("""COMPUTED_VALUE"""),"#N/A")</f>
        <v>#N/A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IFERROR(__xludf.DUMMYFUNCTION("""COMPUTED_VALUE"""),3.05)</f>
        <v>3.05</v>
      </c>
      <c r="G6096" s="1"/>
      <c r="H6096" s="3">
        <f>IFERROR(__xludf.DUMMYFUNCTION("""COMPUTED_VALUE"""),3.05)</f>
        <v>3.05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IFERROR(__xludf.DUMMYFUNCTION("""COMPUTED_VALUE"""),2.5)</f>
        <v>2.5</v>
      </c>
      <c r="H6099" s="3">
        <f>IFERROR(__xludf.DUMMYFUNCTION("""COMPUTED_VALUE"""),2.5)</f>
        <v>2.5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>
        <f>IFERROR(__xludf.DUMMYFUNCTION("""COMPUTED_VALUE"""),1.0)</f>
        <v>1</v>
      </c>
      <c r="G6102" s="1">
        <f>IFERROR(__xludf.DUMMYFUNCTION("""COMPUTED_VALUE"""),3.5)</f>
        <v>3.5</v>
      </c>
      <c r="H6102" s="3">
        <f>IFERROR(__xludf.DUMMYFUNCTION("""COMPUTED_VALUE"""),4.5)</f>
        <v>4.5</v>
      </c>
      <c r="I6102" s="4">
        <f>IFERROR(__xludf.DUMMYFUNCTION("""COMPUTED_VALUE"""),0.7777777777777778)</f>
        <v>0.7777777778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/>
      <c r="G6109" s="1"/>
      <c r="H6109" s="3">
        <f>IFERROR(__xludf.DUMMYFUNCTION("""COMPUTED_VALUE"""),0.0)</f>
        <v>0</v>
      </c>
      <c r="I6109" s="4"/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IFERROR(__xludf.DUMMYFUNCTION("""COMPUTED_VALUE"""),"Vinz Lazaro")</f>
        <v>Vinz Lazaro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/>
      <c r="G6116" s="1">
        <f>IFERROR(__xludf.DUMMYFUNCTION("""COMPUTED_VALUE"""),2.0)</f>
        <v>2</v>
      </c>
      <c r="H6116" s="3">
        <f>IFERROR(__xludf.DUMMYFUNCTION("""COMPUTED_VALUE"""),2.0)</f>
        <v>2</v>
      </c>
      <c r="I6116" s="4">
        <f>IFERROR(__xludf.DUMMYFUNCTION("""COMPUTED_VALUE"""),1.0)</f>
        <v>1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>
        <f>IFERROR(__xludf.DUMMYFUNCTION("""COMPUTED_VALUE"""),0.75)</f>
        <v>0.75</v>
      </c>
      <c r="H6123" s="3">
        <f>IFERROR(__xludf.DUMMYFUNCTION("""COMPUTED_VALUE"""),0.75)</f>
        <v>0.75</v>
      </c>
      <c r="I6123" s="4">
        <f>IFERROR(__xludf.DUMMYFUNCTION("""COMPUTED_VALUE"""),1.0)</f>
        <v>1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>
        <f>IFERROR(__xludf.DUMMYFUNCTION("""COMPUTED_VALUE"""),0.75)</f>
        <v>0.75</v>
      </c>
      <c r="H6124" s="3">
        <f>IFERROR(__xludf.DUMMYFUNCTION("""COMPUTED_VALUE"""),0.75)</f>
        <v>0.75</v>
      </c>
      <c r="I6124" s="4">
        <f>IFERROR(__xludf.DUMMYFUNCTION("""COMPUTED_VALUE"""),1.0)</f>
        <v>1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>
        <f>IFERROR(__xludf.DUMMYFUNCTION("""COMPUTED_VALUE"""),0.75)</f>
        <v>0.75</v>
      </c>
      <c r="H6125" s="3">
        <f>IFERROR(__xludf.DUMMYFUNCTION("""COMPUTED_VALUE"""),0.75)</f>
        <v>0.75</v>
      </c>
      <c r="I6125" s="4">
        <f>IFERROR(__xludf.DUMMYFUNCTION("""COMPUTED_VALUE"""),1.0)</f>
        <v>1</v>
      </c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IFERROR(__xludf.DUMMYFUNCTION("""COMPUTED_VALUE"""),3.0)</f>
        <v>3</v>
      </c>
      <c r="H6126" s="3">
        <f>IFERROR(__xludf.DUMMYFUNCTION("""COMPUTED_VALUE"""),3.0)</f>
        <v>3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>
        <f>IFERROR(__xludf.DUMMYFUNCTION("""COMPUTED_VALUE"""),0.5)</f>
        <v>0.5</v>
      </c>
      <c r="H6127" s="3">
        <f>IFERROR(__xludf.DUMMYFUNCTION("""COMPUTED_VALUE"""),0.5)</f>
        <v>0.5</v>
      </c>
      <c r="I6127" s="4">
        <f>IFERROR(__xludf.DUMMYFUNCTION("""COMPUTED_VALUE"""),1.0)</f>
        <v>1</v>
      </c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>
        <f>IFERROR(__xludf.DUMMYFUNCTION("""COMPUTED_VALUE"""),0.75)</f>
        <v>0.75</v>
      </c>
      <c r="H6128" s="3">
        <f>IFERROR(__xludf.DUMMYFUNCTION("""COMPUTED_VALUE"""),0.75)</f>
        <v>0.75</v>
      </c>
      <c r="I6128" s="4">
        <f>IFERROR(__xludf.DUMMYFUNCTION("""COMPUTED_VALUE"""),1.0)</f>
        <v>1</v>
      </c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IFERROR(__xludf.DUMMYFUNCTION("""COMPUTED_VALUE"""),4.5)</f>
        <v>4.5</v>
      </c>
      <c r="H6130" s="3">
        <f>IFERROR(__xludf.DUMMYFUNCTION("""COMPUTED_VALUE"""),4.5)</f>
        <v>4.5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>
        <f>IFERROR(__xludf.DUMMYFUNCTION("""COMPUTED_VALUE"""),0.58)</f>
        <v>0.58</v>
      </c>
      <c r="H6131" s="3">
        <f>IFERROR(__xludf.DUMMYFUNCTION("""COMPUTED_VALUE"""),0.58)</f>
        <v>0.58</v>
      </c>
      <c r="I6131" s="4">
        <f>IFERROR(__xludf.DUMMYFUNCTION("""COMPUTED_VALUE"""),1.0)</f>
        <v>1</v>
      </c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IFERROR(__xludf.DUMMYFUNCTION("""COMPUTED_VALUE"""),1.0)</f>
        <v>1</v>
      </c>
      <c r="H6132" s="3">
        <f>IFERROR(__xludf.DUMMYFUNCTION("""COMPUTED_VALUE"""),1.0)</f>
        <v>1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>
        <f>IFERROR(__xludf.DUMMYFUNCTION("""COMPUTED_VALUE"""),0.98)</f>
        <v>0.98</v>
      </c>
      <c r="H6133" s="3">
        <f>IFERROR(__xludf.DUMMYFUNCTION("""COMPUTED_VALUE"""),2.98)</f>
        <v>2.98</v>
      </c>
      <c r="I6133" s="4">
        <f>IFERROR(__xludf.DUMMYFUNCTION("""COMPUTED_VALUE"""),0.32885906040268453)</f>
        <v>0.3288590604</v>
      </c>
      <c r="J6133" s="1" t="str">
        <f>IFERROR(__xludf.DUMMYFUNCTION("""COMPUTED_VALUE"""),"Rae Erlano")</f>
        <v>Rae Erlano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>
        <f>IFERROR(__xludf.DUMMYFUNCTION("""COMPUTED_VALUE"""),1.17)</f>
        <v>1.17</v>
      </c>
      <c r="H6134" s="3">
        <f>IFERROR(__xludf.DUMMYFUNCTION("""COMPUTED_VALUE"""),1.17)</f>
        <v>1.17</v>
      </c>
      <c r="I6134" s="4">
        <f>IFERROR(__xludf.DUMMYFUNCTION("""COMPUTED_VALUE"""),1.0)</f>
        <v>1</v>
      </c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>
        <f>IFERROR(__xludf.DUMMYFUNCTION("""COMPUTED_VALUE"""),0.75)</f>
        <v>0.75</v>
      </c>
      <c r="H6135" s="3">
        <f>IFERROR(__xludf.DUMMYFUNCTION("""COMPUTED_VALUE"""),0.75)</f>
        <v>0.75</v>
      </c>
      <c r="I6135" s="4">
        <f>IFERROR(__xludf.DUMMYFUNCTION("""COMPUTED_VALUE"""),1.0)</f>
        <v>1</v>
      </c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IFERROR(__xludf.DUMMYFUNCTION("""COMPUTED_VALUE"""),2.0)</f>
        <v>2</v>
      </c>
      <c r="H6137" s="3">
        <f>IFERROR(__xludf.DUMMYFUNCTION("""COMPUTED_VALUE"""),2.0)</f>
        <v>2</v>
      </c>
      <c r="I6137" s="4">
        <f>IFERROR(__xludf.DUMMYFUNCTION("""COMPUTED_VALUE"""),1.0)</f>
        <v>1</v>
      </c>
      <c r="J6137" s="1" t="str">
        <f>IFERROR(__xludf.DUMMYFUNCTION("""COMPUTED_VALUE"""),"Vinz Lazaro")</f>
        <v>Vinz Lazaro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>
        <f>IFERROR(__xludf.DUMMYFUNCTION("""COMPUTED_VALUE"""),1.4)</f>
        <v>1.4</v>
      </c>
      <c r="H6142" s="3">
        <f>IFERROR(__xludf.DUMMYFUNCTION("""COMPUTED_VALUE"""),1.4)</f>
        <v>1.4</v>
      </c>
      <c r="I6142" s="4">
        <f>IFERROR(__xludf.DUMMYFUNCTION("""COMPUTED_VALUE"""),1.0)</f>
        <v>1</v>
      </c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>
        <f>IFERROR(__xludf.DUMMYFUNCTION("""COMPUTED_VALUE"""),0.75)</f>
        <v>0.75</v>
      </c>
      <c r="H6143" s="3">
        <f>IFERROR(__xludf.DUMMYFUNCTION("""COMPUTED_VALUE"""),0.75)</f>
        <v>0.75</v>
      </c>
      <c r="I6143" s="4">
        <f>IFERROR(__xludf.DUMMYFUNCTION("""COMPUTED_VALUE"""),1.0)</f>
        <v>1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IFERROR(__xludf.DUMMYFUNCTION("""COMPUTED_VALUE"""),1.7)</f>
        <v>1.7</v>
      </c>
      <c r="H6144" s="3">
        <f>IFERROR(__xludf.DUMMYFUNCTION("""COMPUTED_VALUE"""),1.7)</f>
        <v>1.7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>
        <f>IFERROR(__xludf.DUMMYFUNCTION("""COMPUTED_VALUE"""),1.75)</f>
        <v>1.75</v>
      </c>
      <c r="H6145" s="3">
        <f>IFERROR(__xludf.DUMMYFUNCTION("""COMPUTED_VALUE"""),1.75)</f>
        <v>1.75</v>
      </c>
      <c r="I6145" s="4">
        <f>IFERROR(__xludf.DUMMYFUNCTION("""COMPUTED_VALUE"""),1.0)</f>
        <v>1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IFERROR(__xludf.DUMMYFUNCTION("""COMPUTED_VALUE"""),1.25)</f>
        <v>1.25</v>
      </c>
      <c r="G6146" s="1">
        <f>IFERROR(__xludf.DUMMYFUNCTION("""COMPUTED_VALUE"""),0.75)</f>
        <v>0.75</v>
      </c>
      <c r="H6146" s="3">
        <f>IFERROR(__xludf.DUMMYFUNCTION("""COMPUTED_VALUE"""),2.0)</f>
        <v>2</v>
      </c>
      <c r="I6146" s="4">
        <f>IFERROR(__xludf.DUMMYFUNCTION("""COMPUTED_VALUE"""),0.375)</f>
        <v>0.375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>
        <f>IFERROR(__xludf.DUMMYFUNCTION("""COMPUTED_VALUE"""),0.75)</f>
        <v>0.75</v>
      </c>
      <c r="H6147" s="3">
        <f>IFERROR(__xludf.DUMMYFUNCTION("""COMPUTED_VALUE"""),0.75)</f>
        <v>0.75</v>
      </c>
      <c r="I6147" s="4">
        <f>IFERROR(__xludf.DUMMYFUNCTION("""COMPUTED_VALUE"""),1.0)</f>
        <v>1</v>
      </c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IFERROR(__xludf.DUMMYFUNCTION("""COMPUTED_VALUE"""),1.25)</f>
        <v>1.25</v>
      </c>
      <c r="G6148" s="1">
        <f>IFERROR(__xludf.DUMMYFUNCTION("""COMPUTED_VALUE"""),2.75)</f>
        <v>2.75</v>
      </c>
      <c r="H6148" s="3">
        <f>IFERROR(__xludf.DUMMYFUNCTION("""COMPUTED_VALUE"""),4.0)</f>
        <v>4</v>
      </c>
      <c r="I6148" s="4">
        <f>IFERROR(__xludf.DUMMYFUNCTION("""COMPUTED_VALUE"""),0.6875)</f>
        <v>0.6875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>
        <f>IFERROR(__xludf.DUMMYFUNCTION("""COMPUTED_VALUE"""),0.5)</f>
        <v>0.5</v>
      </c>
      <c r="G6149" s="1">
        <f>IFERROR(__xludf.DUMMYFUNCTION("""COMPUTED_VALUE"""),1.75)</f>
        <v>1.75</v>
      </c>
      <c r="H6149" s="3">
        <f>IFERROR(__xludf.DUMMYFUNCTION("""COMPUTED_VALUE"""),2.25)</f>
        <v>2.25</v>
      </c>
      <c r="I6149" s="4">
        <f>IFERROR(__xludf.DUMMYFUNCTION("""COMPUTED_VALUE"""),0.7777777777777778)</f>
        <v>0.7777777778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/>
      <c r="G6150" s="1"/>
      <c r="H6150" s="3">
        <f>IFERROR(__xludf.DUMMYFUNCTION("""COMPUTED_VALUE"""),0.0)</f>
        <v>0</v>
      </c>
      <c r="I6150" s="4"/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IFERROR(__xludf.DUMMYFUNCTION("""COMPUTED_VALUE"""),2.75)</f>
        <v>2.75</v>
      </c>
      <c r="H6151" s="3">
        <f>IFERROR(__xludf.DUMMYFUNCTION("""COMPUTED_VALUE"""),3.25)</f>
        <v>3.25</v>
      </c>
      <c r="I6151" s="4">
        <f>IFERROR(__xludf.DUMMYFUNCTION("""COMPUTED_VALUE"""),0.8461538461538461)</f>
        <v>0.8461538462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IFERROR(__xludf.DUMMYFUNCTION("""COMPUTED_VALUE"""),"#N/A")</f>
        <v>#N/A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/>
      <c r="G6152" s="1">
        <f>IFERROR(__xludf.DUMMYFUNCTION("""COMPUTED_VALUE"""),0.75)</f>
        <v>0.75</v>
      </c>
      <c r="H6152" s="3">
        <f>IFERROR(__xludf.DUMMYFUNCTION("""COMPUTED_VALUE"""),0.75)</f>
        <v>0.75</v>
      </c>
      <c r="I6152" s="4">
        <f>IFERROR(__xludf.DUMMYFUNCTION("""COMPUTED_VALUE"""),1.0)</f>
        <v>1</v>
      </c>
      <c r="J6152" s="1" t="str">
        <f>IFERROR(__xludf.DUMMYFUNCTION("""COMPUTED_VALUE"""),"#N/A")</f>
        <v>#N/A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IFERROR(__xludf.DUMMYFUNCTION("""COMPUTED_VALUE"""),1.25)</f>
        <v>1.25</v>
      </c>
      <c r="G6153" s="1">
        <f>IFERROR(__xludf.DUMMYFUNCTION("""COMPUTED_VALUE"""),0.75)</f>
        <v>0.75</v>
      </c>
      <c r="H6153" s="3">
        <f>IFERROR(__xludf.DUMMYFUNCTION("""COMPUTED_VALUE"""),2.0)</f>
        <v>2</v>
      </c>
      <c r="I6153" s="4">
        <f>IFERROR(__xludf.DUMMYFUNCTION("""COMPUTED_VALUE"""),0.375)</f>
        <v>0.375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>
        <f>IFERROR(__xludf.DUMMYFUNCTION("""COMPUTED_VALUE"""),0.75)</f>
        <v>0.75</v>
      </c>
      <c r="H6154" s="3">
        <f>IFERROR(__xludf.DUMMYFUNCTION("""COMPUTED_VALUE"""),0.75)</f>
        <v>0.75</v>
      </c>
      <c r="I6154" s="4">
        <f>IFERROR(__xludf.DUMMYFUNCTION("""COMPUTED_VALUE"""),1.0)</f>
        <v>1</v>
      </c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IFERROR(__xludf.DUMMYFUNCTION("""COMPUTED_VALUE"""),1.75)</f>
        <v>1.75</v>
      </c>
      <c r="H6155" s="3">
        <f>IFERROR(__xludf.DUMMYFUNCTION("""COMPUTED_VALUE"""),1.75)</f>
        <v>1.75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>
        <f>IFERROR(__xludf.DUMMYFUNCTION("""COMPUTED_VALUE"""),0.83)</f>
        <v>0.83</v>
      </c>
      <c r="H6157" s="3">
        <f>IFERROR(__xludf.DUMMYFUNCTION("""COMPUTED_VALUE"""),0.83)</f>
        <v>0.83</v>
      </c>
      <c r="I6157" s="4">
        <f>IFERROR(__xludf.DUMMYFUNCTION("""COMPUTED_VALUE"""),1.0)</f>
        <v>1</v>
      </c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>
        <f>IFERROR(__xludf.DUMMYFUNCTION("""COMPUTED_VALUE"""),1.75)</f>
        <v>1.75</v>
      </c>
      <c r="H6158" s="3">
        <f>IFERROR(__xludf.DUMMYFUNCTION("""COMPUTED_VALUE"""),1.75)</f>
        <v>1.75</v>
      </c>
      <c r="I6158" s="4">
        <f>IFERROR(__xludf.DUMMYFUNCTION("""COMPUTED_VALUE"""),1.0)</f>
        <v>1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IFERROR(__xludf.DUMMYFUNCTION("""COMPUTED_VALUE"""),3.75)</f>
        <v>3.75</v>
      </c>
      <c r="H6159" s="3">
        <f>IFERROR(__xludf.DUMMYFUNCTION("""COMPUTED_VALUE"""),3.75)</f>
        <v>3.75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>
        <f>IFERROR(__xludf.DUMMYFUNCTION("""COMPUTED_VALUE"""),0.75)</f>
        <v>0.75</v>
      </c>
      <c r="H6160" s="3">
        <f>IFERROR(__xludf.DUMMYFUNCTION("""COMPUTED_VALUE"""),0.75)</f>
        <v>0.75</v>
      </c>
      <c r="I6160" s="4">
        <f>IFERROR(__xludf.DUMMYFUNCTION("""COMPUTED_VALUE"""),1.0)</f>
        <v>1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>
        <f>IFERROR(__xludf.DUMMYFUNCTION("""COMPUTED_VALUE"""),0.75)</f>
        <v>0.75</v>
      </c>
      <c r="H6161" s="3">
        <f>IFERROR(__xludf.DUMMYFUNCTION("""COMPUTED_VALUE"""),0.75)</f>
        <v>0.75</v>
      </c>
      <c r="I6161" s="4">
        <f>IFERROR(__xludf.DUMMYFUNCTION("""COMPUTED_VALUE"""),1.0)</f>
        <v>1</v>
      </c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>
        <f>IFERROR(__xludf.DUMMYFUNCTION("""COMPUTED_VALUE"""),0.75)</f>
        <v>0.75</v>
      </c>
      <c r="H6162" s="3">
        <f>IFERROR(__xludf.DUMMYFUNCTION("""COMPUTED_VALUE"""),0.75)</f>
        <v>0.75</v>
      </c>
      <c r="I6162" s="4">
        <f>IFERROR(__xludf.DUMMYFUNCTION("""COMPUTED_VALUE"""),1.0)</f>
        <v>1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>
        <f>IFERROR(__xludf.DUMMYFUNCTION("""COMPUTED_VALUE"""),0.75)</f>
        <v>0.75</v>
      </c>
      <c r="H6163" s="3">
        <f>IFERROR(__xludf.DUMMYFUNCTION("""COMPUTED_VALUE"""),0.75)</f>
        <v>0.75</v>
      </c>
      <c r="I6163" s="4">
        <f>IFERROR(__xludf.DUMMYFUNCTION("""COMPUTED_VALUE"""),1.0)</f>
        <v>1</v>
      </c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>
        <f>IFERROR(__xludf.DUMMYFUNCTION("""COMPUTED_VALUE"""),0.75)</f>
        <v>0.75</v>
      </c>
      <c r="H6164" s="3">
        <f>IFERROR(__xludf.DUMMYFUNCTION("""COMPUTED_VALUE"""),0.75)</f>
        <v>0.75</v>
      </c>
      <c r="I6164" s="4">
        <f>IFERROR(__xludf.DUMMYFUNCTION("""COMPUTED_VALUE"""),1.0)</f>
        <v>1</v>
      </c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IFERROR(__xludf.DUMMYFUNCTION("""COMPUTED_VALUE"""),2.67)</f>
        <v>2.67</v>
      </c>
      <c r="H6165" s="3">
        <f>IFERROR(__xludf.DUMMYFUNCTION("""COMPUTED_VALUE"""),2.67)</f>
        <v>2.67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>
        <f>IFERROR(__xludf.DUMMYFUNCTION("""COMPUTED_VALUE"""),0.25)</f>
        <v>0.25</v>
      </c>
      <c r="H6167" s="3">
        <f>IFERROR(__xludf.DUMMYFUNCTION("""COMPUTED_VALUE"""),0.25)</f>
        <v>0.25</v>
      </c>
      <c r="I6167" s="4">
        <f>IFERROR(__xludf.DUMMYFUNCTION("""COMPUTED_VALUE"""),1.0)</f>
        <v>1</v>
      </c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>
        <f>IFERROR(__xludf.DUMMYFUNCTION("""COMPUTED_VALUE"""),0.75)</f>
        <v>0.75</v>
      </c>
      <c r="H6169" s="3">
        <f>IFERROR(__xludf.DUMMYFUNCTION("""COMPUTED_VALUE"""),1.25)</f>
        <v>1.25</v>
      </c>
      <c r="I6169" s="4">
        <f>IFERROR(__xludf.DUMMYFUNCTION("""COMPUTED_VALUE"""),0.6)</f>
        <v>0.6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>
        <f>IFERROR(__xludf.DUMMYFUNCTION("""COMPUTED_VALUE"""),0.75)</f>
        <v>0.75</v>
      </c>
      <c r="H6170" s="3">
        <f>IFERROR(__xludf.DUMMYFUNCTION("""COMPUTED_VALUE"""),0.75)</f>
        <v>0.75</v>
      </c>
      <c r="I6170" s="4">
        <f>IFERROR(__xludf.DUMMYFUNCTION("""COMPUTED_VALUE"""),1.0)</f>
        <v>1</v>
      </c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>
        <f>IFERROR(__xludf.DUMMYFUNCTION("""COMPUTED_VALUE"""),1.75)</f>
        <v>1.75</v>
      </c>
      <c r="H6171" s="3">
        <f>IFERROR(__xludf.DUMMYFUNCTION("""COMPUTED_VALUE"""),1.75)</f>
        <v>1.75</v>
      </c>
      <c r="I6171" s="4">
        <f>IFERROR(__xludf.DUMMYFUNCTION("""COMPUTED_VALUE"""),1.0)</f>
        <v>1</v>
      </c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>
        <f>IFERROR(__xludf.DUMMYFUNCTION("""COMPUTED_VALUE"""),1.42)</f>
        <v>1.42</v>
      </c>
      <c r="H6172" s="3">
        <f>IFERROR(__xludf.DUMMYFUNCTION("""COMPUTED_VALUE"""),1.42)</f>
        <v>1.42</v>
      </c>
      <c r="I6172" s="4">
        <f>IFERROR(__xludf.DUMMYFUNCTION("""COMPUTED_VALUE"""),1.0)</f>
        <v>1</v>
      </c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IFERROR(__xludf.DUMMYFUNCTION("""COMPUTED_VALUE"""),0.75)</f>
        <v>0.75</v>
      </c>
      <c r="H6173" s="3">
        <f>IFERROR(__xludf.DUMMYFUNCTION("""COMPUTED_VALUE"""),0.75)</f>
        <v>0.75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/>
      <c r="H6174" s="3">
        <f>IFERROR(__xludf.DUMMYFUNCTION("""COMPUTED_VALUE"""),0.0)</f>
        <v>0</v>
      </c>
      <c r="I6174" s="4"/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IFERROR(__xludf.DUMMYFUNCTION("""COMPUTED_VALUE"""),1.75)</f>
        <v>1.75</v>
      </c>
      <c r="H6175" s="3">
        <f>IFERROR(__xludf.DUMMYFUNCTION("""COMPUTED_VALUE"""),1.75)</f>
        <v>1.75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IFERROR(__xludf.DUMMYFUNCTION("""COMPUTED_VALUE"""),1.25)</f>
        <v>1.25</v>
      </c>
      <c r="H6176" s="3">
        <f>IFERROR(__xludf.DUMMYFUNCTION("""COMPUTED_VALUE"""),1.25)</f>
        <v>1.25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>
        <f>IFERROR(__xludf.DUMMYFUNCTION("""COMPUTED_VALUE"""),0.75)</f>
        <v>0.75</v>
      </c>
      <c r="H6178" s="3">
        <f>IFERROR(__xludf.DUMMYFUNCTION("""COMPUTED_VALUE"""),0.75)</f>
        <v>0.75</v>
      </c>
      <c r="I6178" s="4">
        <f>IFERROR(__xludf.DUMMYFUNCTION("""COMPUTED_VALUE"""),1.0)</f>
        <v>1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>
        <f>IFERROR(__xludf.DUMMYFUNCTION("""COMPUTED_VALUE"""),0.75)</f>
        <v>0.75</v>
      </c>
      <c r="H6180" s="3">
        <f>IFERROR(__xludf.DUMMYFUNCTION("""COMPUTED_VALUE"""),0.75)</f>
        <v>0.75</v>
      </c>
      <c r="I6180" s="4">
        <f>IFERROR(__xludf.DUMMYFUNCTION("""COMPUTED_VALUE"""),1.0)</f>
        <v>1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IFERROR(__xludf.DUMMYFUNCTION("""COMPUTED_VALUE"""),1.75)</f>
        <v>1.75</v>
      </c>
      <c r="H6181" s="3">
        <f>IFERROR(__xludf.DUMMYFUNCTION("""COMPUTED_VALUE"""),1.75)</f>
        <v>1.75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>
        <f>IFERROR(__xludf.DUMMYFUNCTION("""COMPUTED_VALUE"""),0.75)</f>
        <v>0.75</v>
      </c>
      <c r="H6183" s="3">
        <f>IFERROR(__xludf.DUMMYFUNCTION("""COMPUTED_VALUE"""),0.75)</f>
        <v>0.75</v>
      </c>
      <c r="I6183" s="4">
        <f>IFERROR(__xludf.DUMMYFUNCTION("""COMPUTED_VALUE"""),1.0)</f>
        <v>1</v>
      </c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>
        <f>IFERROR(__xludf.DUMMYFUNCTION("""COMPUTED_VALUE"""),0.75)</f>
        <v>0.75</v>
      </c>
      <c r="H6184" s="3">
        <f>IFERROR(__xludf.DUMMYFUNCTION("""COMPUTED_VALUE"""),0.75)</f>
        <v>0.75</v>
      </c>
      <c r="I6184" s="4">
        <f>IFERROR(__xludf.DUMMYFUNCTION("""COMPUTED_VALUE"""),1.0)</f>
        <v>1</v>
      </c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>
        <f>IFERROR(__xludf.DUMMYFUNCTION("""COMPUTED_VALUE"""),0.75)</f>
        <v>0.75</v>
      </c>
      <c r="H6188" s="3">
        <f>IFERROR(__xludf.DUMMYFUNCTION("""COMPUTED_VALUE"""),0.75)</f>
        <v>0.75</v>
      </c>
      <c r="I6188" s="4">
        <f>IFERROR(__xludf.DUMMYFUNCTION("""COMPUTED_VALUE"""),1.0)</f>
        <v>1</v>
      </c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IFERROR(__xludf.DUMMYFUNCTION("""COMPUTED_VALUE"""),1.25)</f>
        <v>1.25</v>
      </c>
      <c r="G6189" s="1">
        <f>IFERROR(__xludf.DUMMYFUNCTION("""COMPUTED_VALUE"""),0.75)</f>
        <v>0.75</v>
      </c>
      <c r="H6189" s="3">
        <f>IFERROR(__xludf.DUMMYFUNCTION("""COMPUTED_VALUE"""),2.0)</f>
        <v>2</v>
      </c>
      <c r="I6189" s="4">
        <f>IFERROR(__xludf.DUMMYFUNCTION("""COMPUTED_VALUE"""),0.375)</f>
        <v>0.375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IFERROR(__xludf.DUMMYFUNCTION("""COMPUTED_VALUE"""),1.75)</f>
        <v>1.75</v>
      </c>
      <c r="H6190" s="3">
        <f>IFERROR(__xludf.DUMMYFUNCTION("""COMPUTED_VALUE"""),1.75)</f>
        <v>1.75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IFERROR(__xludf.DUMMYFUNCTION("""COMPUTED_VALUE"""),8.75)</f>
        <v>8.75</v>
      </c>
      <c r="H6192" s="3">
        <f>IFERROR(__xludf.DUMMYFUNCTION("""COMPUTED_VALUE"""),8.75)</f>
        <v>8.75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/>
      <c r="G6193" s="1">
        <f>IFERROR(__xludf.DUMMYFUNCTION("""COMPUTED_VALUE"""),3.0)</f>
        <v>3</v>
      </c>
      <c r="H6193" s="3">
        <f>IFERROR(__xludf.DUMMYFUNCTION("""COMPUTED_VALUE"""),3.0)</f>
        <v>3</v>
      </c>
      <c r="I6193" s="4">
        <f>IFERROR(__xludf.DUMMYFUNCTION("""COMPUTED_VALUE"""),1.0)</f>
        <v>1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IFERROR(__xludf.DUMMYFUNCTION("""COMPUTED_VALUE"""),1.25)</f>
        <v>1.25</v>
      </c>
      <c r="G6194" s="1">
        <f>IFERROR(__xludf.DUMMYFUNCTION("""COMPUTED_VALUE"""),0.75)</f>
        <v>0.75</v>
      </c>
      <c r="H6194" s="3">
        <f>IFERROR(__xludf.DUMMYFUNCTION("""COMPUTED_VALUE"""),2.0)</f>
        <v>2</v>
      </c>
      <c r="I6194" s="4">
        <f>IFERROR(__xludf.DUMMYFUNCTION("""COMPUTED_VALUE"""),0.375)</f>
        <v>0.375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>
        <f>IFERROR(__xludf.DUMMYFUNCTION("""COMPUTED_VALUE"""),1.75)</f>
        <v>1.75</v>
      </c>
      <c r="H6195" s="3">
        <f>IFERROR(__xludf.DUMMYFUNCTION("""COMPUTED_VALUE"""),1.75)</f>
        <v>1.75</v>
      </c>
      <c r="I6195" s="4">
        <f>IFERROR(__xludf.DUMMYFUNCTION("""COMPUTED_VALUE"""),1.0)</f>
        <v>1</v>
      </c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>
        <f>IFERROR(__xludf.DUMMYFUNCTION("""COMPUTED_VALUE"""),1.75)</f>
        <v>1.75</v>
      </c>
      <c r="H6196" s="3">
        <f>IFERROR(__xludf.DUMMYFUNCTION("""COMPUTED_VALUE"""),1.75)</f>
        <v>1.75</v>
      </c>
      <c r="I6196" s="4">
        <f>IFERROR(__xludf.DUMMYFUNCTION("""COMPUTED_VALUE"""),1.0)</f>
        <v>1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>
        <f>IFERROR(__xludf.DUMMYFUNCTION("""COMPUTED_VALUE"""),14.0)</f>
        <v>14</v>
      </c>
      <c r="H6197" s="3">
        <f>IFERROR(__xludf.DUMMYFUNCTION("""COMPUTED_VALUE"""),14.0)</f>
        <v>14</v>
      </c>
      <c r="I6197" s="4">
        <f>IFERROR(__xludf.DUMMYFUNCTION("""COMPUTED_VALUE"""),1.0)</f>
        <v>1</v>
      </c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IFERROR(__xludf.DUMMYFUNCTION("""COMPUTED_VALUE"""),4.92)</f>
        <v>4.92</v>
      </c>
      <c r="H6198" s="3">
        <f>IFERROR(__xludf.DUMMYFUNCTION("""COMPUTED_VALUE"""),5.42)</f>
        <v>5.42</v>
      </c>
      <c r="I6198" s="4">
        <f>IFERROR(__xludf.DUMMYFUNCTION("""COMPUTED_VALUE"""),0.9077490774907749)</f>
        <v>0.9077490775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IFERROR(__xludf.DUMMYFUNCTION("""COMPUTED_VALUE"""),2.0)</f>
        <v>2</v>
      </c>
      <c r="H6200" s="3">
        <f>IFERROR(__xludf.DUMMYFUNCTION("""COMPUTED_VALUE"""),2.0)</f>
        <v>2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>
        <f>IFERROR(__xludf.DUMMYFUNCTION("""COMPUTED_VALUE"""),1.75)</f>
        <v>1.75</v>
      </c>
      <c r="H6203" s="3">
        <f>IFERROR(__xludf.DUMMYFUNCTION("""COMPUTED_VALUE"""),1.75)</f>
        <v>1.75</v>
      </c>
      <c r="I6203" s="4">
        <f>IFERROR(__xludf.DUMMYFUNCTION("""COMPUTED_VALUE"""),1.0)</f>
        <v>1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>
        <f>IFERROR(__xludf.DUMMYFUNCTION("""COMPUTED_VALUE"""),0.75)</f>
        <v>0.75</v>
      </c>
      <c r="H6204" s="3">
        <f>IFERROR(__xludf.DUMMYFUNCTION("""COMPUTED_VALUE"""),0.75)</f>
        <v>0.75</v>
      </c>
      <c r="I6204" s="4">
        <f>IFERROR(__xludf.DUMMYFUNCTION("""COMPUTED_VALUE"""),1.0)</f>
        <v>1</v>
      </c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IFERROR(__xludf.DUMMYFUNCTION("""COMPUTED_VALUE"""),6.5)</f>
        <v>6.5</v>
      </c>
      <c r="H6205" s="3">
        <f>IFERROR(__xludf.DUMMYFUNCTION("""COMPUTED_VALUE"""),6.5)</f>
        <v>6.5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>
        <f>IFERROR(__xludf.DUMMYFUNCTION("""COMPUTED_VALUE"""),0.75)</f>
        <v>0.75</v>
      </c>
      <c r="H6206" s="3">
        <f>IFERROR(__xludf.DUMMYFUNCTION("""COMPUTED_VALUE"""),0.75)</f>
        <v>0.75</v>
      </c>
      <c r="I6206" s="4">
        <f>IFERROR(__xludf.DUMMYFUNCTION("""COMPUTED_VALUE"""),1.0)</f>
        <v>1</v>
      </c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/>
      <c r="G6207" s="1">
        <f>IFERROR(__xludf.DUMMYFUNCTION("""COMPUTED_VALUE"""),0.75)</f>
        <v>0.75</v>
      </c>
      <c r="H6207" s="3">
        <f>IFERROR(__xludf.DUMMYFUNCTION("""COMPUTED_VALUE"""),0.75)</f>
        <v>0.75</v>
      </c>
      <c r="I6207" s="4">
        <f>IFERROR(__xludf.DUMMYFUNCTION("""COMPUTED_VALUE"""),1.0)</f>
        <v>1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IFERROR(__xludf.DUMMYFUNCTION("""COMPUTED_VALUE"""),10.17)</f>
        <v>10.17</v>
      </c>
      <c r="H6208" s="3">
        <f>IFERROR(__xludf.DUMMYFUNCTION("""COMPUTED_VALUE"""),10.17)</f>
        <v>10.17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IFERROR(__xludf.DUMMYFUNCTION("""COMPUTED_VALUE"""),1.25)</f>
        <v>1.25</v>
      </c>
      <c r="G6209" s="1">
        <f>IFERROR(__xludf.DUMMYFUNCTION("""COMPUTED_VALUE"""),0.75)</f>
        <v>0.75</v>
      </c>
      <c r="H6209" s="3">
        <f>IFERROR(__xludf.DUMMYFUNCTION("""COMPUTED_VALUE"""),2.0)</f>
        <v>2</v>
      </c>
      <c r="I6209" s="4">
        <f>IFERROR(__xludf.DUMMYFUNCTION("""COMPUTED_VALUE"""),0.375)</f>
        <v>0.375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>
        <f>IFERROR(__xludf.DUMMYFUNCTION("""COMPUTED_VALUE"""),0.75)</f>
        <v>0.75</v>
      </c>
      <c r="H6211" s="3">
        <f>IFERROR(__xludf.DUMMYFUNCTION("""COMPUTED_VALUE"""),0.75)</f>
        <v>0.75</v>
      </c>
      <c r="I6211" s="4">
        <f>IFERROR(__xludf.DUMMYFUNCTION("""COMPUTED_VALUE"""),1.0)</f>
        <v>1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>
        <f>IFERROR(__xludf.DUMMYFUNCTION("""COMPUTED_VALUE"""),0.75)</f>
        <v>0.75</v>
      </c>
      <c r="H6212" s="3">
        <f>IFERROR(__xludf.DUMMYFUNCTION("""COMPUTED_VALUE"""),0.75)</f>
        <v>0.75</v>
      </c>
      <c r="I6212" s="4">
        <f>IFERROR(__xludf.DUMMYFUNCTION("""COMPUTED_VALUE"""),1.0)</f>
        <v>1</v>
      </c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/>
      <c r="G6213" s="1">
        <f>IFERROR(__xludf.DUMMYFUNCTION("""COMPUTED_VALUE"""),0.75)</f>
        <v>0.75</v>
      </c>
      <c r="H6213" s="3">
        <f>IFERROR(__xludf.DUMMYFUNCTION("""COMPUTED_VALUE"""),0.75)</f>
        <v>0.75</v>
      </c>
      <c r="I6213" s="4">
        <f>IFERROR(__xludf.DUMMYFUNCTION("""COMPUTED_VALUE"""),1.0)</f>
        <v>1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>
        <f>IFERROR(__xludf.DUMMYFUNCTION("""COMPUTED_VALUE"""),1.75)</f>
        <v>1.75</v>
      </c>
      <c r="H6214" s="3">
        <f>IFERROR(__xludf.DUMMYFUNCTION("""COMPUTED_VALUE"""),1.75)</f>
        <v>1.75</v>
      </c>
      <c r="I6214" s="4">
        <f>IFERROR(__xludf.DUMMYFUNCTION("""COMPUTED_VALUE"""),1.0)</f>
        <v>1</v>
      </c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IFERROR(__xludf.DUMMYFUNCTION("""COMPUTED_VALUE"""),0.75)</f>
        <v>0.75</v>
      </c>
      <c r="H6215" s="3">
        <f>IFERROR(__xludf.DUMMYFUNCTION("""COMPUTED_VALUE"""),0.75)</f>
        <v>0.75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>
        <f>IFERROR(__xludf.DUMMYFUNCTION("""COMPUTED_VALUE"""),0.75)</f>
        <v>0.75</v>
      </c>
      <c r="H6216" s="3">
        <f>IFERROR(__xludf.DUMMYFUNCTION("""COMPUTED_VALUE"""),0.75)</f>
        <v>0.75</v>
      </c>
      <c r="I6216" s="4">
        <f>IFERROR(__xludf.DUMMYFUNCTION("""COMPUTED_VALUE"""),1.0)</f>
        <v>1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/>
      <c r="G6217" s="1">
        <f>IFERROR(__xludf.DUMMYFUNCTION("""COMPUTED_VALUE"""),1.75)</f>
        <v>1.75</v>
      </c>
      <c r="H6217" s="3">
        <f>IFERROR(__xludf.DUMMYFUNCTION("""COMPUTED_VALUE"""),1.75)</f>
        <v>1.75</v>
      </c>
      <c r="I6217" s="4">
        <f>IFERROR(__xludf.DUMMYFUNCTION("""COMPUTED_VALUE"""),1.0)</f>
        <v>1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>
        <f>IFERROR(__xludf.DUMMYFUNCTION("""COMPUTED_VALUE"""),0.75)</f>
        <v>0.75</v>
      </c>
      <c r="H6219" s="3">
        <f>IFERROR(__xludf.DUMMYFUNCTION("""COMPUTED_VALUE"""),0.75)</f>
        <v>0.75</v>
      </c>
      <c r="I6219" s="4">
        <f>IFERROR(__xludf.DUMMYFUNCTION("""COMPUTED_VALUE"""),1.0)</f>
        <v>1</v>
      </c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/>
      <c r="G6220" s="1">
        <f>IFERROR(__xludf.DUMMYFUNCTION("""COMPUTED_VALUE"""),3.75)</f>
        <v>3.75</v>
      </c>
      <c r="H6220" s="3">
        <f>IFERROR(__xludf.DUMMYFUNCTION("""COMPUTED_VALUE"""),3.75)</f>
        <v>3.75</v>
      </c>
      <c r="I6220" s="4">
        <f>IFERROR(__xludf.DUMMYFUNCTION("""COMPUTED_VALUE"""),1.0)</f>
        <v>1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>
        <f>IFERROR(__xludf.DUMMYFUNCTION("""COMPUTED_VALUE"""),0.75)</f>
        <v>0.75</v>
      </c>
      <c r="H6221" s="3">
        <f>IFERROR(__xludf.DUMMYFUNCTION("""COMPUTED_VALUE"""),0.75)</f>
        <v>0.75</v>
      </c>
      <c r="I6221" s="4">
        <f>IFERROR(__xludf.DUMMYFUNCTION("""COMPUTED_VALUE"""),1.0)</f>
        <v>1</v>
      </c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>
        <f>IFERROR(__xludf.DUMMYFUNCTION("""COMPUTED_VALUE"""),0.75)</f>
        <v>0.75</v>
      </c>
      <c r="H6222" s="3">
        <f>IFERROR(__xludf.DUMMYFUNCTION("""COMPUTED_VALUE"""),0.75)</f>
        <v>0.75</v>
      </c>
      <c r="I6222" s="4">
        <f>IFERROR(__xludf.DUMMYFUNCTION("""COMPUTED_VALUE"""),1.0)</f>
        <v>1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>
        <f>IFERROR(__xludf.DUMMYFUNCTION("""COMPUTED_VALUE"""),0.75)</f>
        <v>0.75</v>
      </c>
      <c r="H6223" s="3">
        <f>IFERROR(__xludf.DUMMYFUNCTION("""COMPUTED_VALUE"""),0.75)</f>
        <v>0.75</v>
      </c>
      <c r="I6223" s="4">
        <f>IFERROR(__xludf.DUMMYFUNCTION("""COMPUTED_VALUE"""),1.0)</f>
        <v>1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>
        <f>IFERROR(__xludf.DUMMYFUNCTION("""COMPUTED_VALUE"""),0.75)</f>
        <v>0.75</v>
      </c>
      <c r="H6224" s="3">
        <f>IFERROR(__xludf.DUMMYFUNCTION("""COMPUTED_VALUE"""),0.75)</f>
        <v>0.75</v>
      </c>
      <c r="I6224" s="4">
        <f>IFERROR(__xludf.DUMMYFUNCTION("""COMPUTED_VALUE"""),1.0)</f>
        <v>1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/>
      <c r="G6225" s="1">
        <f>IFERROR(__xludf.DUMMYFUNCTION("""COMPUTED_VALUE"""),3.5)</f>
        <v>3.5</v>
      </c>
      <c r="H6225" s="3">
        <f>IFERROR(__xludf.DUMMYFUNCTION("""COMPUTED_VALUE"""),3.5)</f>
        <v>3.5</v>
      </c>
      <c r="I6225" s="4">
        <f>IFERROR(__xludf.DUMMYFUNCTION("""COMPUTED_VALUE"""),1.0)</f>
        <v>1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/>
      <c r="G6226" s="1"/>
      <c r="H6226" s="3">
        <f>IFERROR(__xludf.DUMMYFUNCTION("""COMPUTED_VALUE"""),0.0)</f>
        <v>0</v>
      </c>
      <c r="I6226" s="4"/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>
        <f>IFERROR(__xludf.DUMMYFUNCTION("""COMPUTED_VALUE"""),0.75)</f>
        <v>0.75</v>
      </c>
      <c r="H6227" s="3">
        <f>IFERROR(__xludf.DUMMYFUNCTION("""COMPUTED_VALUE"""),0.75)</f>
        <v>0.75</v>
      </c>
      <c r="I6227" s="4">
        <f>IFERROR(__xludf.DUMMYFUNCTION("""COMPUTED_VALUE"""),1.0)</f>
        <v>1</v>
      </c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>
        <f>IFERROR(__xludf.DUMMYFUNCTION("""COMPUTED_VALUE"""),0.75)</f>
        <v>0.75</v>
      </c>
      <c r="H6228" s="3">
        <f>IFERROR(__xludf.DUMMYFUNCTION("""COMPUTED_VALUE"""),0.75)</f>
        <v>0.75</v>
      </c>
      <c r="I6228" s="4">
        <f>IFERROR(__xludf.DUMMYFUNCTION("""COMPUTED_VALUE"""),1.0)</f>
        <v>1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>
        <f>IFERROR(__xludf.DUMMYFUNCTION("""COMPUTED_VALUE"""),0.5)</f>
        <v>0.5</v>
      </c>
      <c r="H6229" s="3">
        <f>IFERROR(__xludf.DUMMYFUNCTION("""COMPUTED_VALUE"""),0.5)</f>
        <v>0.5</v>
      </c>
      <c r="I6229" s="4">
        <f>IFERROR(__xludf.DUMMYFUNCTION("""COMPUTED_VALUE"""),1.0)</f>
        <v>1</v>
      </c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IFERROR(__xludf.DUMMYFUNCTION("""COMPUTED_VALUE"""),0.75)</f>
        <v>0.75</v>
      </c>
      <c r="H6230" s="3">
        <f>IFERROR(__xludf.DUMMYFUNCTION("""COMPUTED_VALUE"""),0.75)</f>
        <v>0.75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>
        <f>IFERROR(__xludf.DUMMYFUNCTION("""COMPUTED_VALUE"""),0.75)</f>
        <v>0.75</v>
      </c>
      <c r="H6231" s="3">
        <f>IFERROR(__xludf.DUMMYFUNCTION("""COMPUTED_VALUE"""),0.75)</f>
        <v>0.75</v>
      </c>
      <c r="I6231" s="4">
        <f>IFERROR(__xludf.DUMMYFUNCTION("""COMPUTED_VALUE"""),1.0)</f>
        <v>1</v>
      </c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IFERROR(__xludf.DUMMYFUNCTION("""COMPUTED_VALUE"""),0.5)</f>
        <v>0.5</v>
      </c>
      <c r="G6232" s="1">
        <f>IFERROR(__xludf.DUMMYFUNCTION("""COMPUTED_VALUE"""),1.75)</f>
        <v>1.75</v>
      </c>
      <c r="H6232" s="3">
        <f>IFERROR(__xludf.DUMMYFUNCTION("""COMPUTED_VALUE"""),2.25)</f>
        <v>2.25</v>
      </c>
      <c r="I6232" s="4">
        <f>IFERROR(__xludf.DUMMYFUNCTION("""COMPUTED_VALUE"""),0.7777777777777778)</f>
        <v>0.7777777778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>
        <f>IFERROR(__xludf.DUMMYFUNCTION("""COMPUTED_VALUE"""),1.08)</f>
        <v>1.08</v>
      </c>
      <c r="H6233" s="3">
        <f>IFERROR(__xludf.DUMMYFUNCTION("""COMPUTED_VALUE"""),1.08)</f>
        <v>1.08</v>
      </c>
      <c r="I6233" s="4">
        <f>IFERROR(__xludf.DUMMYFUNCTION("""COMPUTED_VALUE"""),1.0)</f>
        <v>1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>
        <f>IFERROR(__xludf.DUMMYFUNCTION("""COMPUTED_VALUE"""),1.42)</f>
        <v>1.42</v>
      </c>
      <c r="H6234" s="3">
        <f>IFERROR(__xludf.DUMMYFUNCTION("""COMPUTED_VALUE"""),1.42)</f>
        <v>1.42</v>
      </c>
      <c r="I6234" s="4">
        <f>IFERROR(__xludf.DUMMYFUNCTION("""COMPUTED_VALUE"""),1.0)</f>
        <v>1</v>
      </c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IFERROR(__xludf.DUMMYFUNCTION("""COMPUTED_VALUE"""),2.25)</f>
        <v>2.25</v>
      </c>
      <c r="G6235" s="1">
        <f>IFERROR(__xludf.DUMMYFUNCTION("""COMPUTED_VALUE"""),2.75)</f>
        <v>2.75</v>
      </c>
      <c r="H6235" s="3">
        <f>IFERROR(__xludf.DUMMYFUNCTION("""COMPUTED_VALUE"""),5.0)</f>
        <v>5</v>
      </c>
      <c r="I6235" s="4">
        <f>IFERROR(__xludf.DUMMYFUNCTION("""COMPUTED_VALUE"""),0.55)</f>
        <v>0.55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>
        <f>IFERROR(__xludf.DUMMYFUNCTION("""COMPUTED_VALUE"""),0.75)</f>
        <v>0.75</v>
      </c>
      <c r="H6236" s="3">
        <f>IFERROR(__xludf.DUMMYFUNCTION("""COMPUTED_VALUE"""),0.75)</f>
        <v>0.75</v>
      </c>
      <c r="I6236" s="4">
        <f>IFERROR(__xludf.DUMMYFUNCTION("""COMPUTED_VALUE"""),1.0)</f>
        <v>1</v>
      </c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>
        <f>IFERROR(__xludf.DUMMYFUNCTION("""COMPUTED_VALUE"""),1.42)</f>
        <v>1.42</v>
      </c>
      <c r="H6237" s="3">
        <f>IFERROR(__xludf.DUMMYFUNCTION("""COMPUTED_VALUE"""),1.42)</f>
        <v>1.42</v>
      </c>
      <c r="I6237" s="4">
        <f>IFERROR(__xludf.DUMMYFUNCTION("""COMPUTED_VALUE"""),1.0)</f>
        <v>1</v>
      </c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IFERROR(__xludf.DUMMYFUNCTION("""COMPUTED_VALUE"""),4.0)</f>
        <v>4</v>
      </c>
      <c r="H6239" s="3">
        <f>IFERROR(__xludf.DUMMYFUNCTION("""COMPUTED_VALUE"""),4.5)</f>
        <v>4.5</v>
      </c>
      <c r="I6239" s="4">
        <f>IFERROR(__xludf.DUMMYFUNCTION("""COMPUTED_VALUE"""),0.8888888888888888)</f>
        <v>0.8888888889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IFERROR(__xludf.DUMMYFUNCTION("""COMPUTED_VALUE"""),1.25)</f>
        <v>1.25</v>
      </c>
      <c r="H6241" s="3">
        <f>IFERROR(__xludf.DUMMYFUNCTION("""COMPUTED_VALUE"""),1.25)</f>
        <v>1.25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>
        <f>IFERROR(__xludf.DUMMYFUNCTION("""COMPUTED_VALUE"""),0.75)</f>
        <v>0.75</v>
      </c>
      <c r="H6242" s="3">
        <f>IFERROR(__xludf.DUMMYFUNCTION("""COMPUTED_VALUE"""),0.75)</f>
        <v>0.75</v>
      </c>
      <c r="I6242" s="4">
        <f>IFERROR(__xludf.DUMMYFUNCTION("""COMPUTED_VALUE"""),1.0)</f>
        <v>1</v>
      </c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>
        <f>IFERROR(__xludf.DUMMYFUNCTION("""COMPUTED_VALUE"""),1.17)</f>
        <v>1.17</v>
      </c>
      <c r="H6243" s="3">
        <f>IFERROR(__xludf.DUMMYFUNCTION("""COMPUTED_VALUE"""),1.17)</f>
        <v>1.17</v>
      </c>
      <c r="I6243" s="4">
        <f>IFERROR(__xludf.DUMMYFUNCTION("""COMPUTED_VALUE"""),1.0)</f>
        <v>1</v>
      </c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>
        <f>IFERROR(__xludf.DUMMYFUNCTION("""COMPUTED_VALUE"""),0.75)</f>
        <v>0.75</v>
      </c>
      <c r="H6245" s="3">
        <f>IFERROR(__xludf.DUMMYFUNCTION("""COMPUTED_VALUE"""),0.75)</f>
        <v>0.75</v>
      </c>
      <c r="I6245" s="4">
        <f>IFERROR(__xludf.DUMMYFUNCTION("""COMPUTED_VALUE"""),1.0)</f>
        <v>1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IFERROR(__xludf.DUMMYFUNCTION("""COMPUTED_VALUE"""),2.52)</f>
        <v>2.52</v>
      </c>
      <c r="H6247" s="3">
        <f>IFERROR(__xludf.DUMMYFUNCTION("""COMPUTED_VALUE"""),3.02)</f>
        <v>3.02</v>
      </c>
      <c r="I6247" s="4">
        <f>IFERROR(__xludf.DUMMYFUNCTION("""COMPUTED_VALUE"""),0.8344370860927153)</f>
        <v>0.8344370861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IFERROR(__xludf.DUMMYFUNCTION("""COMPUTED_VALUE"""),1.0)</f>
        <v>1</v>
      </c>
      <c r="G6248" s="1">
        <f>IFERROR(__xludf.DUMMYFUNCTION("""COMPUTED_VALUE"""),3.8)</f>
        <v>3.8</v>
      </c>
      <c r="H6248" s="3">
        <f>IFERROR(__xludf.DUMMYFUNCTION("""COMPUTED_VALUE"""),4.8)</f>
        <v>4.8</v>
      </c>
      <c r="I6248" s="4">
        <f>IFERROR(__xludf.DUMMYFUNCTION("""COMPUTED_VALUE"""),0.7916666666666666)</f>
        <v>0.7916666667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>
        <f>IFERROR(__xludf.DUMMYFUNCTION("""COMPUTED_VALUE"""),0.75)</f>
        <v>0.75</v>
      </c>
      <c r="H6249" s="3">
        <f>IFERROR(__xludf.DUMMYFUNCTION("""COMPUTED_VALUE"""),0.75)</f>
        <v>0.75</v>
      </c>
      <c r="I6249" s="4">
        <f>IFERROR(__xludf.DUMMYFUNCTION("""COMPUTED_VALUE"""),1.0)</f>
        <v>1</v>
      </c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IFERROR(__xludf.DUMMYFUNCTION("""COMPUTED_VALUE"""),1.75)</f>
        <v>1.75</v>
      </c>
      <c r="H6250" s="3">
        <f>IFERROR(__xludf.DUMMYFUNCTION("""COMPUTED_VALUE"""),1.75)</f>
        <v>1.75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IFERROR(__xludf.DUMMYFUNCTION("""COMPUTED_VALUE"""),"Vinz Lazaro")</f>
        <v>Vinz Lazaro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>
        <f>IFERROR(__xludf.DUMMYFUNCTION("""COMPUTED_VALUE"""),0.75)</f>
        <v>0.75</v>
      </c>
      <c r="H6252" s="3">
        <f>IFERROR(__xludf.DUMMYFUNCTION("""COMPUTED_VALUE"""),0.75)</f>
        <v>0.75</v>
      </c>
      <c r="I6252" s="4">
        <f>IFERROR(__xludf.DUMMYFUNCTION("""COMPUTED_VALUE"""),1.0)</f>
        <v>1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>
        <f>IFERROR(__xludf.DUMMYFUNCTION("""COMPUTED_VALUE"""),0.75)</f>
        <v>0.75</v>
      </c>
      <c r="H6253" s="3">
        <f>IFERROR(__xludf.DUMMYFUNCTION("""COMPUTED_VALUE"""),0.75)</f>
        <v>0.75</v>
      </c>
      <c r="I6253" s="4">
        <f>IFERROR(__xludf.DUMMYFUNCTION("""COMPUTED_VALUE"""),1.0)</f>
        <v>1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IFERROR(__xludf.DUMMYFUNCTION("""COMPUTED_VALUE"""),0.2)</f>
        <v>0.2</v>
      </c>
      <c r="G6254" s="1">
        <f>IFERROR(__xludf.DUMMYFUNCTION("""COMPUTED_VALUE"""),5.32)</f>
        <v>5.32</v>
      </c>
      <c r="H6254" s="3">
        <f>IFERROR(__xludf.DUMMYFUNCTION("""COMPUTED_VALUE"""),5.5200000000000005)</f>
        <v>5.52</v>
      </c>
      <c r="I6254" s="4">
        <f>IFERROR(__xludf.DUMMYFUNCTION("""COMPUTED_VALUE"""),0.9637681159420289)</f>
        <v>0.9637681159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>
        <f>IFERROR(__xludf.DUMMYFUNCTION("""COMPUTED_VALUE"""),0.75)</f>
        <v>0.75</v>
      </c>
      <c r="H6255" s="3">
        <f>IFERROR(__xludf.DUMMYFUNCTION("""COMPUTED_VALUE"""),0.75)</f>
        <v>0.75</v>
      </c>
      <c r="I6255" s="4">
        <f>IFERROR(__xludf.DUMMYFUNCTION("""COMPUTED_VALUE"""),1.0)</f>
        <v>1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>
        <f>IFERROR(__xludf.DUMMYFUNCTION("""COMPUTED_VALUE"""),1.42)</f>
        <v>1.42</v>
      </c>
      <c r="H6256" s="3">
        <f>IFERROR(__xludf.DUMMYFUNCTION("""COMPUTED_VALUE"""),1.42)</f>
        <v>1.42</v>
      </c>
      <c r="I6256" s="4">
        <f>IFERROR(__xludf.DUMMYFUNCTION("""COMPUTED_VALUE"""),1.0)</f>
        <v>1</v>
      </c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IFERROR(__xludf.DUMMYFUNCTION("""COMPUTED_VALUE"""),0.35)</f>
        <v>0.35</v>
      </c>
      <c r="G6259" s="1">
        <f>IFERROR(__xludf.DUMMYFUNCTION("""COMPUTED_VALUE"""),4.0)</f>
        <v>4</v>
      </c>
      <c r="H6259" s="3">
        <f>IFERROR(__xludf.DUMMYFUNCTION("""COMPUTED_VALUE"""),4.35)</f>
        <v>4.35</v>
      </c>
      <c r="I6259" s="4">
        <f>IFERROR(__xludf.DUMMYFUNCTION("""COMPUTED_VALUE"""),0.9195402298850576)</f>
        <v>0.9195402299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IFERROR(__xludf.DUMMYFUNCTION("""COMPUTED_VALUE"""),7.25)</f>
        <v>7.25</v>
      </c>
      <c r="H6260" s="3">
        <f>IFERROR(__xludf.DUMMYFUNCTION("""COMPUTED_VALUE"""),7.25)</f>
        <v>7.25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>
        <f>IFERROR(__xludf.DUMMYFUNCTION("""COMPUTED_VALUE"""),0.75)</f>
        <v>0.75</v>
      </c>
      <c r="H6261" s="3">
        <f>IFERROR(__xludf.DUMMYFUNCTION("""COMPUTED_VALUE"""),0.75)</f>
        <v>0.75</v>
      </c>
      <c r="I6261" s="4">
        <f>IFERROR(__xludf.DUMMYFUNCTION("""COMPUTED_VALUE"""),1.0)</f>
        <v>1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IFERROR(__xludf.DUMMYFUNCTION("""COMPUTED_VALUE"""),3.17)</f>
        <v>3.17</v>
      </c>
      <c r="H6262" s="3">
        <f>IFERROR(__xludf.DUMMYFUNCTION("""COMPUTED_VALUE"""),3.67)</f>
        <v>3.67</v>
      </c>
      <c r="I6262" s="4">
        <f>IFERROR(__xludf.DUMMYFUNCTION("""COMPUTED_VALUE"""),0.8637602179836512)</f>
        <v>0.863760218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>
        <f>IFERROR(__xludf.DUMMYFUNCTION("""COMPUTED_VALUE"""),0.25)</f>
        <v>0.25</v>
      </c>
      <c r="H6263" s="3">
        <f>IFERROR(__xludf.DUMMYFUNCTION("""COMPUTED_VALUE"""),0.25)</f>
        <v>0.25</v>
      </c>
      <c r="I6263" s="4">
        <f>IFERROR(__xludf.DUMMYFUNCTION("""COMPUTED_VALUE"""),1.0)</f>
        <v>1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IFERROR(__xludf.DUMMYFUNCTION("""COMPUTED_VALUE"""),2.0)</f>
        <v>2</v>
      </c>
      <c r="H6265" s="3">
        <f>IFERROR(__xludf.DUMMYFUNCTION("""COMPUTED_VALUE"""),2.5)</f>
        <v>2.5</v>
      </c>
      <c r="I6265" s="4">
        <f>IFERROR(__xludf.DUMMYFUNCTION("""COMPUTED_VALUE"""),0.8)</f>
        <v>0.8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>
        <f>IFERROR(__xludf.DUMMYFUNCTION("""COMPUTED_VALUE"""),0.75)</f>
        <v>0.75</v>
      </c>
      <c r="H6266" s="3">
        <f>IFERROR(__xludf.DUMMYFUNCTION("""COMPUTED_VALUE"""),0.75)</f>
        <v>0.75</v>
      </c>
      <c r="I6266" s="4">
        <f>IFERROR(__xludf.DUMMYFUNCTION("""COMPUTED_VALUE"""),1.0)</f>
        <v>1</v>
      </c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IFERROR(__xludf.DUMMYFUNCTION("""COMPUTED_VALUE"""),"Admin Support")</f>
        <v>Admin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IFERROR(__xludf.DUMMYFUNCTION("""COMPUTED_VALUE"""),16.67)</f>
        <v>16.67</v>
      </c>
      <c r="H6267" s="3">
        <f>IFERROR(__xludf.DUMMYFUNCTION("""COMPUTED_VALUE"""),16.67)</f>
        <v>16.67</v>
      </c>
      <c r="I6267" s="4">
        <f>IFERROR(__xludf.DUMMYFUNCTION("""COMPUTED_VALUE"""),1.0)</f>
        <v>1</v>
      </c>
      <c r="J6267" s="1" t="str">
        <f>IFERROR(__xludf.DUMMYFUNCTION("""COMPUTED_VALUE"""),"AL Suarez")</f>
        <v>AL Suarez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IFERROR(__xludf.DUMMYFUNCTION("""COMPUTED_VALUE"""),2.25)</f>
        <v>2.25</v>
      </c>
      <c r="G6268" s="1">
        <f>IFERROR(__xludf.DUMMYFUNCTION("""COMPUTED_VALUE"""),1.75)</f>
        <v>1.75</v>
      </c>
      <c r="H6268" s="3">
        <f>IFERROR(__xludf.DUMMYFUNCTION("""COMPUTED_VALUE"""),4.0)</f>
        <v>4</v>
      </c>
      <c r="I6268" s="4">
        <f>IFERROR(__xludf.DUMMYFUNCTION("""COMPUTED_VALUE"""),0.4375)</f>
        <v>0.4375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IFERROR(__xludf.DUMMYFUNCTION("""COMPUTED_VALUE"""),0.75)</f>
        <v>0.75</v>
      </c>
      <c r="H6269" s="3">
        <f>IFERROR(__xludf.DUMMYFUNCTION("""COMPUTED_VALUE"""),0.75)</f>
        <v>0.75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IFERROR(__xludf.DUMMYFUNCTION("""COMPUTED_VALUE"""),"Admin Support")</f>
        <v>Admin Support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IFERROR(__xludf.DUMMYFUNCTION("""COMPUTED_VALUE"""),10.25)</f>
        <v>10.25</v>
      </c>
      <c r="H6270" s="3">
        <f>IFERROR(__xludf.DUMMYFUNCTION("""COMPUTED_VALUE"""),10.25)</f>
        <v>10.25</v>
      </c>
      <c r="I6270" s="4">
        <f>IFERROR(__xludf.DUMMYFUNCTION("""COMPUTED_VALUE"""),1.0)</f>
        <v>1</v>
      </c>
      <c r="J6270" s="1" t="str">
        <f>IFERROR(__xludf.DUMMYFUNCTION("""COMPUTED_VALUE"""),"Karla Mananghaya")</f>
        <v>Karla Mananghaya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>
        <f>IFERROR(__xludf.DUMMYFUNCTION("""COMPUTED_VALUE"""),0.75)</f>
        <v>0.75</v>
      </c>
      <c r="H6271" s="3">
        <f>IFERROR(__xludf.DUMMYFUNCTION("""COMPUTED_VALUE"""),0.75)</f>
        <v>0.75</v>
      </c>
      <c r="I6271" s="4">
        <f>IFERROR(__xludf.DUMMYFUNCTION("""COMPUTED_VALUE"""),1.0)</f>
        <v>1</v>
      </c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>
        <f>IFERROR(__xludf.DUMMYFUNCTION("""COMPUTED_VALUE"""),1.0)</f>
        <v>1</v>
      </c>
      <c r="H6272" s="3">
        <f>IFERROR(__xludf.DUMMYFUNCTION("""COMPUTED_VALUE"""),1.0)</f>
        <v>1</v>
      </c>
      <c r="I6272" s="4">
        <f>IFERROR(__xludf.DUMMYFUNCTION("""COMPUTED_VALUE"""),1.0)</f>
        <v>1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>
        <f>IFERROR(__xludf.DUMMYFUNCTION("""COMPUTED_VALUE"""),0.75)</f>
        <v>0.75</v>
      </c>
      <c r="H6273" s="3">
        <f>IFERROR(__xludf.DUMMYFUNCTION("""COMPUTED_VALUE"""),0.75)</f>
        <v>0.75</v>
      </c>
      <c r="I6273" s="4">
        <f>IFERROR(__xludf.DUMMYFUNCTION("""COMPUTED_VALUE"""),1.0)</f>
        <v>1</v>
      </c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/>
      <c r="G6274" s="1">
        <f>IFERROR(__xludf.DUMMYFUNCTION("""COMPUTED_VALUE"""),0.75)</f>
        <v>0.75</v>
      </c>
      <c r="H6274" s="3">
        <f>IFERROR(__xludf.DUMMYFUNCTION("""COMPUTED_VALUE"""),0.75)</f>
        <v>0.75</v>
      </c>
      <c r="I6274" s="4">
        <f>IFERROR(__xludf.DUMMYFUNCTION("""COMPUTED_VALUE"""),1.0)</f>
        <v>1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IFERROR(__xludf.DUMMYFUNCTION("""COMPUTED_VALUE"""),0.25)</f>
        <v>0.25</v>
      </c>
      <c r="G6275" s="1">
        <f>IFERROR(__xludf.DUMMYFUNCTION("""COMPUTED_VALUE"""),2.75)</f>
        <v>2.75</v>
      </c>
      <c r="H6275" s="3">
        <f>IFERROR(__xludf.DUMMYFUNCTION("""COMPUTED_VALUE"""),3.0)</f>
        <v>3</v>
      </c>
      <c r="I6275" s="4">
        <f>IFERROR(__xludf.DUMMYFUNCTION("""COMPUTED_VALUE"""),0.9166666666666666)</f>
        <v>0.9166666667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>
        <f>IFERROR(__xludf.DUMMYFUNCTION("""COMPUTED_VALUE"""),0.75)</f>
        <v>0.75</v>
      </c>
      <c r="H6278" s="3">
        <f>IFERROR(__xludf.DUMMYFUNCTION("""COMPUTED_VALUE"""),0.75)</f>
        <v>0.75</v>
      </c>
      <c r="I6278" s="4">
        <f>IFERROR(__xludf.DUMMYFUNCTION("""COMPUTED_VALUE"""),1.0)</f>
        <v>1</v>
      </c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/>
      <c r="H6279" s="3">
        <f>IFERROR(__xludf.DUMMYFUNCTION("""COMPUTED_VALUE"""),0.0)</f>
        <v>0</v>
      </c>
      <c r="I6279" s="4"/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/>
      <c r="G6280" s="1">
        <f>IFERROR(__xludf.DUMMYFUNCTION("""COMPUTED_VALUE"""),0.75)</f>
        <v>0.75</v>
      </c>
      <c r="H6280" s="3">
        <f>IFERROR(__xludf.DUMMYFUNCTION("""COMPUTED_VALUE"""),0.75)</f>
        <v>0.75</v>
      </c>
      <c r="I6280" s="4">
        <f>IFERROR(__xludf.DUMMYFUNCTION("""COMPUTED_VALUE"""),1.0)</f>
        <v>1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IFERROR(__xludf.DUMMYFUNCTION("""COMPUTED_VALUE"""),1.75)</f>
        <v>1.75</v>
      </c>
      <c r="H6281" s="3">
        <f>IFERROR(__xludf.DUMMYFUNCTION("""COMPUTED_VALUE"""),1.75)</f>
        <v>1.75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IFERROR(__xludf.DUMMYFUNCTION("""COMPUTED_VALUE"""),1.0)</f>
        <v>1</v>
      </c>
      <c r="H6282" s="3">
        <f>IFERROR(__xludf.DUMMYFUNCTION("""COMPUTED_VALUE"""),1.0)</f>
        <v>1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>
        <f>IFERROR(__xludf.DUMMYFUNCTION("""COMPUTED_VALUE"""),1.75)</f>
        <v>1.75</v>
      </c>
      <c r="H6283" s="3">
        <f>IFERROR(__xludf.DUMMYFUNCTION("""COMPUTED_VALUE"""),1.75)</f>
        <v>1.75</v>
      </c>
      <c r="I6283" s="4">
        <f>IFERROR(__xludf.DUMMYFUNCTION("""COMPUTED_VALUE"""),1.0)</f>
        <v>1</v>
      </c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/>
      <c r="G6285" s="1">
        <f>IFERROR(__xludf.DUMMYFUNCTION("""COMPUTED_VALUE"""),0.75)</f>
        <v>0.75</v>
      </c>
      <c r="H6285" s="3">
        <f>IFERROR(__xludf.DUMMYFUNCTION("""COMPUTED_VALUE"""),0.75)</f>
        <v>0.75</v>
      </c>
      <c r="I6285" s="4">
        <f>IFERROR(__xludf.DUMMYFUNCTION("""COMPUTED_VALUE"""),1.0)</f>
        <v>1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>
        <f>IFERROR(__xludf.DUMMYFUNCTION("""COMPUTED_VALUE"""),0.75)</f>
        <v>0.75</v>
      </c>
      <c r="H6286" s="3">
        <f>IFERROR(__xludf.DUMMYFUNCTION("""COMPUTED_VALUE"""),0.75)</f>
        <v>0.75</v>
      </c>
      <c r="I6286" s="4">
        <f>IFERROR(__xludf.DUMMYFUNCTION("""COMPUTED_VALUE"""),1.0)</f>
        <v>1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IFERROR(__xludf.DUMMYFUNCTION("""COMPUTED_VALUE"""),"Admin Support")</f>
        <v>Admin Support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>
        <f>IFERROR(__xludf.DUMMYFUNCTION("""COMPUTED_VALUE"""),1.75)</f>
        <v>1.75</v>
      </c>
      <c r="H6289" s="3">
        <f>IFERROR(__xludf.DUMMYFUNCTION("""COMPUTED_VALUE"""),1.75)</f>
        <v>1.75</v>
      </c>
      <c r="I6289" s="4">
        <f>IFERROR(__xludf.DUMMYFUNCTION("""COMPUTED_VALUE"""),1.0)</f>
        <v>1</v>
      </c>
      <c r="J6289" s="1" t="str">
        <f>IFERROR(__xludf.DUMMYFUNCTION("""COMPUTED_VALUE"""),"Karla Mananghaya")</f>
        <v>Karla Mananghaya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>
        <f>IFERROR(__xludf.DUMMYFUNCTION("""COMPUTED_VALUE"""),1.0)</f>
        <v>1</v>
      </c>
      <c r="H6290" s="3">
        <f>IFERROR(__xludf.DUMMYFUNCTION("""COMPUTED_VALUE"""),1.0)</f>
        <v>1</v>
      </c>
      <c r="I6290" s="4">
        <f>IFERROR(__xludf.DUMMYFUNCTION("""COMPUTED_VALUE"""),1.0)</f>
        <v>1</v>
      </c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>
        <f>IFERROR(__xludf.DUMMYFUNCTION("""COMPUTED_VALUE"""),0.75)</f>
        <v>0.75</v>
      </c>
      <c r="H6291" s="3">
        <f>IFERROR(__xludf.DUMMYFUNCTION("""COMPUTED_VALUE"""),0.75)</f>
        <v>0.75</v>
      </c>
      <c r="I6291" s="4">
        <f>IFERROR(__xludf.DUMMYFUNCTION("""COMPUTED_VALUE"""),1.0)</f>
        <v>1</v>
      </c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>
        <f>IFERROR(__xludf.DUMMYFUNCTION("""COMPUTED_VALUE"""),0.75)</f>
        <v>0.75</v>
      </c>
      <c r="H6292" s="3">
        <f>IFERROR(__xludf.DUMMYFUNCTION("""COMPUTED_VALUE"""),1.25)</f>
        <v>1.25</v>
      </c>
      <c r="I6292" s="4">
        <f>IFERROR(__xludf.DUMMYFUNCTION("""COMPUTED_VALUE"""),0.6)</f>
        <v>0.6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>
        <f>IFERROR(__xludf.DUMMYFUNCTION("""COMPUTED_VALUE"""),0.75)</f>
        <v>0.75</v>
      </c>
      <c r="H6294" s="3">
        <f>IFERROR(__xludf.DUMMYFUNCTION("""COMPUTED_VALUE"""),0.75)</f>
        <v>0.75</v>
      </c>
      <c r="I6294" s="4">
        <f>IFERROR(__xludf.DUMMYFUNCTION("""COMPUTED_VALUE"""),1.0)</f>
        <v>1</v>
      </c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>
        <f>IFERROR(__xludf.DUMMYFUNCTION("""COMPUTED_VALUE"""),0.75)</f>
        <v>0.75</v>
      </c>
      <c r="H6295" s="3">
        <f>IFERROR(__xludf.DUMMYFUNCTION("""COMPUTED_VALUE"""),0.75)</f>
        <v>0.75</v>
      </c>
      <c r="I6295" s="4">
        <f>IFERROR(__xludf.DUMMYFUNCTION("""COMPUTED_VALUE"""),1.0)</f>
        <v>1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>
        <f>IFERROR(__xludf.DUMMYFUNCTION("""COMPUTED_VALUE"""),0.75)</f>
        <v>0.75</v>
      </c>
      <c r="H6296" s="3">
        <f>IFERROR(__xludf.DUMMYFUNCTION("""COMPUTED_VALUE"""),0.75)</f>
        <v>0.75</v>
      </c>
      <c r="I6296" s="4">
        <f>IFERROR(__xludf.DUMMYFUNCTION("""COMPUTED_VALUE"""),1.0)</f>
        <v>1</v>
      </c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>
        <f>IFERROR(__xludf.DUMMYFUNCTION("""COMPUTED_VALUE"""),1.42)</f>
        <v>1.42</v>
      </c>
      <c r="H6297" s="3">
        <f>IFERROR(__xludf.DUMMYFUNCTION("""COMPUTED_VALUE"""),1.42)</f>
        <v>1.42</v>
      </c>
      <c r="I6297" s="4">
        <f>IFERROR(__xludf.DUMMYFUNCTION("""COMPUTED_VALUE"""),1.0)</f>
        <v>1</v>
      </c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>
        <f>IFERROR(__xludf.DUMMYFUNCTION("""COMPUTED_VALUE"""),0.75)</f>
        <v>0.75</v>
      </c>
      <c r="H6298" s="3">
        <f>IFERROR(__xludf.DUMMYFUNCTION("""COMPUTED_VALUE"""),0.75)</f>
        <v>0.75</v>
      </c>
      <c r="I6298" s="4">
        <f>IFERROR(__xludf.DUMMYFUNCTION("""COMPUTED_VALUE"""),1.0)</f>
        <v>1</v>
      </c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/>
      <c r="G6299" s="1">
        <f>IFERROR(__xludf.DUMMYFUNCTION("""COMPUTED_VALUE"""),1.75)</f>
        <v>1.75</v>
      </c>
      <c r="H6299" s="3">
        <f>IFERROR(__xludf.DUMMYFUNCTION("""COMPUTED_VALUE"""),1.75)</f>
        <v>1.75</v>
      </c>
      <c r="I6299" s="4">
        <f>IFERROR(__xludf.DUMMYFUNCTION("""COMPUTED_VALUE"""),1.0)</f>
        <v>1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>
        <f>IFERROR(__xludf.DUMMYFUNCTION("""COMPUTED_VALUE"""),1.42)</f>
        <v>1.42</v>
      </c>
      <c r="H6301" s="3">
        <f>IFERROR(__xludf.DUMMYFUNCTION("""COMPUTED_VALUE"""),1.42)</f>
        <v>1.42</v>
      </c>
      <c r="I6301" s="4">
        <f>IFERROR(__xludf.DUMMYFUNCTION("""COMPUTED_VALUE"""),1.0)</f>
        <v>1</v>
      </c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>
        <f>IFERROR(__xludf.DUMMYFUNCTION("""COMPUTED_VALUE"""),0.75)</f>
        <v>0.75</v>
      </c>
      <c r="H6302" s="3">
        <f>IFERROR(__xludf.DUMMYFUNCTION("""COMPUTED_VALUE"""),0.75)</f>
        <v>0.75</v>
      </c>
      <c r="I6302" s="4">
        <f>IFERROR(__xludf.DUMMYFUNCTION("""COMPUTED_VALUE"""),1.0)</f>
        <v>1</v>
      </c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IFERROR(__xludf.DUMMYFUNCTION("""COMPUTED_VALUE"""),5.5)</f>
        <v>5.5</v>
      </c>
      <c r="H6303" s="3">
        <f>IFERROR(__xludf.DUMMYFUNCTION("""COMPUTED_VALUE"""),5.5)</f>
        <v>5.5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IFERROR(__xludf.DUMMYFUNCTION("""COMPUTED_VALUE"""),1.75)</f>
        <v>1.75</v>
      </c>
      <c r="G6304" s="1">
        <f>IFERROR(__xludf.DUMMYFUNCTION("""COMPUTED_VALUE"""),3.75)</f>
        <v>3.75</v>
      </c>
      <c r="H6304" s="3">
        <f>IFERROR(__xludf.DUMMYFUNCTION("""COMPUTED_VALUE"""),5.5)</f>
        <v>5.5</v>
      </c>
      <c r="I6304" s="4">
        <f>IFERROR(__xludf.DUMMYFUNCTION("""COMPUTED_VALUE"""),0.6818181818181818)</f>
        <v>0.6818181818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>
        <f>IFERROR(__xludf.DUMMYFUNCTION("""COMPUTED_VALUE"""),0.75)</f>
        <v>0.75</v>
      </c>
      <c r="H6305" s="3">
        <f>IFERROR(__xludf.DUMMYFUNCTION("""COMPUTED_VALUE"""),0.75)</f>
        <v>0.75</v>
      </c>
      <c r="I6305" s="4">
        <f>IFERROR(__xludf.DUMMYFUNCTION("""COMPUTED_VALUE"""),1.0)</f>
        <v>1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IFERROR(__xludf.DUMMYFUNCTION("""COMPUTED_VALUE"""),1.25)</f>
        <v>1.25</v>
      </c>
      <c r="G6306" s="1">
        <f>IFERROR(__xludf.DUMMYFUNCTION("""COMPUTED_VALUE"""),2.75)</f>
        <v>2.75</v>
      </c>
      <c r="H6306" s="3">
        <f>IFERROR(__xludf.DUMMYFUNCTION("""COMPUTED_VALUE"""),4.0)</f>
        <v>4</v>
      </c>
      <c r="I6306" s="4">
        <f>IFERROR(__xludf.DUMMYFUNCTION("""COMPUTED_VALUE"""),0.6875)</f>
        <v>0.6875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>
        <f>IFERROR(__xludf.DUMMYFUNCTION("""COMPUTED_VALUE"""),0.75)</f>
        <v>0.75</v>
      </c>
      <c r="H6307" s="3">
        <f>IFERROR(__xludf.DUMMYFUNCTION("""COMPUTED_VALUE"""),0.75)</f>
        <v>0.75</v>
      </c>
      <c r="I6307" s="4">
        <f>IFERROR(__xludf.DUMMYFUNCTION("""COMPUTED_VALUE"""),1.0)</f>
        <v>1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IFERROR(__xludf.DUMMYFUNCTION("""COMPUTED_VALUE"""),1.42)</f>
        <v>1.42</v>
      </c>
      <c r="H6308" s="3">
        <f>IFERROR(__xludf.DUMMYFUNCTION("""COMPUTED_VALUE"""),1.42)</f>
        <v>1.42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IFERROR(__xludf.DUMMYFUNCTION("""COMPUTED_VALUE"""),1.75)</f>
        <v>1.75</v>
      </c>
      <c r="H6309" s="3">
        <f>IFERROR(__xludf.DUMMYFUNCTION("""COMPUTED_VALUE"""),1.75)</f>
        <v>1.75</v>
      </c>
      <c r="I6309" s="4">
        <f>IFERROR(__xludf.DUMMYFUNCTION("""COMPUTED_VALUE"""),1.0)</f>
        <v>1</v>
      </c>
      <c r="J6309" s="1" t="str">
        <f>IFERROR(__xludf.DUMMYFUNCTION("""COMPUTED_VALUE"""),"Vinz Lazaro")</f>
        <v>Vinz Lazaro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IFERROR(__xludf.DUMMYFUNCTION("""COMPUTED_VALUE"""),1.75)</f>
        <v>1.75</v>
      </c>
      <c r="G6310" s="1">
        <f>IFERROR(__xludf.DUMMYFUNCTION("""COMPUTED_VALUE"""),2.82)</f>
        <v>2.82</v>
      </c>
      <c r="H6310" s="3">
        <f>IFERROR(__xludf.DUMMYFUNCTION("""COMPUTED_VALUE"""),4.57)</f>
        <v>4.57</v>
      </c>
      <c r="I6310" s="4">
        <f>IFERROR(__xludf.DUMMYFUNCTION("""COMPUTED_VALUE"""),0.6170678336980305)</f>
        <v>0.6170678337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>
        <f>IFERROR(__xludf.DUMMYFUNCTION("""COMPUTED_VALUE"""),0.75)</f>
        <v>0.75</v>
      </c>
      <c r="H6311" s="3">
        <f>IFERROR(__xludf.DUMMYFUNCTION("""COMPUTED_VALUE"""),0.75)</f>
        <v>0.75</v>
      </c>
      <c r="I6311" s="4">
        <f>IFERROR(__xludf.DUMMYFUNCTION("""COMPUTED_VALUE"""),1.0)</f>
        <v>1</v>
      </c>
      <c r="J6311" s="1" t="str">
        <f>IFERROR(__xludf.DUMMYFUNCTION("""COMPUTED_VALUE"""),"Vinz Lazaro")</f>
        <v>Vinz Lazaro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IFERROR(__xludf.DUMMYFUNCTION("""COMPUTED_VALUE"""),1.0)</f>
        <v>1</v>
      </c>
      <c r="G6312" s="1">
        <f>IFERROR(__xludf.DUMMYFUNCTION("""COMPUTED_VALUE"""),2.75)</f>
        <v>2.75</v>
      </c>
      <c r="H6312" s="3">
        <f>IFERROR(__xludf.DUMMYFUNCTION("""COMPUTED_VALUE"""),3.75)</f>
        <v>3.75</v>
      </c>
      <c r="I6312" s="4">
        <f>IFERROR(__xludf.DUMMYFUNCTION("""COMPUTED_VALUE"""),0.7333333333333333)</f>
        <v>0.7333333333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>
        <f>IFERROR(__xludf.DUMMYFUNCTION("""COMPUTED_VALUE"""),1.0)</f>
        <v>1</v>
      </c>
      <c r="H6314" s="3">
        <f>IFERROR(__xludf.DUMMYFUNCTION("""COMPUTED_VALUE"""),1.0)</f>
        <v>1</v>
      </c>
      <c r="I6314" s="4">
        <f>IFERROR(__xludf.DUMMYFUNCTION("""COMPUTED_VALUE"""),1.0)</f>
        <v>1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>
        <f>IFERROR(__xludf.DUMMYFUNCTION("""COMPUTED_VALUE"""),1.75)</f>
        <v>1.75</v>
      </c>
      <c r="H6315" s="3">
        <f>IFERROR(__xludf.DUMMYFUNCTION("""COMPUTED_VALUE"""),1.75)</f>
        <v>1.75</v>
      </c>
      <c r="I6315" s="4">
        <f>IFERROR(__xludf.DUMMYFUNCTION("""COMPUTED_VALUE"""),1.0)</f>
        <v>1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IFERROR(__xludf.DUMMYFUNCTION("""COMPUTED_VALUE"""),2.0)</f>
        <v>2</v>
      </c>
      <c r="H6316" s="3">
        <f>IFERROR(__xludf.DUMMYFUNCTION("""COMPUTED_VALUE"""),2.0)</f>
        <v>2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>
        <f>IFERROR(__xludf.DUMMYFUNCTION("""COMPUTED_VALUE"""),0.5)</f>
        <v>0.5</v>
      </c>
      <c r="H6318" s="3">
        <f>IFERROR(__xludf.DUMMYFUNCTION("""COMPUTED_VALUE"""),0.5)</f>
        <v>0.5</v>
      </c>
      <c r="I6318" s="4">
        <f>IFERROR(__xludf.DUMMYFUNCTION("""COMPUTED_VALUE"""),1.0)</f>
        <v>1</v>
      </c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>
        <f>IFERROR(__xludf.DUMMYFUNCTION("""COMPUTED_VALUE"""),1.75)</f>
        <v>1.75</v>
      </c>
      <c r="H6319" s="3">
        <f>IFERROR(__xludf.DUMMYFUNCTION("""COMPUTED_VALUE"""),1.75)</f>
        <v>1.75</v>
      </c>
      <c r="I6319" s="4">
        <f>IFERROR(__xludf.DUMMYFUNCTION("""COMPUTED_VALUE"""),1.0)</f>
        <v>1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>
        <f>IFERROR(__xludf.DUMMYFUNCTION("""COMPUTED_VALUE"""),1.75)</f>
        <v>1.75</v>
      </c>
      <c r="H6321" s="3">
        <f>IFERROR(__xludf.DUMMYFUNCTION("""COMPUTED_VALUE"""),2.25)</f>
        <v>2.25</v>
      </c>
      <c r="I6321" s="4">
        <f>IFERROR(__xludf.DUMMYFUNCTION("""COMPUTED_VALUE"""),0.7777777777777778)</f>
        <v>0.7777777778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IFERROR(__xludf.DUMMYFUNCTION("""COMPUTED_VALUE"""),2.25)</f>
        <v>2.25</v>
      </c>
      <c r="G6322" s="1">
        <f>IFERROR(__xludf.DUMMYFUNCTION("""COMPUTED_VALUE"""),1.75)</f>
        <v>1.75</v>
      </c>
      <c r="H6322" s="3">
        <f>IFERROR(__xludf.DUMMYFUNCTION("""COMPUTED_VALUE"""),4.0)</f>
        <v>4</v>
      </c>
      <c r="I6322" s="4">
        <f>IFERROR(__xludf.DUMMYFUNCTION("""COMPUTED_VALUE"""),0.4375)</f>
        <v>0.4375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/>
      <c r="G6324" s="1">
        <f>IFERROR(__xludf.DUMMYFUNCTION("""COMPUTED_VALUE"""),1.75)</f>
        <v>1.75</v>
      </c>
      <c r="H6324" s="3">
        <f>IFERROR(__xludf.DUMMYFUNCTION("""COMPUTED_VALUE"""),1.75)</f>
        <v>1.75</v>
      </c>
      <c r="I6324" s="4">
        <f>IFERROR(__xludf.DUMMYFUNCTION("""COMPUTED_VALUE"""),1.0)</f>
        <v>1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>
        <f>IFERROR(__xludf.DUMMYFUNCTION("""COMPUTED_VALUE"""),1.75)</f>
        <v>1.75</v>
      </c>
      <c r="H6325" s="3">
        <f>IFERROR(__xludf.DUMMYFUNCTION("""COMPUTED_VALUE"""),1.75)</f>
        <v>1.75</v>
      </c>
      <c r="I6325" s="4">
        <f>IFERROR(__xludf.DUMMYFUNCTION("""COMPUTED_VALUE"""),1.0)</f>
        <v>1</v>
      </c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>
        <f>IFERROR(__xludf.DUMMYFUNCTION("""COMPUTED_VALUE"""),0.75)</f>
        <v>0.75</v>
      </c>
      <c r="H6328" s="3">
        <f>IFERROR(__xludf.DUMMYFUNCTION("""COMPUTED_VALUE"""),0.75)</f>
        <v>0.75</v>
      </c>
      <c r="I6328" s="4">
        <f>IFERROR(__xludf.DUMMYFUNCTION("""COMPUTED_VALUE"""),1.0)</f>
        <v>1</v>
      </c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/>
      <c r="H6329" s="3">
        <f>IFERROR(__xludf.DUMMYFUNCTION("""COMPUTED_VALUE"""),0.0)</f>
        <v>0</v>
      </c>
      <c r="I6329" s="4"/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/>
      <c r="G6330" s="1">
        <f>IFERROR(__xludf.DUMMYFUNCTION("""COMPUTED_VALUE"""),0.75)</f>
        <v>0.75</v>
      </c>
      <c r="H6330" s="3">
        <f>IFERROR(__xludf.DUMMYFUNCTION("""COMPUTED_VALUE"""),0.75)</f>
        <v>0.75</v>
      </c>
      <c r="I6330" s="4">
        <f>IFERROR(__xludf.DUMMYFUNCTION("""COMPUTED_VALUE"""),1.0)</f>
        <v>1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IFERROR(__xludf.DUMMYFUNCTION("""COMPUTED_VALUE"""),1.75)</f>
        <v>1.75</v>
      </c>
      <c r="H6332" s="3">
        <f>IFERROR(__xludf.DUMMYFUNCTION("""COMPUTED_VALUE"""),1.75)</f>
        <v>1.75</v>
      </c>
      <c r="I6332" s="4">
        <f>IFERROR(__xludf.DUMMYFUNCTION("""COMPUTED_VALUE"""),1.0)</f>
        <v>1</v>
      </c>
      <c r="J6332" s="1" t="str">
        <f>IFERROR(__xludf.DUMMYFUNCTION("""COMPUTED_VALUE"""),"Vinz Lazaro")</f>
        <v>Vinz Lazaro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/>
      <c r="G6333" s="1">
        <f>IFERROR(__xludf.DUMMYFUNCTION("""COMPUTED_VALUE"""),2.5)</f>
        <v>2.5</v>
      </c>
      <c r="H6333" s="3">
        <f>IFERROR(__xludf.DUMMYFUNCTION("""COMPUTED_VALUE"""),2.5)</f>
        <v>2.5</v>
      </c>
      <c r="I6333" s="4">
        <f>IFERROR(__xludf.DUMMYFUNCTION("""COMPUTED_VALUE"""),1.0)</f>
        <v>1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IFERROR(__xludf.DUMMYFUNCTION("""COMPUTED_VALUE"""),2.0)</f>
        <v>2</v>
      </c>
      <c r="G6334" s="1">
        <f>IFERROR(__xludf.DUMMYFUNCTION("""COMPUTED_VALUE"""),2.75)</f>
        <v>2.75</v>
      </c>
      <c r="H6334" s="3">
        <f>IFERROR(__xludf.DUMMYFUNCTION("""COMPUTED_VALUE"""),4.75)</f>
        <v>4.75</v>
      </c>
      <c r="I6334" s="4">
        <f>IFERROR(__xludf.DUMMYFUNCTION("""COMPUTED_VALUE"""),0.5789473684210527)</f>
        <v>0.5789473684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>
        <f>IFERROR(__xludf.DUMMYFUNCTION("""COMPUTED_VALUE"""),0.25)</f>
        <v>0.25</v>
      </c>
      <c r="H6335" s="3">
        <f>IFERROR(__xludf.DUMMYFUNCTION("""COMPUTED_VALUE"""),0.25)</f>
        <v>0.25</v>
      </c>
      <c r="I6335" s="4">
        <f>IFERROR(__xludf.DUMMYFUNCTION("""COMPUTED_VALUE"""),1.0)</f>
        <v>1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>
        <f>IFERROR(__xludf.DUMMYFUNCTION("""COMPUTED_VALUE"""),0.75)</f>
        <v>0.75</v>
      </c>
      <c r="H6336" s="3">
        <f>IFERROR(__xludf.DUMMYFUNCTION("""COMPUTED_VALUE"""),0.75)</f>
        <v>0.75</v>
      </c>
      <c r="I6336" s="4">
        <f>IFERROR(__xludf.DUMMYFUNCTION("""COMPUTED_VALUE"""),1.0)</f>
        <v>1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>
        <f>IFERROR(__xludf.DUMMYFUNCTION("""COMPUTED_VALUE"""),0.75)</f>
        <v>0.75</v>
      </c>
      <c r="H6337" s="3">
        <f>IFERROR(__xludf.DUMMYFUNCTION("""COMPUTED_VALUE"""),0.75)</f>
        <v>0.75</v>
      </c>
      <c r="I6337" s="4">
        <f>IFERROR(__xludf.DUMMYFUNCTION("""COMPUTED_VALUE"""),1.0)</f>
        <v>1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IFERROR(__xludf.DUMMYFUNCTION("""COMPUTED_VALUE"""),1.75)</f>
        <v>1.75</v>
      </c>
      <c r="H6339" s="3">
        <f>IFERROR(__xludf.DUMMYFUNCTION("""COMPUTED_VALUE"""),1.75)</f>
        <v>1.75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>
        <f>IFERROR(__xludf.DUMMYFUNCTION("""COMPUTED_VALUE"""),1.0)</f>
        <v>1</v>
      </c>
      <c r="H6340" s="3">
        <f>IFERROR(__xludf.DUMMYFUNCTION("""COMPUTED_VALUE"""),1.0)</f>
        <v>1</v>
      </c>
      <c r="I6340" s="4">
        <f>IFERROR(__xludf.DUMMYFUNCTION("""COMPUTED_VALUE"""),1.0)</f>
        <v>1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IFERROR(__xludf.DUMMYFUNCTION("""COMPUTED_VALUE"""),2.0)</f>
        <v>2</v>
      </c>
      <c r="H6341" s="3">
        <f>IFERROR(__xludf.DUMMYFUNCTION("""COMPUTED_VALUE"""),2.5)</f>
        <v>2.5</v>
      </c>
      <c r="I6341" s="4">
        <f>IFERROR(__xludf.DUMMYFUNCTION("""COMPUTED_VALUE"""),0.8)</f>
        <v>0.8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>
        <f>IFERROR(__xludf.DUMMYFUNCTION("""COMPUTED_VALUE"""),0.75)</f>
        <v>0.75</v>
      </c>
      <c r="H6342" s="3">
        <f>IFERROR(__xludf.DUMMYFUNCTION("""COMPUTED_VALUE"""),0.75)</f>
        <v>0.75</v>
      </c>
      <c r="I6342" s="4">
        <f>IFERROR(__xludf.DUMMYFUNCTION("""COMPUTED_VALUE"""),1.0)</f>
        <v>1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IFERROR(__xludf.DUMMYFUNCTION("""COMPUTED_VALUE"""),"Karla Mananghaya")</f>
        <v>Karla Mananghaya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>
        <f>IFERROR(__xludf.DUMMYFUNCTION("""COMPUTED_VALUE"""),4.25)</f>
        <v>4.25</v>
      </c>
      <c r="H6345" s="3">
        <f>IFERROR(__xludf.DUMMYFUNCTION("""COMPUTED_VALUE"""),4.25)</f>
        <v>4.25</v>
      </c>
      <c r="I6345" s="4">
        <f>IFERROR(__xludf.DUMMYFUNCTION("""COMPUTED_VALUE"""),1.0)</f>
        <v>1</v>
      </c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>
        <f>IFERROR(__xludf.DUMMYFUNCTION("""COMPUTED_VALUE"""),1.0)</f>
        <v>1</v>
      </c>
      <c r="H6346" s="3">
        <f>IFERROR(__xludf.DUMMYFUNCTION("""COMPUTED_VALUE"""),1.5)</f>
        <v>1.5</v>
      </c>
      <c r="I6346" s="4">
        <f>IFERROR(__xludf.DUMMYFUNCTION("""COMPUTED_VALUE"""),0.6666666666666666)</f>
        <v>0.6666666667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IFERROR(__xludf.DUMMYFUNCTION("""COMPUTED_VALUE"""),3.28)</f>
        <v>3.28</v>
      </c>
      <c r="H6348" s="3">
        <f>IFERROR(__xludf.DUMMYFUNCTION("""COMPUTED_VALUE"""),3.28)</f>
        <v>3.28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>
        <f>IFERROR(__xludf.DUMMYFUNCTION("""COMPUTED_VALUE"""),0.75)</f>
        <v>0.75</v>
      </c>
      <c r="H6349" s="3">
        <f>IFERROR(__xludf.DUMMYFUNCTION("""COMPUTED_VALUE"""),0.75)</f>
        <v>0.75</v>
      </c>
      <c r="I6349" s="4">
        <f>IFERROR(__xludf.DUMMYFUNCTION("""COMPUTED_VALUE"""),1.0)</f>
        <v>1</v>
      </c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>
        <f>IFERROR(__xludf.DUMMYFUNCTION("""COMPUTED_VALUE"""),0.75)</f>
        <v>0.75</v>
      </c>
      <c r="H6350" s="3">
        <f>IFERROR(__xludf.DUMMYFUNCTION("""COMPUTED_VALUE"""),0.75)</f>
        <v>0.75</v>
      </c>
      <c r="I6350" s="4">
        <f>IFERROR(__xludf.DUMMYFUNCTION("""COMPUTED_VALUE"""),1.0)</f>
        <v>1</v>
      </c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IFERROR(__xludf.DUMMYFUNCTION("""COMPUTED_VALUE"""),0.75)</f>
        <v>0.75</v>
      </c>
      <c r="H6351" s="3">
        <f>IFERROR(__xludf.DUMMYFUNCTION("""COMPUTED_VALUE"""),0.75)</f>
        <v>0.75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/>
      <c r="G6352" s="1">
        <f>IFERROR(__xludf.DUMMYFUNCTION("""COMPUTED_VALUE"""),0.75)</f>
        <v>0.75</v>
      </c>
      <c r="H6352" s="3">
        <f>IFERROR(__xludf.DUMMYFUNCTION("""COMPUTED_VALUE"""),0.75)</f>
        <v>0.75</v>
      </c>
      <c r="I6352" s="4">
        <f>IFERROR(__xludf.DUMMYFUNCTION("""COMPUTED_VALUE"""),1.0)</f>
        <v>1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>
        <f>IFERROR(__xludf.DUMMYFUNCTION("""COMPUTED_VALUE"""),0.75)</f>
        <v>0.75</v>
      </c>
      <c r="H6353" s="3">
        <f>IFERROR(__xludf.DUMMYFUNCTION("""COMPUTED_VALUE"""),0.75)</f>
        <v>0.75</v>
      </c>
      <c r="I6353" s="4">
        <f>IFERROR(__xludf.DUMMYFUNCTION("""COMPUTED_VALUE"""),1.0)</f>
        <v>1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IFERROR(__xludf.DUMMYFUNCTION("""COMPUTED_VALUE"""),1.0)</f>
        <v>1</v>
      </c>
      <c r="H6354" s="3">
        <f>IFERROR(__xludf.DUMMYFUNCTION("""COMPUTED_VALUE"""),1.0)</f>
        <v>1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>
        <f>IFERROR(__xludf.DUMMYFUNCTION("""COMPUTED_VALUE"""),0.75)</f>
        <v>0.75</v>
      </c>
      <c r="H6357" s="3">
        <f>IFERROR(__xludf.DUMMYFUNCTION("""COMPUTED_VALUE"""),0.75)</f>
        <v>0.75</v>
      </c>
      <c r="I6357" s="4">
        <f>IFERROR(__xludf.DUMMYFUNCTION("""COMPUTED_VALUE"""),1.0)</f>
        <v>1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IFERROR(__xludf.DUMMYFUNCTION("""COMPUTED_VALUE"""),3.17)</f>
        <v>3.17</v>
      </c>
      <c r="H6358" s="3">
        <f>IFERROR(__xludf.DUMMYFUNCTION("""COMPUTED_VALUE"""),3.67)</f>
        <v>3.67</v>
      </c>
      <c r="I6358" s="4">
        <f>IFERROR(__xludf.DUMMYFUNCTION("""COMPUTED_VALUE"""),0.8637602179836512)</f>
        <v>0.863760218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>
        <f>IFERROR(__xludf.DUMMYFUNCTION("""COMPUTED_VALUE"""),1.75)</f>
        <v>1.75</v>
      </c>
      <c r="H6361" s="3">
        <f>IFERROR(__xludf.DUMMYFUNCTION("""COMPUTED_VALUE"""),1.75)</f>
        <v>1.75</v>
      </c>
      <c r="I6361" s="4">
        <f>IFERROR(__xludf.DUMMYFUNCTION("""COMPUTED_VALUE"""),1.0)</f>
        <v>1</v>
      </c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IFERROR(__xludf.DUMMYFUNCTION("""COMPUTED_VALUE"""),"#N/A")</f>
        <v>#N/A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>
        <f>IFERROR(__xludf.DUMMYFUNCTION("""COMPUTED_VALUE"""),0.75)</f>
        <v>0.75</v>
      </c>
      <c r="H6362" s="3">
        <f>IFERROR(__xludf.DUMMYFUNCTION("""COMPUTED_VALUE"""),0.75)</f>
        <v>0.75</v>
      </c>
      <c r="I6362" s="4">
        <f>IFERROR(__xludf.DUMMYFUNCTION("""COMPUTED_VALUE"""),1.0)</f>
        <v>1</v>
      </c>
      <c r="J6362" s="1" t="str">
        <f>IFERROR(__xludf.DUMMYFUNCTION("""COMPUTED_VALUE"""),"#N/A")</f>
        <v>#N/A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IFERROR(__xludf.DUMMYFUNCTION("""COMPUTED_VALUE"""),2.25)</f>
        <v>2.25</v>
      </c>
      <c r="G6363" s="1">
        <f>IFERROR(__xludf.DUMMYFUNCTION("""COMPUTED_VALUE"""),1.75)</f>
        <v>1.75</v>
      </c>
      <c r="H6363" s="3">
        <f>IFERROR(__xludf.DUMMYFUNCTION("""COMPUTED_VALUE"""),4.0)</f>
        <v>4</v>
      </c>
      <c r="I6363" s="4">
        <f>IFERROR(__xludf.DUMMYFUNCTION("""COMPUTED_VALUE"""),0.4375)</f>
        <v>0.4375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>
        <f>IFERROR(__xludf.DUMMYFUNCTION("""COMPUTED_VALUE"""),0.75)</f>
        <v>0.75</v>
      </c>
      <c r="H6364" s="3">
        <f>IFERROR(__xludf.DUMMYFUNCTION("""COMPUTED_VALUE"""),0.75)</f>
        <v>0.75</v>
      </c>
      <c r="I6364" s="4">
        <f>IFERROR(__xludf.DUMMYFUNCTION("""COMPUTED_VALUE"""),1.0)</f>
        <v>1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IFERROR(__xludf.DUMMYFUNCTION("""COMPUTED_VALUE"""),2.5)</f>
        <v>2.5</v>
      </c>
      <c r="H6365" s="3">
        <f>IFERROR(__xludf.DUMMYFUNCTION("""COMPUTED_VALUE"""),2.5)</f>
        <v>2.5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>
        <f>IFERROR(__xludf.DUMMYFUNCTION("""COMPUTED_VALUE"""),1.75)</f>
        <v>1.75</v>
      </c>
      <c r="H6366" s="3">
        <f>IFERROR(__xludf.DUMMYFUNCTION("""COMPUTED_VALUE"""),1.75)</f>
        <v>1.75</v>
      </c>
      <c r="I6366" s="4">
        <f>IFERROR(__xludf.DUMMYFUNCTION("""COMPUTED_VALUE"""),1.0)</f>
        <v>1</v>
      </c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>
        <f>IFERROR(__xludf.DUMMYFUNCTION("""COMPUTED_VALUE"""),0.75)</f>
        <v>0.75</v>
      </c>
      <c r="H6367" s="3">
        <f>IFERROR(__xludf.DUMMYFUNCTION("""COMPUTED_VALUE"""),0.75)</f>
        <v>0.75</v>
      </c>
      <c r="I6367" s="4">
        <f>IFERROR(__xludf.DUMMYFUNCTION("""COMPUTED_VALUE"""),1.0)</f>
        <v>1</v>
      </c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>
        <f>IFERROR(__xludf.DUMMYFUNCTION("""COMPUTED_VALUE"""),1.75)</f>
        <v>1.75</v>
      </c>
      <c r="H6368" s="3">
        <f>IFERROR(__xludf.DUMMYFUNCTION("""COMPUTED_VALUE"""),1.75)</f>
        <v>1.75</v>
      </c>
      <c r="I6368" s="4">
        <f>IFERROR(__xludf.DUMMYFUNCTION("""COMPUTED_VALUE"""),1.0)</f>
        <v>1</v>
      </c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/>
      <c r="G6369" s="1">
        <f>IFERROR(__xludf.DUMMYFUNCTION("""COMPUTED_VALUE"""),1.75)</f>
        <v>1.75</v>
      </c>
      <c r="H6369" s="3">
        <f>IFERROR(__xludf.DUMMYFUNCTION("""COMPUTED_VALUE"""),1.75)</f>
        <v>1.75</v>
      </c>
      <c r="I6369" s="4">
        <f>IFERROR(__xludf.DUMMYFUNCTION("""COMPUTED_VALUE"""),1.0)</f>
        <v>1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IFERROR(__xludf.DUMMYFUNCTION("""COMPUTED_VALUE"""),1.25)</f>
        <v>1.25</v>
      </c>
      <c r="G6370" s="1">
        <f>IFERROR(__xludf.DUMMYFUNCTION("""COMPUTED_VALUE"""),0.75)</f>
        <v>0.75</v>
      </c>
      <c r="H6370" s="3">
        <f>IFERROR(__xludf.DUMMYFUNCTION("""COMPUTED_VALUE"""),2.0)</f>
        <v>2</v>
      </c>
      <c r="I6370" s="4">
        <f>IFERROR(__xludf.DUMMYFUNCTION("""COMPUTED_VALUE"""),0.375)</f>
        <v>0.375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>
        <f>IFERROR(__xludf.DUMMYFUNCTION("""COMPUTED_VALUE"""),0.75)</f>
        <v>0.75</v>
      </c>
      <c r="H6371" s="3">
        <f>IFERROR(__xludf.DUMMYFUNCTION("""COMPUTED_VALUE"""),0.75)</f>
        <v>0.75</v>
      </c>
      <c r="I6371" s="4">
        <f>IFERROR(__xludf.DUMMYFUNCTION("""COMPUTED_VALUE"""),1.0)</f>
        <v>1</v>
      </c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>
        <f>IFERROR(__xludf.DUMMYFUNCTION("""COMPUTED_VALUE"""),0.75)</f>
        <v>0.75</v>
      </c>
      <c r="H6372" s="3">
        <f>IFERROR(__xludf.DUMMYFUNCTION("""COMPUTED_VALUE"""),0.75)</f>
        <v>0.75</v>
      </c>
      <c r="I6372" s="4">
        <f>IFERROR(__xludf.DUMMYFUNCTION("""COMPUTED_VALUE"""),1.0)</f>
        <v>1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IFERROR(__xludf.DUMMYFUNCTION("""COMPUTED_VALUE"""),1.25)</f>
        <v>1.25</v>
      </c>
      <c r="H6373" s="3">
        <f>IFERROR(__xludf.DUMMYFUNCTION("""COMPUTED_VALUE"""),1.25)</f>
        <v>1.25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IFERROR(__xludf.DUMMYFUNCTION("""COMPUTED_VALUE"""),2.25)</f>
        <v>2.25</v>
      </c>
      <c r="G6376" s="1">
        <f>IFERROR(__xludf.DUMMYFUNCTION("""COMPUTED_VALUE"""),2.75)</f>
        <v>2.75</v>
      </c>
      <c r="H6376" s="3">
        <f>IFERROR(__xludf.DUMMYFUNCTION("""COMPUTED_VALUE"""),5.0)</f>
        <v>5</v>
      </c>
      <c r="I6376" s="4">
        <f>IFERROR(__xludf.DUMMYFUNCTION("""COMPUTED_VALUE"""),0.55)</f>
        <v>0.55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>
        <f>IFERROR(__xludf.DUMMYFUNCTION("""COMPUTED_VALUE"""),1.75)</f>
        <v>1.75</v>
      </c>
      <c r="H6377" s="3">
        <f>IFERROR(__xludf.DUMMYFUNCTION("""COMPUTED_VALUE"""),1.75)</f>
        <v>1.75</v>
      </c>
      <c r="I6377" s="4">
        <f>IFERROR(__xludf.DUMMYFUNCTION("""COMPUTED_VALUE"""),1.0)</f>
        <v>1</v>
      </c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>
        <f>IFERROR(__xludf.DUMMYFUNCTION("""COMPUTED_VALUE"""),0.75)</f>
        <v>0.75</v>
      </c>
      <c r="H6378" s="3">
        <f>IFERROR(__xludf.DUMMYFUNCTION("""COMPUTED_VALUE"""),0.75)</f>
        <v>0.75</v>
      </c>
      <c r="I6378" s="4">
        <f>IFERROR(__xludf.DUMMYFUNCTION("""COMPUTED_VALUE"""),1.0)</f>
        <v>1</v>
      </c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>
        <f>IFERROR(__xludf.DUMMYFUNCTION("""COMPUTED_VALUE"""),0.75)</f>
        <v>0.75</v>
      </c>
      <c r="H6379" s="3">
        <f>IFERROR(__xludf.DUMMYFUNCTION("""COMPUTED_VALUE"""),0.75)</f>
        <v>0.75</v>
      </c>
      <c r="I6379" s="4">
        <f>IFERROR(__xludf.DUMMYFUNCTION("""COMPUTED_VALUE"""),1.0)</f>
        <v>1</v>
      </c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IFERROR(__xludf.DUMMYFUNCTION("""COMPUTED_VALUE"""),1.25)</f>
        <v>1.25</v>
      </c>
      <c r="G6380" s="1">
        <f>IFERROR(__xludf.DUMMYFUNCTION("""COMPUTED_VALUE"""),0.75)</f>
        <v>0.75</v>
      </c>
      <c r="H6380" s="3">
        <f>IFERROR(__xludf.DUMMYFUNCTION("""COMPUTED_VALUE"""),2.0)</f>
        <v>2</v>
      </c>
      <c r="I6380" s="4">
        <f>IFERROR(__xludf.DUMMYFUNCTION("""COMPUTED_VALUE"""),0.375)</f>
        <v>0.375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IFERROR(__xludf.DUMMYFUNCTION("""COMPUTED_VALUE"""),0.75)</f>
        <v>0.75</v>
      </c>
      <c r="H6381" s="3">
        <f>IFERROR(__xludf.DUMMYFUNCTION("""COMPUTED_VALUE"""),0.75)</f>
        <v>0.75</v>
      </c>
      <c r="I6381" s="4">
        <f>IFERROR(__xludf.DUMMYFUNCTION("""COMPUTED_VALUE"""),1.0)</f>
        <v>1</v>
      </c>
      <c r="J6381" s="1" t="str">
        <f>IFERROR(__xludf.DUMMYFUNCTION("""COMPUTED_VALUE"""),"Vinz Lazaro")</f>
        <v>Vinz Lazaro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>
        <f>IFERROR(__xludf.DUMMYFUNCTION("""COMPUTED_VALUE"""),0.75)</f>
        <v>0.75</v>
      </c>
      <c r="H6382" s="3">
        <f>IFERROR(__xludf.DUMMYFUNCTION("""COMPUTED_VALUE"""),0.75)</f>
        <v>0.75</v>
      </c>
      <c r="I6382" s="4">
        <f>IFERROR(__xludf.DUMMYFUNCTION("""COMPUTED_VALUE"""),1.0)</f>
        <v>1</v>
      </c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/>
      <c r="G6383" s="1">
        <f>IFERROR(__xludf.DUMMYFUNCTION("""COMPUTED_VALUE"""),1.67)</f>
        <v>1.67</v>
      </c>
      <c r="H6383" s="3">
        <f>IFERROR(__xludf.DUMMYFUNCTION("""COMPUTED_VALUE"""),1.67)</f>
        <v>1.67</v>
      </c>
      <c r="I6383" s="4">
        <f>IFERROR(__xludf.DUMMYFUNCTION("""COMPUTED_VALUE"""),1.0)</f>
        <v>1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>
        <f>IFERROR(__xludf.DUMMYFUNCTION("""COMPUTED_VALUE"""),1.75)</f>
        <v>1.75</v>
      </c>
      <c r="H6384" s="3">
        <f>IFERROR(__xludf.DUMMYFUNCTION("""COMPUTED_VALUE"""),1.75)</f>
        <v>1.75</v>
      </c>
      <c r="I6384" s="4">
        <f>IFERROR(__xludf.DUMMYFUNCTION("""COMPUTED_VALUE"""),1.0)</f>
        <v>1</v>
      </c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>
        <f>IFERROR(__xludf.DUMMYFUNCTION("""COMPUTED_VALUE"""),0.75)</f>
        <v>0.75</v>
      </c>
      <c r="H6385" s="3">
        <f>IFERROR(__xludf.DUMMYFUNCTION("""COMPUTED_VALUE"""),0.75)</f>
        <v>0.75</v>
      </c>
      <c r="I6385" s="4">
        <f>IFERROR(__xludf.DUMMYFUNCTION("""COMPUTED_VALUE"""),1.0)</f>
        <v>1</v>
      </c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IFERROR(__xludf.DUMMYFUNCTION("""COMPUTED_VALUE"""),6.25)</f>
        <v>6.25</v>
      </c>
      <c r="H6387" s="3">
        <f>IFERROR(__xludf.DUMMYFUNCTION("""COMPUTED_VALUE"""),6.25)</f>
        <v>6.25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IFERROR(__xludf.DUMMYFUNCTION("""COMPUTED_VALUE"""),1.25)</f>
        <v>1.25</v>
      </c>
      <c r="G6388" s="1">
        <f>IFERROR(__xludf.DUMMYFUNCTION("""COMPUTED_VALUE"""),0.75)</f>
        <v>0.75</v>
      </c>
      <c r="H6388" s="3">
        <f>IFERROR(__xludf.DUMMYFUNCTION("""COMPUTED_VALUE"""),2.0)</f>
        <v>2</v>
      </c>
      <c r="I6388" s="4">
        <f>IFERROR(__xludf.DUMMYFUNCTION("""COMPUTED_VALUE"""),0.375)</f>
        <v>0.375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/>
      <c r="G6390" s="1">
        <f>IFERROR(__xludf.DUMMYFUNCTION("""COMPUTED_VALUE"""),0.75)</f>
        <v>0.75</v>
      </c>
      <c r="H6390" s="3">
        <f>IFERROR(__xludf.DUMMYFUNCTION("""COMPUTED_VALUE"""),0.75)</f>
        <v>0.75</v>
      </c>
      <c r="I6390" s="4">
        <f>IFERROR(__xludf.DUMMYFUNCTION("""COMPUTED_VALUE"""),1.0)</f>
        <v>1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/>
      <c r="G6391" s="1">
        <f>IFERROR(__xludf.DUMMYFUNCTION("""COMPUTED_VALUE"""),1.0)</f>
        <v>1</v>
      </c>
      <c r="H6391" s="3">
        <f>IFERROR(__xludf.DUMMYFUNCTION("""COMPUTED_VALUE"""),1.0)</f>
        <v>1</v>
      </c>
      <c r="I6391" s="4">
        <f>IFERROR(__xludf.DUMMYFUNCTION("""COMPUTED_VALUE"""),1.0)</f>
        <v>1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>
        <f>IFERROR(__xludf.DUMMYFUNCTION("""COMPUTED_VALUE"""),0.5)</f>
        <v>0.5</v>
      </c>
      <c r="H6392" s="3">
        <f>IFERROR(__xludf.DUMMYFUNCTION("""COMPUTED_VALUE"""),0.5)</f>
        <v>0.5</v>
      </c>
      <c r="I6392" s="4">
        <f>IFERROR(__xludf.DUMMYFUNCTION("""COMPUTED_VALUE"""),1.0)</f>
        <v>1</v>
      </c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/>
      <c r="G6393" s="1">
        <f>IFERROR(__xludf.DUMMYFUNCTION("""COMPUTED_VALUE"""),1.0)</f>
        <v>1</v>
      </c>
      <c r="H6393" s="3">
        <f>IFERROR(__xludf.DUMMYFUNCTION("""COMPUTED_VALUE"""),1.0)</f>
        <v>1</v>
      </c>
      <c r="I6393" s="4">
        <f>IFERROR(__xludf.DUMMYFUNCTION("""COMPUTED_VALUE"""),1.0)</f>
        <v>1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/>
      <c r="G6396" s="1"/>
      <c r="H6396" s="3">
        <f>IFERROR(__xludf.DUMMYFUNCTION("""COMPUTED_VALUE"""),0.0)</f>
        <v>0</v>
      </c>
      <c r="I6396" s="4"/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IFERROR(__xludf.DUMMYFUNCTION("""COMPUTED_VALUE"""),3.0)</f>
        <v>3</v>
      </c>
      <c r="H6397" s="3">
        <f>IFERROR(__xludf.DUMMYFUNCTION("""COMPUTED_VALUE"""),3.0)</f>
        <v>3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>
        <f>IFERROR(__xludf.DUMMYFUNCTION("""COMPUTED_VALUE"""),2.0)</f>
        <v>2</v>
      </c>
      <c r="H6398" s="3">
        <f>IFERROR(__xludf.DUMMYFUNCTION("""COMPUTED_VALUE"""),2.0)</f>
        <v>2</v>
      </c>
      <c r="I6398" s="4">
        <f>IFERROR(__xludf.DUMMYFUNCTION("""COMPUTED_VALUE"""),1.0)</f>
        <v>1</v>
      </c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IFERROR(__xludf.DUMMYFUNCTION("""COMPUTED_VALUE"""),2.0)</f>
        <v>2</v>
      </c>
      <c r="H6399" s="3">
        <f>IFERROR(__xludf.DUMMYFUNCTION("""COMPUTED_VALUE"""),2.5)</f>
        <v>2.5</v>
      </c>
      <c r="I6399" s="4">
        <f>IFERROR(__xludf.DUMMYFUNCTION("""COMPUTED_VALUE"""),0.8)</f>
        <v>0.8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IFERROR(__xludf.DUMMYFUNCTION("""COMPUTED_VALUE"""),1.0)</f>
        <v>1</v>
      </c>
      <c r="G6400" s="1">
        <f>IFERROR(__xludf.DUMMYFUNCTION("""COMPUTED_VALUE"""),1.0)</f>
        <v>1</v>
      </c>
      <c r="H6400" s="3">
        <f>IFERROR(__xludf.DUMMYFUNCTION("""COMPUTED_VALUE"""),2.0)</f>
        <v>2</v>
      </c>
      <c r="I6400" s="4">
        <f>IFERROR(__xludf.DUMMYFUNCTION("""COMPUTED_VALUE"""),0.5)</f>
        <v>0.5</v>
      </c>
      <c r="J6400" s="1" t="str">
        <f>IFERROR(__xludf.DUMMYFUNCTION("""COMPUTED_VALUE"""),"Rae Erlano")</f>
        <v>Rae Erlano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>
        <f>IFERROR(__xludf.DUMMYFUNCTION("""COMPUTED_VALUE"""),1.0)</f>
        <v>1</v>
      </c>
      <c r="H6401" s="3">
        <f>IFERROR(__xludf.DUMMYFUNCTION("""COMPUTED_VALUE"""),1.0)</f>
        <v>1</v>
      </c>
      <c r="I6401" s="4">
        <f>IFERROR(__xludf.DUMMYFUNCTION("""COMPUTED_VALUE"""),1.0)</f>
        <v>1</v>
      </c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>
        <f>IFERROR(__xludf.DUMMYFUNCTION("""COMPUTED_VALUE"""),0.5)</f>
        <v>0.5</v>
      </c>
      <c r="H6402" s="3">
        <f>IFERROR(__xludf.DUMMYFUNCTION("""COMPUTED_VALUE"""),0.5)</f>
        <v>0.5</v>
      </c>
      <c r="I6402" s="4">
        <f>IFERROR(__xludf.DUMMYFUNCTION("""COMPUTED_VALUE"""),1.0)</f>
        <v>1</v>
      </c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>
        <f>IFERROR(__xludf.DUMMYFUNCTION("""COMPUTED_VALUE"""),1.0)</f>
        <v>1</v>
      </c>
      <c r="H6403" s="3">
        <f>IFERROR(__xludf.DUMMYFUNCTION("""COMPUTED_VALUE"""),1.0)</f>
        <v>1</v>
      </c>
      <c r="I6403" s="4">
        <f>IFERROR(__xludf.DUMMYFUNCTION("""COMPUTED_VALUE"""),1.0)</f>
        <v>1</v>
      </c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/>
      <c r="G6404" s="1"/>
      <c r="H6404" s="3">
        <f>IFERROR(__xludf.DUMMYFUNCTION("""COMPUTED_VALUE"""),0.0)</f>
        <v>0</v>
      </c>
      <c r="I6404" s="4"/>
      <c r="J6404" s="1" t="str">
        <f>IFERROR(__xludf.DUMMYFUNCTION("""COMPUTED_VALUE"""),"Vinz Lazaro")</f>
        <v>Vinz Lazaro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/>
      <c r="G6405" s="1">
        <f>IFERROR(__xludf.DUMMYFUNCTION("""COMPUTED_VALUE"""),7.75)</f>
        <v>7.75</v>
      </c>
      <c r="H6405" s="3">
        <f>IFERROR(__xludf.DUMMYFUNCTION("""COMPUTED_VALUE"""),7.75)</f>
        <v>7.75</v>
      </c>
      <c r="I6405" s="4">
        <f>IFERROR(__xludf.DUMMYFUNCTION("""COMPUTED_VALUE"""),1.0)</f>
        <v>1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IFERROR(__xludf.DUMMYFUNCTION("""COMPUTED_VALUE"""),5.25)</f>
        <v>5.25</v>
      </c>
      <c r="H6406" s="3">
        <f>IFERROR(__xludf.DUMMYFUNCTION("""COMPUTED_VALUE"""),5.25)</f>
        <v>5.25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IFERROR(__xludf.DUMMYFUNCTION("""COMPUTED_VALUE"""),3.5)</f>
        <v>3.5</v>
      </c>
      <c r="H6408" s="3">
        <f>IFERROR(__xludf.DUMMYFUNCTION("""COMPUTED_VALUE"""),4.0)</f>
        <v>4</v>
      </c>
      <c r="I6408" s="4">
        <f>IFERROR(__xludf.DUMMYFUNCTION("""COMPUTED_VALUE"""),0.875)</f>
        <v>0.875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>
        <f>IFERROR(__xludf.DUMMYFUNCTION("""COMPUTED_VALUE"""),1.0)</f>
        <v>1</v>
      </c>
      <c r="H6409" s="3">
        <f>IFERROR(__xludf.DUMMYFUNCTION("""COMPUTED_VALUE"""),1.0)</f>
        <v>1</v>
      </c>
      <c r="I6409" s="4">
        <f>IFERROR(__xludf.DUMMYFUNCTION("""COMPUTED_VALUE"""),1.0)</f>
        <v>1</v>
      </c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/>
      <c r="G6410" s="1">
        <f>IFERROR(__xludf.DUMMYFUNCTION("""COMPUTED_VALUE"""),0.67)</f>
        <v>0.67</v>
      </c>
      <c r="H6410" s="3">
        <f>IFERROR(__xludf.DUMMYFUNCTION("""COMPUTED_VALUE"""),0.67)</f>
        <v>0.67</v>
      </c>
      <c r="I6410" s="4">
        <f>IFERROR(__xludf.DUMMYFUNCTION("""COMPUTED_VALUE"""),1.0)</f>
        <v>1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>
        <f>IFERROR(__xludf.DUMMYFUNCTION("""COMPUTED_VALUE"""),1.0)</f>
        <v>1</v>
      </c>
      <c r="H6411" s="3">
        <f>IFERROR(__xludf.DUMMYFUNCTION("""COMPUTED_VALUE"""),1.0)</f>
        <v>1</v>
      </c>
      <c r="I6411" s="4">
        <f>IFERROR(__xludf.DUMMYFUNCTION("""COMPUTED_VALUE"""),1.0)</f>
        <v>1</v>
      </c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IFERROR(__xludf.DUMMYFUNCTION("""COMPUTED_VALUE"""),1.0)</f>
        <v>1</v>
      </c>
      <c r="G6413" s="1">
        <f>IFERROR(__xludf.DUMMYFUNCTION("""COMPUTED_VALUE"""),1.0)</f>
        <v>1</v>
      </c>
      <c r="H6413" s="3">
        <f>IFERROR(__xludf.DUMMYFUNCTION("""COMPUTED_VALUE"""),2.0)</f>
        <v>2</v>
      </c>
      <c r="I6413" s="4">
        <f>IFERROR(__xludf.DUMMYFUNCTION("""COMPUTED_VALUE"""),0.5)</f>
        <v>0.5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>
        <f>IFERROR(__xludf.DUMMYFUNCTION("""COMPUTED_VALUE"""),0.75)</f>
        <v>0.75</v>
      </c>
      <c r="H6414" s="3">
        <f>IFERROR(__xludf.DUMMYFUNCTION("""COMPUTED_VALUE"""),0.75)</f>
        <v>0.75</v>
      </c>
      <c r="I6414" s="4">
        <f>IFERROR(__xludf.DUMMYFUNCTION("""COMPUTED_VALUE"""),1.0)</f>
        <v>1</v>
      </c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/>
      <c r="G6415" s="1"/>
      <c r="H6415" s="3">
        <f>IFERROR(__xludf.DUMMYFUNCTION("""COMPUTED_VALUE"""),0.0)</f>
        <v>0</v>
      </c>
      <c r="I6415" s="4"/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>
        <f>IFERROR(__xludf.DUMMYFUNCTION("""COMPUTED_VALUE"""),0.5)</f>
        <v>0.5</v>
      </c>
      <c r="H6416" s="3">
        <f>IFERROR(__xludf.DUMMYFUNCTION("""COMPUTED_VALUE"""),0.5)</f>
        <v>0.5</v>
      </c>
      <c r="I6416" s="4">
        <f>IFERROR(__xludf.DUMMYFUNCTION("""COMPUTED_VALUE"""),1.0)</f>
        <v>1</v>
      </c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/>
      <c r="G6417" s="1">
        <f>IFERROR(__xludf.DUMMYFUNCTION("""COMPUTED_VALUE"""),4.33)</f>
        <v>4.33</v>
      </c>
      <c r="H6417" s="3">
        <f>IFERROR(__xludf.DUMMYFUNCTION("""COMPUTED_VALUE"""),4.33)</f>
        <v>4.33</v>
      </c>
      <c r="I6417" s="4">
        <f>IFERROR(__xludf.DUMMYFUNCTION("""COMPUTED_VALUE"""),1.0)</f>
        <v>1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IFERROR(__xludf.DUMMYFUNCTION("""COMPUTED_VALUE"""),"#N/A")</f>
        <v>#N/A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/>
      <c r="G6419" s="1"/>
      <c r="H6419" s="3">
        <f>IFERROR(__xludf.DUMMYFUNCTION("""COMPUTED_VALUE"""),0.0)</f>
        <v>0</v>
      </c>
      <c r="I6419" s="4"/>
      <c r="J6419" s="1" t="str">
        <f>IFERROR(__xludf.DUMMYFUNCTION("""COMPUTED_VALUE"""),"#N/A")</f>
        <v>#N/A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IFERROR(__xludf.DUMMYFUNCTION("""COMPUTED_VALUE"""),1.0)</f>
        <v>1</v>
      </c>
      <c r="G6420" s="1">
        <f>IFERROR(__xludf.DUMMYFUNCTION("""COMPUTED_VALUE"""),1.0)</f>
        <v>1</v>
      </c>
      <c r="H6420" s="3">
        <f>IFERROR(__xludf.DUMMYFUNCTION("""COMPUTED_VALUE"""),2.0)</f>
        <v>2</v>
      </c>
      <c r="I6420" s="4">
        <f>IFERROR(__xludf.DUMMYFUNCTION("""COMPUTED_VALUE"""),0.5)</f>
        <v>0.5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>
        <f>IFERROR(__xludf.DUMMYFUNCTION("""COMPUTED_VALUE"""),0.5)</f>
        <v>0.5</v>
      </c>
      <c r="H6421" s="3">
        <f>IFERROR(__xludf.DUMMYFUNCTION("""COMPUTED_VALUE"""),0.5)</f>
        <v>0.5</v>
      </c>
      <c r="I6421" s="4">
        <f>IFERROR(__xludf.DUMMYFUNCTION("""COMPUTED_VALUE"""),1.0)</f>
        <v>1</v>
      </c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/>
      <c r="G6422" s="1">
        <f>IFERROR(__xludf.DUMMYFUNCTION("""COMPUTED_VALUE"""),0.67)</f>
        <v>0.67</v>
      </c>
      <c r="H6422" s="3">
        <f>IFERROR(__xludf.DUMMYFUNCTION("""COMPUTED_VALUE"""),0.67)</f>
        <v>0.67</v>
      </c>
      <c r="I6422" s="4">
        <f>IFERROR(__xludf.DUMMYFUNCTION("""COMPUTED_VALUE"""),1.0)</f>
        <v>1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>
        <f>IFERROR(__xludf.DUMMYFUNCTION("""COMPUTED_VALUE"""),1.0)</f>
        <v>1</v>
      </c>
      <c r="H6423" s="3">
        <f>IFERROR(__xludf.DUMMYFUNCTION("""COMPUTED_VALUE"""),1.0)</f>
        <v>1</v>
      </c>
      <c r="I6423" s="4">
        <f>IFERROR(__xludf.DUMMYFUNCTION("""COMPUTED_VALUE"""),1.0)</f>
        <v>1</v>
      </c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>
        <f>IFERROR(__xludf.DUMMYFUNCTION("""COMPUTED_VALUE"""),2.33)</f>
        <v>2.33</v>
      </c>
      <c r="H6424" s="3">
        <f>IFERROR(__xludf.DUMMYFUNCTION("""COMPUTED_VALUE"""),2.33)</f>
        <v>2.33</v>
      </c>
      <c r="I6424" s="4">
        <f>IFERROR(__xludf.DUMMYFUNCTION("""COMPUTED_VALUE"""),1.0)</f>
        <v>1</v>
      </c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IFERROR(__xludf.DUMMYFUNCTION("""COMPUTED_VALUE"""),8.55)</f>
        <v>8.55</v>
      </c>
      <c r="H6426" s="3">
        <f>IFERROR(__xludf.DUMMYFUNCTION("""COMPUTED_VALUE"""),8.55)</f>
        <v>8.55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>
        <f>IFERROR(__xludf.DUMMYFUNCTION("""COMPUTED_VALUE"""),1.0)</f>
        <v>1</v>
      </c>
      <c r="H6427" s="3">
        <f>IFERROR(__xludf.DUMMYFUNCTION("""COMPUTED_VALUE"""),1.5)</f>
        <v>1.5</v>
      </c>
      <c r="I6427" s="4">
        <f>IFERROR(__xludf.DUMMYFUNCTION("""COMPUTED_VALUE"""),0.6666666666666666)</f>
        <v>0.6666666667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>
        <f>IFERROR(__xludf.DUMMYFUNCTION("""COMPUTED_VALUE"""),0.5)</f>
        <v>0.5</v>
      </c>
      <c r="H6428" s="3">
        <f>IFERROR(__xludf.DUMMYFUNCTION("""COMPUTED_VALUE"""),0.5)</f>
        <v>0.5</v>
      </c>
      <c r="I6428" s="4">
        <f>IFERROR(__xludf.DUMMYFUNCTION("""COMPUTED_VALUE"""),1.0)</f>
        <v>1</v>
      </c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>
        <f>IFERROR(__xludf.DUMMYFUNCTION("""COMPUTED_VALUE"""),1.0)</f>
        <v>1</v>
      </c>
      <c r="H6429" s="3">
        <f>IFERROR(__xludf.DUMMYFUNCTION("""COMPUTED_VALUE"""),1.5)</f>
        <v>1.5</v>
      </c>
      <c r="I6429" s="4">
        <f>IFERROR(__xludf.DUMMYFUNCTION("""COMPUTED_VALUE"""),0.6666666666666666)</f>
        <v>0.6666666667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>
        <f>IFERROR(__xludf.DUMMYFUNCTION("""COMPUTED_VALUE"""),0.5)</f>
        <v>0.5</v>
      </c>
      <c r="H6430" s="3">
        <f>IFERROR(__xludf.DUMMYFUNCTION("""COMPUTED_VALUE"""),0.5)</f>
        <v>0.5</v>
      </c>
      <c r="I6430" s="4">
        <f>IFERROR(__xludf.DUMMYFUNCTION("""COMPUTED_VALUE"""),1.0)</f>
        <v>1</v>
      </c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IFERROR(__xludf.DUMMYFUNCTION("""COMPUTED_VALUE"""),4.0)</f>
        <v>4</v>
      </c>
      <c r="H6431" s="3">
        <f>IFERROR(__xludf.DUMMYFUNCTION("""COMPUTED_VALUE"""),4.0)</f>
        <v>4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IFERROR(__xludf.DUMMYFUNCTION("""COMPUTED_VALUE"""),3.5)</f>
        <v>3.5</v>
      </c>
      <c r="H6432" s="3">
        <f>IFERROR(__xludf.DUMMYFUNCTION("""COMPUTED_VALUE"""),4.0)</f>
        <v>4</v>
      </c>
      <c r="I6432" s="4">
        <f>IFERROR(__xludf.DUMMYFUNCTION("""COMPUTED_VALUE"""),0.875)</f>
        <v>0.875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>
        <f>IFERROR(__xludf.DUMMYFUNCTION("""COMPUTED_VALUE"""),1.5)</f>
        <v>1.5</v>
      </c>
      <c r="H6434" s="3">
        <f>IFERROR(__xludf.DUMMYFUNCTION("""COMPUTED_VALUE"""),1.5)</f>
        <v>1.5</v>
      </c>
      <c r="I6434" s="4">
        <f>IFERROR(__xludf.DUMMYFUNCTION("""COMPUTED_VALUE"""),1.0)</f>
        <v>1</v>
      </c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IFERROR(__xludf.DUMMYFUNCTION("""COMPUTED_VALUE"""),1.5)</f>
        <v>1.5</v>
      </c>
      <c r="H6435" s="3">
        <f>IFERROR(__xludf.DUMMYFUNCTION("""COMPUTED_VALUE"""),1.5)</f>
        <v>1.5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/>
      <c r="G6436" s="1">
        <f>IFERROR(__xludf.DUMMYFUNCTION("""COMPUTED_VALUE"""),0.67)</f>
        <v>0.67</v>
      </c>
      <c r="H6436" s="3">
        <f>IFERROR(__xludf.DUMMYFUNCTION("""COMPUTED_VALUE"""),0.67)</f>
        <v>0.67</v>
      </c>
      <c r="I6436" s="4">
        <f>IFERROR(__xludf.DUMMYFUNCTION("""COMPUTED_VALUE"""),1.0)</f>
        <v>1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>
        <f>IFERROR(__xludf.DUMMYFUNCTION("""COMPUTED_VALUE"""),0.5)</f>
        <v>0.5</v>
      </c>
      <c r="H6437" s="3">
        <f>IFERROR(__xludf.DUMMYFUNCTION("""COMPUTED_VALUE"""),0.5)</f>
        <v>0.5</v>
      </c>
      <c r="I6437" s="4">
        <f>IFERROR(__xludf.DUMMYFUNCTION("""COMPUTED_VALUE"""),1.0)</f>
        <v>1</v>
      </c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>
        <f>IFERROR(__xludf.DUMMYFUNCTION("""COMPUTED_VALUE"""),1.0)</f>
        <v>1</v>
      </c>
      <c r="H6439" s="3">
        <f>IFERROR(__xludf.DUMMYFUNCTION("""COMPUTED_VALUE"""),1.0)</f>
        <v>1</v>
      </c>
      <c r="I6439" s="4">
        <f>IFERROR(__xludf.DUMMYFUNCTION("""COMPUTED_VALUE"""),1.0)</f>
        <v>1</v>
      </c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/>
      <c r="G6440" s="1">
        <f>IFERROR(__xludf.DUMMYFUNCTION("""COMPUTED_VALUE"""),0.17)</f>
        <v>0.17</v>
      </c>
      <c r="H6440" s="3">
        <f>IFERROR(__xludf.DUMMYFUNCTION("""COMPUTED_VALUE"""),0.17)</f>
        <v>0.17</v>
      </c>
      <c r="I6440" s="4">
        <f>IFERROR(__xludf.DUMMYFUNCTION("""COMPUTED_VALUE"""),1.0)</f>
        <v>1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/>
      <c r="G6441" s="1"/>
      <c r="H6441" s="3">
        <f>IFERROR(__xludf.DUMMYFUNCTION("""COMPUTED_VALUE"""),0.0)</f>
        <v>0</v>
      </c>
      <c r="I6441" s="4"/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/>
      <c r="G6442" s="1">
        <f>IFERROR(__xludf.DUMMYFUNCTION("""COMPUTED_VALUE"""),3.0)</f>
        <v>3</v>
      </c>
      <c r="H6442" s="3">
        <f>IFERROR(__xludf.DUMMYFUNCTION("""COMPUTED_VALUE"""),3.0)</f>
        <v>3</v>
      </c>
      <c r="I6442" s="4">
        <f>IFERROR(__xludf.DUMMYFUNCTION("""COMPUTED_VALUE"""),1.0)</f>
        <v>1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/>
      <c r="G6445" s="1"/>
      <c r="H6445" s="3">
        <f>IFERROR(__xludf.DUMMYFUNCTION("""COMPUTED_VALUE"""),0.0)</f>
        <v>0</v>
      </c>
      <c r="I6445" s="4"/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>
        <f>IFERROR(__xludf.DUMMYFUNCTION("""COMPUTED_VALUE"""),1.0)</f>
        <v>1</v>
      </c>
      <c r="H6448" s="3">
        <f>IFERROR(__xludf.DUMMYFUNCTION("""COMPUTED_VALUE"""),1.5)</f>
        <v>1.5</v>
      </c>
      <c r="I6448" s="4">
        <f>IFERROR(__xludf.DUMMYFUNCTION("""COMPUTED_VALUE"""),0.6666666666666666)</f>
        <v>0.6666666667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IFERROR(__xludf.DUMMYFUNCTION("""COMPUTED_VALUE"""),2.0)</f>
        <v>2</v>
      </c>
      <c r="H6449" s="3">
        <f>IFERROR(__xludf.DUMMYFUNCTION("""COMPUTED_VALUE"""),2.5)</f>
        <v>2.5</v>
      </c>
      <c r="I6449" s="4">
        <f>IFERROR(__xludf.DUMMYFUNCTION("""COMPUTED_VALUE"""),0.8)</f>
        <v>0.8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>
        <f>IFERROR(__xludf.DUMMYFUNCTION("""COMPUTED_VALUE"""),1.33)</f>
        <v>1.33</v>
      </c>
      <c r="H6450" s="3">
        <f>IFERROR(__xludf.DUMMYFUNCTION("""COMPUTED_VALUE"""),1.33)</f>
        <v>1.33</v>
      </c>
      <c r="I6450" s="4">
        <f>IFERROR(__xludf.DUMMYFUNCTION("""COMPUTED_VALUE"""),1.0)</f>
        <v>1</v>
      </c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IFERROR(__xludf.DUMMYFUNCTION("""COMPUTED_VALUE"""),4.0)</f>
        <v>4</v>
      </c>
      <c r="H6451" s="3">
        <f>IFERROR(__xludf.DUMMYFUNCTION("""COMPUTED_VALUE"""),4.0)</f>
        <v>4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IFERROR(__xludf.DUMMYFUNCTION("""COMPUTED_VALUE"""),1.5)</f>
        <v>1.5</v>
      </c>
      <c r="H6453" s="3">
        <f>IFERROR(__xludf.DUMMYFUNCTION("""COMPUTED_VALUE"""),2.0)</f>
        <v>2</v>
      </c>
      <c r="I6453" s="4">
        <f>IFERROR(__xludf.DUMMYFUNCTION("""COMPUTED_VALUE"""),0.75)</f>
        <v>0.75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>
        <f>IFERROR(__xludf.DUMMYFUNCTION("""COMPUTED_VALUE"""),1.52)</f>
        <v>1.52</v>
      </c>
      <c r="H6455" s="3">
        <f>IFERROR(__xludf.DUMMYFUNCTION("""COMPUTED_VALUE"""),1.52)</f>
        <v>1.52</v>
      </c>
      <c r="I6455" s="4">
        <f>IFERROR(__xludf.DUMMYFUNCTION("""COMPUTED_VALUE"""),1.0)</f>
        <v>1</v>
      </c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IFERROR(__xludf.DUMMYFUNCTION("""COMPUTED_VALUE"""),1.0)</f>
        <v>1</v>
      </c>
      <c r="G6456" s="1">
        <f>IFERROR(__xludf.DUMMYFUNCTION("""COMPUTED_VALUE"""),1.0)</f>
        <v>1</v>
      </c>
      <c r="H6456" s="3">
        <f>IFERROR(__xludf.DUMMYFUNCTION("""COMPUTED_VALUE"""),2.0)</f>
        <v>2</v>
      </c>
      <c r="I6456" s="4">
        <f>IFERROR(__xludf.DUMMYFUNCTION("""COMPUTED_VALUE"""),0.5)</f>
        <v>0.5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/>
      <c r="G6457" s="1">
        <f>IFERROR(__xludf.DUMMYFUNCTION("""COMPUTED_VALUE"""),0.17)</f>
        <v>0.17</v>
      </c>
      <c r="H6457" s="3">
        <f>IFERROR(__xludf.DUMMYFUNCTION("""COMPUTED_VALUE"""),0.17)</f>
        <v>0.17</v>
      </c>
      <c r="I6457" s="4">
        <f>IFERROR(__xludf.DUMMYFUNCTION("""COMPUTED_VALUE"""),1.0)</f>
        <v>1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>
        <f>IFERROR(__xludf.DUMMYFUNCTION("""COMPUTED_VALUE"""),0.5)</f>
        <v>0.5</v>
      </c>
      <c r="H6458" s="3">
        <f>IFERROR(__xludf.DUMMYFUNCTION("""COMPUTED_VALUE"""),0.5)</f>
        <v>0.5</v>
      </c>
      <c r="I6458" s="4">
        <f>IFERROR(__xludf.DUMMYFUNCTION("""COMPUTED_VALUE"""),1.0)</f>
        <v>1</v>
      </c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IFERROR(__xludf.DUMMYFUNCTION("""COMPUTED_VALUE"""),3.0)</f>
        <v>3</v>
      </c>
      <c r="G6460" s="1"/>
      <c r="H6460" s="3">
        <f>IFERROR(__xludf.DUMMYFUNCTION("""COMPUTED_VALUE"""),3.0)</f>
        <v>3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IFERROR(__xludf.DUMMYFUNCTION("""COMPUTED_VALUE"""),1.0)</f>
        <v>1</v>
      </c>
      <c r="G6461" s="1">
        <f>IFERROR(__xludf.DUMMYFUNCTION("""COMPUTED_VALUE"""),1.0)</f>
        <v>1</v>
      </c>
      <c r="H6461" s="3">
        <f>IFERROR(__xludf.DUMMYFUNCTION("""COMPUTED_VALUE"""),2.0)</f>
        <v>2</v>
      </c>
      <c r="I6461" s="4">
        <f>IFERROR(__xludf.DUMMYFUNCTION("""COMPUTED_VALUE"""),0.5)</f>
        <v>0.5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IFERROR(__xludf.DUMMYFUNCTION("""COMPUTED_VALUE"""),6.5)</f>
        <v>6.5</v>
      </c>
      <c r="H6464" s="3">
        <f>IFERROR(__xludf.DUMMYFUNCTION("""COMPUTED_VALUE"""),6.5)</f>
        <v>6.5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IFERROR(__xludf.DUMMYFUNCTION("""COMPUTED_VALUE"""),2.0)</f>
        <v>2</v>
      </c>
      <c r="H6465" s="3">
        <f>IFERROR(__xludf.DUMMYFUNCTION("""COMPUTED_VALUE"""),2.5)</f>
        <v>2.5</v>
      </c>
      <c r="I6465" s="4">
        <f>IFERROR(__xludf.DUMMYFUNCTION("""COMPUTED_VALUE"""),0.8)</f>
        <v>0.8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IFERROR(__xludf.DUMMYFUNCTION("""COMPUTED_VALUE"""),0.18)</f>
        <v>0.18</v>
      </c>
      <c r="G6466" s="1">
        <f>IFERROR(__xludf.DUMMYFUNCTION("""COMPUTED_VALUE"""),1.0)</f>
        <v>1</v>
      </c>
      <c r="H6466" s="3">
        <f>IFERROR(__xludf.DUMMYFUNCTION("""COMPUTED_VALUE"""),1.18)</f>
        <v>1.18</v>
      </c>
      <c r="I6466" s="4">
        <f>IFERROR(__xludf.DUMMYFUNCTION("""COMPUTED_VALUE"""),0.8474576271186441)</f>
        <v>0.8474576271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/>
      <c r="G6467" s="1"/>
      <c r="H6467" s="3">
        <f>IFERROR(__xludf.DUMMYFUNCTION("""COMPUTED_VALUE"""),0.0)</f>
        <v>0</v>
      </c>
      <c r="I6467" s="4"/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IFERROR(__xludf.DUMMYFUNCTION("""COMPUTED_VALUE"""),5.0)</f>
        <v>5</v>
      </c>
      <c r="H6468" s="3">
        <f>IFERROR(__xludf.DUMMYFUNCTION("""COMPUTED_VALUE"""),5.0)</f>
        <v>5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/>
      <c r="G6471" s="1">
        <f>IFERROR(__xludf.DUMMYFUNCTION("""COMPUTED_VALUE"""),0.33)</f>
        <v>0.33</v>
      </c>
      <c r="H6471" s="3">
        <f>IFERROR(__xludf.DUMMYFUNCTION("""COMPUTED_VALUE"""),0.33)</f>
        <v>0.33</v>
      </c>
      <c r="I6471" s="4">
        <f>IFERROR(__xludf.DUMMYFUNCTION("""COMPUTED_VALUE"""),1.0)</f>
        <v>1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IFERROR(__xludf.DUMMYFUNCTION("""COMPUTED_VALUE"""),4.25)</f>
        <v>4.25</v>
      </c>
      <c r="H6472" s="3">
        <f>IFERROR(__xludf.DUMMYFUNCTION("""COMPUTED_VALUE"""),4.25)</f>
        <v>4.25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>
        <f>IFERROR(__xludf.DUMMYFUNCTION("""COMPUTED_VALUE"""),0.5)</f>
        <v>0.5</v>
      </c>
      <c r="H6473" s="3">
        <f>IFERROR(__xludf.DUMMYFUNCTION("""COMPUTED_VALUE"""),0.5)</f>
        <v>0.5</v>
      </c>
      <c r="I6473" s="4">
        <f>IFERROR(__xludf.DUMMYFUNCTION("""COMPUTED_VALUE"""),1.0)</f>
        <v>1</v>
      </c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>
        <f>IFERROR(__xludf.DUMMYFUNCTION("""COMPUTED_VALUE"""),0.67)</f>
        <v>0.67</v>
      </c>
      <c r="H6474" s="3">
        <f>IFERROR(__xludf.DUMMYFUNCTION("""COMPUTED_VALUE"""),1.17)</f>
        <v>1.17</v>
      </c>
      <c r="I6474" s="4">
        <f>IFERROR(__xludf.DUMMYFUNCTION("""COMPUTED_VALUE"""),0.5726495726495727)</f>
        <v>0.5726495726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IFERROR(__xludf.DUMMYFUNCTION("""COMPUTED_VALUE"""),9.22)</f>
        <v>9.22</v>
      </c>
      <c r="H6475" s="3">
        <f>IFERROR(__xludf.DUMMYFUNCTION("""COMPUTED_VALUE"""),9.22)</f>
        <v>9.22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/>
      <c r="G6476" s="1">
        <f>IFERROR(__xludf.DUMMYFUNCTION("""COMPUTED_VALUE"""),0.75)</f>
        <v>0.75</v>
      </c>
      <c r="H6476" s="3">
        <f>IFERROR(__xludf.DUMMYFUNCTION("""COMPUTED_VALUE"""),0.75)</f>
        <v>0.75</v>
      </c>
      <c r="I6476" s="4">
        <f>IFERROR(__xludf.DUMMYFUNCTION("""COMPUTED_VALUE"""),1.0)</f>
        <v>1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>
        <f>IFERROR(__xludf.DUMMYFUNCTION("""COMPUTED_VALUE"""),0.5)</f>
        <v>0.5</v>
      </c>
      <c r="H6479" s="3">
        <f>IFERROR(__xludf.DUMMYFUNCTION("""COMPUTED_VALUE"""),0.5)</f>
        <v>0.5</v>
      </c>
      <c r="I6479" s="4">
        <f>IFERROR(__xludf.DUMMYFUNCTION("""COMPUTED_VALUE"""),1.0)</f>
        <v>1</v>
      </c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/>
      <c r="G6480" s="1"/>
      <c r="H6480" s="3">
        <f>IFERROR(__xludf.DUMMYFUNCTION("""COMPUTED_VALUE"""),0.0)</f>
        <v>0</v>
      </c>
      <c r="I6480" s="4"/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/>
      <c r="G6482" s="1">
        <f>IFERROR(__xludf.DUMMYFUNCTION("""COMPUTED_VALUE"""),1.0)</f>
        <v>1</v>
      </c>
      <c r="H6482" s="3">
        <f>IFERROR(__xludf.DUMMYFUNCTION("""COMPUTED_VALUE"""),1.0)</f>
        <v>1</v>
      </c>
      <c r="I6482" s="4">
        <f>IFERROR(__xludf.DUMMYFUNCTION("""COMPUTED_VALUE"""),1.0)</f>
        <v>1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>
        <f>IFERROR(__xludf.DUMMYFUNCTION("""COMPUTED_VALUE"""),1.0)</f>
        <v>1</v>
      </c>
      <c r="H6483" s="3">
        <f>IFERROR(__xludf.DUMMYFUNCTION("""COMPUTED_VALUE"""),1.5)</f>
        <v>1.5</v>
      </c>
      <c r="I6483" s="4">
        <f>IFERROR(__xludf.DUMMYFUNCTION("""COMPUTED_VALUE"""),0.6666666666666666)</f>
        <v>0.6666666667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>
        <f>IFERROR(__xludf.DUMMYFUNCTION("""COMPUTED_VALUE"""),2.1)</f>
        <v>2.1</v>
      </c>
      <c r="H6484" s="3">
        <f>IFERROR(__xludf.DUMMYFUNCTION("""COMPUTED_VALUE"""),2.1)</f>
        <v>2.1</v>
      </c>
      <c r="I6484" s="4">
        <f>IFERROR(__xludf.DUMMYFUNCTION("""COMPUTED_VALUE"""),1.0)</f>
        <v>1</v>
      </c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/>
      <c r="G6485" s="1">
        <f>IFERROR(__xludf.DUMMYFUNCTION("""COMPUTED_VALUE"""),3.5)</f>
        <v>3.5</v>
      </c>
      <c r="H6485" s="3">
        <f>IFERROR(__xludf.DUMMYFUNCTION("""COMPUTED_VALUE"""),3.5)</f>
        <v>3.5</v>
      </c>
      <c r="I6485" s="4">
        <f>IFERROR(__xludf.DUMMYFUNCTION("""COMPUTED_VALUE"""),1.0)</f>
        <v>1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>
        <f>IFERROR(__xludf.DUMMYFUNCTION("""COMPUTED_VALUE"""),0.5)</f>
        <v>0.5</v>
      </c>
      <c r="H6486" s="3">
        <f>IFERROR(__xludf.DUMMYFUNCTION("""COMPUTED_VALUE"""),0.5)</f>
        <v>0.5</v>
      </c>
      <c r="I6486" s="4">
        <f>IFERROR(__xludf.DUMMYFUNCTION("""COMPUTED_VALUE"""),1.0)</f>
        <v>1</v>
      </c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/>
      <c r="G6487" s="1">
        <f>IFERROR(__xludf.DUMMYFUNCTION("""COMPUTED_VALUE"""),2.67)</f>
        <v>2.67</v>
      </c>
      <c r="H6487" s="3">
        <f>IFERROR(__xludf.DUMMYFUNCTION("""COMPUTED_VALUE"""),2.67)</f>
        <v>2.67</v>
      </c>
      <c r="I6487" s="4">
        <f>IFERROR(__xludf.DUMMYFUNCTION("""COMPUTED_VALUE"""),1.0)</f>
        <v>1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/>
      <c r="G6489" s="1">
        <f>IFERROR(__xludf.DUMMYFUNCTION("""COMPUTED_VALUE"""),0.67)</f>
        <v>0.67</v>
      </c>
      <c r="H6489" s="3">
        <f>IFERROR(__xludf.DUMMYFUNCTION("""COMPUTED_VALUE"""),0.67)</f>
        <v>0.67</v>
      </c>
      <c r="I6489" s="4">
        <f>IFERROR(__xludf.DUMMYFUNCTION("""COMPUTED_VALUE"""),1.0)</f>
        <v>1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>
        <f>IFERROR(__xludf.DUMMYFUNCTION("""COMPUTED_VALUE"""),1.5)</f>
        <v>1.5</v>
      </c>
      <c r="H6490" s="3">
        <f>IFERROR(__xludf.DUMMYFUNCTION("""COMPUTED_VALUE"""),2.0)</f>
        <v>2</v>
      </c>
      <c r="I6490" s="4">
        <f>IFERROR(__xludf.DUMMYFUNCTION("""COMPUTED_VALUE"""),0.75)</f>
        <v>0.75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>
        <f>IFERROR(__xludf.DUMMYFUNCTION("""COMPUTED_VALUE"""),1.0)</f>
        <v>1</v>
      </c>
      <c r="H6491" s="3">
        <f>IFERROR(__xludf.DUMMYFUNCTION("""COMPUTED_VALUE"""),1.5)</f>
        <v>1.5</v>
      </c>
      <c r="I6491" s="4">
        <f>IFERROR(__xludf.DUMMYFUNCTION("""COMPUTED_VALUE"""),0.6666666666666666)</f>
        <v>0.6666666667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/>
      <c r="G6492" s="1">
        <f>IFERROR(__xludf.DUMMYFUNCTION("""COMPUTED_VALUE"""),1.0)</f>
        <v>1</v>
      </c>
      <c r="H6492" s="3">
        <f>IFERROR(__xludf.DUMMYFUNCTION("""COMPUTED_VALUE"""),1.0)</f>
        <v>1</v>
      </c>
      <c r="I6492" s="4">
        <f>IFERROR(__xludf.DUMMYFUNCTION("""COMPUTED_VALUE"""),1.0)</f>
        <v>1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/>
      <c r="G6493" s="1"/>
      <c r="H6493" s="3">
        <f>IFERROR(__xludf.DUMMYFUNCTION("""COMPUTED_VALUE"""),0.0)</f>
        <v>0</v>
      </c>
      <c r="I6493" s="4"/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/>
      <c r="G6495" s="1"/>
      <c r="H6495" s="3">
        <f>IFERROR(__xludf.DUMMYFUNCTION("""COMPUTED_VALUE"""),0.0)</f>
        <v>0</v>
      </c>
      <c r="I6495" s="4"/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/>
      <c r="G6497" s="1">
        <f>IFERROR(__xludf.DUMMYFUNCTION("""COMPUTED_VALUE"""),1.0)</f>
        <v>1</v>
      </c>
      <c r="H6497" s="3">
        <f>IFERROR(__xludf.DUMMYFUNCTION("""COMPUTED_VALUE"""),1.0)</f>
        <v>1</v>
      </c>
      <c r="I6497" s="4">
        <f>IFERROR(__xludf.DUMMYFUNCTION("""COMPUTED_VALUE"""),1.0)</f>
        <v>1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>
        <f>IFERROR(__xludf.DUMMYFUNCTION("""COMPUTED_VALUE"""),0.5)</f>
        <v>0.5</v>
      </c>
      <c r="H6498" s="3">
        <f>IFERROR(__xludf.DUMMYFUNCTION("""COMPUTED_VALUE"""),0.5)</f>
        <v>0.5</v>
      </c>
      <c r="I6498" s="4">
        <f>IFERROR(__xludf.DUMMYFUNCTION("""COMPUTED_VALUE"""),1.0)</f>
        <v>1</v>
      </c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>
        <f>IFERROR(__xludf.DUMMYFUNCTION("""COMPUTED_VALUE"""),0.5)</f>
        <v>0.5</v>
      </c>
      <c r="H6499" s="3">
        <f>IFERROR(__xludf.DUMMYFUNCTION("""COMPUTED_VALUE"""),2.0)</f>
        <v>2</v>
      </c>
      <c r="I6499" s="4">
        <f>IFERROR(__xludf.DUMMYFUNCTION("""COMPUTED_VALUE"""),0.25)</f>
        <v>0.25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/>
      <c r="G6500" s="1"/>
      <c r="H6500" s="3">
        <f>IFERROR(__xludf.DUMMYFUNCTION("""COMPUTED_VALUE"""),0.0)</f>
        <v>0</v>
      </c>
      <c r="I6500" s="4"/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>
        <f>IFERROR(__xludf.DUMMYFUNCTION("""COMPUTED_VALUE"""),1.0)</f>
        <v>1</v>
      </c>
      <c r="H6501" s="3">
        <f>IFERROR(__xludf.DUMMYFUNCTION("""COMPUTED_VALUE"""),1.0)</f>
        <v>1</v>
      </c>
      <c r="I6501" s="4">
        <f>IFERROR(__xludf.DUMMYFUNCTION("""COMPUTED_VALUE"""),1.0)</f>
        <v>1</v>
      </c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>
        <f>IFERROR(__xludf.DUMMYFUNCTION("""COMPUTED_VALUE"""),1.0)</f>
        <v>1</v>
      </c>
      <c r="H6504" s="3">
        <f>IFERROR(__xludf.DUMMYFUNCTION("""COMPUTED_VALUE"""),1.0)</f>
        <v>1</v>
      </c>
      <c r="I6504" s="4">
        <f>IFERROR(__xludf.DUMMYFUNCTION("""COMPUTED_VALUE"""),1.0)</f>
        <v>1</v>
      </c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IFERROR(__xludf.DUMMYFUNCTION("""COMPUTED_VALUE"""),3.63)</f>
        <v>3.63</v>
      </c>
      <c r="H6506" s="3">
        <f>IFERROR(__xludf.DUMMYFUNCTION("""COMPUTED_VALUE"""),4.13)</f>
        <v>4.13</v>
      </c>
      <c r="I6506" s="4">
        <f>IFERROR(__xludf.DUMMYFUNCTION("""COMPUTED_VALUE"""),0.8789346246973365)</f>
        <v>0.8789346247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>
        <f>IFERROR(__xludf.DUMMYFUNCTION("""COMPUTED_VALUE"""),0.42)</f>
        <v>0.42</v>
      </c>
      <c r="H6507" s="3">
        <f>IFERROR(__xludf.DUMMYFUNCTION("""COMPUTED_VALUE"""),0.9199999999999999)</f>
        <v>0.92</v>
      </c>
      <c r="I6507" s="4">
        <f>IFERROR(__xludf.DUMMYFUNCTION("""COMPUTED_VALUE"""),0.4565217391304348)</f>
        <v>0.4565217391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>
        <f>IFERROR(__xludf.DUMMYFUNCTION("""COMPUTED_VALUE"""),0.5)</f>
        <v>0.5</v>
      </c>
      <c r="H6509" s="3">
        <f>IFERROR(__xludf.DUMMYFUNCTION("""COMPUTED_VALUE"""),0.5)</f>
        <v>0.5</v>
      </c>
      <c r="I6509" s="4">
        <f>IFERROR(__xludf.DUMMYFUNCTION("""COMPUTED_VALUE"""),1.0)</f>
        <v>1</v>
      </c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>
        <f>IFERROR(__xludf.DUMMYFUNCTION("""COMPUTED_VALUE"""),1.0)</f>
        <v>1</v>
      </c>
      <c r="H6510" s="3">
        <f>IFERROR(__xludf.DUMMYFUNCTION("""COMPUTED_VALUE"""),1.0)</f>
        <v>1</v>
      </c>
      <c r="I6510" s="4">
        <f>IFERROR(__xludf.DUMMYFUNCTION("""COMPUTED_VALUE"""),1.0)</f>
        <v>1</v>
      </c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/>
      <c r="G6512" s="1"/>
      <c r="H6512" s="3">
        <f>IFERROR(__xludf.DUMMYFUNCTION("""COMPUTED_VALUE"""),0.0)</f>
        <v>0</v>
      </c>
      <c r="I6512" s="4"/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IFERROR(__xludf.DUMMYFUNCTION("""COMPUTED_VALUE"""),1.5)</f>
        <v>1.5</v>
      </c>
      <c r="H6513" s="3">
        <f>IFERROR(__xludf.DUMMYFUNCTION("""COMPUTED_VALUE"""),2.0)</f>
        <v>2</v>
      </c>
      <c r="I6513" s="4">
        <f>IFERROR(__xludf.DUMMYFUNCTION("""COMPUTED_VALUE"""),0.75)</f>
        <v>0.75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IFERROR(__xludf.DUMMYFUNCTION("""COMPUTED_VALUE"""),3.0)</f>
        <v>3</v>
      </c>
      <c r="H6514" s="3">
        <f>IFERROR(__xludf.DUMMYFUNCTION("""COMPUTED_VALUE"""),3.5)</f>
        <v>3.5</v>
      </c>
      <c r="I6514" s="4">
        <f>IFERROR(__xludf.DUMMYFUNCTION("""COMPUTED_VALUE"""),0.8571428571428571)</f>
        <v>0.8571428571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>
        <f>IFERROR(__xludf.DUMMYFUNCTION("""COMPUTED_VALUE"""),2.03)</f>
        <v>2.03</v>
      </c>
      <c r="H6515" s="3">
        <f>IFERROR(__xludf.DUMMYFUNCTION("""COMPUTED_VALUE"""),5.029999999999999)</f>
        <v>5.03</v>
      </c>
      <c r="I6515" s="4">
        <f>IFERROR(__xludf.DUMMYFUNCTION("""COMPUTED_VALUE"""),0.40357852882703776)</f>
        <v>0.4035785288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>
        <f>IFERROR(__xludf.DUMMYFUNCTION("""COMPUTED_VALUE"""),0.5)</f>
        <v>0.5</v>
      </c>
      <c r="H6516" s="3">
        <f>IFERROR(__xludf.DUMMYFUNCTION("""COMPUTED_VALUE"""),0.5)</f>
        <v>0.5</v>
      </c>
      <c r="I6516" s="4">
        <f>IFERROR(__xludf.DUMMYFUNCTION("""COMPUTED_VALUE"""),1.0)</f>
        <v>1</v>
      </c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IFERROR(__xludf.DUMMYFUNCTION("""COMPUTED_VALUE"""),"Vinz Lazaro")</f>
        <v>Vinz Lazaro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/>
      <c r="G6519" s="1">
        <f>IFERROR(__xludf.DUMMYFUNCTION("""COMPUTED_VALUE"""),3.0)</f>
        <v>3</v>
      </c>
      <c r="H6519" s="3">
        <f>IFERROR(__xludf.DUMMYFUNCTION("""COMPUTED_VALUE"""),3.0)</f>
        <v>3</v>
      </c>
      <c r="I6519" s="4">
        <f>IFERROR(__xludf.DUMMYFUNCTION("""COMPUTED_VALUE"""),1.0)</f>
        <v>1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/>
      <c r="G6520" s="1">
        <f>IFERROR(__xludf.DUMMYFUNCTION("""COMPUTED_VALUE"""),0.33)</f>
        <v>0.33</v>
      </c>
      <c r="H6520" s="3">
        <f>IFERROR(__xludf.DUMMYFUNCTION("""COMPUTED_VALUE"""),0.33)</f>
        <v>0.33</v>
      </c>
      <c r="I6520" s="4">
        <f>IFERROR(__xludf.DUMMYFUNCTION("""COMPUTED_VALUE"""),1.0)</f>
        <v>1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/>
      <c r="G6521" s="1">
        <f>IFERROR(__xludf.DUMMYFUNCTION("""COMPUTED_VALUE"""),5.67)</f>
        <v>5.67</v>
      </c>
      <c r="H6521" s="3">
        <f>IFERROR(__xludf.DUMMYFUNCTION("""COMPUTED_VALUE"""),5.67)</f>
        <v>5.67</v>
      </c>
      <c r="I6521" s="4">
        <f>IFERROR(__xludf.DUMMYFUNCTION("""COMPUTED_VALUE"""),1.0)</f>
        <v>1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/>
      <c r="G6522" s="1"/>
      <c r="H6522" s="3">
        <f>IFERROR(__xludf.DUMMYFUNCTION("""COMPUTED_VALUE"""),0.0)</f>
        <v>0</v>
      </c>
      <c r="I6522" s="4"/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>
        <f>IFERROR(__xludf.DUMMYFUNCTION("""COMPUTED_VALUE"""),1.0)</f>
        <v>1</v>
      </c>
      <c r="H6523" s="3">
        <f>IFERROR(__xludf.DUMMYFUNCTION("""COMPUTED_VALUE"""),1.0)</f>
        <v>1</v>
      </c>
      <c r="I6523" s="4">
        <f>IFERROR(__xludf.DUMMYFUNCTION("""COMPUTED_VALUE"""),1.0)</f>
        <v>1</v>
      </c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>
        <f>IFERROR(__xludf.DUMMYFUNCTION("""COMPUTED_VALUE"""),1.75)</f>
        <v>1.75</v>
      </c>
      <c r="H6524" s="3">
        <f>IFERROR(__xludf.DUMMYFUNCTION("""COMPUTED_VALUE"""),1.75)</f>
        <v>1.75</v>
      </c>
      <c r="I6524" s="4">
        <f>IFERROR(__xludf.DUMMYFUNCTION("""COMPUTED_VALUE"""),1.0)</f>
        <v>1</v>
      </c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IFERROR(__xludf.DUMMYFUNCTION("""COMPUTED_VALUE"""),7.33)</f>
        <v>7.33</v>
      </c>
      <c r="H6527" s="3">
        <f>IFERROR(__xludf.DUMMYFUNCTION("""COMPUTED_VALUE"""),7.33)</f>
        <v>7.33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/>
      <c r="G6529" s="1">
        <f>IFERROR(__xludf.DUMMYFUNCTION("""COMPUTED_VALUE"""),3.0)</f>
        <v>3</v>
      </c>
      <c r="H6529" s="3">
        <f>IFERROR(__xludf.DUMMYFUNCTION("""COMPUTED_VALUE"""),3.0)</f>
        <v>3</v>
      </c>
      <c r="I6529" s="4">
        <f>IFERROR(__xludf.DUMMYFUNCTION("""COMPUTED_VALUE"""),1.0)</f>
        <v>1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>
        <f>IFERROR(__xludf.DUMMYFUNCTION("""COMPUTED_VALUE"""),1.5)</f>
        <v>1.5</v>
      </c>
      <c r="H6530" s="3">
        <f>IFERROR(__xludf.DUMMYFUNCTION("""COMPUTED_VALUE"""),2.0)</f>
        <v>2</v>
      </c>
      <c r="I6530" s="4">
        <f>IFERROR(__xludf.DUMMYFUNCTION("""COMPUTED_VALUE"""),0.75)</f>
        <v>0.75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>
        <f>IFERROR(__xludf.DUMMYFUNCTION("""COMPUTED_VALUE"""),1.0)</f>
        <v>1</v>
      </c>
      <c r="H6531" s="3">
        <f>IFERROR(__xludf.DUMMYFUNCTION("""COMPUTED_VALUE"""),1.0)</f>
        <v>1</v>
      </c>
      <c r="I6531" s="4">
        <f>IFERROR(__xludf.DUMMYFUNCTION("""COMPUTED_VALUE"""),1.0)</f>
        <v>1</v>
      </c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IFERROR(__xludf.DUMMYFUNCTION("""COMPUTED_VALUE"""),2.0)</f>
        <v>2</v>
      </c>
      <c r="H6532" s="3">
        <f>IFERROR(__xludf.DUMMYFUNCTION("""COMPUTED_VALUE"""),2.0)</f>
        <v>2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>
        <f>IFERROR(__xludf.DUMMYFUNCTION("""COMPUTED_VALUE"""),1.5)</f>
        <v>1.5</v>
      </c>
      <c r="H6533" s="3">
        <f>IFERROR(__xludf.DUMMYFUNCTION("""COMPUTED_VALUE"""),1.5)</f>
        <v>1.5</v>
      </c>
      <c r="I6533" s="4">
        <f>IFERROR(__xludf.DUMMYFUNCTION("""COMPUTED_VALUE"""),1.0)</f>
        <v>1</v>
      </c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IFERROR(__xludf.DUMMYFUNCTION("""COMPUTED_VALUE"""),"Admin Support")</f>
        <v>Admin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/>
      <c r="G6534" s="1">
        <f>IFERROR(__xludf.DUMMYFUNCTION("""COMPUTED_VALUE"""),10.42)</f>
        <v>10.42</v>
      </c>
      <c r="H6534" s="3">
        <f>IFERROR(__xludf.DUMMYFUNCTION("""COMPUTED_VALUE"""),10.42)</f>
        <v>10.42</v>
      </c>
      <c r="I6534" s="4">
        <f>IFERROR(__xludf.DUMMYFUNCTION("""COMPUTED_VALUE"""),1.0)</f>
        <v>1</v>
      </c>
      <c r="J6534" s="1" t="str">
        <f>IFERROR(__xludf.DUMMYFUNCTION("""COMPUTED_VALUE"""),"AL Suarez")</f>
        <v>AL Suarez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>
        <f>IFERROR(__xludf.DUMMYFUNCTION("""COMPUTED_VALUE"""),1.0)</f>
        <v>1</v>
      </c>
      <c r="H6535" s="3">
        <f>IFERROR(__xludf.DUMMYFUNCTION("""COMPUTED_VALUE"""),5.0)</f>
        <v>5</v>
      </c>
      <c r="I6535" s="4">
        <f>IFERROR(__xludf.DUMMYFUNCTION("""COMPUTED_VALUE"""),0.2)</f>
        <v>0.2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>
        <f>IFERROR(__xludf.DUMMYFUNCTION("""COMPUTED_VALUE"""),1.0)</f>
        <v>1</v>
      </c>
      <c r="H6536" s="3">
        <f>IFERROR(__xludf.DUMMYFUNCTION("""COMPUTED_VALUE"""),1.0)</f>
        <v>1</v>
      </c>
      <c r="I6536" s="4">
        <f>IFERROR(__xludf.DUMMYFUNCTION("""COMPUTED_VALUE"""),1.0)</f>
        <v>1</v>
      </c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IFERROR(__xludf.DUMMYFUNCTION("""COMPUTED_VALUE"""),"Admin Support")</f>
        <v>Admin Support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IFERROR(__xludf.DUMMYFUNCTION("""COMPUTED_VALUE"""),"Karla Mananghaya")</f>
        <v>Karla Mananghaya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>
        <f>IFERROR(__xludf.DUMMYFUNCTION("""COMPUTED_VALUE"""),1.67)</f>
        <v>1.67</v>
      </c>
      <c r="H6538" s="3">
        <f>IFERROR(__xludf.DUMMYFUNCTION("""COMPUTED_VALUE"""),1.67)</f>
        <v>1.67</v>
      </c>
      <c r="I6538" s="4">
        <f>IFERROR(__xludf.DUMMYFUNCTION("""COMPUTED_VALUE"""),1.0)</f>
        <v>1</v>
      </c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/>
      <c r="G6541" s="1">
        <f>IFERROR(__xludf.DUMMYFUNCTION("""COMPUTED_VALUE"""),0.67)</f>
        <v>0.67</v>
      </c>
      <c r="H6541" s="3">
        <f>IFERROR(__xludf.DUMMYFUNCTION("""COMPUTED_VALUE"""),0.67)</f>
        <v>0.67</v>
      </c>
      <c r="I6541" s="4">
        <f>IFERROR(__xludf.DUMMYFUNCTION("""COMPUTED_VALUE"""),1.0)</f>
        <v>1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/>
      <c r="G6542" s="1"/>
      <c r="H6542" s="3">
        <f>IFERROR(__xludf.DUMMYFUNCTION("""COMPUTED_VALUE"""),0.0)</f>
        <v>0</v>
      </c>
      <c r="I6542" s="4"/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IFERROR(__xludf.DUMMYFUNCTION("""COMPUTED_VALUE"""),8.5)</f>
        <v>8.5</v>
      </c>
      <c r="H6543" s="3">
        <f>IFERROR(__xludf.DUMMYFUNCTION("""COMPUTED_VALUE"""),8.5)</f>
        <v>8.5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/>
      <c r="G6544" s="1"/>
      <c r="H6544" s="3">
        <f>IFERROR(__xludf.DUMMYFUNCTION("""COMPUTED_VALUE"""),0.0)</f>
        <v>0</v>
      </c>
      <c r="I6544" s="4"/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>
        <f>IFERROR(__xludf.DUMMYFUNCTION("""COMPUTED_VALUE"""),0.5)</f>
        <v>0.5</v>
      </c>
      <c r="H6545" s="3">
        <f>IFERROR(__xludf.DUMMYFUNCTION("""COMPUTED_VALUE"""),0.5)</f>
        <v>0.5</v>
      </c>
      <c r="I6545" s="4">
        <f>IFERROR(__xludf.DUMMYFUNCTION("""COMPUTED_VALUE"""),1.0)</f>
        <v>1</v>
      </c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/>
      <c r="G6546" s="1"/>
      <c r="H6546" s="3">
        <f>IFERROR(__xludf.DUMMYFUNCTION("""COMPUTED_VALUE"""),0.0)</f>
        <v>0</v>
      </c>
      <c r="I6546" s="4"/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>
        <f>IFERROR(__xludf.DUMMYFUNCTION("""COMPUTED_VALUE"""),0.67)</f>
        <v>0.67</v>
      </c>
      <c r="H6547" s="3">
        <f>IFERROR(__xludf.DUMMYFUNCTION("""COMPUTED_VALUE"""),1.17)</f>
        <v>1.17</v>
      </c>
      <c r="I6547" s="4">
        <f>IFERROR(__xludf.DUMMYFUNCTION("""COMPUTED_VALUE"""),0.5726495726495727)</f>
        <v>0.5726495726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/>
      <c r="G6548" s="1"/>
      <c r="H6548" s="3">
        <f>IFERROR(__xludf.DUMMYFUNCTION("""COMPUTED_VALUE"""),0.0)</f>
        <v>0</v>
      </c>
      <c r="I6548" s="4"/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IFERROR(__xludf.DUMMYFUNCTION("""COMPUTED_VALUE"""),0.83)</f>
        <v>0.83</v>
      </c>
      <c r="H6549" s="3">
        <f>IFERROR(__xludf.DUMMYFUNCTION("""COMPUTED_VALUE"""),0.83)</f>
        <v>0.83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>
        <f>IFERROR(__xludf.DUMMYFUNCTION("""COMPUTED_VALUE"""),1.0)</f>
        <v>1</v>
      </c>
      <c r="H6553" s="3">
        <f>IFERROR(__xludf.DUMMYFUNCTION("""COMPUTED_VALUE"""),1.5)</f>
        <v>1.5</v>
      </c>
      <c r="I6553" s="4">
        <f>IFERROR(__xludf.DUMMYFUNCTION("""COMPUTED_VALUE"""),0.6666666666666666)</f>
        <v>0.6666666667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>
        <f>IFERROR(__xludf.DUMMYFUNCTION("""COMPUTED_VALUE"""),1.0)</f>
        <v>1</v>
      </c>
      <c r="H6554" s="3">
        <f>IFERROR(__xludf.DUMMYFUNCTION("""COMPUTED_VALUE"""),1.0)</f>
        <v>1</v>
      </c>
      <c r="I6554" s="4">
        <f>IFERROR(__xludf.DUMMYFUNCTION("""COMPUTED_VALUE"""),1.0)</f>
        <v>1</v>
      </c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>
        <f>IFERROR(__xludf.DUMMYFUNCTION("""COMPUTED_VALUE"""),2.05)</f>
        <v>2.05</v>
      </c>
      <c r="H6555" s="3">
        <f>IFERROR(__xludf.DUMMYFUNCTION("""COMPUTED_VALUE"""),2.05)</f>
        <v>2.05</v>
      </c>
      <c r="I6555" s="4">
        <f>IFERROR(__xludf.DUMMYFUNCTION("""COMPUTED_VALUE"""),1.0)</f>
        <v>1</v>
      </c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IFERROR(__xludf.DUMMYFUNCTION("""COMPUTED_VALUE"""),"Admin Support")</f>
        <v>Admin Support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IFERROR(__xludf.DUMMYFUNCTION("""COMPUTED_VALUE"""),"Karla Mananghaya")</f>
        <v>Karla Mananghaya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>
        <f>IFERROR(__xludf.DUMMYFUNCTION("""COMPUTED_VALUE"""),1.67)</f>
        <v>1.67</v>
      </c>
      <c r="H6558" s="3">
        <f>IFERROR(__xludf.DUMMYFUNCTION("""COMPUTED_VALUE"""),1.67)</f>
        <v>1.67</v>
      </c>
      <c r="I6558" s="4">
        <f>IFERROR(__xludf.DUMMYFUNCTION("""COMPUTED_VALUE"""),1.0)</f>
        <v>1</v>
      </c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>
        <f>IFERROR(__xludf.DUMMYFUNCTION("""COMPUTED_VALUE"""),1.0)</f>
        <v>1</v>
      </c>
      <c r="H6561" s="3">
        <f>IFERROR(__xludf.DUMMYFUNCTION("""COMPUTED_VALUE"""),1.0)</f>
        <v>1</v>
      </c>
      <c r="I6561" s="4">
        <f>IFERROR(__xludf.DUMMYFUNCTION("""COMPUTED_VALUE"""),1.0)</f>
        <v>1</v>
      </c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/>
      <c r="G6562" s="1">
        <f>IFERROR(__xludf.DUMMYFUNCTION("""COMPUTED_VALUE"""),1.0)</f>
        <v>1</v>
      </c>
      <c r="H6562" s="3">
        <f>IFERROR(__xludf.DUMMYFUNCTION("""COMPUTED_VALUE"""),1.0)</f>
        <v>1</v>
      </c>
      <c r="I6562" s="4">
        <f>IFERROR(__xludf.DUMMYFUNCTION("""COMPUTED_VALUE"""),1.0)</f>
        <v>1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>
        <f>IFERROR(__xludf.DUMMYFUNCTION("""COMPUTED_VALUE"""),1.0)</f>
        <v>1</v>
      </c>
      <c r="H6564" s="3">
        <f>IFERROR(__xludf.DUMMYFUNCTION("""COMPUTED_VALUE"""),1.0)</f>
        <v>1</v>
      </c>
      <c r="I6564" s="4">
        <f>IFERROR(__xludf.DUMMYFUNCTION("""COMPUTED_VALUE"""),1.0)</f>
        <v>1</v>
      </c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>
        <f>IFERROR(__xludf.DUMMYFUNCTION("""COMPUTED_VALUE"""),0.5)</f>
        <v>0.5</v>
      </c>
      <c r="H6565" s="3">
        <f>IFERROR(__xludf.DUMMYFUNCTION("""COMPUTED_VALUE"""),0.5)</f>
        <v>0.5</v>
      </c>
      <c r="I6565" s="4">
        <f>IFERROR(__xludf.DUMMYFUNCTION("""COMPUTED_VALUE"""),1.0)</f>
        <v>1</v>
      </c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IFERROR(__xludf.DUMMYFUNCTION("""COMPUTED_VALUE"""),4.0)</f>
        <v>4</v>
      </c>
      <c r="H6569" s="3">
        <f>IFERROR(__xludf.DUMMYFUNCTION("""COMPUTED_VALUE"""),4.0)</f>
        <v>4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/>
      <c r="G6572" s="1"/>
      <c r="H6572" s="3">
        <f>IFERROR(__xludf.DUMMYFUNCTION("""COMPUTED_VALUE"""),0.0)</f>
        <v>0</v>
      </c>
      <c r="I6572" s="4"/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IFERROR(__xludf.DUMMYFUNCTION("""COMPUTED_VALUE"""),3.0)</f>
        <v>3</v>
      </c>
      <c r="G6573" s="1"/>
      <c r="H6573" s="3">
        <f>IFERROR(__xludf.DUMMYFUNCTION("""COMPUTED_VALUE"""),3.0)</f>
        <v>3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>
        <f>IFERROR(__xludf.DUMMYFUNCTION("""COMPUTED_VALUE"""),1.0)</f>
        <v>1</v>
      </c>
      <c r="H6574" s="3">
        <f>IFERROR(__xludf.DUMMYFUNCTION("""COMPUTED_VALUE"""),1.5)</f>
        <v>1.5</v>
      </c>
      <c r="I6574" s="4">
        <f>IFERROR(__xludf.DUMMYFUNCTION("""COMPUTED_VALUE"""),0.6666666666666666)</f>
        <v>0.6666666667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>
        <f>IFERROR(__xludf.DUMMYFUNCTION("""COMPUTED_VALUE"""),1.0)</f>
        <v>1</v>
      </c>
      <c r="H6575" s="3">
        <f>IFERROR(__xludf.DUMMYFUNCTION("""COMPUTED_VALUE"""),1.0)</f>
        <v>1</v>
      </c>
      <c r="I6575" s="4">
        <f>IFERROR(__xludf.DUMMYFUNCTION("""COMPUTED_VALUE"""),1.0)</f>
        <v>1</v>
      </c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/>
      <c r="G6576" s="1"/>
      <c r="H6576" s="3">
        <f>IFERROR(__xludf.DUMMYFUNCTION("""COMPUTED_VALUE"""),0.0)</f>
        <v>0</v>
      </c>
      <c r="I6576" s="4"/>
      <c r="J6576" s="1" t="str">
        <f>IFERROR(__xludf.DUMMYFUNCTION("""COMPUTED_VALUE"""),"Vinz Lazaro")</f>
        <v>Vinz Lazaro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IFERROR(__xludf.DUMMYFUNCTION("""COMPUTED_VALUE"""),3.0)</f>
        <v>3</v>
      </c>
      <c r="G6577" s="1">
        <f>IFERROR(__xludf.DUMMYFUNCTION("""COMPUTED_VALUE"""),1.0)</f>
        <v>1</v>
      </c>
      <c r="H6577" s="3">
        <f>IFERROR(__xludf.DUMMYFUNCTION("""COMPUTED_VALUE"""),4.0)</f>
        <v>4</v>
      </c>
      <c r="I6577" s="4">
        <f>IFERROR(__xludf.DUMMYFUNCTION("""COMPUTED_VALUE"""),0.25)</f>
        <v>0.25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/>
      <c r="G6578" s="1"/>
      <c r="H6578" s="3">
        <f>IFERROR(__xludf.DUMMYFUNCTION("""COMPUTED_VALUE"""),0.0)</f>
        <v>0</v>
      </c>
      <c r="I6578" s="4"/>
      <c r="J6578" s="1" t="str">
        <f>IFERROR(__xludf.DUMMYFUNCTION("""COMPUTED_VALUE"""),"Vinz Lazaro")</f>
        <v>Vinz Lazaro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IFERROR(__xludf.DUMMYFUNCTION("""COMPUTED_VALUE"""),3.0)</f>
        <v>3</v>
      </c>
      <c r="G6579" s="1"/>
      <c r="H6579" s="3">
        <f>IFERROR(__xludf.DUMMYFUNCTION("""COMPUTED_VALUE"""),3.0)</f>
        <v>3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/>
      <c r="G6581" s="1">
        <f>IFERROR(__xludf.DUMMYFUNCTION("""COMPUTED_VALUE"""),1.5)</f>
        <v>1.5</v>
      </c>
      <c r="H6581" s="3">
        <f>IFERROR(__xludf.DUMMYFUNCTION("""COMPUTED_VALUE"""),1.5)</f>
        <v>1.5</v>
      </c>
      <c r="I6581" s="4">
        <f>IFERROR(__xludf.DUMMYFUNCTION("""COMPUTED_VALUE"""),1.0)</f>
        <v>1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/>
      <c r="G6583" s="1"/>
      <c r="H6583" s="3">
        <f>IFERROR(__xludf.DUMMYFUNCTION("""COMPUTED_VALUE"""),0.0)</f>
        <v>0</v>
      </c>
      <c r="I6583" s="4"/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IFERROR(__xludf.DUMMYFUNCTION("""COMPUTED_VALUE"""),4.0)</f>
        <v>4</v>
      </c>
      <c r="H6584" s="3">
        <f>IFERROR(__xludf.DUMMYFUNCTION("""COMPUTED_VALUE"""),4.0)</f>
        <v>4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/>
      <c r="G6586" s="1"/>
      <c r="H6586" s="3">
        <f>IFERROR(__xludf.DUMMYFUNCTION("""COMPUTED_VALUE"""),0.0)</f>
        <v>0</v>
      </c>
      <c r="I6586" s="4"/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>
        <f>IFERROR(__xludf.DUMMYFUNCTION("""COMPUTED_VALUE"""),0.5)</f>
        <v>0.5</v>
      </c>
      <c r="H6587" s="3">
        <f>IFERROR(__xludf.DUMMYFUNCTION("""COMPUTED_VALUE"""),0.5)</f>
        <v>0.5</v>
      </c>
      <c r="I6587" s="4">
        <f>IFERROR(__xludf.DUMMYFUNCTION("""COMPUTED_VALUE"""),1.0)</f>
        <v>1</v>
      </c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/>
      <c r="G6588" s="1">
        <f>IFERROR(__xludf.DUMMYFUNCTION("""COMPUTED_VALUE"""),0.5)</f>
        <v>0.5</v>
      </c>
      <c r="H6588" s="3">
        <f>IFERROR(__xludf.DUMMYFUNCTION("""COMPUTED_VALUE"""),0.5)</f>
        <v>0.5</v>
      </c>
      <c r="I6588" s="4">
        <f>IFERROR(__xludf.DUMMYFUNCTION("""COMPUTED_VALUE"""),1.0)</f>
        <v>1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/>
      <c r="G6591" s="1"/>
      <c r="H6591" s="3">
        <f>IFERROR(__xludf.DUMMYFUNCTION("""COMPUTED_VALUE"""),0.0)</f>
        <v>0</v>
      </c>
      <c r="I6591" s="4"/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>
        <f>IFERROR(__xludf.DUMMYFUNCTION("""COMPUTED_VALUE"""),0.5)</f>
        <v>0.5</v>
      </c>
      <c r="H6593" s="3">
        <f>IFERROR(__xludf.DUMMYFUNCTION("""COMPUTED_VALUE"""),0.5)</f>
        <v>0.5</v>
      </c>
      <c r="I6593" s="4">
        <f>IFERROR(__xludf.DUMMYFUNCTION("""COMPUTED_VALUE"""),1.0)</f>
        <v>1</v>
      </c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>
        <f>IFERROR(__xludf.DUMMYFUNCTION("""COMPUTED_VALUE"""),1.0)</f>
        <v>1</v>
      </c>
      <c r="H6594" s="3">
        <f>IFERROR(__xludf.DUMMYFUNCTION("""COMPUTED_VALUE"""),1.0)</f>
        <v>1</v>
      </c>
      <c r="I6594" s="4">
        <f>IFERROR(__xludf.DUMMYFUNCTION("""COMPUTED_VALUE"""),1.0)</f>
        <v>1</v>
      </c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>
        <f>IFERROR(__xludf.DUMMYFUNCTION("""COMPUTED_VALUE"""),0.5)</f>
        <v>0.5</v>
      </c>
      <c r="H6595" s="3">
        <f>IFERROR(__xludf.DUMMYFUNCTION("""COMPUTED_VALUE"""),0.5)</f>
        <v>0.5</v>
      </c>
      <c r="I6595" s="4">
        <f>IFERROR(__xludf.DUMMYFUNCTION("""COMPUTED_VALUE"""),1.0)</f>
        <v>1</v>
      </c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/>
      <c r="G6596" s="1"/>
      <c r="H6596" s="3">
        <f>IFERROR(__xludf.DUMMYFUNCTION("""COMPUTED_VALUE"""),0.0)</f>
        <v>0</v>
      </c>
      <c r="I6596" s="4"/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IFERROR(__xludf.DUMMYFUNCTION("""COMPUTED_VALUE"""),"High Sensitivity Support")</f>
        <v>High Sensitivity Support</v>
      </c>
      <c r="D6599" s="1" t="str">
        <f>IFERROR(__xludf.DUMMYFUNCTION("""COMPUTED_VALUE"""),"c7c30477-846d-4f22-bc04-2aab19385d44")</f>
        <v>c7c30477-846d-4f22-bc04-2aab19385d44</v>
      </c>
      <c r="E6599" s="1">
        <f>IFERROR(__xludf.DUMMYFUNCTION("""COMPUTED_VALUE"""),5.359149433359E12)</f>
        <v>5359149433359</v>
      </c>
      <c r="F6599" s="1"/>
      <c r="G6599" s="1"/>
      <c r="H6599" s="3">
        <f>IFERROR(__xludf.DUMMYFUNCTION("""COMPUTED_VALUE"""),0.0)</f>
        <v>0</v>
      </c>
      <c r="I6599" s="4"/>
      <c r="J6599" s="1" t="str">
        <f>IFERROR(__xludf.DUMMYFUNCTION("""COMPUTED_VALUE"""),"Xandy Azarcon")</f>
        <v>Xandy Azarcon</v>
      </c>
      <c r="K6599" s="1" t="str">
        <f>IFERROR(__xludf.DUMMYFUNCTION("""COMPUTED_VALUE"""),"#N/A")</f>
        <v>#N/A</v>
      </c>
      <c r="L6599" s="1"/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IFERROR(__xludf.DUMMYFUNCTION("""COMPUTED_VALUE"""),"1b08e244-a5e3-48ac-9d85-880d42b6e733")</f>
        <v>1b08e244-a5e3-48ac-9d85-880d42b6e733</v>
      </c>
      <c r="E6600" s="1">
        <f>IFERROR(__xludf.DUMMYFUNCTION("""COMPUTED_VALUE"""),3.61744094696E11)</f>
        <v>361744094696</v>
      </c>
      <c r="F6600" s="1"/>
      <c r="G6600" s="1"/>
      <c r="H6600" s="3">
        <f>IFERROR(__xludf.DUMMYFUNCTION("""COMPUTED_VALUE"""),0.0)</f>
        <v>0</v>
      </c>
      <c r="I6600" s="4"/>
      <c r="J6600" s="1" t="str">
        <f>IFERROR(__xludf.DUMMYFUNCTION("""COMPUTED_VALUE"""),"Vinz Lazaro")</f>
        <v>Vinz Lazaro</v>
      </c>
      <c r="K6600" s="1" t="str">
        <f>IFERROR(__xludf.DUMMYFUNCTION("""COMPUTED_VALUE"""),"Advanced Product Support")</f>
        <v>Advanced Product Support</v>
      </c>
      <c r="L6600" s="1" t="str">
        <f>IFERROR(__xludf.DUMMYFUNCTION("""COMPUTED_VALUE"""),"CPS Advanced Product Support (APS)")</f>
        <v>CPS Advanced Product Support (APS)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IFERROR(__xludf.DUMMYFUNCTION("""COMPUTED_VALUE"""),"Core Product Support")</f>
        <v>Core Product Support</v>
      </c>
      <c r="D6601" s="1" t="str">
        <f>IFERROR(__xludf.DUMMYFUNCTION("""COMPUTED_VALUE"""),"fc9b38e6-bcda-447e-bc09-efbb10174ad9")</f>
        <v>fc9b38e6-bcda-447e-bc09-efbb10174ad9</v>
      </c>
      <c r="E6601" s="1">
        <f>IFERROR(__xludf.DUMMYFUNCTION("""COMPUTED_VALUE"""),3.61733222835E11)</f>
        <v>361733222835</v>
      </c>
      <c r="F6601" s="1">
        <f>IFERROR(__xludf.DUMMYFUNCTION("""COMPUTED_VALUE"""),0.5)</f>
        <v>0.5</v>
      </c>
      <c r="G6601" s="1">
        <f>IFERROR(__xludf.DUMMYFUNCTION("""COMPUTED_VALUE"""),3.5)</f>
        <v>3.5</v>
      </c>
      <c r="H6601" s="3">
        <f>IFERROR(__xludf.DUMMYFUNCTION("""COMPUTED_VALUE"""),4.0)</f>
        <v>4</v>
      </c>
      <c r="I6601" s="4">
        <f>IFERROR(__xludf.DUMMYFUNCTION("""COMPUTED_VALUE"""),0.875)</f>
        <v>0.875</v>
      </c>
      <c r="J6601" s="1" t="str">
        <f>IFERROR(__xludf.DUMMYFUNCTION("""COMPUTED_VALUE"""),"Ellaine Estayo")</f>
        <v>Ellaine Estayo</v>
      </c>
      <c r="K6601" s="1" t="str">
        <f>IFERROR(__xludf.DUMMYFUNCTION("""COMPUTED_VALUE"""),"Core Product Support Escalation Team")</f>
        <v>Core Product Support Escalation Team</v>
      </c>
      <c r="L6601" s="1" t="str">
        <f>IFERROR(__xludf.DUMMYFUNCTION("""COMPUTED_VALUE"""),"CPS Core Product Support Escalations (CPSET)")</f>
        <v>CPS Core Product Support Escalations (CPSET)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IFERROR(__xludf.DUMMYFUNCTION("""COMPUTED_VALUE"""),"High Sensitivity Support")</f>
        <v>High Sensitivity Support</v>
      </c>
      <c r="D6602" s="1" t="str">
        <f>IFERROR(__xludf.DUMMYFUNCTION("""COMPUTED_VALUE"""),"42147b58-e8e5-4766-a41a-8d98cf8a5872")</f>
        <v>42147b58-e8e5-4766-a41a-8d98cf8a5872</v>
      </c>
      <c r="E6602" s="1">
        <f>IFERROR(__xludf.DUMMYFUNCTION("""COMPUTED_VALUE"""),5.359185373455E12)</f>
        <v>5359185373455</v>
      </c>
      <c r="F6602" s="1"/>
      <c r="G6602" s="1">
        <f>IFERROR(__xludf.DUMMYFUNCTION("""COMPUTED_VALUE"""),1.0)</f>
        <v>1</v>
      </c>
      <c r="H6602" s="3">
        <f>IFERROR(__xludf.DUMMYFUNCTION("""COMPUTED_VALUE"""),1.0)</f>
        <v>1</v>
      </c>
      <c r="I6602" s="4">
        <f>IFERROR(__xludf.DUMMYFUNCTION("""COMPUTED_VALUE"""),1.0)</f>
        <v>1</v>
      </c>
      <c r="J6602" s="1" t="str">
        <f>IFERROR(__xludf.DUMMYFUNCTION("""COMPUTED_VALUE"""),"Rossheen Pura")</f>
        <v>Rossheen Pura</v>
      </c>
      <c r="K6602" s="1" t="str">
        <f>IFERROR(__xludf.DUMMYFUNCTION("""COMPUTED_VALUE"""),"High Sensitivity Support PH")</f>
        <v>High Sensitivity Support PH</v>
      </c>
      <c r="L6602" s="1" t="str">
        <f>IFERROR(__xludf.DUMMYFUNCTION("""COMPUTED_VALUE"""),"HSS High Sensitivity Support PH - CHT")</f>
        <v>HSS High Sensitivity Support PH - CHT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IFERROR(__xludf.DUMMYFUNCTION("""COMPUTED_VALUE"""),"b70eebc6-c7c9-48bc-a876-82736f994fb9")</f>
        <v>b70eebc6-c7c9-48bc-a876-82736f994fb9</v>
      </c>
      <c r="E6603" s="1">
        <f>IFERROR(__xludf.DUMMYFUNCTION("""COMPUTED_VALUE"""),1.1401980902415E13)</f>
        <v>11401980902415</v>
      </c>
      <c r="F6603" s="1"/>
      <c r="G6603" s="1">
        <f>IFERROR(__xludf.DUMMYFUNCTION("""COMPUTED_VALUE"""),0.75)</f>
        <v>0.75</v>
      </c>
      <c r="H6603" s="3">
        <f>IFERROR(__xludf.DUMMYFUNCTION("""COMPUTED_VALUE"""),0.75)</f>
        <v>0.75</v>
      </c>
      <c r="I6603" s="4">
        <f>IFERROR(__xludf.DUMMYFUNCTION("""COMPUTED_VALUE"""),1.0)</f>
        <v>1</v>
      </c>
      <c r="J6603" s="1" t="str">
        <f>IFERROR(__xludf.DUMMYFUNCTION("""COMPUTED_VALUE"""),"Ayza Marie Pascual")</f>
        <v>Ayza Marie Pascual</v>
      </c>
      <c r="K6603" s="1" t="str">
        <f>IFERROR(__xludf.DUMMYFUNCTION("""COMPUTED_VALUE"""),"Advanced Billing &amp; Subscriptions")</f>
        <v>Advanced Billing &amp; Subscriptions</v>
      </c>
      <c r="L6603" s="1" t="str">
        <f>IFERROR(__xludf.DUMMYFUNCTION("""COMPUTED_VALUE"""),"CPS Advanced Billing and Subscriptions (ABS)")</f>
        <v>CPS Advanced Billing and Subscriptions (ABS)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IFERROR(__xludf.DUMMYFUNCTION("""COMPUTED_VALUE"""),"9d825d2e-3519-4559-9782-f32e81d2d824")</f>
        <v>9d825d2e-3519-4559-9782-f32e81d2d824</v>
      </c>
      <c r="E6604" s="1">
        <f>IFERROR(__xludf.DUMMYFUNCTION("""COMPUTED_VALUE"""),3.61861297715E11)</f>
        <v>361861297715</v>
      </c>
      <c r="F6604" s="1"/>
      <c r="G6604" s="1">
        <f>IFERROR(__xludf.DUMMYFUNCTION("""COMPUTED_VALUE"""),0.58)</f>
        <v>0.58</v>
      </c>
      <c r="H6604" s="3">
        <f>IFERROR(__xludf.DUMMYFUNCTION("""COMPUTED_VALUE"""),0.58)</f>
        <v>0.58</v>
      </c>
      <c r="I6604" s="4">
        <f>IFERROR(__xludf.DUMMYFUNCTION("""COMPUTED_VALUE"""),1.0)</f>
        <v>1</v>
      </c>
      <c r="J6604" s="1" t="str">
        <f>IFERROR(__xludf.DUMMYFUNCTION("""COMPUTED_VALUE"""),"Jem Mondoñedo")</f>
        <v>Jem Mondoñedo</v>
      </c>
      <c r="K6604" s="1" t="str">
        <f>IFERROR(__xludf.DUMMYFUNCTION("""COMPUTED_VALUE"""),"Advanced Chat Support")</f>
        <v>Advanced Chat Support</v>
      </c>
      <c r="L6604" s="1" t="str">
        <f>IFERROR(__xludf.DUMMYFUNCTION("""COMPUTED_VALUE"""),"CPS Advanced Chat Support (ACS)")</f>
        <v>CPS Advanced Chat Support (ACS)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IFERROR(__xludf.DUMMYFUNCTION("""COMPUTED_VALUE"""),"Core Product Support")</f>
        <v>Core Product Support</v>
      </c>
      <c r="D6605" s="1" t="str">
        <f>IFERROR(__xludf.DUMMYFUNCTION("""COMPUTED_VALUE"""),"f05426fa-d3ef-48ef-9506-1b0d003468b9")</f>
        <v>f05426fa-d3ef-48ef-9506-1b0d003468b9</v>
      </c>
      <c r="E6605" s="1">
        <f>IFERROR(__xludf.DUMMYFUNCTION("""COMPUTED_VALUE"""),8.409892191631E12)</f>
        <v>8409892191631</v>
      </c>
      <c r="F6605" s="1"/>
      <c r="G6605" s="1">
        <f>IFERROR(__xludf.DUMMYFUNCTION("""COMPUTED_VALUE"""),1.0)</f>
        <v>1</v>
      </c>
      <c r="H6605" s="3">
        <f>IFERROR(__xludf.DUMMYFUNCTION("""COMPUTED_VALUE"""),1.0)</f>
        <v>1</v>
      </c>
      <c r="I6605" s="4">
        <f>IFERROR(__xludf.DUMMYFUNCTION("""COMPUTED_VALUE"""),1.0)</f>
        <v>1</v>
      </c>
      <c r="J6605" s="1" t="str">
        <f>IFERROR(__xludf.DUMMYFUNCTION("""COMPUTED_VALUE"""),"Jahmie Mae Barrameda")</f>
        <v>Jahmie Mae Barrameda</v>
      </c>
      <c r="K6605" s="1" t="str">
        <f>IFERROR(__xludf.DUMMYFUNCTION("""COMPUTED_VALUE"""),"Advanced Billing &amp; Subscriptions")</f>
        <v>Advanced Billing &amp; Subscriptions</v>
      </c>
      <c r="L6605" s="1" t="str">
        <f>IFERROR(__xludf.DUMMYFUNCTION("""COMPUTED_VALUE"""),"CPS Advanced Billing and Subscriptions (ABS)")</f>
        <v>CPS Advanced Billing and Subscriptions (ABS)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IFERROR(__xludf.DUMMYFUNCTION("""COMPUTED_VALUE"""),"Multilingual Support")</f>
        <v>Multilingual Support</v>
      </c>
      <c r="D6606" s="1" t="str">
        <f>IFERROR(__xludf.DUMMYFUNCTION("""COMPUTED_VALUE"""),"ddff770a-8bbb-4a78-9bec-f5c563c6b901")</f>
        <v>ddff770a-8bbb-4a78-9bec-f5c563c6b901</v>
      </c>
      <c r="E6606" s="1">
        <f>IFERROR(__xludf.DUMMYFUNCTION("""COMPUTED_VALUE"""),4.759846838031E12)</f>
        <v>4759846838031</v>
      </c>
      <c r="F6606" s="1"/>
      <c r="G6606" s="1"/>
      <c r="H6606" s="3">
        <f>IFERROR(__xludf.DUMMYFUNCTION("""COMPUTED_VALUE"""),0.0)</f>
        <v>0</v>
      </c>
      <c r="I6606" s="4"/>
      <c r="J6606" s="1" t="str">
        <f>IFERROR(__xludf.DUMMYFUNCTION("""COMPUTED_VALUE"""),"Arlene Maurillo")</f>
        <v>Arlene Maurillo</v>
      </c>
      <c r="K6606" s="1" t="str">
        <f>IFERROR(__xludf.DUMMYFUNCTION("""COMPUTED_VALUE"""),"PHL, Multilingual Support")</f>
        <v>PHL, Multilingual Support</v>
      </c>
      <c r="L6606" s="1" t="str">
        <f>IFERROR(__xludf.DUMMYFUNCTION("""COMPUTED_VALUE"""),"ML Portuguese Support")</f>
        <v>ML Portuguese Support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IFERROR(__xludf.DUMMYFUNCTION("""COMPUTED_VALUE"""),"50370a17-1382-4a9f-8e42-5d34af042f22")</f>
        <v>50370a17-1382-4a9f-8e42-5d34af042f22</v>
      </c>
      <c r="E6607" s="1">
        <f>IFERROR(__xludf.DUMMYFUNCTION("""COMPUTED_VALUE"""),1.1401981770511E13)</f>
        <v>11401981770511</v>
      </c>
      <c r="F6607" s="1"/>
      <c r="G6607" s="1"/>
      <c r="H6607" s="3">
        <f>IFERROR(__xludf.DUMMYFUNCTION("""COMPUTED_VALUE"""),0.0)</f>
        <v>0</v>
      </c>
      <c r="I6607" s="4"/>
      <c r="J6607" s="1" t="str">
        <f>IFERROR(__xludf.DUMMYFUNCTION("""COMPUTED_VALUE"""),"Mikhaela Decangchon")</f>
        <v>Mikhaela Decangchon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IFERROR(__xludf.DUMMYFUNCTION("""COMPUTED_VALUE"""),"6472d23f-e427-46f0-a9cb-1e9b17ddfd44")</f>
        <v>6472d23f-e427-46f0-a9cb-1e9b17ddfd44</v>
      </c>
      <c r="E6608" s="1">
        <f>IFERROR(__xludf.DUMMYFUNCTION("""COMPUTED_VALUE"""),1.0548627051023E13)</f>
        <v>10548627051023</v>
      </c>
      <c r="F6608" s="1"/>
      <c r="G6608" s="1">
        <f>IFERROR(__xludf.DUMMYFUNCTION("""COMPUTED_VALUE"""),1.0)</f>
        <v>1</v>
      </c>
      <c r="H6608" s="3">
        <f>IFERROR(__xludf.DUMMYFUNCTION("""COMPUTED_VALUE"""),1.0)</f>
        <v>1</v>
      </c>
      <c r="I6608" s="4">
        <f>IFERROR(__xludf.DUMMYFUNCTION("""COMPUTED_VALUE"""),1.0)</f>
        <v>1</v>
      </c>
      <c r="J6608" s="1" t="str">
        <f>IFERROR(__xludf.DUMMYFUNCTION("""COMPUTED_VALUE"""),"Belle Bentazal")</f>
        <v>Belle Bentazal</v>
      </c>
      <c r="K6608" s="1" t="str">
        <f>IFERROR(__xludf.DUMMYFUNCTION("""COMPUTED_VALUE"""),"Advanced Product Support")</f>
        <v>Advanced Product Support</v>
      </c>
      <c r="L6608" s="1" t="str">
        <f>IFERROR(__xludf.DUMMYFUNCTION("""COMPUTED_VALUE"""),"CPS Advanced Product Support (APS)")</f>
        <v>CPS Advanced Product Support (APS)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IFERROR(__xludf.DUMMYFUNCTION("""COMPUTED_VALUE"""),"03428ca1-a361-4015-9a9f-9609cb3ad0fe")</f>
        <v>03428ca1-a361-4015-9a9f-9609cb3ad0fe</v>
      </c>
      <c r="E6609" s="1">
        <f>IFERROR(__xludf.DUMMYFUNCTION("""COMPUTED_VALUE"""),5.047314651919E12)</f>
        <v>5047314651919</v>
      </c>
      <c r="F6609" s="1"/>
      <c r="G6609" s="1">
        <f>IFERROR(__xludf.DUMMYFUNCTION("""COMPUTED_VALUE"""),0.5)</f>
        <v>0.5</v>
      </c>
      <c r="H6609" s="3">
        <f>IFERROR(__xludf.DUMMYFUNCTION("""COMPUTED_VALUE"""),0.5)</f>
        <v>0.5</v>
      </c>
      <c r="I6609" s="4">
        <f>IFERROR(__xludf.DUMMYFUNCTION("""COMPUTED_VALUE"""),1.0)</f>
        <v>1</v>
      </c>
      <c r="J6609" s="1" t="str">
        <f>IFERROR(__xludf.DUMMYFUNCTION("""COMPUTED_VALUE"""),"Bem Launte")</f>
        <v>Bem Launte</v>
      </c>
      <c r="K6609" s="1" t="str">
        <f>IFERROR(__xludf.DUMMYFUNCTION("""COMPUTED_VALUE"""),"Core Product Support Escalation Team")</f>
        <v>Core Product Support Escalation Team</v>
      </c>
      <c r="L6609" s="1" t="str">
        <f>IFERROR(__xludf.DUMMYFUNCTION("""COMPUTED_VALUE"""),"CPS Core Product Support Escalations (CPSET)")</f>
        <v>CPS Core Product Support Escalations (CPSET)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IFERROR(__xludf.DUMMYFUNCTION("""COMPUTED_VALUE"""),"Core Product Support")</f>
        <v>Core Product Support</v>
      </c>
      <c r="D6610" s="1" t="str">
        <f>IFERROR(__xludf.DUMMYFUNCTION("""COMPUTED_VALUE"""),"eb75942b-e616-42a5-bbc5-1d6cc92843bb")</f>
        <v>eb75942b-e616-42a5-bbc5-1d6cc92843bb</v>
      </c>
      <c r="E6610" s="1">
        <f>IFERROR(__xludf.DUMMYFUNCTION("""COMPUTED_VALUE"""),7.437355919375E12)</f>
        <v>7437355919375</v>
      </c>
      <c r="F6610" s="1">
        <f>IFERROR(__xludf.DUMMYFUNCTION("""COMPUTED_VALUE"""),0.5)</f>
        <v>0.5</v>
      </c>
      <c r="G6610" s="1"/>
      <c r="H6610" s="3">
        <f>IFERROR(__xludf.DUMMYFUNCTION("""COMPUTED_VALUE"""),0.5)</f>
        <v>0.5</v>
      </c>
      <c r="I6610" s="4">
        <f>IFERROR(__xludf.DUMMYFUNCTION("""COMPUTED_VALUE"""),0.0)</f>
        <v>0</v>
      </c>
      <c r="J6610" s="1" t="str">
        <f>IFERROR(__xludf.DUMMYFUNCTION("""COMPUTED_VALUE"""),"Ana Lazaro")</f>
        <v>Ana Lazaro</v>
      </c>
      <c r="K6610" s="1" t="str">
        <f>IFERROR(__xludf.DUMMYFUNCTION("""COMPUTED_VALUE"""),"Advanced Billing &amp; Subscriptions")</f>
        <v>Advanced Billing &amp; Subscriptions</v>
      </c>
      <c r="L6610" s="1" t="str">
        <f>IFERROR(__xludf.DUMMYFUNCTION("""COMPUTED_VALUE"""),"CPS Advanced Billing and Subscriptions (ABS)")</f>
        <v>CPS Advanced Billing and Subscriptions (ABS)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IFERROR(__xludf.DUMMYFUNCTION("""COMPUTED_VALUE"""),"3f58d026-d7af-4464-8ba2-17fb4976b8ac")</f>
        <v>3f58d026-d7af-4464-8ba2-17fb4976b8ac</v>
      </c>
      <c r="E6611" s="1">
        <f>IFERROR(__xludf.DUMMYFUNCTION("""COMPUTED_VALUE"""),3.61724668516E11)</f>
        <v>361724668516</v>
      </c>
      <c r="F6611" s="1"/>
      <c r="G6611" s="1">
        <f>IFERROR(__xludf.DUMMYFUNCTION("""COMPUTED_VALUE"""),1.42)</f>
        <v>1.42</v>
      </c>
      <c r="H6611" s="3">
        <f>IFERROR(__xludf.DUMMYFUNCTION("""COMPUTED_VALUE"""),1.42)</f>
        <v>1.42</v>
      </c>
      <c r="I6611" s="4">
        <f>IFERROR(__xludf.DUMMYFUNCTION("""COMPUTED_VALUE"""),1.0)</f>
        <v>1</v>
      </c>
      <c r="J6611" s="1" t="str">
        <f>IFERROR(__xludf.DUMMYFUNCTION("""COMPUTED_VALUE"""),"Karla Mananghaya")</f>
        <v>Karla Mananghaya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IFERROR(__xludf.DUMMYFUNCTION("""COMPUTED_VALUE"""),"021b74ea-5511-4b56-9f2a-6ea9d6443caa")</f>
        <v>021b74ea-5511-4b56-9f2a-6ea9d6443caa</v>
      </c>
      <c r="E6612" s="1">
        <f>IFERROR(__xludf.DUMMYFUNCTION("""COMPUTED_VALUE"""),3.61725374416E11)</f>
        <v>361725374416</v>
      </c>
      <c r="F6612" s="1"/>
      <c r="G6612" s="1">
        <f>IFERROR(__xludf.DUMMYFUNCTION("""COMPUTED_VALUE"""),0.75)</f>
        <v>0.75</v>
      </c>
      <c r="H6612" s="3">
        <f>IFERROR(__xludf.DUMMYFUNCTION("""COMPUTED_VALUE"""),0.75)</f>
        <v>0.75</v>
      </c>
      <c r="I6612" s="4">
        <f>IFERROR(__xludf.DUMMYFUNCTION("""COMPUTED_VALUE"""),1.0)</f>
        <v>1</v>
      </c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IFERROR(__xludf.DUMMYFUNCTION("""COMPUTED_VALUE"""),"Admin Support")</f>
        <v>Admin Support</v>
      </c>
      <c r="D6613" s="1" t="str">
        <f>IFERROR(__xludf.DUMMYFUNCTION("""COMPUTED_VALUE"""),"328935f7-c639-4b8f-8512-a9641b2cf808")</f>
        <v>328935f7-c639-4b8f-8512-a9641b2cf808</v>
      </c>
      <c r="E6613" s="1">
        <f>IFERROR(__xludf.DUMMYFUNCTION("""COMPUTED_VALUE"""),3.61731648215E11)</f>
        <v>361731648215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IFERROR(__xludf.DUMMYFUNCTION("""COMPUTED_VALUE"""),"Rose Gabilan")</f>
        <v>Rose Gabilan</v>
      </c>
      <c r="K6613" s="1" t="str">
        <f>IFERROR(__xludf.DUMMYFUNCTION("""COMPUTED_VALUE"""),"Admin Support PH SSO")</f>
        <v>Admin Support PH SSO</v>
      </c>
      <c r="L6613" s="1" t="str">
        <f>IFERROR(__xludf.DUMMYFUNCTION("""COMPUTED_VALUE"""),"Admin SSO - CHT")</f>
        <v>Admin SSO - CHT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IFERROR(__xludf.DUMMYFUNCTION("""COMPUTED_VALUE"""),"157b66db-b9f4-4a3d-a00a-5cf3eefe9b58")</f>
        <v>157b66db-b9f4-4a3d-a00a-5cf3eefe9b58</v>
      </c>
      <c r="E6614" s="1">
        <f>IFERROR(__xludf.DUMMYFUNCTION("""COMPUTED_VALUE"""),3.61731791835E11)</f>
        <v>361731791835</v>
      </c>
      <c r="F6614" s="1"/>
      <c r="G6614" s="1">
        <f>IFERROR(__xludf.DUMMYFUNCTION("""COMPUTED_VALUE"""),0.33)</f>
        <v>0.33</v>
      </c>
      <c r="H6614" s="3">
        <f>IFERROR(__xludf.DUMMYFUNCTION("""COMPUTED_VALUE"""),0.33)</f>
        <v>0.33</v>
      </c>
      <c r="I6614" s="4">
        <f>IFERROR(__xludf.DUMMYFUNCTION("""COMPUTED_VALUE"""),1.0)</f>
        <v>1</v>
      </c>
      <c r="J6614" s="1" t="str">
        <f>IFERROR(__xludf.DUMMYFUNCTION("""COMPUTED_VALUE"""),"Renette Bok")</f>
        <v>Renette Bok</v>
      </c>
      <c r="K6614" s="1" t="str">
        <f>IFERROR(__xludf.DUMMYFUNCTION("""COMPUTED_VALUE"""),"Advanced Billing &amp; Subscriptions")</f>
        <v>Advanced Billing &amp; Subscriptions</v>
      </c>
      <c r="L6614" s="1" t="str">
        <f>IFERROR(__xludf.DUMMYFUNCTION("""COMPUTED_VALUE"""),"CPS Advanced Billing and Subscriptions (ABS)")</f>
        <v>CPS Advanced Billing and Subscriptions (ABS)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IFERROR(__xludf.DUMMYFUNCTION("""COMPUTED_VALUE"""),"Core Product Support")</f>
        <v>Core Product Support</v>
      </c>
      <c r="D6615" s="1" t="str">
        <f>IFERROR(__xludf.DUMMYFUNCTION("""COMPUTED_VALUE"""),"9f2b3750-482b-4498-a201-4e32c8fad021")</f>
        <v>9f2b3750-482b-4498-a201-4e32c8fad021</v>
      </c>
      <c r="E6615" s="1">
        <f>IFERROR(__xludf.DUMMYFUNCTION("""COMPUTED_VALUE"""),3.61861298275E11)</f>
        <v>361861298275</v>
      </c>
      <c r="F6615" s="1">
        <f>IFERROR(__xludf.DUMMYFUNCTION("""COMPUTED_VALUE"""),0.5)</f>
        <v>0.5</v>
      </c>
      <c r="G6615" s="1">
        <f>IFERROR(__xludf.DUMMYFUNCTION("""COMPUTED_VALUE"""),2.5)</f>
        <v>2.5</v>
      </c>
      <c r="H6615" s="3">
        <f>IFERROR(__xludf.DUMMYFUNCTION("""COMPUTED_VALUE"""),3.0)</f>
        <v>3</v>
      </c>
      <c r="I6615" s="4">
        <f>IFERROR(__xludf.DUMMYFUNCTION("""COMPUTED_VALUE"""),0.8333333333333334)</f>
        <v>0.8333333333</v>
      </c>
      <c r="J6615" s="1" t="str">
        <f>IFERROR(__xludf.DUMMYFUNCTION("""COMPUTED_VALUE"""),"Bem Launte")</f>
        <v>Bem Launte</v>
      </c>
      <c r="K6615" s="1" t="str">
        <f>IFERROR(__xludf.DUMMYFUNCTION("""COMPUTED_VALUE"""),"Core Product Support Escalation Team")</f>
        <v>Core Product Support Escalation Team</v>
      </c>
      <c r="L6615" s="1" t="str">
        <f>IFERROR(__xludf.DUMMYFUNCTION("""COMPUTED_VALUE"""),"CPS Core Product Support Escalations (CPSET)")</f>
        <v>CPS Core Product Support Escalations (CPSET)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IFERROR(__xludf.DUMMYFUNCTION("""COMPUTED_VALUE"""),"High Sensitivity Support")</f>
        <v>High Sensitivity Support</v>
      </c>
      <c r="D6616" s="1" t="str">
        <f>IFERROR(__xludf.DUMMYFUNCTION("""COMPUTED_VALUE"""),"572f7cc4-e4a6-4132-92cf-6f6ba75ee4d7")</f>
        <v>572f7cc4-e4a6-4132-92cf-6f6ba75ee4d7</v>
      </c>
      <c r="E6616" s="1">
        <f>IFERROR(__xludf.DUMMYFUNCTION("""COMPUTED_VALUE"""),5.202419220111E12)</f>
        <v>5202419220111</v>
      </c>
      <c r="F6616" s="1"/>
      <c r="G6616" s="1">
        <f>IFERROR(__xludf.DUMMYFUNCTION("""COMPUTED_VALUE"""),1.67)</f>
        <v>1.67</v>
      </c>
      <c r="H6616" s="3">
        <f>IFERROR(__xludf.DUMMYFUNCTION("""COMPUTED_VALUE"""),1.67)</f>
        <v>1.67</v>
      </c>
      <c r="I6616" s="4">
        <f>IFERROR(__xludf.DUMMYFUNCTION("""COMPUTED_VALUE"""),1.0)</f>
        <v>1</v>
      </c>
      <c r="J6616" s="1" t="str">
        <f>IFERROR(__xludf.DUMMYFUNCTION("""COMPUTED_VALUE"""),"Issi Afable")</f>
        <v>Issi Afable</v>
      </c>
      <c r="K6616" s="1" t="str">
        <f>IFERROR(__xludf.DUMMYFUNCTION("""COMPUTED_VALUE"""),"High Sensitivity Support PH")</f>
        <v>High Sensitivity Support PH</v>
      </c>
      <c r="L6616" s="1" t="str">
        <f>IFERROR(__xludf.DUMMYFUNCTION("""COMPUTED_VALUE"""),"HSS High Sensitivity Support PH - SEE")</f>
        <v>HSS High Sensitivity Support PH - SEE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IFERROR(__xludf.DUMMYFUNCTION("""COMPUTED_VALUE"""),"Segment-specific Support")</f>
        <v>Segment-specific Support</v>
      </c>
      <c r="D6617" s="1" t="str">
        <f>IFERROR(__xludf.DUMMYFUNCTION("""COMPUTED_VALUE"""),"78d3efd2-2d00-4986-b5cc-7ca6a1d3542d")</f>
        <v>78d3efd2-2d00-4986-b5cc-7ca6a1d3542d</v>
      </c>
      <c r="E6617" s="1">
        <f>IFERROR(__xludf.DUMMYFUNCTION("""COMPUTED_VALUE"""),5.566867981071E12)</f>
        <v>5566867981071</v>
      </c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IFERROR(__xludf.DUMMYFUNCTION("""COMPUTED_VALUE"""),"Tash Kelly")</f>
        <v>Tash Kelly</v>
      </c>
      <c r="K6617" s="1" t="str">
        <f>IFERROR(__xludf.DUMMYFUNCTION("""COMPUTED_VALUE"""),"Affinity Support")</f>
        <v>Affinity Support</v>
      </c>
      <c r="L6617" s="1" t="str">
        <f>IFERROR(__xludf.DUMMYFUNCTION("""COMPUTED_VALUE"""),"SSS Affinity")</f>
        <v>SSS Affinity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IFERROR(__xludf.DUMMYFUNCTION("""COMPUTED_VALUE"""),"Print Support")</f>
        <v>Print Support</v>
      </c>
      <c r="D6618" s="1" t="str">
        <f>IFERROR(__xludf.DUMMYFUNCTION("""COMPUTED_VALUE"""),"03738c45-2c9f-44bf-bb4b-58a2fe9fdf5d")</f>
        <v>03738c45-2c9f-44bf-bb4b-58a2fe9fdf5d</v>
      </c>
      <c r="E6618" s="1"/>
      <c r="F6618" s="1"/>
      <c r="G6618" s="1">
        <f>IFERROR(__xludf.DUMMYFUNCTION("""COMPUTED_VALUE"""),0.5)</f>
        <v>0.5</v>
      </c>
      <c r="H6618" s="3">
        <f>IFERROR(__xludf.DUMMYFUNCTION("""COMPUTED_VALUE"""),0.5)</f>
        <v>0.5</v>
      </c>
      <c r="I6618" s="4">
        <f>IFERROR(__xludf.DUMMYFUNCTION("""COMPUTED_VALUE"""),1.0)</f>
        <v>1</v>
      </c>
      <c r="J6618" s="1" t="str">
        <f>IFERROR(__xludf.DUMMYFUNCTION("""COMPUTED_VALUE"""),"Aliza Dote")</f>
        <v>Aliza Dote</v>
      </c>
      <c r="K6618" s="1" t="str">
        <f>IFERROR(__xludf.DUMMYFUNCTION("""COMPUTED_VALUE"""),"Print Design Support")</f>
        <v>Print Design Support</v>
      </c>
      <c r="L6618" s="1" t="str">
        <f>IFERROR(__xludf.DUMMYFUNCTION("""COMPUTED_VALUE"""),"Print Print Design")</f>
        <v>Print Print Design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IFERROR(__xludf.DUMMYFUNCTION("""COMPUTED_VALUE"""),"9c934de8-6199-4bb2-bcc9-bd8b70ec7a9c")</f>
        <v>9c934de8-6199-4bb2-bcc9-bd8b70ec7a9c</v>
      </c>
      <c r="E6619" s="1">
        <f>IFERROR(__xludf.DUMMYFUNCTION("""COMPUTED_VALUE"""),9.795939875087E12)</f>
        <v>9795939875087</v>
      </c>
      <c r="F6619" s="1"/>
      <c r="G6619" s="1">
        <f>IFERROR(__xludf.DUMMYFUNCTION("""COMPUTED_VALUE"""),0.17)</f>
        <v>0.17</v>
      </c>
      <c r="H6619" s="3">
        <f>IFERROR(__xludf.DUMMYFUNCTION("""COMPUTED_VALUE"""),0.17)</f>
        <v>0.17</v>
      </c>
      <c r="I6619" s="4">
        <f>IFERROR(__xludf.DUMMYFUNCTION("""COMPUTED_VALUE"""),1.0)</f>
        <v>1</v>
      </c>
      <c r="J6619" s="1" t="str">
        <f>IFERROR(__xludf.DUMMYFUNCTION("""COMPUTED_VALUE"""),"Cate Velasco")</f>
        <v>Cate Velasco</v>
      </c>
      <c r="K6619" s="1" t="str">
        <f>IFERROR(__xludf.DUMMYFUNCTION("""COMPUTED_VALUE"""),"Advanced Product Support")</f>
        <v>Advanced Product Support</v>
      </c>
      <c r="L6619" s="1" t="str">
        <f>IFERROR(__xludf.DUMMYFUNCTION("""COMPUTED_VALUE"""),"CPS Advanced Product Support (APS)")</f>
        <v>CPS Advanced Product Support (APS)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IFERROR(__xludf.DUMMYFUNCTION("""COMPUTED_VALUE"""),"0f8d8927-aad1-40c2-82ac-95b7b823eec0")</f>
        <v>0f8d8927-aad1-40c2-82ac-95b7b823eec0</v>
      </c>
      <c r="E6620" s="1">
        <f>IFERROR(__xludf.DUMMYFUNCTION("""COMPUTED_VALUE"""),5.202441056015E12)</f>
        <v>5202441056015</v>
      </c>
      <c r="F6620" s="1"/>
      <c r="G6620" s="1"/>
      <c r="H6620" s="3">
        <f>IFERROR(__xludf.DUMMYFUNCTION("""COMPUTED_VALUE"""),0.0)</f>
        <v>0</v>
      </c>
      <c r="I6620" s="4"/>
      <c r="J6620" s="1" t="str">
        <f>IFERROR(__xludf.DUMMYFUNCTION("""COMPUTED_VALUE"""),"Renette Bok")</f>
        <v>Renette Bok</v>
      </c>
      <c r="K6620" s="1" t="str">
        <f>IFERROR(__xludf.DUMMYFUNCTION("""COMPUTED_VALUE"""),"Advanced Billing &amp; Subscriptions")</f>
        <v>Advanced Billing &amp; Subscriptions</v>
      </c>
      <c r="L6620" s="1" t="str">
        <f>IFERROR(__xludf.DUMMYFUNCTION("""COMPUTED_VALUE"""),"CPS Advanced Billing and Subscriptions (ABS)")</f>
        <v>CPS Advanced Billing and Subscriptions (ABS)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IFERROR(__xludf.DUMMYFUNCTION("""COMPUTED_VALUE"""),"e33e46e4-d59d-4c5b-9834-288e99d79b63")</f>
        <v>e33e46e4-d59d-4c5b-9834-288e99d79b63</v>
      </c>
      <c r="E6621" s="1">
        <f>IFERROR(__xludf.DUMMYFUNCTION("""COMPUTED_VALUE"""),1.0333049582991E13)</f>
        <v>10333049582991</v>
      </c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IFERROR(__xludf.DUMMYFUNCTION("""COMPUTED_VALUE"""),"Cate Velasco")</f>
        <v>Cate Velasco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IFERROR(__xludf.DUMMYFUNCTION("""COMPUTED_VALUE"""),"Core Product Support")</f>
        <v>Core Product Support</v>
      </c>
      <c r="D6622" s="1" t="str">
        <f>IFERROR(__xludf.DUMMYFUNCTION("""COMPUTED_VALUE"""),"748f7375-5497-4286-b6df-38229b609d09")</f>
        <v>748f7375-5497-4286-b6df-38229b609d09</v>
      </c>
      <c r="E6622" s="1"/>
      <c r="F6622" s="1"/>
      <c r="G6622" s="1">
        <f>IFERROR(__xludf.DUMMYFUNCTION("""COMPUTED_VALUE"""),1.5)</f>
        <v>1.5</v>
      </c>
      <c r="H6622" s="3">
        <f>IFERROR(__xludf.DUMMYFUNCTION("""COMPUTED_VALUE"""),1.5)</f>
        <v>1.5</v>
      </c>
      <c r="I6622" s="4">
        <f>IFERROR(__xludf.DUMMYFUNCTION("""COMPUTED_VALUE"""),1.0)</f>
        <v>1</v>
      </c>
      <c r="J6622" s="1" t="str">
        <f>IFERROR(__xludf.DUMMYFUNCTION("""COMPUTED_VALUE"""),"Mikhaela Decangchon")</f>
        <v>Mikhaela Decangchon</v>
      </c>
      <c r="K6622" s="1" t="str">
        <f>IFERROR(__xludf.DUMMYFUNCTION("""COMPUTED_VALUE"""),"Advanced Product Support")</f>
        <v>Advanced Product Support</v>
      </c>
      <c r="L6622" s="1" t="str">
        <f>IFERROR(__xludf.DUMMYFUNCTION("""COMPUTED_VALUE"""),"CPS Advanced Product Support (APS)")</f>
        <v>CPS Advanced Product Support (APS)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IFERROR(__xludf.DUMMYFUNCTION("""COMPUTED_VALUE"""),"8d05170b-44c2-4973-963a-14bb293f18ab")</f>
        <v>8d05170b-44c2-4973-963a-14bb293f18ab</v>
      </c>
      <c r="E6623" s="1">
        <f>IFERROR(__xludf.DUMMYFUNCTION("""COMPUTED_VALUE"""),3.61731348415E11)</f>
        <v>361731348415</v>
      </c>
      <c r="F6623" s="1"/>
      <c r="G6623" s="1">
        <f>IFERROR(__xludf.DUMMYFUNCTION("""COMPUTED_VALUE"""),7.0)</f>
        <v>7</v>
      </c>
      <c r="H6623" s="3">
        <f>IFERROR(__xludf.DUMMYFUNCTION("""COMPUTED_VALUE"""),7.0)</f>
        <v>7</v>
      </c>
      <c r="I6623" s="4">
        <f>IFERROR(__xludf.DUMMYFUNCTION("""COMPUTED_VALUE"""),1.0)</f>
        <v>1</v>
      </c>
      <c r="J6623" s="1" t="str">
        <f>IFERROR(__xludf.DUMMYFUNCTION("""COMPUTED_VALUE"""),"Kelden Laguting")</f>
        <v>Kelden Laguting</v>
      </c>
      <c r="K6623" s="1" t="str">
        <f>IFERROR(__xludf.DUMMYFUNCTION("""COMPUTED_VALUE"""),"Admin Support PH")</f>
        <v>Admin Support PH</v>
      </c>
      <c r="L6623" s="1" t="str">
        <f>IFERROR(__xludf.DUMMYFUNCTION("""COMPUTED_VALUE"""),"Admin PH")</f>
        <v>Admin PH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IFERROR(__xludf.DUMMYFUNCTION("""COMPUTED_VALUE"""),"Admin Support")</f>
        <v>Admin Support</v>
      </c>
      <c r="D6624" s="1" t="str">
        <f>IFERROR(__xludf.DUMMYFUNCTION("""COMPUTED_VALUE"""),"c51116f5-04d9-48df-a12a-dbf63eaf9c18")</f>
        <v>c51116f5-04d9-48df-a12a-dbf63eaf9c18</v>
      </c>
      <c r="E6624" s="1">
        <f>IFERROR(__xludf.DUMMYFUNCTION("""COMPUTED_VALUE"""),3.61731647035E11)</f>
        <v>361731647035</v>
      </c>
      <c r="F6624" s="1"/>
      <c r="G6624" s="1">
        <f>IFERROR(__xludf.DUMMYFUNCTION("""COMPUTED_VALUE"""),0.67)</f>
        <v>0.67</v>
      </c>
      <c r="H6624" s="3">
        <f>IFERROR(__xludf.DUMMYFUNCTION("""COMPUTED_VALUE"""),0.67)</f>
        <v>0.67</v>
      </c>
      <c r="I6624" s="4">
        <f>IFERROR(__xludf.DUMMYFUNCTION("""COMPUTED_VALUE"""),1.0)</f>
        <v>1</v>
      </c>
      <c r="J6624" s="1" t="str">
        <f>IFERROR(__xludf.DUMMYFUNCTION("""COMPUTED_VALUE"""),"Rose Gabilan")</f>
        <v>Rose Gabilan</v>
      </c>
      <c r="K6624" s="1" t="str">
        <f>IFERROR(__xludf.DUMMYFUNCTION("""COMPUTED_VALUE"""),"Admin Support PH SSO")</f>
        <v>Admin Support PH SSO</v>
      </c>
      <c r="L6624" s="1" t="str">
        <f>IFERROR(__xludf.DUMMYFUNCTION("""COMPUTED_VALUE"""),"Admin SSO - CHT")</f>
        <v>Admin SSO - CHT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IFERROR(__xludf.DUMMYFUNCTION("""COMPUTED_VALUE"""),"ee26274a-f5bb-4f8f-aa29-94921d6e67a9")</f>
        <v>ee26274a-f5bb-4f8f-aa29-94921d6e67a9</v>
      </c>
      <c r="E6625" s="1">
        <f>IFERROR(__xludf.DUMMYFUNCTION("""COMPUTED_VALUE"""),9.107717956879E12)</f>
        <v>9107717956879</v>
      </c>
      <c r="F6625" s="1"/>
      <c r="G6625" s="1">
        <f>IFERROR(__xludf.DUMMYFUNCTION("""COMPUTED_VALUE"""),0.67)</f>
        <v>0.67</v>
      </c>
      <c r="H6625" s="3">
        <f>IFERROR(__xludf.DUMMYFUNCTION("""COMPUTED_VALUE"""),0.67)</f>
        <v>0.67</v>
      </c>
      <c r="I6625" s="4">
        <f>IFERROR(__xludf.DUMMYFUNCTION("""COMPUTED_VALUE"""),1.0)</f>
        <v>1</v>
      </c>
      <c r="J6625" s="1" t="str">
        <f>IFERROR(__xludf.DUMMYFUNCTION("""COMPUTED_VALUE"""),"Marie Mordeno")</f>
        <v>Marie Mordeno</v>
      </c>
      <c r="K6625" s="1" t="str">
        <f>IFERROR(__xludf.DUMMYFUNCTION("""COMPUTED_VALUE"""),"Advanced Billing &amp; Subscriptions")</f>
        <v>Advanced Billing &amp; Subscriptions</v>
      </c>
      <c r="L6625" s="1" t="str">
        <f>IFERROR(__xludf.DUMMYFUNCTION("""COMPUTED_VALUE"""),"CPS Advanced Billing and Subscriptions (ABS)")</f>
        <v>CPS Advanced Billing and Subscriptions (ABS)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IFERROR(__xludf.DUMMYFUNCTION("""COMPUTED_VALUE"""),"Core Product Support")</f>
        <v>Core Product Support</v>
      </c>
      <c r="D6626" s="1" t="str">
        <f>IFERROR(__xludf.DUMMYFUNCTION("""COMPUTED_VALUE"""),"9ec42277-802e-4dea-b288-c3f190cff1eb")</f>
        <v>9ec42277-802e-4dea-b288-c3f190cff1eb</v>
      </c>
      <c r="E6626" s="1">
        <f>IFERROR(__xludf.DUMMYFUNCTION("""COMPUTED_VALUE"""),3.61726427476E11)</f>
        <v>361726427476</v>
      </c>
      <c r="F6626" s="1">
        <f>IFERROR(__xludf.DUMMYFUNCTION("""COMPUTED_VALUE"""),0.5)</f>
        <v>0.5</v>
      </c>
      <c r="G6626" s="1">
        <f>IFERROR(__xludf.DUMMYFUNCTION("""COMPUTED_VALUE"""),3.5)</f>
        <v>3.5</v>
      </c>
      <c r="H6626" s="3">
        <f>IFERROR(__xludf.DUMMYFUNCTION("""COMPUTED_VALUE"""),4.0)</f>
        <v>4</v>
      </c>
      <c r="I6626" s="4">
        <f>IFERROR(__xludf.DUMMYFUNCTION("""COMPUTED_VALUE"""),0.875)</f>
        <v>0.875</v>
      </c>
      <c r="J6626" s="1" t="str">
        <f>IFERROR(__xludf.DUMMYFUNCTION("""COMPUTED_VALUE"""),"Ellaine Estayo")</f>
        <v>Ellaine Estayo</v>
      </c>
      <c r="K6626" s="1" t="str">
        <f>IFERROR(__xludf.DUMMYFUNCTION("""COMPUTED_VALUE"""),"Core Product Support Escalation Team")</f>
        <v>Core Product Support Escalation Team</v>
      </c>
      <c r="L6626" s="1" t="str">
        <f>IFERROR(__xludf.DUMMYFUNCTION("""COMPUTED_VALUE"""),"CPS Core Product Support Escalations (CPSET)")</f>
        <v>CPS Core Product Support Escalations (CPSET)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IFERROR(__xludf.DUMMYFUNCTION("""COMPUTED_VALUE"""),"Print Support")</f>
        <v>Print Support</v>
      </c>
      <c r="D6627" s="1" t="str">
        <f>IFERROR(__xludf.DUMMYFUNCTION("""COMPUTED_VALUE"""),"9e3b5d29-0e29-4565-a70a-6e7ee3c7be84")</f>
        <v>9e3b5d29-0e29-4565-a70a-6e7ee3c7be84</v>
      </c>
      <c r="E6627" s="1">
        <f>IFERROR(__xludf.DUMMYFUNCTION("""COMPUTED_VALUE"""),1.0548602091791E13)</f>
        <v>10548602091791</v>
      </c>
      <c r="F6627" s="1"/>
      <c r="G6627" s="1">
        <f>IFERROR(__xludf.DUMMYFUNCTION("""COMPUTED_VALUE"""),1.0)</f>
        <v>1</v>
      </c>
      <c r="H6627" s="3">
        <f>IFERROR(__xludf.DUMMYFUNCTION("""COMPUTED_VALUE"""),1.0)</f>
        <v>1</v>
      </c>
      <c r="I6627" s="4">
        <f>IFERROR(__xludf.DUMMYFUNCTION("""COMPUTED_VALUE"""),1.0)</f>
        <v>1</v>
      </c>
      <c r="J6627" s="1" t="str">
        <f>IFERROR(__xludf.DUMMYFUNCTION("""COMPUTED_VALUE"""),"Jen Momo")</f>
        <v>Jen Momo</v>
      </c>
      <c r="K6627" s="1" t="str">
        <f>IFERROR(__xludf.DUMMYFUNCTION("""COMPUTED_VALUE"""),"Print Support PH")</f>
        <v>Print Support PH</v>
      </c>
      <c r="L6627" s="1" t="str">
        <f>IFERROR(__xludf.DUMMYFUNCTION("""COMPUTED_VALUE"""),"Print Print - CHT")</f>
        <v>Print Print - CHT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IFERROR(__xludf.DUMMYFUNCTION("""COMPUTED_VALUE"""),"Segment-specific Support")</f>
        <v>Segment-specific Support</v>
      </c>
      <c r="D6628" s="1" t="str">
        <f>IFERROR(__xludf.DUMMYFUNCTION("""COMPUTED_VALUE"""),"eda8dc46-d638-4955-b85e-554ac98c41d8")</f>
        <v>eda8dc46-d638-4955-b85e-554ac98c41d8</v>
      </c>
      <c r="E6628" s="1">
        <f>IFERROR(__xludf.DUMMYFUNCTION("""COMPUTED_VALUE"""),3.61731943235E11)</f>
        <v>361731943235</v>
      </c>
      <c r="F6628" s="1"/>
      <c r="G6628" s="1">
        <f>IFERROR(__xludf.DUMMYFUNCTION("""COMPUTED_VALUE"""),0.5)</f>
        <v>0.5</v>
      </c>
      <c r="H6628" s="3">
        <f>IFERROR(__xludf.DUMMYFUNCTION("""COMPUTED_VALUE"""),0.5)</f>
        <v>0.5</v>
      </c>
      <c r="I6628" s="4">
        <f>IFERROR(__xludf.DUMMYFUNCTION("""COMPUTED_VALUE"""),1.0)</f>
        <v>1</v>
      </c>
      <c r="J6628" s="1" t="str">
        <f>IFERROR(__xludf.DUMMYFUNCTION("""COMPUTED_VALUE"""),"Aileen Dayanghirang")</f>
        <v>Aileen Dayanghirang</v>
      </c>
      <c r="K6628" s="1" t="str">
        <f>IFERROR(__xludf.DUMMYFUNCTION("""COMPUTED_VALUE"""),"Creators Support")</f>
        <v>Creators Support</v>
      </c>
      <c r="L6628" s="1" t="str">
        <f>IFERROR(__xludf.DUMMYFUNCTION("""COMPUTED_VALUE"""),"SSS Creators")</f>
        <v>SSS Creators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IFERROR(__xludf.DUMMYFUNCTION("""COMPUTED_VALUE"""),"Admin Support")</f>
        <v>Admin Support</v>
      </c>
      <c r="D6629" s="1" t="str">
        <f>IFERROR(__xludf.DUMMYFUNCTION("""COMPUTED_VALUE"""),"1135d838-4518-48e7-a5b8-f1738f44245c")</f>
        <v>1135d838-4518-48e7-a5b8-f1738f44245c</v>
      </c>
      <c r="E6629" s="1">
        <f>IFERROR(__xludf.DUMMYFUNCTION("""COMPUTED_VALUE"""),9.795666354191E12)</f>
        <v>9795666354191</v>
      </c>
      <c r="F6629" s="1"/>
      <c r="G6629" s="1">
        <f>IFERROR(__xludf.DUMMYFUNCTION("""COMPUTED_VALUE"""),0.5)</f>
        <v>0.5</v>
      </c>
      <c r="H6629" s="3">
        <f>IFERROR(__xludf.DUMMYFUNCTION("""COMPUTED_VALUE"""),0.5)</f>
        <v>0.5</v>
      </c>
      <c r="I6629" s="4">
        <f>IFERROR(__xludf.DUMMYFUNCTION("""COMPUTED_VALUE"""),1.0)</f>
        <v>1</v>
      </c>
      <c r="J6629" s="1" t="str">
        <f>IFERROR(__xludf.DUMMYFUNCTION("""COMPUTED_VALUE"""),"Elise Cesario Mendes")</f>
        <v>Elise Cesario Mendes</v>
      </c>
      <c r="K6629" s="1" t="str">
        <f>IFERROR(__xludf.DUMMYFUNCTION("""COMPUTED_VALUE"""),"Admin Support APJ")</f>
        <v>Admin Support APJ</v>
      </c>
      <c r="L6629" s="1" t="str">
        <f>IFERROR(__xludf.DUMMYFUNCTION("""COMPUTED_VALUE"""),"Admin APJ")</f>
        <v>Admin APJ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IFERROR(__xludf.DUMMYFUNCTION("""COMPUTED_VALUE"""),0.25)</f>
        <v>0.25</v>
      </c>
      <c r="G6631" s="1">
        <f>IFERROR(__xludf.DUMMYFUNCTION("""COMPUTED_VALUE"""),0.42)</f>
        <v>0.42</v>
      </c>
      <c r="H6631" s="3">
        <f>IFERROR(__xludf.DUMMYFUNCTION("""COMPUTED_VALUE"""),0.6699999999999999)</f>
        <v>0.67</v>
      </c>
      <c r="I6631" s="4">
        <f>IFERROR(__xludf.DUMMYFUNCTION("""COMPUTED_VALUE"""),0.6268656716417911)</f>
        <v>0.6268656716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IFERROR(__xludf.DUMMYFUNCTION("""COMPUTED_VALUE"""),3.0)</f>
        <v>3</v>
      </c>
      <c r="H6632" s="3">
        <f>IFERROR(__xludf.DUMMYFUNCTION("""COMPUTED_VALUE"""),3.0)</f>
        <v>3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>
        <f>IFERROR(__xludf.DUMMYFUNCTION("""COMPUTED_VALUE"""),1.0)</f>
        <v>1</v>
      </c>
      <c r="H6633" s="3">
        <f>IFERROR(__xludf.DUMMYFUNCTION("""COMPUTED_VALUE"""),1.0)</f>
        <v>1</v>
      </c>
      <c r="I6633" s="4">
        <f>IFERROR(__xludf.DUMMYFUNCTION("""COMPUTED_VALUE"""),1.0)</f>
        <v>1</v>
      </c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>
        <f>IFERROR(__xludf.DUMMYFUNCTION("""COMPUTED_VALUE"""),0.5)</f>
        <v>0.5</v>
      </c>
      <c r="H6635" s="3">
        <f>IFERROR(__xludf.DUMMYFUNCTION("""COMPUTED_VALUE"""),0.5)</f>
        <v>0.5</v>
      </c>
      <c r="I6635" s="4">
        <f>IFERROR(__xludf.DUMMYFUNCTION("""COMPUTED_VALUE"""),1.0)</f>
        <v>1</v>
      </c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/>
      <c r="G6636" s="1">
        <f>IFERROR(__xludf.DUMMYFUNCTION("""COMPUTED_VALUE"""),0.5)</f>
        <v>0.5</v>
      </c>
      <c r="H6636" s="3">
        <f>IFERROR(__xludf.DUMMYFUNCTION("""COMPUTED_VALUE"""),0.5)</f>
        <v>0.5</v>
      </c>
      <c r="I6636" s="4">
        <f>IFERROR(__xludf.DUMMYFUNCTION("""COMPUTED_VALUE"""),1.0)</f>
        <v>1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/>
      <c r="G6637" s="1">
        <f>IFERROR(__xludf.DUMMYFUNCTION("""COMPUTED_VALUE"""),1.0)</f>
        <v>1</v>
      </c>
      <c r="H6637" s="3">
        <f>IFERROR(__xludf.DUMMYFUNCTION("""COMPUTED_VALUE"""),1.0)</f>
        <v>1</v>
      </c>
      <c r="I6637" s="4">
        <f>IFERROR(__xludf.DUMMYFUNCTION("""COMPUTED_VALUE"""),1.0)</f>
        <v>1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>
        <f>IFERROR(__xludf.DUMMYFUNCTION("""COMPUTED_VALUE"""),1.0)</f>
        <v>1</v>
      </c>
      <c r="H6638" s="3">
        <f>IFERROR(__xludf.DUMMYFUNCTION("""COMPUTED_VALUE"""),1.0)</f>
        <v>1</v>
      </c>
      <c r="I6638" s="4">
        <f>IFERROR(__xludf.DUMMYFUNCTION("""COMPUTED_VALUE"""),1.0)</f>
        <v>1</v>
      </c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>
        <f>IFERROR(__xludf.DUMMYFUNCTION("""COMPUTED_VALUE"""),1.0)</f>
        <v>1</v>
      </c>
      <c r="H6639" s="3">
        <f>IFERROR(__xludf.DUMMYFUNCTION("""COMPUTED_VALUE"""),1.5)</f>
        <v>1.5</v>
      </c>
      <c r="I6639" s="4">
        <f>IFERROR(__xludf.DUMMYFUNCTION("""COMPUTED_VALUE"""),0.6666666666666666)</f>
        <v>0.6666666667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IFERROR(__xludf.DUMMYFUNCTION("""COMPUTED_VALUE"""),3.0)</f>
        <v>3</v>
      </c>
      <c r="G6643" s="1"/>
      <c r="H6643" s="3">
        <f>IFERROR(__xludf.DUMMYFUNCTION("""COMPUTED_VALUE"""),3.0)</f>
        <v>3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>
        <f>IFERROR(__xludf.DUMMYFUNCTION("""COMPUTED_VALUE"""),0.5)</f>
        <v>0.5</v>
      </c>
      <c r="H6645" s="3">
        <f>IFERROR(__xludf.DUMMYFUNCTION("""COMPUTED_VALUE"""),0.5)</f>
        <v>0.5</v>
      </c>
      <c r="I6645" s="4">
        <f>IFERROR(__xludf.DUMMYFUNCTION("""COMPUTED_VALUE"""),1.0)</f>
        <v>1</v>
      </c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>
        <f>IFERROR(__xludf.DUMMYFUNCTION("""COMPUTED_VALUE"""),0.5)</f>
        <v>0.5</v>
      </c>
      <c r="H6646" s="3">
        <f>IFERROR(__xludf.DUMMYFUNCTION("""COMPUTED_VALUE"""),0.5)</f>
        <v>0.5</v>
      </c>
      <c r="I6646" s="4">
        <f>IFERROR(__xludf.DUMMYFUNCTION("""COMPUTED_VALUE"""),1.0)</f>
        <v>1</v>
      </c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/>
      <c r="G6647" s="1"/>
      <c r="H6647" s="3">
        <f>IFERROR(__xludf.DUMMYFUNCTION("""COMPUTED_VALUE"""),0.0)</f>
        <v>0</v>
      </c>
      <c r="I6647" s="4"/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/>
      <c r="G6648" s="1">
        <f>IFERROR(__xludf.DUMMYFUNCTION("""COMPUTED_VALUE"""),1.5)</f>
        <v>1.5</v>
      </c>
      <c r="H6648" s="3">
        <f>IFERROR(__xludf.DUMMYFUNCTION("""COMPUTED_VALUE"""),1.5)</f>
        <v>1.5</v>
      </c>
      <c r="I6648" s="4">
        <f>IFERROR(__xludf.DUMMYFUNCTION("""COMPUTED_VALUE"""),1.0)</f>
        <v>1</v>
      </c>
      <c r="J6648" s="1" t="str">
        <f>IFERROR(__xludf.DUMMYFUNCTION("""COMPUTED_VALUE"""),"Vinz Lazaro")</f>
        <v>Vinz Lazaro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>
        <f>IFERROR(__xludf.DUMMYFUNCTION("""COMPUTED_VALUE"""),0.75)</f>
        <v>0.75</v>
      </c>
      <c r="H6652" s="3">
        <f>IFERROR(__xludf.DUMMYFUNCTION("""COMPUTED_VALUE"""),1.75)</f>
        <v>1.75</v>
      </c>
      <c r="I6652" s="4">
        <f>IFERROR(__xludf.DUMMYFUNCTION("""COMPUTED_VALUE"""),0.42857142857142855)</f>
        <v>0.4285714286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IFERROR(__xludf.DUMMYFUNCTION("""COMPUTED_VALUE"""),2.0)</f>
        <v>2</v>
      </c>
      <c r="H6653" s="3">
        <f>IFERROR(__xludf.DUMMYFUNCTION("""COMPUTED_VALUE"""),2.5)</f>
        <v>2.5</v>
      </c>
      <c r="I6653" s="4">
        <f>IFERROR(__xludf.DUMMYFUNCTION("""COMPUTED_VALUE"""),0.8)</f>
        <v>0.8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IFERROR(__xludf.DUMMYFUNCTION("""COMPUTED_VALUE"""),7.43)</f>
        <v>7.43</v>
      </c>
      <c r="H6654" s="3">
        <f>IFERROR(__xludf.DUMMYFUNCTION("""COMPUTED_VALUE"""),7.43)</f>
        <v>7.43</v>
      </c>
      <c r="I6654" s="4">
        <f>IFERROR(__xludf.DUMMYFUNCTION("""COMPUTED_VALUE"""),1.0)</f>
        <v>1</v>
      </c>
      <c r="J6654" s="1" t="str">
        <f>IFERROR(__xludf.DUMMYFUNCTION("""COMPUTED_VALUE"""),"Camille Alvarez")</f>
        <v>Camille Alvarez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IFERROR(__xludf.DUMMYFUNCTION("""COMPUTED_VALUE"""),1.0)</f>
        <v>1</v>
      </c>
      <c r="G6655" s="1">
        <f>IFERROR(__xludf.DUMMYFUNCTION("""COMPUTED_VALUE"""),1.0)</f>
        <v>1</v>
      </c>
      <c r="H6655" s="3">
        <f>IFERROR(__xludf.DUMMYFUNCTION("""COMPUTED_VALUE"""),2.0)</f>
        <v>2</v>
      </c>
      <c r="I6655" s="4">
        <f>IFERROR(__xludf.DUMMYFUNCTION("""COMPUTED_VALUE"""),0.5)</f>
        <v>0.5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IFERROR(__xludf.DUMMYFUNCTION("""COMPUTED_VALUE"""),"2025 Dec")</f>
        <v>2025 Dec</v>
      </c>
      <c r="B6656" s="2">
        <f>IFERROR(__xludf.DUMMYFUNCTION("""COMPUTED_VALUE"""),45992.0)</f>
        <v>45992</v>
      </c>
      <c r="C6656" s="1" t="str">
        <f>IFERROR(__xludf.DUMMYFUNCTION("""COMPUTED_VALUE"""),"Segment-specific Support")</f>
        <v>Segment-specific Support</v>
      </c>
      <c r="D6656" s="1" t="str">
        <f>IFERROR(__xludf.DUMMYFUNCTION("""COMPUTED_VALUE"""),"71cc12d6-81ad-4480-9557-ff6a318e3277")</f>
        <v>71cc12d6-81ad-4480-9557-ff6a318e3277</v>
      </c>
      <c r="E6656" s="1">
        <f>IFERROR(__xludf.DUMMYFUNCTION("""COMPUTED_VALUE"""),3.61726424776E11)</f>
        <v>361726424776</v>
      </c>
      <c r="F6656" s="1">
        <f>IFERROR(__xludf.DUMMYFUNCTION("""COMPUTED_VALUE"""),0.5)</f>
        <v>0.5</v>
      </c>
      <c r="G6656" s="1"/>
      <c r="H6656" s="3">
        <f>IFERROR(__xludf.DUMMYFUNCTION("""COMPUTED_VALUE"""),0.5)</f>
        <v>0.5</v>
      </c>
      <c r="I6656" s="4">
        <f>IFERROR(__xludf.DUMMYFUNCTION("""COMPUTED_VALUE"""),0.0)</f>
        <v>0</v>
      </c>
      <c r="J6656" s="1" t="str">
        <f>IFERROR(__xludf.DUMMYFUNCTION("""COMPUTED_VALUE"""),"Jonathan Dimaculangan")</f>
        <v>Jonathan Dimaculangan</v>
      </c>
      <c r="K6656" s="1" t="str">
        <f>IFERROR(__xludf.DUMMYFUNCTION("""COMPUTED_VALUE"""),"Flourish Support")</f>
        <v>Flourish Support</v>
      </c>
      <c r="L6656" s="1" t="str">
        <f>IFERROR(__xludf.DUMMYFUNCTION("""COMPUTED_VALUE"""),"SSS Flourish")</f>
        <v>SSS Flourish</v>
      </c>
    </row>
    <row r="6657">
      <c r="A6657" s="1" t="str">
        <f>IFERROR(__xludf.DUMMYFUNCTION("""COMPUTED_VALUE"""),"2025 Dec")</f>
        <v>2025 Dec</v>
      </c>
      <c r="B6657" s="2">
        <f>IFERROR(__xludf.DUMMYFUNCTION("""COMPUTED_VALUE"""),45992.0)</f>
        <v>45992</v>
      </c>
      <c r="C6657" s="1" t="str">
        <f>IFERROR(__xludf.DUMMYFUNCTION("""COMPUTED_VALUE"""),"Core Product Support")</f>
        <v>Core Product Support</v>
      </c>
      <c r="D6657" s="1" t="str">
        <f>IFERROR(__xludf.DUMMYFUNCTION("""COMPUTED_VALUE"""),"ed8e075f-7119-4833-8af3-4c353a3fdda1")</f>
        <v>ed8e075f-7119-4833-8af3-4c353a3fdda1</v>
      </c>
      <c r="E6657" s="1">
        <f>IFERROR(__xludf.DUMMYFUNCTION("""COMPUTED_VALUE"""),4.502516921487E12)</f>
        <v>4502516921487</v>
      </c>
      <c r="F6657" s="1"/>
      <c r="G6657" s="1">
        <f>IFERROR(__xludf.DUMMYFUNCTION("""COMPUTED_VALUE"""),1.0)</f>
        <v>1</v>
      </c>
      <c r="H6657" s="3">
        <f>IFERROR(__xludf.DUMMYFUNCTION("""COMPUTED_VALUE"""),1.0)</f>
        <v>1</v>
      </c>
      <c r="I6657" s="4">
        <f>IFERROR(__xludf.DUMMYFUNCTION("""COMPUTED_VALUE"""),1.0)</f>
        <v>1</v>
      </c>
      <c r="J6657" s="1" t="str">
        <f>IFERROR(__xludf.DUMMYFUNCTION("""COMPUTED_VALUE"""),"Jem Mondoñedo")</f>
        <v>Jem Mondoñedo</v>
      </c>
      <c r="K6657" s="1" t="str">
        <f>IFERROR(__xludf.DUMMYFUNCTION("""COMPUTED_VALUE"""),"Advanced Chat Support")</f>
        <v>Advanced Chat Support</v>
      </c>
      <c r="L6657" s="1" t="str">
        <f>IFERROR(__xludf.DUMMYFUNCTION("""COMPUTED_VALUE"""),"CPS Advanced Chat Support (ACS)")</f>
        <v>CPS Advanced Chat Support (ACS)</v>
      </c>
    </row>
    <row r="6658">
      <c r="A6658" s="1" t="str">
        <f>IFERROR(__xludf.DUMMYFUNCTION("""COMPUTED_VALUE"""),"2025 Dec")</f>
        <v>2025 Dec</v>
      </c>
      <c r="B6658" s="2">
        <f>IFERROR(__xludf.DUMMYFUNCTION("""COMPUTED_VALUE"""),45992.0)</f>
        <v>45992</v>
      </c>
      <c r="C6658" s="1" t="str">
        <f>IFERROR(__xludf.DUMMYFUNCTION("""COMPUTED_VALUE"""),"Core Product Support")</f>
        <v>Core Product Support</v>
      </c>
      <c r="D6658" s="1" t="str">
        <f>IFERROR(__xludf.DUMMYFUNCTION("""COMPUTED_VALUE"""),"000279e3-fb19-4b90-a95c-080adc98c9aa")</f>
        <v>000279e3-fb19-4b90-a95c-080adc98c9aa</v>
      </c>
      <c r="E6658" s="1">
        <f>IFERROR(__xludf.DUMMYFUNCTION("""COMPUTED_VALUE"""),3.61861297935E11)</f>
        <v>361861297935</v>
      </c>
      <c r="F6658" s="1"/>
      <c r="G6658" s="1">
        <f>IFERROR(__xludf.DUMMYFUNCTION("""COMPUTED_VALUE"""),1.0)</f>
        <v>1</v>
      </c>
      <c r="H6658" s="3">
        <f>IFERROR(__xludf.DUMMYFUNCTION("""COMPUTED_VALUE"""),1.0)</f>
        <v>1</v>
      </c>
      <c r="I6658" s="4">
        <f>IFERROR(__xludf.DUMMYFUNCTION("""COMPUTED_VALUE"""),1.0)</f>
        <v>1</v>
      </c>
      <c r="J6658" s="1" t="str">
        <f>IFERROR(__xludf.DUMMYFUNCTION("""COMPUTED_VALUE"""),"Jahmie Mae Barrameda")</f>
        <v>Jahmie Mae Barrameda</v>
      </c>
      <c r="K6658" s="1" t="str">
        <f>IFERROR(__xludf.DUMMYFUNCTION("""COMPUTED_VALUE"""),"Advanced Billing &amp; Subscriptions")</f>
        <v>Advanced Billing &amp; Subscriptions</v>
      </c>
      <c r="L6658" s="1" t="str">
        <f>IFERROR(__xludf.DUMMYFUNCTION("""COMPUTED_VALUE"""),"CPS Advanced Billing and Subscriptions (ABS)")</f>
        <v>CPS Advanced Billing and Subscriptions (ABS)</v>
      </c>
    </row>
    <row r="6659">
      <c r="A6659" s="1" t="str">
        <f>IFERROR(__xludf.DUMMYFUNCTION("""COMPUTED_VALUE"""),"2025 Dec")</f>
        <v>2025 Dec</v>
      </c>
      <c r="B6659" s="2">
        <f>IFERROR(__xludf.DUMMYFUNCTION("""COMPUTED_VALUE"""),45992.0)</f>
        <v>45992</v>
      </c>
      <c r="C6659" s="1" t="str">
        <f>IFERROR(__xludf.DUMMYFUNCTION("""COMPUTED_VALUE"""),"Print Support")</f>
        <v>Print Support</v>
      </c>
      <c r="D6659" s="1" t="str">
        <f>IFERROR(__xludf.DUMMYFUNCTION("""COMPUTED_VALUE"""),"61035b18-fc2e-492c-ae7d-227048511bcf")</f>
        <v>61035b18-fc2e-492c-ae7d-227048511bcf</v>
      </c>
      <c r="E6659" s="1"/>
      <c r="F6659" s="1"/>
      <c r="G6659" s="1"/>
      <c r="H6659" s="3">
        <f>IFERROR(__xludf.DUMMYFUNCTION("""COMPUTED_VALUE"""),0.0)</f>
        <v>0</v>
      </c>
      <c r="I6659" s="4"/>
      <c r="J6659" s="1" t="str">
        <f>IFERROR(__xludf.DUMMYFUNCTION("""COMPUTED_VALUE"""),"Gem Agoncillo")</f>
        <v>Gem Agoncillo</v>
      </c>
      <c r="K6659" s="1" t="str">
        <f>IFERROR(__xludf.DUMMYFUNCTION("""COMPUTED_VALUE"""),"Print Design Support")</f>
        <v>Print Design Support</v>
      </c>
      <c r="L6659" s="1" t="str">
        <f>IFERROR(__xludf.DUMMYFUNCTION("""COMPUTED_VALUE"""),"Print Print Design")</f>
        <v>Print Print Design</v>
      </c>
    </row>
    <row r="6660">
      <c r="A6660" s="1" t="str">
        <f>IFERROR(__xludf.DUMMYFUNCTION("""COMPUTED_VALUE"""),"2025 Dec")</f>
        <v>2025 Dec</v>
      </c>
      <c r="B6660" s="2">
        <f>IFERROR(__xludf.DUMMYFUNCTION("""COMPUTED_VALUE"""),45992.0)</f>
        <v>45992</v>
      </c>
      <c r="C6660" s="1" t="str">
        <f>IFERROR(__xludf.DUMMYFUNCTION("""COMPUTED_VALUE"""),"Core Product Support")</f>
        <v>Core Product Support</v>
      </c>
      <c r="D6660" s="1" t="str">
        <f>IFERROR(__xludf.DUMMYFUNCTION("""COMPUTED_VALUE"""),"7f6e3175-f6cd-4a70-93aa-118856f83921")</f>
        <v>7f6e3175-f6cd-4a70-93aa-118856f83921</v>
      </c>
      <c r="E6660" s="1">
        <f>IFERROR(__xludf.DUMMYFUNCTION("""COMPUTED_VALUE"""),1.0333019153039E13)</f>
        <v>10333019153039</v>
      </c>
      <c r="F6660" s="1">
        <f>IFERROR(__xludf.DUMMYFUNCTION("""COMPUTED_VALUE"""),0.25)</f>
        <v>0.25</v>
      </c>
      <c r="G6660" s="1">
        <f>IFERROR(__xludf.DUMMYFUNCTION("""COMPUTED_VALUE"""),0.25)</f>
        <v>0.25</v>
      </c>
      <c r="H6660" s="3">
        <f>IFERROR(__xludf.DUMMYFUNCTION("""COMPUTED_VALUE"""),0.5)</f>
        <v>0.5</v>
      </c>
      <c r="I6660" s="4">
        <f>IFERROR(__xludf.DUMMYFUNCTION("""COMPUTED_VALUE"""),0.5)</f>
        <v>0.5</v>
      </c>
      <c r="J6660" s="1" t="str">
        <f>IFERROR(__xludf.DUMMYFUNCTION("""COMPUTED_VALUE"""),"Belle Bentazal")</f>
        <v>Belle Bentazal</v>
      </c>
      <c r="K6660" s="1" t="str">
        <f>IFERROR(__xludf.DUMMYFUNCTION("""COMPUTED_VALUE"""),"Advanced Product Support")</f>
        <v>Advanced Product Support</v>
      </c>
      <c r="L6660" s="1" t="str">
        <f>IFERROR(__xludf.DUMMYFUNCTION("""COMPUTED_VALUE"""),"CPS Advanced Product Support (APS)")</f>
        <v>CPS Advanced Product Support (APS)</v>
      </c>
    </row>
    <row r="6661">
      <c r="A6661" s="1" t="str">
        <f>IFERROR(__xludf.DUMMYFUNCTION("""COMPUTED_VALUE"""),"2025 Dec")</f>
        <v>2025 Dec</v>
      </c>
      <c r="B6661" s="2">
        <f>IFERROR(__xludf.DUMMYFUNCTION("""COMPUTED_VALUE"""),45992.0)</f>
        <v>45992</v>
      </c>
      <c r="C6661" s="1" t="str">
        <f>IFERROR(__xludf.DUMMYFUNCTION("""COMPUTED_VALUE"""),"Segment-specific Support")</f>
        <v>Segment-specific Support</v>
      </c>
      <c r="D6661" s="1" t="str">
        <f>IFERROR(__xludf.DUMMYFUNCTION("""COMPUTED_VALUE"""),"8941a42e-630f-4e32-ac1a-aa9495a2b319")</f>
        <v>8941a42e-630f-4e32-ac1a-aa9495a2b319</v>
      </c>
      <c r="E6661" s="1">
        <f>IFERROR(__xludf.DUMMYFUNCTION("""COMPUTED_VALUE"""),3.61731514775E11)</f>
        <v>361731514775</v>
      </c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IFERROR(__xludf.DUMMYFUNCTION("""COMPUTED_VALUE"""),"Aileen Dayanghirang")</f>
        <v>Aileen Dayanghirang</v>
      </c>
      <c r="K6661" s="1" t="str">
        <f>IFERROR(__xludf.DUMMYFUNCTION("""COMPUTED_VALUE"""),"Creators Support")</f>
        <v>Creators Support</v>
      </c>
      <c r="L6661" s="1" t="str">
        <f>IFERROR(__xludf.DUMMYFUNCTION("""COMPUTED_VALUE"""),"SSS Creators")</f>
        <v>SSS Creators</v>
      </c>
    </row>
    <row r="6662">
      <c r="A6662" s="1" t="str">
        <f>IFERROR(__xludf.DUMMYFUNCTION("""COMPUTED_VALUE"""),"2025 Dec")</f>
        <v>2025 Dec</v>
      </c>
      <c r="B6662" s="2">
        <f>IFERROR(__xludf.DUMMYFUNCTION("""COMPUTED_VALUE"""),45992.0)</f>
        <v>45992</v>
      </c>
      <c r="C6662" s="1" t="str">
        <f>IFERROR(__xludf.DUMMYFUNCTION("""COMPUTED_VALUE"""),"Segment-specific Support")</f>
        <v>Segment-specific Support</v>
      </c>
      <c r="D6662" s="1" t="str">
        <f>IFERROR(__xludf.DUMMYFUNCTION("""COMPUTED_VALUE"""),"dfd09cbc-1248-47f6-96ff-bb4b2c38ce63")</f>
        <v>dfd09cbc-1248-47f6-96ff-bb4b2c38ce63</v>
      </c>
      <c r="E6662" s="1">
        <f>IFERROR(__xludf.DUMMYFUNCTION("""COMPUTED_VALUE"""),3.61725262736E11)</f>
        <v>361725262736</v>
      </c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IFERROR(__xludf.DUMMYFUNCTION("""COMPUTED_VALUE"""),"Tash Kelly")</f>
        <v>Tash Kelly</v>
      </c>
      <c r="K6662" s="1" t="str">
        <f>IFERROR(__xludf.DUMMYFUNCTION("""COMPUTED_VALUE"""),"Affinity Support")</f>
        <v>Affinity Support</v>
      </c>
      <c r="L6662" s="1" t="str">
        <f>IFERROR(__xludf.DUMMYFUNCTION("""COMPUTED_VALUE"""),"SSS Affinity")</f>
        <v>SSS Affinity</v>
      </c>
    </row>
    <row r="6663">
      <c r="A6663" s="1" t="str">
        <f>IFERROR(__xludf.DUMMYFUNCTION("""COMPUTED_VALUE"""),"2025 Dec")</f>
        <v>2025 Dec</v>
      </c>
      <c r="B6663" s="2">
        <f>IFERROR(__xludf.DUMMYFUNCTION("""COMPUTED_VALUE"""),45992.0)</f>
        <v>45992</v>
      </c>
      <c r="C6663" s="1" t="str">
        <f>IFERROR(__xludf.DUMMYFUNCTION("""COMPUTED_VALUE"""),"Segment-specific Support")</f>
        <v>Segment-specific Support</v>
      </c>
      <c r="D6663" s="1" t="str">
        <f>IFERROR(__xludf.DUMMYFUNCTION("""COMPUTED_VALUE"""),"14ab0e6b-ba36-4083-a4df-79ae04c36179")</f>
        <v>14ab0e6b-ba36-4083-a4df-79ae04c36179</v>
      </c>
      <c r="E6663" s="1">
        <f>IFERROR(__xludf.DUMMYFUNCTION("""COMPUTED_VALUE"""),1.0548580059023E13)</f>
        <v>10548580059023</v>
      </c>
      <c r="F6663" s="1">
        <f>IFERROR(__xludf.DUMMYFUNCTION("""COMPUTED_VALUE"""),0.5)</f>
        <v>0.5</v>
      </c>
      <c r="G6663" s="1"/>
      <c r="H6663" s="3">
        <f>IFERROR(__xludf.DUMMYFUNCTION("""COMPUTED_VALUE"""),0.5)</f>
        <v>0.5</v>
      </c>
      <c r="I6663" s="4">
        <f>IFERROR(__xludf.DUMMYFUNCTION("""COMPUTED_VALUE"""),0.0)</f>
        <v>0</v>
      </c>
      <c r="J6663" s="1" t="str">
        <f>IFERROR(__xludf.DUMMYFUNCTION("""COMPUTED_VALUE"""),"Jonathan Dimaculangan")</f>
        <v>Jonathan Dimaculangan</v>
      </c>
      <c r="K6663" s="1" t="str">
        <f>IFERROR(__xludf.DUMMYFUNCTION("""COMPUTED_VALUE"""),"Flourish Support")</f>
        <v>Flourish Support</v>
      </c>
      <c r="L6663" s="1" t="str">
        <f>IFERROR(__xludf.DUMMYFUNCTION("""COMPUTED_VALUE"""),"SSS Flourish")</f>
        <v>SSS Flourish</v>
      </c>
    </row>
    <row r="6664">
      <c r="A6664" s="1" t="str">
        <f>IFERROR(__xludf.DUMMYFUNCTION("""COMPUTED_VALUE"""),"2025 Dec")</f>
        <v>2025 Dec</v>
      </c>
      <c r="B6664" s="2">
        <f>IFERROR(__xludf.DUMMYFUNCTION("""COMPUTED_VALUE"""),45992.0)</f>
        <v>45992</v>
      </c>
      <c r="C6664" s="1" t="str">
        <f>IFERROR(__xludf.DUMMYFUNCTION("""COMPUTED_VALUE"""),"Admin Support")</f>
        <v>Admin Support</v>
      </c>
      <c r="D6664" s="1" t="str">
        <f>IFERROR(__xludf.DUMMYFUNCTION("""COMPUTED_VALUE"""),"37c57b4f-487c-4c75-8926-0d22cc125dcf")</f>
        <v>37c57b4f-487c-4c75-8926-0d22cc125dcf</v>
      </c>
      <c r="E6664" s="1">
        <f>IFERROR(__xludf.DUMMYFUNCTION("""COMPUTED_VALUE"""),9.153765932815E12)</f>
        <v>9153765932815</v>
      </c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IFERROR(__xludf.DUMMYFUNCTION("""COMPUTED_VALUE"""),"Tash Kelly")</f>
        <v>Tash Kelly</v>
      </c>
      <c r="K6664" s="1" t="str">
        <f>IFERROR(__xludf.DUMMYFUNCTION("""COMPUTED_VALUE"""),"Admin Support EMEA")</f>
        <v>Admin Support EMEA</v>
      </c>
      <c r="L6664" s="1" t="str">
        <f>IFERROR(__xludf.DUMMYFUNCTION("""COMPUTED_VALUE"""),"Admin EMEA")</f>
        <v>Admin EMEA</v>
      </c>
    </row>
    <row r="6665">
      <c r="A6665" s="1" t="str">
        <f>IFERROR(__xludf.DUMMYFUNCTION("""COMPUTED_VALUE"""),"2025 Dec")</f>
        <v>2025 Dec</v>
      </c>
      <c r="B6665" s="2">
        <f>IFERROR(__xludf.DUMMYFUNCTION("""COMPUTED_VALUE"""),45992.0)</f>
        <v>45992</v>
      </c>
      <c r="C6665" s="1" t="str">
        <f>IFERROR(__xludf.DUMMYFUNCTION("""COMPUTED_VALUE"""),"Print Support")</f>
        <v>Print Support</v>
      </c>
      <c r="D6665" s="1" t="str">
        <f>IFERROR(__xludf.DUMMYFUNCTION("""COMPUTED_VALUE"""),"745adc44-2fda-43ea-bdcd-39c28e369ddc")</f>
        <v>745adc44-2fda-43ea-bdcd-39c28e369ddc</v>
      </c>
      <c r="E6665" s="1">
        <f>IFERROR(__xludf.DUMMYFUNCTION("""COMPUTED_VALUE"""),3.61731943495E11)</f>
        <v>361731943495</v>
      </c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IFERROR(__xludf.DUMMYFUNCTION("""COMPUTED_VALUE"""),"Ann Dumlao")</f>
        <v>Ann Dumlao</v>
      </c>
      <c r="K6665" s="1" t="str">
        <f>IFERROR(__xludf.DUMMYFUNCTION("""COMPUTED_VALUE"""),"Print Support PH")</f>
        <v>Print Support PH</v>
      </c>
      <c r="L6665" s="1" t="str">
        <f>IFERROR(__xludf.DUMMYFUNCTION("""COMPUTED_VALUE"""),"Print Print - CHT")</f>
        <v>Print Print - CHT</v>
      </c>
    </row>
    <row r="6666">
      <c r="A6666" s="1" t="str">
        <f>IFERROR(__xludf.DUMMYFUNCTION("""COMPUTED_VALUE"""),"2025 Dec")</f>
        <v>2025 Dec</v>
      </c>
      <c r="B6666" s="2">
        <f>IFERROR(__xludf.DUMMYFUNCTION("""COMPUTED_VALUE"""),45992.0)</f>
        <v>45992</v>
      </c>
      <c r="C6666" s="1" t="str">
        <f>IFERROR(__xludf.DUMMYFUNCTION("""COMPUTED_VALUE"""),"Core Product Support")</f>
        <v>Core Product Support</v>
      </c>
      <c r="D6666" s="1" t="str">
        <f>IFERROR(__xludf.DUMMYFUNCTION("""COMPUTED_VALUE"""),"927a5402-ae70-4b86-aaa9-53819fb46700")</f>
        <v>927a5402-ae70-4b86-aaa9-53819fb46700</v>
      </c>
      <c r="E6666" s="1">
        <f>IFERROR(__xludf.DUMMYFUNCTION("""COMPUTED_VALUE"""),3.61725260756E11)</f>
        <v>361725260756</v>
      </c>
      <c r="F6666" s="1"/>
      <c r="G6666" s="1">
        <f>IFERROR(__xludf.DUMMYFUNCTION("""COMPUTED_VALUE"""),5.0)</f>
        <v>5</v>
      </c>
      <c r="H6666" s="3">
        <f>IFERROR(__xludf.DUMMYFUNCTION("""COMPUTED_VALUE"""),5.0)</f>
        <v>5</v>
      </c>
      <c r="I6666" s="4">
        <f>IFERROR(__xludf.DUMMYFUNCTION("""COMPUTED_VALUE"""),1.0)</f>
        <v>1</v>
      </c>
      <c r="J6666" s="1" t="str">
        <f>IFERROR(__xludf.DUMMYFUNCTION("""COMPUTED_VALUE"""),"Ellaine Estayo")</f>
        <v>Ellaine Estayo</v>
      </c>
      <c r="K6666" s="1" t="str">
        <f>IFERROR(__xludf.DUMMYFUNCTION("""COMPUTED_VALUE"""),"Core Product Support Escalation Team")</f>
        <v>Core Product Support Escalation Team</v>
      </c>
      <c r="L6666" s="1" t="str">
        <f>IFERROR(__xludf.DUMMYFUNCTION("""COMPUTED_VALUE"""),"CPS Core Product Support Escalations (CPSET)")</f>
        <v>CPS Core Product Support Escalations (CPSET)</v>
      </c>
    </row>
    <row r="6667">
      <c r="A6667" s="1" t="str">
        <f>IFERROR(__xludf.DUMMYFUNCTION("""COMPUTED_VALUE"""),"2025 Dec")</f>
        <v>2025 Dec</v>
      </c>
      <c r="B6667" s="2">
        <f>IFERROR(__xludf.DUMMYFUNCTION("""COMPUTED_VALUE"""),45992.0)</f>
        <v>45992</v>
      </c>
      <c r="C6667" s="1" t="str">
        <f>IFERROR(__xludf.DUMMYFUNCTION("""COMPUTED_VALUE"""),"Print Support")</f>
        <v>Print Support</v>
      </c>
      <c r="D6667" s="1" t="str">
        <f>IFERROR(__xludf.DUMMYFUNCTION("""COMPUTED_VALUE"""),"98326c76-87c9-4e59-a377-8cc144d863d0")</f>
        <v>98326c76-87c9-4e59-a377-8cc144d863d0</v>
      </c>
      <c r="E6667" s="1">
        <f>IFERROR(__xludf.DUMMYFUNCTION("""COMPUTED_VALUE"""),5.902016055567E12)</f>
        <v>5902016055567</v>
      </c>
      <c r="F6667" s="1">
        <f>IFERROR(__xludf.DUMMYFUNCTION("""COMPUTED_VALUE"""),2.0)</f>
        <v>2</v>
      </c>
      <c r="G6667" s="1"/>
      <c r="H6667" s="3">
        <f>IFERROR(__xludf.DUMMYFUNCTION("""COMPUTED_VALUE"""),2.0)</f>
        <v>2</v>
      </c>
      <c r="I6667" s="4">
        <f>IFERROR(__xludf.DUMMYFUNCTION("""COMPUTED_VALUE"""),0.0)</f>
        <v>0</v>
      </c>
      <c r="J6667" s="1" t="str">
        <f>IFERROR(__xludf.DUMMYFUNCTION("""COMPUTED_VALUE"""),"Rae Erlano")</f>
        <v>Rae Erlano</v>
      </c>
      <c r="K6667" s="1" t="str">
        <f>IFERROR(__xludf.DUMMYFUNCTION("""COMPUTED_VALUE"""),"Print Support PH")</f>
        <v>Print Support PH</v>
      </c>
      <c r="L6667" s="1" t="str">
        <f>IFERROR(__xludf.DUMMYFUNCTION("""COMPUTED_VALUE"""),"Print Print - SEE")</f>
        <v>Print Print - SEE</v>
      </c>
    </row>
    <row r="6668">
      <c r="A6668" s="1" t="str">
        <f>IFERROR(__xludf.DUMMYFUNCTION("""COMPUTED_VALUE"""),"2025 Dec")</f>
        <v>2025 Dec</v>
      </c>
      <c r="B6668" s="2">
        <f>IFERROR(__xludf.DUMMYFUNCTION("""COMPUTED_VALUE"""),45992.0)</f>
        <v>45992</v>
      </c>
      <c r="C6668" s="1" t="str">
        <f>IFERROR(__xludf.DUMMYFUNCTION("""COMPUTED_VALUE"""),"Print Support")</f>
        <v>Print Support</v>
      </c>
      <c r="D6668" s="1" t="str">
        <f>IFERROR(__xludf.DUMMYFUNCTION("""COMPUTED_VALUE"""),"233133e3-a3d0-492d-bb55-8a7c4ffc4966")</f>
        <v>233133e3-a3d0-492d-bb55-8a7c4ffc4966</v>
      </c>
      <c r="E6668" s="1">
        <f>IFERROR(__xludf.DUMMYFUNCTION("""COMPUTED_VALUE"""),5.902016026895E12)</f>
        <v>5902016026895</v>
      </c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IFERROR(__xludf.DUMMYFUNCTION("""COMPUTED_VALUE"""),"Althea Mercado")</f>
        <v>Althea Mercado</v>
      </c>
      <c r="K6668" s="1" t="str">
        <f>IFERROR(__xludf.DUMMYFUNCTION("""COMPUTED_VALUE"""),"Print Support PH")</f>
        <v>Print Support PH</v>
      </c>
      <c r="L6668" s="1" t="str">
        <f>IFERROR(__xludf.DUMMYFUNCTION("""COMPUTED_VALUE"""),"Print Print - CHT")</f>
        <v>Print Print - CHT</v>
      </c>
    </row>
    <row r="6669">
      <c r="A6669" s="1" t="str">
        <f>IFERROR(__xludf.DUMMYFUNCTION("""COMPUTED_VALUE"""),"2025 Dec")</f>
        <v>2025 Dec</v>
      </c>
      <c r="B6669" s="2">
        <f>IFERROR(__xludf.DUMMYFUNCTION("""COMPUTED_VALUE"""),45992.0)</f>
        <v>45992</v>
      </c>
      <c r="C6669" s="1" t="str">
        <f>IFERROR(__xludf.DUMMYFUNCTION("""COMPUTED_VALUE"""),"Print Support")</f>
        <v>Print Support</v>
      </c>
      <c r="D6669" s="1" t="str">
        <f>IFERROR(__xludf.DUMMYFUNCTION("""COMPUTED_VALUE"""),"0dc0eea0-be83-425b-9b40-b42bc444972b")</f>
        <v>0dc0eea0-be83-425b-9b40-b42bc444972b</v>
      </c>
      <c r="E6669" s="1"/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IFERROR(__xludf.DUMMYFUNCTION("""COMPUTED_VALUE"""),"G-Anne Murillo")</f>
        <v>G-Anne Murillo</v>
      </c>
      <c r="K6669" s="1" t="str">
        <f>IFERROR(__xludf.DUMMYFUNCTION("""COMPUTED_VALUE"""),"Print Design Support")</f>
        <v>Print Design Support</v>
      </c>
      <c r="L6669" s="1" t="str">
        <f>IFERROR(__xludf.DUMMYFUNCTION("""COMPUTED_VALUE"""),"Print Print Design")</f>
        <v>Print Print Design</v>
      </c>
    </row>
    <row r="6670">
      <c r="A6670" s="1" t="str">
        <f>IFERROR(__xludf.DUMMYFUNCTION("""COMPUTED_VALUE"""),"2025 Dec")</f>
        <v>2025 Dec</v>
      </c>
      <c r="B6670" s="2">
        <f>IFERROR(__xludf.DUMMYFUNCTION("""COMPUTED_VALUE"""),45992.0)</f>
        <v>45992</v>
      </c>
      <c r="C6670" s="1" t="str">
        <f>IFERROR(__xludf.DUMMYFUNCTION("""COMPUTED_VALUE"""),"Print Support")</f>
        <v>Print Support</v>
      </c>
      <c r="D6670" s="1" t="str">
        <f>IFERROR(__xludf.DUMMYFUNCTION("""COMPUTED_VALUE"""),"9721fddb-68a3-4642-ad70-9c123debd6c5")</f>
        <v>9721fddb-68a3-4642-ad70-9c123debd6c5</v>
      </c>
      <c r="E6670" s="1">
        <f>IFERROR(__xludf.DUMMYFUNCTION("""COMPUTED_VALUE"""),5.202379069967E12)</f>
        <v>5202379069967</v>
      </c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IFERROR(__xludf.DUMMYFUNCTION("""COMPUTED_VALUE"""),"Jen Momo")</f>
        <v>Jen Momo</v>
      </c>
      <c r="K6670" s="1" t="str">
        <f>IFERROR(__xludf.DUMMYFUNCTION("""COMPUTED_VALUE"""),"Print Support PH")</f>
        <v>Print Support PH</v>
      </c>
      <c r="L6670" s="1" t="str">
        <f>IFERROR(__xludf.DUMMYFUNCTION("""COMPUTED_VALUE"""),"Print Print - CHT")</f>
        <v>Print Print - CHT</v>
      </c>
    </row>
    <row r="6671">
      <c r="A6671" s="1" t="str">
        <f>IFERROR(__xludf.DUMMYFUNCTION("""COMPUTED_VALUE"""),"2025 Dec")</f>
        <v>2025 Dec</v>
      </c>
      <c r="B6671" s="2">
        <f>IFERROR(__xludf.DUMMYFUNCTION("""COMPUTED_VALUE"""),45992.0)</f>
        <v>45992</v>
      </c>
      <c r="C6671" s="1" t="str">
        <f>IFERROR(__xludf.DUMMYFUNCTION("""COMPUTED_VALUE"""),"Core Product Support")</f>
        <v>Core Product Support</v>
      </c>
      <c r="D6671" s="1" t="str">
        <f>IFERROR(__xludf.DUMMYFUNCTION("""COMPUTED_VALUE"""),"63913765-f42c-45e4-8f9a-eb96d52c2d61")</f>
        <v>63913765-f42c-45e4-8f9a-eb96d52c2d61</v>
      </c>
      <c r="E6671" s="1">
        <f>IFERROR(__xludf.DUMMYFUNCTION("""COMPUTED_VALUE"""),1.0333018822031E13)</f>
        <v>10333018822031</v>
      </c>
      <c r="F6671" s="1">
        <f>IFERROR(__xludf.DUMMYFUNCTION("""COMPUTED_VALUE"""),2.0)</f>
        <v>2</v>
      </c>
      <c r="G6671" s="1"/>
      <c r="H6671" s="3">
        <f>IFERROR(__xludf.DUMMYFUNCTION("""COMPUTED_VALUE"""),2.0)</f>
        <v>2</v>
      </c>
      <c r="I6671" s="4">
        <f>IFERROR(__xludf.DUMMYFUNCTION("""COMPUTED_VALUE"""),0.0)</f>
        <v>0</v>
      </c>
      <c r="J6671" s="1" t="str">
        <f>IFERROR(__xludf.DUMMYFUNCTION("""COMPUTED_VALUE"""),"Vinz Lazaro")</f>
        <v>Vinz Lazaro</v>
      </c>
      <c r="K6671" s="1" t="str">
        <f>IFERROR(__xludf.DUMMYFUNCTION("""COMPUTED_VALUE"""),"Advanced Product Support")</f>
        <v>Advanced Product Support</v>
      </c>
      <c r="L6671" s="1" t="str">
        <f>IFERROR(__xludf.DUMMYFUNCTION("""COMPUTED_VALUE"""),"CPS Advanced Product Support (APS)")</f>
        <v>CPS Advanced Product Support (APS)</v>
      </c>
    </row>
    <row r="6672">
      <c r="A6672" s="1" t="str">
        <f>IFERROR(__xludf.DUMMYFUNCTION("""COMPUTED_VALUE"""),"2025 Dec")</f>
        <v>2025 Dec</v>
      </c>
      <c r="B6672" s="2">
        <f>IFERROR(__xludf.DUMMYFUNCTION("""COMPUTED_VALUE"""),45992.0)</f>
        <v>45992</v>
      </c>
      <c r="C6672" s="1" t="str">
        <f>IFERROR(__xludf.DUMMYFUNCTION("""COMPUTED_VALUE"""),"Core Product Support")</f>
        <v>Core Product Support</v>
      </c>
      <c r="D6672" s="1" t="str">
        <f>IFERROR(__xludf.DUMMYFUNCTION("""COMPUTED_VALUE"""),"ab157f99-7ffd-4d9d-9c79-c3cf66911088")</f>
        <v>ab157f99-7ffd-4d9d-9c79-c3cf66911088</v>
      </c>
      <c r="E6672" s="1">
        <f>IFERROR(__xludf.DUMMYFUNCTION("""COMPUTED_VALUE"""),3.61731646775E11)</f>
        <v>361731646775</v>
      </c>
      <c r="F6672" s="1"/>
      <c r="G6672" s="1">
        <f>IFERROR(__xludf.DUMMYFUNCTION("""COMPUTED_VALUE"""),3.75)</f>
        <v>3.75</v>
      </c>
      <c r="H6672" s="3">
        <f>IFERROR(__xludf.DUMMYFUNCTION("""COMPUTED_VALUE"""),3.75)</f>
        <v>3.75</v>
      </c>
      <c r="I6672" s="4">
        <f>IFERROR(__xludf.DUMMYFUNCTION("""COMPUTED_VALUE"""),1.0)</f>
        <v>1</v>
      </c>
      <c r="J6672" s="1" t="str">
        <f>IFERROR(__xludf.DUMMYFUNCTION("""COMPUTED_VALUE"""),"Sieg Ballelos")</f>
        <v>Sieg Ballelos</v>
      </c>
      <c r="K6672" s="1" t="str">
        <f>IFERROR(__xludf.DUMMYFUNCTION("""COMPUTED_VALUE"""),"Core Product Support Escalation Team")</f>
        <v>Core Product Support Escalation Team</v>
      </c>
      <c r="L6672" s="1" t="str">
        <f>IFERROR(__xludf.DUMMYFUNCTION("""COMPUTED_VALUE"""),"CPS Core Product Support Escalations (CPSET)")</f>
        <v>CPS Core Product Support Escalations (CPSET)</v>
      </c>
    </row>
    <row r="6673">
      <c r="A6673" s="1" t="str">
        <f>IFERROR(__xludf.DUMMYFUNCTION("""COMPUTED_VALUE"""),"2025 Dec")</f>
        <v>2025 Dec</v>
      </c>
      <c r="B6673" s="2">
        <f>IFERROR(__xludf.DUMMYFUNCTION("""COMPUTED_VALUE"""),45992.0)</f>
        <v>45992</v>
      </c>
      <c r="C6673" s="1" t="str">
        <f>IFERROR(__xludf.DUMMYFUNCTION("""COMPUTED_VALUE"""),"Admin Support")</f>
        <v>Admin Support</v>
      </c>
      <c r="D6673" s="1" t="str">
        <f>IFERROR(__xludf.DUMMYFUNCTION("""COMPUTED_VALUE"""),"eb8376ed-4cf6-4826-b5fb-2b6844150189")</f>
        <v>eb8376ed-4cf6-4826-b5fb-2b6844150189</v>
      </c>
      <c r="E6673" s="1">
        <f>IFERROR(__xludf.DUMMYFUNCTION("""COMPUTED_VALUE"""),3.61731516535E11)</f>
        <v>361731516535</v>
      </c>
      <c r="F6673" s="1"/>
      <c r="G6673" s="1">
        <f>IFERROR(__xludf.DUMMYFUNCTION("""COMPUTED_VALUE"""),6.75)</f>
        <v>6.75</v>
      </c>
      <c r="H6673" s="3">
        <f>IFERROR(__xludf.DUMMYFUNCTION("""COMPUTED_VALUE"""),6.75)</f>
        <v>6.75</v>
      </c>
      <c r="I6673" s="4">
        <f>IFERROR(__xludf.DUMMYFUNCTION("""COMPUTED_VALUE"""),1.0)</f>
        <v>1</v>
      </c>
      <c r="J6673" s="1" t="str">
        <f>IFERROR(__xludf.DUMMYFUNCTION("""COMPUTED_VALUE"""),"Pau Palmero")</f>
        <v>Pau Palmero</v>
      </c>
      <c r="K6673" s="1" t="str">
        <f>IFERROR(__xludf.DUMMYFUNCTION("""COMPUTED_VALUE"""),"Admin Support PH CEDD")</f>
        <v>Admin Support PH CEDD</v>
      </c>
      <c r="L6673" s="1" t="str">
        <f>IFERROR(__xludf.DUMMYFUNCTION("""COMPUTED_VALUE"""),"Admin CEDD Apps,Admin CEDD Inbox Mgt")</f>
        <v>Admin CEDD Apps,Admin CEDD Inbox Mgt</v>
      </c>
    </row>
    <row r="6674">
      <c r="A6674" s="1" t="str">
        <f>IFERROR(__xludf.DUMMYFUNCTION("""COMPUTED_VALUE"""),"2025 Dec")</f>
        <v>2025 Dec</v>
      </c>
      <c r="B6674" s="2">
        <f>IFERROR(__xludf.DUMMYFUNCTION("""COMPUTED_VALUE"""),45992.0)</f>
        <v>45992</v>
      </c>
      <c r="C6674" s="1" t="str">
        <f>IFERROR(__xludf.DUMMYFUNCTION("""COMPUTED_VALUE"""),"Segment-specific Support")</f>
        <v>Segment-specific Support</v>
      </c>
      <c r="D6674" s="1" t="str">
        <f>IFERROR(__xludf.DUMMYFUNCTION("""COMPUTED_VALUE"""),"5f0cce5a-c29c-416c-a9e9-e7e3fa282c8a")</f>
        <v>5f0cce5a-c29c-416c-a9e9-e7e3fa282c8a</v>
      </c>
      <c r="E6674" s="1">
        <f>IFERROR(__xludf.DUMMYFUNCTION("""COMPUTED_VALUE"""),9.903289405711E12)</f>
        <v>9903289405711</v>
      </c>
      <c r="F6674" s="1">
        <f>IFERROR(__xludf.DUMMYFUNCTION("""COMPUTED_VALUE"""),0.5)</f>
        <v>0.5</v>
      </c>
      <c r="G6674" s="1"/>
      <c r="H6674" s="3">
        <f>IFERROR(__xludf.DUMMYFUNCTION("""COMPUTED_VALUE"""),0.5)</f>
        <v>0.5</v>
      </c>
      <c r="I6674" s="4">
        <f>IFERROR(__xludf.DUMMYFUNCTION("""COMPUTED_VALUE"""),0.0)</f>
        <v>0</v>
      </c>
      <c r="J6674" s="1" t="str">
        <f>IFERROR(__xludf.DUMMYFUNCTION("""COMPUTED_VALUE"""),"Jonathan Dimaculangan")</f>
        <v>Jonathan Dimaculangan</v>
      </c>
      <c r="K6674" s="1" t="str">
        <f>IFERROR(__xludf.DUMMYFUNCTION("""COMPUTED_VALUE"""),"Flourish Support")</f>
        <v>Flourish Support</v>
      </c>
      <c r="L6674" s="1" t="str">
        <f>IFERROR(__xludf.DUMMYFUNCTION("""COMPUTED_VALUE"""),"SSS Flourish")</f>
        <v>SSS Flourish</v>
      </c>
    </row>
    <row r="6675">
      <c r="A6675" s="1" t="str">
        <f>IFERROR(__xludf.DUMMYFUNCTION("""COMPUTED_VALUE"""),"2025 Dec")</f>
        <v>2025 Dec</v>
      </c>
      <c r="B6675" s="2">
        <f>IFERROR(__xludf.DUMMYFUNCTION("""COMPUTED_VALUE"""),45992.0)</f>
        <v>45992</v>
      </c>
      <c r="C6675" s="1" t="str">
        <f>IFERROR(__xludf.DUMMYFUNCTION("""COMPUTED_VALUE"""),"Core Product Support")</f>
        <v>Core Product Support</v>
      </c>
      <c r="D6675" s="1" t="str">
        <f>IFERROR(__xludf.DUMMYFUNCTION("""COMPUTED_VALUE"""),"618f1bf8-5458-45df-85f7-93c4f29332f8")</f>
        <v>618f1bf8-5458-45df-85f7-93c4f29332f8</v>
      </c>
      <c r="E6675" s="1">
        <f>IFERROR(__xludf.DUMMYFUNCTION("""COMPUTED_VALUE"""),3.61724667256E11)</f>
        <v>361724667256</v>
      </c>
      <c r="F6675" s="1"/>
      <c r="G6675" s="1">
        <f>IFERROR(__xludf.DUMMYFUNCTION("""COMPUTED_VALUE"""),5.5)</f>
        <v>5.5</v>
      </c>
      <c r="H6675" s="3">
        <f>IFERROR(__xludf.DUMMYFUNCTION("""COMPUTED_VALUE"""),5.5)</f>
        <v>5.5</v>
      </c>
      <c r="I6675" s="4">
        <f>IFERROR(__xludf.DUMMYFUNCTION("""COMPUTED_VALUE"""),1.0)</f>
        <v>1</v>
      </c>
      <c r="J6675" s="1" t="str">
        <f>IFERROR(__xludf.DUMMYFUNCTION("""COMPUTED_VALUE"""),"Ellaine Estayo")</f>
        <v>Ellaine Estayo</v>
      </c>
      <c r="K6675" s="1" t="str">
        <f>IFERROR(__xludf.DUMMYFUNCTION("""COMPUTED_VALUE"""),"Core Product Support Escalation Team")</f>
        <v>Core Product Support Escalation Team</v>
      </c>
      <c r="L6675" s="1" t="str">
        <f>IFERROR(__xludf.DUMMYFUNCTION("""COMPUTED_VALUE"""),"CPS Core Product Support Escalations (CPSET)")</f>
        <v>CPS Core Product Support Escalations (CPSET)</v>
      </c>
    </row>
    <row r="6676">
      <c r="A6676" s="1" t="str">
        <f>IFERROR(__xludf.DUMMYFUNCTION("""COMPUTED_VALUE"""),"2025 Dec")</f>
        <v>2025 Dec</v>
      </c>
      <c r="B6676" s="2">
        <f>IFERROR(__xludf.DUMMYFUNCTION("""COMPUTED_VALUE"""),45992.0)</f>
        <v>45992</v>
      </c>
      <c r="C6676" s="1" t="str">
        <f>IFERROR(__xludf.DUMMYFUNCTION("""COMPUTED_VALUE"""),"Print Support")</f>
        <v>Print Support</v>
      </c>
      <c r="D6676" s="1" t="str">
        <f>IFERROR(__xludf.DUMMYFUNCTION("""COMPUTED_VALUE"""),"9e452879-93e7-461c-b1a1-1bd079930eb2")</f>
        <v>9e452879-93e7-461c-b1a1-1bd079930eb2</v>
      </c>
      <c r="E6676" s="1">
        <f>IFERROR(__xludf.DUMMYFUNCTION("""COMPUTED_VALUE"""),1.0548609842831E13)</f>
        <v>10548609842831</v>
      </c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IFERROR(__xludf.DUMMYFUNCTION("""COMPUTED_VALUE"""),"Rae Erlano")</f>
        <v>Rae Erlano</v>
      </c>
      <c r="K6676" s="1" t="str">
        <f>IFERROR(__xludf.DUMMYFUNCTION("""COMPUTED_VALUE"""),"Print Support PH")</f>
        <v>Print Support PH</v>
      </c>
      <c r="L6676" s="1" t="str">
        <f>IFERROR(__xludf.DUMMYFUNCTION("""COMPUTED_VALUE"""),"Print Print - CHT")</f>
        <v>Print Print - CHT</v>
      </c>
    </row>
    <row r="6677">
      <c r="A6677" s="1" t="str">
        <f>IFERROR(__xludf.DUMMYFUNCTION("""COMPUTED_VALUE"""),"2025 Dec")</f>
        <v>2025 Dec</v>
      </c>
      <c r="B6677" s="2">
        <f>IFERROR(__xludf.DUMMYFUNCTION("""COMPUTED_VALUE"""),45992.0)</f>
        <v>45992</v>
      </c>
      <c r="C6677" s="1" t="str">
        <f>IFERROR(__xludf.DUMMYFUNCTION("""COMPUTED_VALUE"""),"Core Product Support")</f>
        <v>Core Product Support</v>
      </c>
      <c r="D6677" s="1" t="str">
        <f>IFERROR(__xludf.DUMMYFUNCTION("""COMPUTED_VALUE"""),"2a3cbb81-c61e-4e7d-8a9e-ed241403cd4d")</f>
        <v>2a3cbb81-c61e-4e7d-8a9e-ed241403cd4d</v>
      </c>
      <c r="E6677" s="1">
        <f>IFERROR(__xludf.DUMMYFUNCTION("""COMPUTED_VALUE"""),1.0333033832463E13)</f>
        <v>10333033832463</v>
      </c>
      <c r="F6677" s="1">
        <f>IFERROR(__xludf.DUMMYFUNCTION("""COMPUTED_VALUE"""),0.5)</f>
        <v>0.5</v>
      </c>
      <c r="G6677" s="1"/>
      <c r="H6677" s="3">
        <f>IFERROR(__xludf.DUMMYFUNCTION("""COMPUTED_VALUE"""),0.5)</f>
        <v>0.5</v>
      </c>
      <c r="I6677" s="4">
        <f>IFERROR(__xludf.DUMMYFUNCTION("""COMPUTED_VALUE"""),0.0)</f>
        <v>0</v>
      </c>
      <c r="J6677" s="1" t="str">
        <f>IFERROR(__xludf.DUMMYFUNCTION("""COMPUTED_VALUE"""),"Marie Mordeno")</f>
        <v>Marie Mordeno</v>
      </c>
      <c r="K6677" s="1" t="str">
        <f>IFERROR(__xludf.DUMMYFUNCTION("""COMPUTED_VALUE"""),"Advanced Billing &amp; Subscriptions")</f>
        <v>Advanced Billing &amp; Subscriptions</v>
      </c>
      <c r="L6677" s="1" t="str">
        <f>IFERROR(__xludf.DUMMYFUNCTION("""COMPUTED_VALUE"""),"CPS Advanced Billing and Subscriptions (ABS)")</f>
        <v>CPS Advanced Billing and Subscriptions (ABS)</v>
      </c>
    </row>
    <row r="6678">
      <c r="A6678" s="1" t="str">
        <f>IFERROR(__xludf.DUMMYFUNCTION("""COMPUTED_VALUE"""),"2025 Dec")</f>
        <v>2025 Dec</v>
      </c>
      <c r="B6678" s="2">
        <f>IFERROR(__xludf.DUMMYFUNCTION("""COMPUTED_VALUE"""),45992.0)</f>
        <v>45992</v>
      </c>
      <c r="C6678" s="1" t="str">
        <f>IFERROR(__xludf.DUMMYFUNCTION("""COMPUTED_VALUE"""),"Print Support")</f>
        <v>Print Support</v>
      </c>
      <c r="D6678" s="1" t="str">
        <f>IFERROR(__xludf.DUMMYFUNCTION("""COMPUTED_VALUE"""),"b9ec9518-1035-4039-9e89-56312867ff3e")</f>
        <v>b9ec9518-1035-4039-9e89-56312867ff3e</v>
      </c>
      <c r="E6678" s="1">
        <f>IFERROR(__xludf.DUMMYFUNCTION("""COMPUTED_VALUE"""),1.0548609971215E13)</f>
        <v>10548609971215</v>
      </c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IFERROR(__xludf.DUMMYFUNCTION("""COMPUTED_VALUE"""),"Ann Dumlao")</f>
        <v>Ann Dumlao</v>
      </c>
      <c r="K6678" s="1" t="str">
        <f>IFERROR(__xludf.DUMMYFUNCTION("""COMPUTED_VALUE"""),"Print Support PH")</f>
        <v>Print Support PH</v>
      </c>
      <c r="L6678" s="1" t="str">
        <f>IFERROR(__xludf.DUMMYFUNCTION("""COMPUTED_VALUE"""),"Print Print - CHT")</f>
        <v>Print Print - CHT</v>
      </c>
    </row>
    <row r="6679">
      <c r="A6679" s="1" t="str">
        <f>IFERROR(__xludf.DUMMYFUNCTION("""COMPUTED_VALUE"""),"2025 Dec")</f>
        <v>2025 Dec</v>
      </c>
      <c r="B6679" s="2">
        <f>IFERROR(__xludf.DUMMYFUNCTION("""COMPUTED_VALUE"""),45992.0)</f>
        <v>45992</v>
      </c>
      <c r="C6679" s="1" t="str">
        <f>IFERROR(__xludf.DUMMYFUNCTION("""COMPUTED_VALUE"""),"Core Product Support")</f>
        <v>Core Product Support</v>
      </c>
      <c r="D6679" s="1" t="str">
        <f>IFERROR(__xludf.DUMMYFUNCTION("""COMPUTED_VALUE"""),"b80ae9d0-5920-40ea-8338-5b197b10c2ea")</f>
        <v>b80ae9d0-5920-40ea-8338-5b197b10c2ea</v>
      </c>
      <c r="E6679" s="1">
        <f>IFERROR(__xludf.DUMMYFUNCTION("""COMPUTED_VALUE"""),3.61857411916E11)</f>
        <v>361857411916</v>
      </c>
      <c r="F6679" s="1">
        <f>IFERROR(__xludf.DUMMYFUNCTION("""COMPUTED_VALUE"""),0.5)</f>
        <v>0.5</v>
      </c>
      <c r="G6679" s="1"/>
      <c r="H6679" s="3">
        <f>IFERROR(__xludf.DUMMYFUNCTION("""COMPUTED_VALUE"""),0.5)</f>
        <v>0.5</v>
      </c>
      <c r="I6679" s="4">
        <f>IFERROR(__xludf.DUMMYFUNCTION("""COMPUTED_VALUE"""),0.0)</f>
        <v>0</v>
      </c>
      <c r="J6679" s="1" t="str">
        <f>IFERROR(__xludf.DUMMYFUNCTION("""COMPUTED_VALUE"""),"Vianca De Jesus")</f>
        <v>Vianca De Jesus</v>
      </c>
      <c r="K6679" s="1" t="str">
        <f>IFERROR(__xludf.DUMMYFUNCTION("""COMPUTED_VALUE"""),"Advanced Chat Support")</f>
        <v>Advanced Chat Support</v>
      </c>
      <c r="L6679" s="1" t="str">
        <f>IFERROR(__xludf.DUMMYFUNCTION("""COMPUTED_VALUE"""),"CPS Advanced Chat Support (ACS)")</f>
        <v>CPS Advanced Chat Support (ACS)</v>
      </c>
    </row>
    <row r="6680">
      <c r="A6680" s="1" t="str">
        <f>IFERROR(__xludf.DUMMYFUNCTION("""COMPUTED_VALUE"""),"2025 Dec")</f>
        <v>2025 Dec</v>
      </c>
      <c r="B6680" s="2">
        <f>IFERROR(__xludf.DUMMYFUNCTION("""COMPUTED_VALUE"""),45992.0)</f>
        <v>45992</v>
      </c>
      <c r="C6680" s="1" t="str">
        <f>IFERROR(__xludf.DUMMYFUNCTION("""COMPUTED_VALUE"""),"Print Support")</f>
        <v>Print Support</v>
      </c>
      <c r="D6680" s="1" t="str">
        <f>IFERROR(__xludf.DUMMYFUNCTION("""COMPUTED_VALUE"""),"96960398-b413-404a-acdf-c9c07c7a947d")</f>
        <v>96960398-b413-404a-acdf-c9c07c7a947d</v>
      </c>
      <c r="E6680" s="1">
        <f>IFERROR(__xludf.DUMMYFUNCTION("""COMPUTED_VALUE"""),3.61744077956E11)</f>
        <v>361744077956</v>
      </c>
      <c r="F6680" s="1">
        <f>IFERROR(__xludf.DUMMYFUNCTION("""COMPUTED_VALUE"""),2.0)</f>
        <v>2</v>
      </c>
      <c r="G6680" s="1"/>
      <c r="H6680" s="3">
        <f>IFERROR(__xludf.DUMMYFUNCTION("""COMPUTED_VALUE"""),2.0)</f>
        <v>2</v>
      </c>
      <c r="I6680" s="4">
        <f>IFERROR(__xludf.DUMMYFUNCTION("""COMPUTED_VALUE"""),0.0)</f>
        <v>0</v>
      </c>
      <c r="J6680" s="1" t="str">
        <f>IFERROR(__xludf.DUMMYFUNCTION("""COMPUTED_VALUE"""),"Rae Erlano")</f>
        <v>Rae Erlano</v>
      </c>
      <c r="K6680" s="1" t="str">
        <f>IFERROR(__xludf.DUMMYFUNCTION("""COMPUTED_VALUE"""),"Print Support PH")</f>
        <v>Print Support PH</v>
      </c>
      <c r="L6680" s="1" t="str">
        <f>IFERROR(__xludf.DUMMYFUNCTION("""COMPUTED_VALUE"""),"Print Print - SEE")</f>
        <v>Print Print - SEE</v>
      </c>
    </row>
    <row r="6681">
      <c r="A6681" s="1" t="str">
        <f>IFERROR(__xludf.DUMMYFUNCTION("""COMPUTED_VALUE"""),"2025 Dec")</f>
        <v>2025 Dec</v>
      </c>
      <c r="B6681" s="2">
        <f>IFERROR(__xludf.DUMMYFUNCTION("""COMPUTED_VALUE"""),45992.0)</f>
        <v>45992</v>
      </c>
      <c r="C6681" s="1" t="str">
        <f>IFERROR(__xludf.DUMMYFUNCTION("""COMPUTED_VALUE"""),"Print Support")</f>
        <v>Print Support</v>
      </c>
      <c r="D6681" s="1" t="str">
        <f>IFERROR(__xludf.DUMMYFUNCTION("""COMPUTED_VALUE"""),"b85e88a5-e05e-4b99-8314-1a4152e7f993")</f>
        <v>b85e88a5-e05e-4b99-8314-1a4152e7f993</v>
      </c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IFERROR(__xludf.DUMMYFUNCTION("""COMPUTED_VALUE"""),"Rei De Jesus")</f>
        <v>Rei De Jesus</v>
      </c>
      <c r="K6681" s="1" t="str">
        <f>IFERROR(__xludf.DUMMYFUNCTION("""COMPUTED_VALUE"""),"Print Design Support")</f>
        <v>Print Design Support</v>
      </c>
      <c r="L6681" s="1" t="str">
        <f>IFERROR(__xludf.DUMMYFUNCTION("""COMPUTED_VALUE"""),"Print Print Design")</f>
        <v>Print Print Design</v>
      </c>
    </row>
    <row r="6682">
      <c r="A6682" s="1" t="str">
        <f>IFERROR(__xludf.DUMMYFUNCTION("""COMPUTED_VALUE"""),"2025 Dec")</f>
        <v>2025 Dec</v>
      </c>
      <c r="B6682" s="2">
        <f>IFERROR(__xludf.DUMMYFUNCTION("""COMPUTED_VALUE"""),45992.0)</f>
        <v>45992</v>
      </c>
      <c r="C6682" s="1" t="str">
        <f>IFERROR(__xludf.DUMMYFUNCTION("""COMPUTED_VALUE"""),"High Sensitivity Support")</f>
        <v>High Sensitivity Support</v>
      </c>
      <c r="D6682" s="1" t="str">
        <f>IFERROR(__xludf.DUMMYFUNCTION("""COMPUTED_VALUE"""),"f734e8ae-d81c-444b-8238-0989a571ddfc")</f>
        <v>f734e8ae-d81c-444b-8238-0989a571ddfc</v>
      </c>
      <c r="E6682" s="1">
        <f>IFERROR(__xludf.DUMMYFUNCTION("""COMPUTED_VALUE"""),1.0548626331023E13)</f>
        <v>10548626331023</v>
      </c>
      <c r="F6682" s="1">
        <f>IFERROR(__xludf.DUMMYFUNCTION("""COMPUTED_VALUE"""),4.0)</f>
        <v>4</v>
      </c>
      <c r="G6682" s="1"/>
      <c r="H6682" s="3">
        <f>IFERROR(__xludf.DUMMYFUNCTION("""COMPUTED_VALUE"""),4.0)</f>
        <v>4</v>
      </c>
      <c r="I6682" s="4">
        <f>IFERROR(__xludf.DUMMYFUNCTION("""COMPUTED_VALUE"""),0.0)</f>
        <v>0</v>
      </c>
      <c r="J6682" s="1" t="str">
        <f>IFERROR(__xludf.DUMMYFUNCTION("""COMPUTED_VALUE"""),"Xandy Azarcon")</f>
        <v>Xandy Azarcon</v>
      </c>
      <c r="K6682" s="1" t="str">
        <f>IFERROR(__xludf.DUMMYFUNCTION("""COMPUTED_VALUE"""),"High Sensitivity Support PH")</f>
        <v>High Sensitivity Support PH</v>
      </c>
      <c r="L6682" s="1" t="str">
        <f>IFERROR(__xludf.DUMMYFUNCTION("""COMPUTED_VALUE"""),"HSS High Sensitivity Support PH - CHT")</f>
        <v>HSS High Sensitivity Support PH - CHT</v>
      </c>
    </row>
    <row r="6683">
      <c r="A6683" s="1" t="str">
        <f>IFERROR(__xludf.DUMMYFUNCTION("""COMPUTED_VALUE"""),"2025 Dec")</f>
        <v>2025 Dec</v>
      </c>
      <c r="B6683" s="2">
        <f>IFERROR(__xludf.DUMMYFUNCTION("""COMPUTED_VALUE"""),45992.0)</f>
        <v>45992</v>
      </c>
      <c r="C6683" s="1" t="str">
        <f>IFERROR(__xludf.DUMMYFUNCTION("""COMPUTED_VALUE"""),"Admin Support")</f>
        <v>Admin Support</v>
      </c>
      <c r="D6683" s="1" t="str">
        <f>IFERROR(__xludf.DUMMYFUNCTION("""COMPUTED_VALUE"""),"325d8c4b-104e-45b5-8c24-46aee9a25b01")</f>
        <v>325d8c4b-104e-45b5-8c24-46aee9a25b01</v>
      </c>
      <c r="E6683" s="1">
        <f>IFERROR(__xludf.DUMMYFUNCTION("""COMPUTED_VALUE"""),9.582702695695E12)</f>
        <v>9582702695695</v>
      </c>
      <c r="F6683" s="1">
        <f>IFERROR(__xludf.DUMMYFUNCTION("""COMPUTED_VALUE"""),0.5)</f>
        <v>0.5</v>
      </c>
      <c r="G6683" s="1"/>
      <c r="H6683" s="3">
        <f>IFERROR(__xludf.DUMMYFUNCTION("""COMPUTED_VALUE"""),0.5)</f>
        <v>0.5</v>
      </c>
      <c r="I6683" s="4">
        <f>IFERROR(__xludf.DUMMYFUNCTION("""COMPUTED_VALUE"""),0.0)</f>
        <v>0</v>
      </c>
      <c r="J6683" s="1" t="str">
        <f>IFERROR(__xludf.DUMMYFUNCTION("""COMPUTED_VALUE"""),"Tash Kelly")</f>
        <v>Tash Kelly</v>
      </c>
      <c r="K6683" s="1" t="str">
        <f>IFERROR(__xludf.DUMMYFUNCTION("""COMPUTED_VALUE"""),"Admin Support NA")</f>
        <v>Admin Support NA</v>
      </c>
      <c r="L6683" s="1" t="str">
        <f>IFERROR(__xludf.DUMMYFUNCTION("""COMPUTED_VALUE"""),"Admin NA")</f>
        <v>Admin NA</v>
      </c>
    </row>
    <row r="6684">
      <c r="A6684" s="1" t="str">
        <f>IFERROR(__xludf.DUMMYFUNCTION("""COMPUTED_VALUE"""),"2025 Dec")</f>
        <v>2025 Dec</v>
      </c>
      <c r="B6684" s="2">
        <f>IFERROR(__xludf.DUMMYFUNCTION("""COMPUTED_VALUE"""),45992.0)</f>
        <v>45992</v>
      </c>
      <c r="C6684" s="1" t="str">
        <f>IFERROR(__xludf.DUMMYFUNCTION("""COMPUTED_VALUE"""),"High Sensitivity Support")</f>
        <v>High Sensitivity Support</v>
      </c>
      <c r="D6684" s="1" t="str">
        <f>IFERROR(__xludf.DUMMYFUNCTION("""COMPUTED_VALUE"""),"fb99a0f5-9812-4401-a668-2a1e7f339b55")</f>
        <v>fb99a0f5-9812-4401-a668-2a1e7f339b55</v>
      </c>
      <c r="E6684" s="1">
        <f>IFERROR(__xludf.DUMMYFUNCTION("""COMPUTED_VALUE"""),7.235417198991E12)</f>
        <v>7235417198991</v>
      </c>
      <c r="F6684" s="1">
        <f>IFERROR(__xludf.DUMMYFUNCTION("""COMPUTED_VALUE"""),4.0)</f>
        <v>4</v>
      </c>
      <c r="G6684" s="1"/>
      <c r="H6684" s="3">
        <f>IFERROR(__xludf.DUMMYFUNCTION("""COMPUTED_VALUE"""),4.0)</f>
        <v>4</v>
      </c>
      <c r="I6684" s="4">
        <f>IFERROR(__xludf.DUMMYFUNCTION("""COMPUTED_VALUE"""),0.0)</f>
        <v>0</v>
      </c>
      <c r="J6684" s="1" t="str">
        <f>IFERROR(__xludf.DUMMYFUNCTION("""COMPUTED_VALUE"""),"Rex Villamor")</f>
        <v>Rex Villamor</v>
      </c>
      <c r="K6684" s="1" t="str">
        <f>IFERROR(__xludf.DUMMYFUNCTION("""COMPUTED_VALUE"""),"High Sensitivity Support PH")</f>
        <v>High Sensitivity Support PH</v>
      </c>
      <c r="L6684" s="1" t="str">
        <f>IFERROR(__xludf.DUMMYFUNCTION("""COMPUTED_VALUE"""),"HSS High Sensitivity Support PH - CHT")</f>
        <v>HSS High Sensitivity Support PH - CHT</v>
      </c>
    </row>
    <row r="6685">
      <c r="A6685" s="1" t="str">
        <f>IFERROR(__xludf.DUMMYFUNCTION("""COMPUTED_VALUE"""),"2025 Dec")</f>
        <v>2025 Dec</v>
      </c>
      <c r="B6685" s="2">
        <f>IFERROR(__xludf.DUMMYFUNCTION("""COMPUTED_VALUE"""),45992.0)</f>
        <v>45992</v>
      </c>
      <c r="C6685" s="1" t="str">
        <f>IFERROR(__xludf.DUMMYFUNCTION("""COMPUTED_VALUE"""),"Core Product Support")</f>
        <v>Core Product Support</v>
      </c>
      <c r="D6685" s="1" t="str">
        <f>IFERROR(__xludf.DUMMYFUNCTION("""COMPUTED_VALUE"""),"04f92121-45c6-497f-b19a-2be8f0398769")</f>
        <v>04f92121-45c6-497f-b19a-2be8f0398769</v>
      </c>
      <c r="E6685" s="1">
        <f>IFERROR(__xludf.DUMMYFUNCTION("""COMPUTED_VALUE"""),3.61725261016E11)</f>
        <v>361725261016</v>
      </c>
      <c r="F6685" s="1"/>
      <c r="G6685" s="1">
        <f>IFERROR(__xludf.DUMMYFUNCTION("""COMPUTED_VALUE"""),1.0)</f>
        <v>1</v>
      </c>
      <c r="H6685" s="3">
        <f>IFERROR(__xludf.DUMMYFUNCTION("""COMPUTED_VALUE"""),1.0)</f>
        <v>1</v>
      </c>
      <c r="I6685" s="4">
        <f>IFERROR(__xludf.DUMMYFUNCTION("""COMPUTED_VALUE"""),1.0)</f>
        <v>1</v>
      </c>
      <c r="J6685" s="1" t="str">
        <f>IFERROR(__xludf.DUMMYFUNCTION("""COMPUTED_VALUE"""),"Bem Launte")</f>
        <v>Bem Launte</v>
      </c>
      <c r="K6685" s="1" t="str">
        <f>IFERROR(__xludf.DUMMYFUNCTION("""COMPUTED_VALUE"""),"Core Product Support Escalation Team")</f>
        <v>Core Product Support Escalation Team</v>
      </c>
      <c r="L6685" s="1" t="str">
        <f>IFERROR(__xludf.DUMMYFUNCTION("""COMPUTED_VALUE"""),"CPS Core Product Support Escalations (CPSET)")</f>
        <v>CPS Core Product Support Escalations (CPSET)</v>
      </c>
    </row>
    <row r="6686">
      <c r="A6686" s="1" t="str">
        <f>IFERROR(__xludf.DUMMYFUNCTION("""COMPUTED_VALUE"""),"2025 Dec")</f>
        <v>2025 Dec</v>
      </c>
      <c r="B6686" s="2">
        <f>IFERROR(__xludf.DUMMYFUNCTION("""COMPUTED_VALUE"""),45992.0)</f>
        <v>45992</v>
      </c>
      <c r="C6686" s="1" t="str">
        <f>IFERROR(__xludf.DUMMYFUNCTION("""COMPUTED_VALUE"""),"Print Support")</f>
        <v>Print Support</v>
      </c>
      <c r="D6686" s="1" t="str">
        <f>IFERROR(__xludf.DUMMYFUNCTION("""COMPUTED_VALUE"""),"afe991ce-72f0-4a1b-ae15-865b9a416d53")</f>
        <v>afe991ce-72f0-4a1b-ae15-865b9a416d53</v>
      </c>
      <c r="E6686" s="1">
        <f>IFERROR(__xludf.DUMMYFUNCTION("""COMPUTED_VALUE"""),3.61694632195E11)</f>
        <v>361694632195</v>
      </c>
      <c r="F6686" s="1">
        <f>IFERROR(__xludf.DUMMYFUNCTION("""COMPUTED_VALUE"""),2.0)</f>
        <v>2</v>
      </c>
      <c r="G6686" s="1"/>
      <c r="H6686" s="3">
        <f>IFERROR(__xludf.DUMMYFUNCTION("""COMPUTED_VALUE"""),2.0)</f>
        <v>2</v>
      </c>
      <c r="I6686" s="4">
        <f>IFERROR(__xludf.DUMMYFUNCTION("""COMPUTED_VALUE"""),0.0)</f>
        <v>0</v>
      </c>
      <c r="J6686" s="1" t="str">
        <f>IFERROR(__xludf.DUMMYFUNCTION("""COMPUTED_VALUE"""),"Memae Faustino")</f>
        <v>Memae Faustino</v>
      </c>
      <c r="K6686" s="1" t="str">
        <f>IFERROR(__xludf.DUMMYFUNCTION("""COMPUTED_VALUE"""),"Print Support PH")</f>
        <v>Print Support PH</v>
      </c>
      <c r="L6686" s="1" t="str">
        <f>IFERROR(__xludf.DUMMYFUNCTION("""COMPUTED_VALUE"""),"Print Print - SEE")</f>
        <v>Print Print - SEE</v>
      </c>
    </row>
    <row r="6687">
      <c r="A6687" s="1" t="str">
        <f>IFERROR(__xludf.DUMMYFUNCTION("""COMPUTED_VALUE"""),"2025 Dec")</f>
        <v>2025 Dec</v>
      </c>
      <c r="B6687" s="2">
        <f>IFERROR(__xludf.DUMMYFUNCTION("""COMPUTED_VALUE"""),45992.0)</f>
        <v>45992</v>
      </c>
      <c r="C6687" s="1" t="str">
        <f>IFERROR(__xludf.DUMMYFUNCTION("""COMPUTED_VALUE"""),"Print Support")</f>
        <v>Print Support</v>
      </c>
      <c r="D6687" s="1" t="str">
        <f>IFERROR(__xludf.DUMMYFUNCTION("""COMPUTED_VALUE"""),"b0701057-db2b-4208-bb14-e0c4e8b8f1ee")</f>
        <v>b0701057-db2b-4208-bb14-e0c4e8b8f1ee</v>
      </c>
      <c r="E6687" s="1"/>
      <c r="F6687" s="1"/>
      <c r="G6687" s="1">
        <f>IFERROR(__xludf.DUMMYFUNCTION("""COMPUTED_VALUE"""),1.0)</f>
        <v>1</v>
      </c>
      <c r="H6687" s="3">
        <f>IFERROR(__xludf.DUMMYFUNCTION("""COMPUTED_VALUE"""),1.0)</f>
        <v>1</v>
      </c>
      <c r="I6687" s="4">
        <f>IFERROR(__xludf.DUMMYFUNCTION("""COMPUTED_VALUE"""),1.0)</f>
        <v>1</v>
      </c>
      <c r="J6687" s="1" t="str">
        <f>IFERROR(__xludf.DUMMYFUNCTION("""COMPUTED_VALUE"""),"Aliza Dote")</f>
        <v>Aliza Dote</v>
      </c>
      <c r="K6687" s="1" t="str">
        <f>IFERROR(__xludf.DUMMYFUNCTION("""COMPUTED_VALUE"""),"Print Design Support")</f>
        <v>Print Design Support</v>
      </c>
      <c r="L6687" s="1" t="str">
        <f>IFERROR(__xludf.DUMMYFUNCTION("""COMPUTED_VALUE"""),"Print Print Design")</f>
        <v>Print Print Design</v>
      </c>
    </row>
    <row r="6688">
      <c r="A6688" s="1" t="str">
        <f>IFERROR(__xludf.DUMMYFUNCTION("""COMPUTED_VALUE"""),"2025 Dec")</f>
        <v>2025 Dec</v>
      </c>
      <c r="B6688" s="2">
        <f>IFERROR(__xludf.DUMMYFUNCTION("""COMPUTED_VALUE"""),45992.0)</f>
        <v>45992</v>
      </c>
      <c r="C6688" s="1" t="str">
        <f>IFERROR(__xludf.DUMMYFUNCTION("""COMPUTED_VALUE"""),"Core Product Support")</f>
        <v>Core Product Support</v>
      </c>
      <c r="D6688" s="1" t="str">
        <f>IFERROR(__xludf.DUMMYFUNCTION("""COMPUTED_VALUE"""),"e49eb420-7bd7-4503-a1d0-35028e015e43")</f>
        <v>e49eb420-7bd7-4503-a1d0-35028e015e43</v>
      </c>
      <c r="E6688" s="1">
        <f>IFERROR(__xludf.DUMMYFUNCTION("""COMPUTED_VALUE"""),5.047314693263E12)</f>
        <v>5047314693263</v>
      </c>
      <c r="F6688" s="1"/>
      <c r="G6688" s="1">
        <f>IFERROR(__xludf.DUMMYFUNCTION("""COMPUTED_VALUE"""),0.17)</f>
        <v>0.17</v>
      </c>
      <c r="H6688" s="3">
        <f>IFERROR(__xludf.DUMMYFUNCTION("""COMPUTED_VALUE"""),0.17)</f>
        <v>0.17</v>
      </c>
      <c r="I6688" s="4">
        <f>IFERROR(__xludf.DUMMYFUNCTION("""COMPUTED_VALUE"""),1.0)</f>
        <v>1</v>
      </c>
      <c r="J6688" s="1" t="str">
        <f>IFERROR(__xludf.DUMMYFUNCTION("""COMPUTED_VALUE"""),"Cate Velasco")</f>
        <v>Cate Velasco</v>
      </c>
      <c r="K6688" s="1" t="str">
        <f>IFERROR(__xludf.DUMMYFUNCTION("""COMPUTED_VALUE"""),"Advanced Product Support")</f>
        <v>Advanced Product Support</v>
      </c>
      <c r="L6688" s="1" t="str">
        <f>IFERROR(__xludf.DUMMYFUNCTION("""COMPUTED_VALUE"""),"CPS Advanced Product Support (APS)")</f>
        <v>CPS Advanced Product Support (APS)</v>
      </c>
    </row>
    <row r="6689">
      <c r="A6689" s="1" t="str">
        <f>IFERROR(__xludf.DUMMYFUNCTION("""COMPUTED_VALUE"""),"2025 Dec")</f>
        <v>2025 Dec</v>
      </c>
      <c r="B6689" s="2">
        <f>IFERROR(__xludf.DUMMYFUNCTION("""COMPUTED_VALUE"""),45992.0)</f>
        <v>45992</v>
      </c>
      <c r="C6689" s="1" t="str">
        <f>IFERROR(__xludf.DUMMYFUNCTION("""COMPUTED_VALUE"""),"Print Support")</f>
        <v>Print Support</v>
      </c>
      <c r="D6689" s="1" t="str">
        <f>IFERROR(__xludf.DUMMYFUNCTION("""COMPUTED_VALUE"""),"03a2ac9e-65a5-409e-851b-a4c93a003187")</f>
        <v>03a2ac9e-65a5-409e-851b-a4c93a003187</v>
      </c>
      <c r="E6689" s="1">
        <f>IFERROR(__xludf.DUMMYFUNCTION("""COMPUTED_VALUE"""),5.202378807439E12)</f>
        <v>5202378807439</v>
      </c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IFERROR(__xludf.DUMMYFUNCTION("""COMPUTED_VALUE"""),"Louise Dianne Estrella")</f>
        <v>Louise Dianne Estrella</v>
      </c>
      <c r="K6689" s="1" t="str">
        <f>IFERROR(__xludf.DUMMYFUNCTION("""COMPUTED_VALUE"""),"Print Support PH")</f>
        <v>Print Support PH</v>
      </c>
      <c r="L6689" s="1" t="str">
        <f>IFERROR(__xludf.DUMMYFUNCTION("""COMPUTED_VALUE"""),"Print Print - CHT")</f>
        <v>Print Print - CHT</v>
      </c>
    </row>
    <row r="6690">
      <c r="A6690" s="1" t="str">
        <f>IFERROR(__xludf.DUMMYFUNCTION("""COMPUTED_VALUE"""),"2025 Dec")</f>
        <v>2025 Dec</v>
      </c>
      <c r="B6690" s="2">
        <f>IFERROR(__xludf.DUMMYFUNCTION("""COMPUTED_VALUE"""),45992.0)</f>
        <v>45992</v>
      </c>
      <c r="C6690" s="1" t="str">
        <f>IFERROR(__xludf.DUMMYFUNCTION("""COMPUTED_VALUE"""),"Print Support")</f>
        <v>Print Support</v>
      </c>
      <c r="D6690" s="1" t="str">
        <f>IFERROR(__xludf.DUMMYFUNCTION("""COMPUTED_VALUE"""),"f7d8f8dd-7764-471d-8254-300956d0e1c6")</f>
        <v>f7d8f8dd-7764-471d-8254-300956d0e1c6</v>
      </c>
      <c r="E6690" s="1">
        <f>IFERROR(__xludf.DUMMYFUNCTION("""COMPUTED_VALUE"""),3.61750003915E11)</f>
        <v>361750003915</v>
      </c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IFERROR(__xludf.DUMMYFUNCTION("""COMPUTED_VALUE"""),"Ann Dumlao")</f>
        <v>Ann Dumlao</v>
      </c>
      <c r="K6690" s="1" t="str">
        <f>IFERROR(__xludf.DUMMYFUNCTION("""COMPUTED_VALUE"""),"Print Support PH")</f>
        <v>Print Support PH</v>
      </c>
      <c r="L6690" s="1" t="str">
        <f>IFERROR(__xludf.DUMMYFUNCTION("""COMPUTED_VALUE"""),"Print Print - CHT")</f>
        <v>Print Print - CHT</v>
      </c>
    </row>
    <row r="6691">
      <c r="A6691" s="1" t="str">
        <f>IFERROR(__xludf.DUMMYFUNCTION("""COMPUTED_VALUE"""),"2025 Dec")</f>
        <v>2025 Dec</v>
      </c>
      <c r="B6691" s="2">
        <f>IFERROR(__xludf.DUMMYFUNCTION("""COMPUTED_VALUE"""),45992.0)</f>
        <v>45992</v>
      </c>
      <c r="C6691" s="1" t="str">
        <f>IFERROR(__xludf.DUMMYFUNCTION("""COMPUTED_VALUE"""),"Core Product Support")</f>
        <v>Core Product Support</v>
      </c>
      <c r="D6691" s="1" t="str">
        <f>IFERROR(__xludf.DUMMYFUNCTION("""COMPUTED_VALUE"""),"1309ddc0-c081-4df4-b17d-ed2c31b14169")</f>
        <v>1309ddc0-c081-4df4-b17d-ed2c31b14169</v>
      </c>
      <c r="E6691" s="1">
        <f>IFERROR(__xludf.DUMMYFUNCTION("""COMPUTED_VALUE"""),3.61964324516E11)</f>
        <v>361964324516</v>
      </c>
      <c r="F6691" s="1">
        <f>IFERROR(__xludf.DUMMYFUNCTION("""COMPUTED_VALUE"""),0.5)</f>
        <v>0.5</v>
      </c>
      <c r="G6691" s="1"/>
      <c r="H6691" s="3">
        <f>IFERROR(__xludf.DUMMYFUNCTION("""COMPUTED_VALUE"""),0.5)</f>
        <v>0.5</v>
      </c>
      <c r="I6691" s="4">
        <f>IFERROR(__xludf.DUMMYFUNCTION("""COMPUTED_VALUE"""),0.0)</f>
        <v>0</v>
      </c>
      <c r="J6691" s="1" t="str">
        <f>IFERROR(__xludf.DUMMYFUNCTION("""COMPUTED_VALUE"""),"Ayza Marie Pascual")</f>
        <v>Ayza Marie Pascual</v>
      </c>
      <c r="K6691" s="1" t="str">
        <f>IFERROR(__xludf.DUMMYFUNCTION("""COMPUTED_VALUE"""),"Advanced Billing &amp; Subscriptions")</f>
        <v>Advanced Billing &amp; Subscriptions</v>
      </c>
      <c r="L6691" s="1" t="str">
        <f>IFERROR(__xludf.DUMMYFUNCTION("""COMPUTED_VALUE"""),"CPS Advanced Billing and Subscriptions (ABS)")</f>
        <v>CPS Advanced Billing and Subscriptions (ABS)</v>
      </c>
    </row>
    <row r="6692">
      <c r="A6692" s="1" t="str">
        <f>IFERROR(__xludf.DUMMYFUNCTION("""COMPUTED_VALUE"""),"2025 Dec")</f>
        <v>2025 Dec</v>
      </c>
      <c r="B6692" s="2">
        <f>IFERROR(__xludf.DUMMYFUNCTION("""COMPUTED_VALUE"""),45992.0)</f>
        <v>45992</v>
      </c>
      <c r="C6692" s="1" t="str">
        <f>IFERROR(__xludf.DUMMYFUNCTION("""COMPUTED_VALUE"""),"Admin Support")</f>
        <v>Admin Support</v>
      </c>
      <c r="D6692" s="1" t="str">
        <f>IFERROR(__xludf.DUMMYFUNCTION("""COMPUTED_VALUE"""),"7cdd4051-dd81-4e04-a905-67a7a6826826")</f>
        <v>7cdd4051-dd81-4e04-a905-67a7a6826826</v>
      </c>
      <c r="E6692" s="1">
        <f>IFERROR(__xludf.DUMMYFUNCTION("""COMPUTED_VALUE"""),9.795895003151E12)</f>
        <v>9795895003151</v>
      </c>
      <c r="F6692" s="1"/>
      <c r="G6692" s="1">
        <f>IFERROR(__xludf.DUMMYFUNCTION("""COMPUTED_VALUE"""),1.75)</f>
        <v>1.75</v>
      </c>
      <c r="H6692" s="3">
        <f>IFERROR(__xludf.DUMMYFUNCTION("""COMPUTED_VALUE"""),1.75)</f>
        <v>1.75</v>
      </c>
      <c r="I6692" s="4">
        <f>IFERROR(__xludf.DUMMYFUNCTION("""COMPUTED_VALUE"""),1.0)</f>
        <v>1</v>
      </c>
      <c r="J6692" s="1" t="str">
        <f>IFERROR(__xludf.DUMMYFUNCTION("""COMPUTED_VALUE"""),"Kelden Laguting")</f>
        <v>Kelden Laguting</v>
      </c>
      <c r="K6692" s="1" t="str">
        <f>IFERROR(__xludf.DUMMYFUNCTION("""COMPUTED_VALUE"""),"Admin Support PH")</f>
        <v>Admin Support PH</v>
      </c>
      <c r="L6692" s="1" t="str">
        <f>IFERROR(__xludf.DUMMYFUNCTION("""COMPUTED_VALUE"""),"Admin PH")</f>
        <v>Admin PH</v>
      </c>
    </row>
    <row r="6693">
      <c r="A6693" s="1" t="str">
        <f>IFERROR(__xludf.DUMMYFUNCTION("""COMPUTED_VALUE"""),"2025 Dec")</f>
        <v>2025 Dec</v>
      </c>
      <c r="B6693" s="2">
        <f>IFERROR(__xludf.DUMMYFUNCTION("""COMPUTED_VALUE"""),45992.0)</f>
        <v>45992</v>
      </c>
      <c r="C6693" s="1" t="str">
        <f>IFERROR(__xludf.DUMMYFUNCTION("""COMPUTED_VALUE"""),"Core Product Support")</f>
        <v>Core Product Support</v>
      </c>
      <c r="D6693" s="1" t="str">
        <f>IFERROR(__xludf.DUMMYFUNCTION("""COMPUTED_VALUE"""),"4829712e-df33-4828-83e5-b005d53d0ece")</f>
        <v>4829712e-df33-4828-83e5-b005d53d0ece</v>
      </c>
      <c r="E6693" s="1">
        <f>IFERROR(__xludf.DUMMYFUNCTION("""COMPUTED_VALUE"""),3.61861297795E11)</f>
        <v>361861297795</v>
      </c>
      <c r="F6693" s="1">
        <f>IFERROR(__xludf.DUMMYFUNCTION("""COMPUTED_VALUE"""),0.5)</f>
        <v>0.5</v>
      </c>
      <c r="G6693" s="1">
        <f>IFERROR(__xludf.DUMMYFUNCTION("""COMPUTED_VALUE"""),2.0)</f>
        <v>2</v>
      </c>
      <c r="H6693" s="3">
        <f>IFERROR(__xludf.DUMMYFUNCTION("""COMPUTED_VALUE"""),2.5)</f>
        <v>2.5</v>
      </c>
      <c r="I6693" s="4">
        <f>IFERROR(__xludf.DUMMYFUNCTION("""COMPUTED_VALUE"""),0.8)</f>
        <v>0.8</v>
      </c>
      <c r="J6693" s="1" t="str">
        <f>IFERROR(__xludf.DUMMYFUNCTION("""COMPUTED_VALUE"""),"Jahmie Mae Barrameda")</f>
        <v>Jahmie Mae Barrameda</v>
      </c>
      <c r="K6693" s="1" t="str">
        <f>IFERROR(__xludf.DUMMYFUNCTION("""COMPUTED_VALUE"""),"Advanced Billing &amp; Subscriptions")</f>
        <v>Advanced Billing &amp; Subscriptions</v>
      </c>
      <c r="L6693" s="1" t="str">
        <f>IFERROR(__xludf.DUMMYFUNCTION("""COMPUTED_VALUE"""),"CPS Advanced Billing and Subscriptions (ABS)")</f>
        <v>CPS Advanced Billing and Subscriptions (ABS)</v>
      </c>
    </row>
    <row r="6694">
      <c r="A6694" s="1" t="str">
        <f>IFERROR(__xludf.DUMMYFUNCTION("""COMPUTED_VALUE"""),"2025 Dec")</f>
        <v>2025 Dec</v>
      </c>
      <c r="B6694" s="2">
        <f>IFERROR(__xludf.DUMMYFUNCTION("""COMPUTED_VALUE"""),45992.0)</f>
        <v>45992</v>
      </c>
      <c r="C6694" s="1" t="str">
        <f>IFERROR(__xludf.DUMMYFUNCTION("""COMPUTED_VALUE"""),"Print Support")</f>
        <v>Print Support</v>
      </c>
      <c r="D6694" s="1" t="str">
        <f>IFERROR(__xludf.DUMMYFUNCTION("""COMPUTED_VALUE"""),"4bb09346-5fba-40f0-ac06-0b644e9a6f20")</f>
        <v>4bb09346-5fba-40f0-ac06-0b644e9a6f20</v>
      </c>
      <c r="E6694" s="1"/>
      <c r="F6694" s="1"/>
      <c r="G6694" s="1"/>
      <c r="H6694" s="3">
        <f>IFERROR(__xludf.DUMMYFUNCTION("""COMPUTED_VALUE"""),0.0)</f>
        <v>0</v>
      </c>
      <c r="I6694" s="4"/>
      <c r="J6694" s="1" t="str">
        <f>IFERROR(__xludf.DUMMYFUNCTION("""COMPUTED_VALUE"""),"G-Anne Murillo")</f>
        <v>G-Anne Murillo</v>
      </c>
      <c r="K6694" s="1" t="str">
        <f>IFERROR(__xludf.DUMMYFUNCTION("""COMPUTED_VALUE"""),"Print Design Support")</f>
        <v>Print Design Support</v>
      </c>
      <c r="L6694" s="1" t="str">
        <f>IFERROR(__xludf.DUMMYFUNCTION("""COMPUTED_VALUE"""),"Print Print Design")</f>
        <v>Print Print Design</v>
      </c>
    </row>
    <row r="6695">
      <c r="A6695" s="1" t="str">
        <f>IFERROR(__xludf.DUMMYFUNCTION("""COMPUTED_VALUE"""),"2025 Dec")</f>
        <v>2025 Dec</v>
      </c>
      <c r="B6695" s="2">
        <f>IFERROR(__xludf.DUMMYFUNCTION("""COMPUTED_VALUE"""),45992.0)</f>
        <v>45992</v>
      </c>
      <c r="C6695" s="1" t="str">
        <f>IFERROR(__xludf.DUMMYFUNCTION("""COMPUTED_VALUE"""),"Core Product Support")</f>
        <v>Core Product Support</v>
      </c>
      <c r="D6695" s="1" t="str">
        <f>IFERROR(__xludf.DUMMYFUNCTION("""COMPUTED_VALUE"""),"1eb2b14b-89e0-4d0c-8dba-b1677f4e689a")</f>
        <v>1eb2b14b-89e0-4d0c-8dba-b1677f4e689a</v>
      </c>
      <c r="E6695" s="1">
        <f>IFERROR(__xludf.DUMMYFUNCTION("""COMPUTED_VALUE"""),1.0548589296399E13)</f>
        <v>10548589296399</v>
      </c>
      <c r="F6695" s="1"/>
      <c r="G6695" s="1">
        <f>IFERROR(__xludf.DUMMYFUNCTION("""COMPUTED_VALUE"""),1.0)</f>
        <v>1</v>
      </c>
      <c r="H6695" s="3">
        <f>IFERROR(__xludf.DUMMYFUNCTION("""COMPUTED_VALUE"""),1.0)</f>
        <v>1</v>
      </c>
      <c r="I6695" s="4">
        <f>IFERROR(__xludf.DUMMYFUNCTION("""COMPUTED_VALUE"""),1.0)</f>
        <v>1</v>
      </c>
      <c r="J6695" s="1" t="str">
        <f>IFERROR(__xludf.DUMMYFUNCTION("""COMPUTED_VALUE"""),"Jahmie Mae Barrameda")</f>
        <v>Jahmie Mae Barrameda</v>
      </c>
      <c r="K6695" s="1" t="str">
        <f>IFERROR(__xludf.DUMMYFUNCTION("""COMPUTED_VALUE"""),"Advanced Billing &amp; Subscriptions")</f>
        <v>Advanced Billing &amp; Subscriptions</v>
      </c>
      <c r="L6695" s="1" t="str">
        <f>IFERROR(__xludf.DUMMYFUNCTION("""COMPUTED_VALUE"""),"CPS Advanced Billing and Subscriptions (ABS)")</f>
        <v>CPS Advanced Billing and Subscriptions (ABS)</v>
      </c>
    </row>
    <row r="6696">
      <c r="A6696" s="1" t="str">
        <f>IFERROR(__xludf.DUMMYFUNCTION("""COMPUTED_VALUE"""),"2025 Dec")</f>
        <v>2025 Dec</v>
      </c>
      <c r="B6696" s="2">
        <f>IFERROR(__xludf.DUMMYFUNCTION("""COMPUTED_VALUE"""),45992.0)</f>
        <v>45992</v>
      </c>
      <c r="C6696" s="1" t="str">
        <f>IFERROR(__xludf.DUMMYFUNCTION("""COMPUTED_VALUE"""),"Print Support")</f>
        <v>Print Support</v>
      </c>
      <c r="D6696" s="1" t="str">
        <f>IFERROR(__xludf.DUMMYFUNCTION("""COMPUTED_VALUE"""),"02cee4cb-14b3-4217-8b7d-887c2209a7df")</f>
        <v>02cee4cb-14b3-4217-8b7d-887c2209a7df</v>
      </c>
      <c r="E6696" s="1"/>
      <c r="F6696" s="1"/>
      <c r="G6696" s="1"/>
      <c r="H6696" s="3">
        <f>IFERROR(__xludf.DUMMYFUNCTION("""COMPUTED_VALUE"""),0.0)</f>
        <v>0</v>
      </c>
      <c r="I6696" s="4"/>
      <c r="J6696" s="1" t="str">
        <f>IFERROR(__xludf.DUMMYFUNCTION("""COMPUTED_VALUE"""),"Jan Domingo")</f>
        <v>Jan Domingo</v>
      </c>
      <c r="K6696" s="1" t="str">
        <f>IFERROR(__xludf.DUMMYFUNCTION("""COMPUTED_VALUE"""),"Print Design Support")</f>
        <v>Print Design Support</v>
      </c>
      <c r="L6696" s="1" t="str">
        <f>IFERROR(__xludf.DUMMYFUNCTION("""COMPUTED_VALUE"""),"Print Print Design")</f>
        <v>Print Print Design</v>
      </c>
    </row>
    <row r="6697">
      <c r="A6697" s="1" t="str">
        <f>IFERROR(__xludf.DUMMYFUNCTION("""COMPUTED_VALUE"""),"2025 Dec")</f>
        <v>2025 Dec</v>
      </c>
      <c r="B6697" s="2">
        <f>IFERROR(__xludf.DUMMYFUNCTION("""COMPUTED_VALUE"""),45992.0)</f>
        <v>45992</v>
      </c>
      <c r="C6697" s="1" t="str">
        <f>IFERROR(__xludf.DUMMYFUNCTION("""COMPUTED_VALUE"""),"Admin Support")</f>
        <v>Admin Support</v>
      </c>
      <c r="D6697" s="1" t="str">
        <f>IFERROR(__xludf.DUMMYFUNCTION("""COMPUTED_VALUE"""),"7b0ced0a-55fc-49e4-b47c-ffbf2567dce1")</f>
        <v>7b0ced0a-55fc-49e4-b47c-ffbf2567dce1</v>
      </c>
      <c r="E6697" s="1">
        <f>IFERROR(__xludf.DUMMYFUNCTION("""COMPUTED_VALUE"""),3.61725486916E11)</f>
        <v>361725486916</v>
      </c>
      <c r="F6697" s="1"/>
      <c r="G6697" s="1">
        <f>IFERROR(__xludf.DUMMYFUNCTION("""COMPUTED_VALUE"""),2.5)</f>
        <v>2.5</v>
      </c>
      <c r="H6697" s="3">
        <f>IFERROR(__xludf.DUMMYFUNCTION("""COMPUTED_VALUE"""),2.5)</f>
        <v>2.5</v>
      </c>
      <c r="I6697" s="4">
        <f>IFERROR(__xludf.DUMMYFUNCTION("""COMPUTED_VALUE"""),1.0)</f>
        <v>1</v>
      </c>
      <c r="J6697" s="1" t="str">
        <f>IFERROR(__xludf.DUMMYFUNCTION("""COMPUTED_VALUE"""),"Rose Gabilan")</f>
        <v>Rose Gabilan</v>
      </c>
      <c r="K6697" s="1" t="str">
        <f>IFERROR(__xludf.DUMMYFUNCTION("""COMPUTED_VALUE"""),"Admin Support PH SSO")</f>
        <v>Admin Support PH SSO</v>
      </c>
      <c r="L6697" s="1" t="str">
        <f>IFERROR(__xludf.DUMMYFUNCTION("""COMPUTED_VALUE"""),"Admin SSO - CHT")</f>
        <v>Admin SSO - CHT</v>
      </c>
    </row>
    <row r="6698">
      <c r="A6698" s="1" t="str">
        <f>IFERROR(__xludf.DUMMYFUNCTION("""COMPUTED_VALUE"""),"2025 Dec")</f>
        <v>2025 Dec</v>
      </c>
      <c r="B6698" s="2">
        <f>IFERROR(__xludf.DUMMYFUNCTION("""COMPUTED_VALUE"""),45992.0)</f>
        <v>45992</v>
      </c>
      <c r="C6698" s="1" t="str">
        <f>IFERROR(__xludf.DUMMYFUNCTION("""COMPUTED_VALUE"""),"Core Product Support")</f>
        <v>Core Product Support</v>
      </c>
      <c r="D6698" s="1" t="str">
        <f>IFERROR(__xludf.DUMMYFUNCTION("""COMPUTED_VALUE"""),"3d997536-cb7f-49c5-af3e-e19fdf30bffc")</f>
        <v>3d997536-cb7f-49c5-af3e-e19fdf30bffc</v>
      </c>
      <c r="E6698" s="1">
        <f>IFERROR(__xludf.DUMMYFUNCTION("""COMPUTED_VALUE"""),5.047288728079E12)</f>
        <v>5047288728079</v>
      </c>
      <c r="F6698" s="1"/>
      <c r="G6698" s="1">
        <f>IFERROR(__xludf.DUMMYFUNCTION("""COMPUTED_VALUE"""),5.5)</f>
        <v>5.5</v>
      </c>
      <c r="H6698" s="3">
        <f>IFERROR(__xludf.DUMMYFUNCTION("""COMPUTED_VALUE"""),5.5)</f>
        <v>5.5</v>
      </c>
      <c r="I6698" s="4">
        <f>IFERROR(__xludf.DUMMYFUNCTION("""COMPUTED_VALUE"""),1.0)</f>
        <v>1</v>
      </c>
      <c r="J6698" s="1" t="str">
        <f>IFERROR(__xludf.DUMMYFUNCTION("""COMPUTED_VALUE"""),"Ellaine Estayo")</f>
        <v>Ellaine Estayo</v>
      </c>
      <c r="K6698" s="1" t="str">
        <f>IFERROR(__xludf.DUMMYFUNCTION("""COMPUTED_VALUE"""),"Core Product Support Escalation Team")</f>
        <v>Core Product Support Escalation Team</v>
      </c>
      <c r="L6698" s="1" t="str">
        <f>IFERROR(__xludf.DUMMYFUNCTION("""COMPUTED_VALUE"""),"CPS Core Product Support Escalations (CPSET)")</f>
        <v>CPS Core Product Support Escalations (CPSET)</v>
      </c>
    </row>
    <row r="6699">
      <c r="A6699" s="1" t="str">
        <f>IFERROR(__xludf.DUMMYFUNCTION("""COMPUTED_VALUE"""),"2025 Dec")</f>
        <v>2025 Dec</v>
      </c>
      <c r="B6699" s="2">
        <f>IFERROR(__xludf.DUMMYFUNCTION("""COMPUTED_VALUE"""),45992.0)</f>
        <v>45992</v>
      </c>
      <c r="C6699" s="1" t="str">
        <f>IFERROR(__xludf.DUMMYFUNCTION("""COMPUTED_VALUE"""),"Admin Support")</f>
        <v>Admin Support</v>
      </c>
      <c r="D6699" s="1" t="str">
        <f>IFERROR(__xludf.DUMMYFUNCTION("""COMPUTED_VALUE"""),"c7dd845d-4621-4bea-affd-b79e038f7157")</f>
        <v>c7dd845d-4621-4bea-affd-b79e038f7157</v>
      </c>
      <c r="E6699" s="1">
        <f>IFERROR(__xludf.DUMMYFUNCTION("""COMPUTED_VALUE"""),3.61733077235E11)</f>
        <v>361733077235</v>
      </c>
      <c r="F6699" s="1"/>
      <c r="G6699" s="1">
        <f>IFERROR(__xludf.DUMMYFUNCTION("""COMPUTED_VALUE"""),8.25)</f>
        <v>8.25</v>
      </c>
      <c r="H6699" s="3">
        <f>IFERROR(__xludf.DUMMYFUNCTION("""COMPUTED_VALUE"""),8.25)</f>
        <v>8.25</v>
      </c>
      <c r="I6699" s="4">
        <f>IFERROR(__xludf.DUMMYFUNCTION("""COMPUTED_VALUE"""),1.0)</f>
        <v>1</v>
      </c>
      <c r="J6699" s="1" t="str">
        <f>IFERROR(__xludf.DUMMYFUNCTION("""COMPUTED_VALUE"""),"Kelden Laguting")</f>
        <v>Kelden Laguting</v>
      </c>
      <c r="K6699" s="1" t="str">
        <f>IFERROR(__xludf.DUMMYFUNCTION("""COMPUTED_VALUE"""),"Admin Support PH")</f>
        <v>Admin Support PH</v>
      </c>
      <c r="L6699" s="1" t="str">
        <f>IFERROR(__xludf.DUMMYFUNCTION("""COMPUTED_VALUE"""),"Admin PH")</f>
        <v>Admin PH</v>
      </c>
    </row>
    <row r="6700">
      <c r="A6700" s="1" t="str">
        <f>IFERROR(__xludf.DUMMYFUNCTION("""COMPUTED_VALUE"""),"2025 Dec")</f>
        <v>2025 Dec</v>
      </c>
      <c r="B6700" s="2">
        <f>IFERROR(__xludf.DUMMYFUNCTION("""COMPUTED_VALUE"""),45992.0)</f>
        <v>45992</v>
      </c>
      <c r="C6700" s="1" t="str">
        <f>IFERROR(__xludf.DUMMYFUNCTION("""COMPUTED_VALUE"""),"Print Support")</f>
        <v>Print Support</v>
      </c>
      <c r="D6700" s="1" t="str">
        <f>IFERROR(__xludf.DUMMYFUNCTION("""COMPUTED_VALUE"""),"2f47c76e-714d-4a76-a0f8-309c2f542347")</f>
        <v>2f47c76e-714d-4a76-a0f8-309c2f542347</v>
      </c>
      <c r="E6700" s="1">
        <f>IFERROR(__xludf.DUMMYFUNCTION("""COMPUTED_VALUE"""),9.795981813775E12)</f>
        <v>9795981813775</v>
      </c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IFERROR(__xludf.DUMMYFUNCTION("""COMPUTED_VALUE"""),"Ann Dumlao")</f>
        <v>Ann Dumlao</v>
      </c>
      <c r="K6700" s="1" t="str">
        <f>IFERROR(__xludf.DUMMYFUNCTION("""COMPUTED_VALUE"""),"Print Support PH")</f>
        <v>Print Support PH</v>
      </c>
      <c r="L6700" s="1" t="str">
        <f>IFERROR(__xludf.DUMMYFUNCTION("""COMPUTED_VALUE"""),"Print Print - CHT")</f>
        <v>Print Print - CHT</v>
      </c>
    </row>
    <row r="6701">
      <c r="A6701" s="1" t="str">
        <f>IFERROR(__xludf.DUMMYFUNCTION("""COMPUTED_VALUE"""),"2025 Dec")</f>
        <v>2025 Dec</v>
      </c>
      <c r="B6701" s="2">
        <f>IFERROR(__xludf.DUMMYFUNCTION("""COMPUTED_VALUE"""),45992.0)</f>
        <v>45992</v>
      </c>
      <c r="C6701" s="1" t="str">
        <f>IFERROR(__xludf.DUMMYFUNCTION("""COMPUTED_VALUE"""),"Admin Support")</f>
        <v>Admin Support</v>
      </c>
      <c r="D6701" s="1" t="str">
        <f>IFERROR(__xludf.DUMMYFUNCTION("""COMPUTED_VALUE"""),"7e09e164-9198-4707-9738-44a04cc51b7c")</f>
        <v>7e09e164-9198-4707-9738-44a04cc51b7c</v>
      </c>
      <c r="E6701" s="1">
        <f>IFERROR(__xludf.DUMMYFUNCTION("""COMPUTED_VALUE"""),3.61724965056E11)</f>
        <v>361724965056</v>
      </c>
      <c r="F6701" s="1"/>
      <c r="G6701" s="1">
        <f>IFERROR(__xludf.DUMMYFUNCTION("""COMPUTED_VALUE"""),5.0)</f>
        <v>5</v>
      </c>
      <c r="H6701" s="3">
        <f>IFERROR(__xludf.DUMMYFUNCTION("""COMPUTED_VALUE"""),5.0)</f>
        <v>5</v>
      </c>
      <c r="I6701" s="4">
        <f>IFERROR(__xludf.DUMMYFUNCTION("""COMPUTED_VALUE"""),1.0)</f>
        <v>1</v>
      </c>
      <c r="J6701" s="1" t="str">
        <f>IFERROR(__xludf.DUMMYFUNCTION("""COMPUTED_VALUE"""),"Rose Gabilan")</f>
        <v>Rose Gabilan</v>
      </c>
      <c r="K6701" s="1" t="str">
        <f>IFERROR(__xludf.DUMMYFUNCTION("""COMPUTED_VALUE"""),"Admin Support PH SSO")</f>
        <v>Admin Support PH SSO</v>
      </c>
      <c r="L6701" s="1" t="str">
        <f>IFERROR(__xludf.DUMMYFUNCTION("""COMPUTED_VALUE"""),"Admin SSO - CHT")</f>
        <v>Admin SSO - CHT</v>
      </c>
    </row>
    <row r="6702">
      <c r="A6702" s="1" t="str">
        <f>IFERROR(__xludf.DUMMYFUNCTION("""COMPUTED_VALUE"""),"2025 Dec")</f>
        <v>2025 Dec</v>
      </c>
      <c r="B6702" s="2">
        <f>IFERROR(__xludf.DUMMYFUNCTION("""COMPUTED_VALUE"""),45992.0)</f>
        <v>45992</v>
      </c>
      <c r="C6702" s="1" t="str">
        <f>IFERROR(__xludf.DUMMYFUNCTION("""COMPUTED_VALUE"""),"Core Product Support")</f>
        <v>Core Product Support</v>
      </c>
      <c r="D6702" s="1" t="str">
        <f>IFERROR(__xludf.DUMMYFUNCTION("""COMPUTED_VALUE"""),"a75c3ed6-de83-40cb-ad3d-ac0eaa323ceb")</f>
        <v>a75c3ed6-de83-40cb-ad3d-ac0eaa323ceb</v>
      </c>
      <c r="E6702" s="1">
        <f>IFERROR(__xludf.DUMMYFUNCTION("""COMPUTED_VALUE"""),7.631065796495E12)</f>
        <v>7631065796495</v>
      </c>
      <c r="F6702" s="1">
        <f>IFERROR(__xludf.DUMMYFUNCTION("""COMPUTED_VALUE"""),0.5)</f>
        <v>0.5</v>
      </c>
      <c r="G6702" s="1"/>
      <c r="H6702" s="3">
        <f>IFERROR(__xludf.DUMMYFUNCTION("""COMPUTED_VALUE"""),0.5)</f>
        <v>0.5</v>
      </c>
      <c r="I6702" s="4">
        <f>IFERROR(__xludf.DUMMYFUNCTION("""COMPUTED_VALUE"""),0.0)</f>
        <v>0</v>
      </c>
      <c r="J6702" s="1" t="str">
        <f>IFERROR(__xludf.DUMMYFUNCTION("""COMPUTED_VALUE"""),"Marie Mordeno")</f>
        <v>Marie Mordeno</v>
      </c>
      <c r="K6702" s="1" t="str">
        <f>IFERROR(__xludf.DUMMYFUNCTION("""COMPUTED_VALUE"""),"Advanced Billing &amp; Subscriptions")</f>
        <v>Advanced Billing &amp; Subscriptions</v>
      </c>
      <c r="L6702" s="1" t="str">
        <f>IFERROR(__xludf.DUMMYFUNCTION("""COMPUTED_VALUE"""),"CPS Advanced Billing and Subscriptions (ABS)")</f>
        <v>CPS Advanced Billing and Subscriptions (ABS)</v>
      </c>
    </row>
    <row r="6703">
      <c r="A6703" s="1" t="str">
        <f>IFERROR(__xludf.DUMMYFUNCTION("""COMPUTED_VALUE"""),"2025 Dec")</f>
        <v>2025 Dec</v>
      </c>
      <c r="B6703" s="2">
        <f>IFERROR(__xludf.DUMMYFUNCTION("""COMPUTED_VALUE"""),45992.0)</f>
        <v>45992</v>
      </c>
      <c r="C6703" s="1" t="str">
        <f>IFERROR(__xludf.DUMMYFUNCTION("""COMPUTED_VALUE"""),"Print Support")</f>
        <v>Print Support</v>
      </c>
      <c r="D6703" s="1" t="str">
        <f>IFERROR(__xludf.DUMMYFUNCTION("""COMPUTED_VALUE"""),"5edc36fa-9df2-47e0-bbda-2c0b5a323efc")</f>
        <v>5edc36fa-9df2-47e0-bbda-2c0b5a323efc</v>
      </c>
      <c r="E6703" s="1"/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IFERROR(__xludf.DUMMYFUNCTION("""COMPUTED_VALUE"""),"Gem Agoncillo")</f>
        <v>Gem Agoncillo</v>
      </c>
      <c r="K6703" s="1" t="str">
        <f>IFERROR(__xludf.DUMMYFUNCTION("""COMPUTED_VALUE"""),"Print Design Support")</f>
        <v>Print Design Support</v>
      </c>
      <c r="L6703" s="1" t="str">
        <f>IFERROR(__xludf.DUMMYFUNCTION("""COMPUTED_VALUE"""),"Print Print Design")</f>
        <v>Print Print Design</v>
      </c>
    </row>
    <row r="6704">
      <c r="A6704" s="1" t="str">
        <f>IFERROR(__xludf.DUMMYFUNCTION("""COMPUTED_VALUE"""),"2025 Dec")</f>
        <v>2025 Dec</v>
      </c>
      <c r="B6704" s="2">
        <f>IFERROR(__xludf.DUMMYFUNCTION("""COMPUTED_VALUE"""),45992.0)</f>
        <v>45992</v>
      </c>
      <c r="C6704" s="1" t="str">
        <f>IFERROR(__xludf.DUMMYFUNCTION("""COMPUTED_VALUE"""),"High Sensitivity Support")</f>
        <v>High Sensitivity Support</v>
      </c>
      <c r="D6704" s="1" t="str">
        <f>IFERROR(__xludf.DUMMYFUNCTION("""COMPUTED_VALUE"""),"19c32062-e149-4a3e-82ea-708be4d86c06")</f>
        <v>19c32062-e149-4a3e-82ea-708be4d86c06</v>
      </c>
      <c r="E6704" s="1">
        <f>IFERROR(__xludf.DUMMYFUNCTION("""COMPUTED_VALUE"""),8.904494969999E12)</f>
        <v>8904494969999</v>
      </c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IFERROR(__xludf.DUMMYFUNCTION("""COMPUTED_VALUE"""),"Issi Afable")</f>
        <v>Issi Afable</v>
      </c>
      <c r="K6704" s="1" t="str">
        <f>IFERROR(__xludf.DUMMYFUNCTION("""COMPUTED_VALUE"""),"High Sensitivity Support PH")</f>
        <v>High Sensitivity Support PH</v>
      </c>
      <c r="L6704" s="1" t="str">
        <f>IFERROR(__xludf.DUMMYFUNCTION("""COMPUTED_VALUE"""),"HSS High Sensitivity Support PH - SEE")</f>
        <v>HSS High Sensitivity Support PH - SEE</v>
      </c>
    </row>
    <row r="6705">
      <c r="A6705" s="1" t="str">
        <f>IFERROR(__xludf.DUMMYFUNCTION("""COMPUTED_VALUE"""),"2025 Dec")</f>
        <v>2025 Dec</v>
      </c>
      <c r="B6705" s="2">
        <f>IFERROR(__xludf.DUMMYFUNCTION("""COMPUTED_VALUE"""),45992.0)</f>
        <v>45992</v>
      </c>
      <c r="C6705" s="1" t="str">
        <f>IFERROR(__xludf.DUMMYFUNCTION("""COMPUTED_VALUE"""),"Print Support")</f>
        <v>Print Support</v>
      </c>
      <c r="D6705" s="1" t="str">
        <f>IFERROR(__xludf.DUMMYFUNCTION("""COMPUTED_VALUE"""),"5efa61d3-4fd2-4d01-a492-e08cab6832f9")</f>
        <v>5efa61d3-4fd2-4d01-a492-e08cab6832f9</v>
      </c>
      <c r="E6705" s="1">
        <f>IFERROR(__xludf.DUMMYFUNCTION("""COMPUTED_VALUE"""),5.902015961999E12)</f>
        <v>5902015961999</v>
      </c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IFERROR(__xludf.DUMMYFUNCTION("""COMPUTED_VALUE"""),"Jen Momo")</f>
        <v>Jen Momo</v>
      </c>
      <c r="K6705" s="1" t="str">
        <f>IFERROR(__xludf.DUMMYFUNCTION("""COMPUTED_VALUE"""),"Print Support PH")</f>
        <v>Print Support PH</v>
      </c>
      <c r="L6705" s="1" t="str">
        <f>IFERROR(__xludf.DUMMYFUNCTION("""COMPUTED_VALUE"""),"Print Print - CHT")</f>
        <v>Print Print - CHT</v>
      </c>
    </row>
    <row r="6706">
      <c r="A6706" s="1" t="str">
        <f>IFERROR(__xludf.DUMMYFUNCTION("""COMPUTED_VALUE"""),"2025 Dec")</f>
        <v>2025 Dec</v>
      </c>
      <c r="B6706" s="2">
        <f>IFERROR(__xludf.DUMMYFUNCTION("""COMPUTED_VALUE"""),45992.0)</f>
        <v>45992</v>
      </c>
      <c r="C6706" s="1" t="str">
        <f>IFERROR(__xludf.DUMMYFUNCTION("""COMPUTED_VALUE"""),"Core Product Support")</f>
        <v>Core Product Support</v>
      </c>
      <c r="D6706" s="1" t="str">
        <f>IFERROR(__xludf.DUMMYFUNCTION("""COMPUTED_VALUE"""),"1990c5cb-0154-48ce-9bac-f303f8b99ef1")</f>
        <v>1990c5cb-0154-48ce-9bac-f303f8b99ef1</v>
      </c>
      <c r="E6706" s="1">
        <f>IFERROR(__xludf.DUMMYFUNCTION("""COMPUTED_VALUE"""),1.0333018682383E13)</f>
        <v>10333018682383</v>
      </c>
      <c r="F6706" s="1">
        <f>IFERROR(__xludf.DUMMYFUNCTION("""COMPUTED_VALUE"""),0.5)</f>
        <v>0.5</v>
      </c>
      <c r="G6706" s="1"/>
      <c r="H6706" s="3">
        <f>IFERROR(__xludf.DUMMYFUNCTION("""COMPUTED_VALUE"""),0.5)</f>
        <v>0.5</v>
      </c>
      <c r="I6706" s="4">
        <f>IFERROR(__xludf.DUMMYFUNCTION("""COMPUTED_VALUE"""),0.0)</f>
        <v>0</v>
      </c>
      <c r="J6706" s="1" t="str">
        <f>IFERROR(__xludf.DUMMYFUNCTION("""COMPUTED_VALUE"""),"Cate Velasco")</f>
        <v>Cate Velasco</v>
      </c>
      <c r="K6706" s="1" t="str">
        <f>IFERROR(__xludf.DUMMYFUNCTION("""COMPUTED_VALUE"""),"Advanced Product Support")</f>
        <v>Advanced Product Support</v>
      </c>
      <c r="L6706" s="1" t="str">
        <f>IFERROR(__xludf.DUMMYFUNCTION("""COMPUTED_VALUE"""),"CPS Advanced Product Support (APS)")</f>
        <v>CPS Advanced Product Support (APS)</v>
      </c>
    </row>
    <row r="6707">
      <c r="A6707" s="1" t="str">
        <f>IFERROR(__xludf.DUMMYFUNCTION("""COMPUTED_VALUE"""),"2025 Dec")</f>
        <v>2025 Dec</v>
      </c>
      <c r="B6707" s="2">
        <f>IFERROR(__xludf.DUMMYFUNCTION("""COMPUTED_VALUE"""),45992.0)</f>
        <v>45992</v>
      </c>
      <c r="C6707" s="1" t="str">
        <f>IFERROR(__xludf.DUMMYFUNCTION("""COMPUTED_VALUE"""),"Core Product Support")</f>
        <v>Core Product Support</v>
      </c>
      <c r="D6707" s="1" t="str">
        <f>IFERROR(__xludf.DUMMYFUNCTION("""COMPUTED_VALUE"""),"1ee13beb-f5ac-4c80-bcfb-9f0dc190fe68")</f>
        <v>1ee13beb-f5ac-4c80-bcfb-9f0dc190fe68</v>
      </c>
      <c r="E6707" s="1">
        <f>IFERROR(__xludf.DUMMYFUNCTION("""COMPUTED_VALUE"""),3.61725115656E11)</f>
        <v>361725115656</v>
      </c>
      <c r="F6707" s="1"/>
      <c r="G6707" s="1">
        <f>IFERROR(__xludf.DUMMYFUNCTION("""COMPUTED_VALUE"""),5.5)</f>
        <v>5.5</v>
      </c>
      <c r="H6707" s="3">
        <f>IFERROR(__xludf.DUMMYFUNCTION("""COMPUTED_VALUE"""),5.5)</f>
        <v>5.5</v>
      </c>
      <c r="I6707" s="4">
        <f>IFERROR(__xludf.DUMMYFUNCTION("""COMPUTED_VALUE"""),1.0)</f>
        <v>1</v>
      </c>
      <c r="J6707" s="1" t="str">
        <f>IFERROR(__xludf.DUMMYFUNCTION("""COMPUTED_VALUE"""),"Ellaine Estayo")</f>
        <v>Ellaine Estayo</v>
      </c>
      <c r="K6707" s="1" t="str">
        <f>IFERROR(__xludf.DUMMYFUNCTION("""COMPUTED_VALUE"""),"Core Product Support Escalation Team")</f>
        <v>Core Product Support Escalation Team</v>
      </c>
      <c r="L6707" s="1" t="str">
        <f>IFERROR(__xludf.DUMMYFUNCTION("""COMPUTED_VALUE"""),"CPS Core Product Support Escalations (CPSET)")</f>
        <v>CPS Core Product Support Escalations (CPSET)</v>
      </c>
    </row>
    <row r="6708">
      <c r="A6708" s="1" t="str">
        <f>IFERROR(__xludf.DUMMYFUNCTION("""COMPUTED_VALUE"""),"2025 Dec")</f>
        <v>2025 Dec</v>
      </c>
      <c r="B6708" s="2">
        <f>IFERROR(__xludf.DUMMYFUNCTION("""COMPUTED_VALUE"""),45992.0)</f>
        <v>45992</v>
      </c>
      <c r="C6708" s="1" t="str">
        <f>IFERROR(__xludf.DUMMYFUNCTION("""COMPUTED_VALUE"""),"Core Product Support")</f>
        <v>Core Product Support</v>
      </c>
      <c r="D6708" s="1" t="str">
        <f>IFERROR(__xludf.DUMMYFUNCTION("""COMPUTED_VALUE"""),"d625e596-8198-45f9-94ea-d04d6f6a8b27")</f>
        <v>d625e596-8198-45f9-94ea-d04d6f6a8b27</v>
      </c>
      <c r="E6708" s="1">
        <f>IFERROR(__xludf.DUMMYFUNCTION("""COMPUTED_VALUE"""),1.0333049701519E13)</f>
        <v>10333049701519</v>
      </c>
      <c r="F6708" s="1">
        <f>IFERROR(__xludf.DUMMYFUNCTION("""COMPUTED_VALUE"""),0.5)</f>
        <v>0.5</v>
      </c>
      <c r="G6708" s="1"/>
      <c r="H6708" s="3">
        <f>IFERROR(__xludf.DUMMYFUNCTION("""COMPUTED_VALUE"""),0.5)</f>
        <v>0.5</v>
      </c>
      <c r="I6708" s="4">
        <f>IFERROR(__xludf.DUMMYFUNCTION("""COMPUTED_VALUE"""),0.0)</f>
        <v>0</v>
      </c>
      <c r="J6708" s="1" t="str">
        <f>IFERROR(__xludf.DUMMYFUNCTION("""COMPUTED_VALUE"""),"Jelyn Elmido")</f>
        <v>Jelyn Elmido</v>
      </c>
      <c r="K6708" s="1" t="str">
        <f>IFERROR(__xludf.DUMMYFUNCTION("""COMPUTED_VALUE"""),"Advanced Product Support")</f>
        <v>Advanced Product Support</v>
      </c>
      <c r="L6708" s="1" t="str">
        <f>IFERROR(__xludf.DUMMYFUNCTION("""COMPUTED_VALUE"""),"CPS Advanced Product Support (APS)")</f>
        <v>CPS Advanced Product Support (APS)</v>
      </c>
    </row>
    <row r="6709">
      <c r="A6709" s="1" t="str">
        <f>IFERROR(__xludf.DUMMYFUNCTION("""COMPUTED_VALUE"""),"2025 Dec")</f>
        <v>2025 Dec</v>
      </c>
      <c r="B6709" s="2">
        <f>IFERROR(__xludf.DUMMYFUNCTION("""COMPUTED_VALUE"""),45992.0)</f>
        <v>45992</v>
      </c>
      <c r="C6709" s="1" t="str">
        <f>IFERROR(__xludf.DUMMYFUNCTION("""COMPUTED_VALUE"""),"Segment-specific Support")</f>
        <v>Segment-specific Support</v>
      </c>
      <c r="D6709" s="1" t="str">
        <f>IFERROR(__xludf.DUMMYFUNCTION("""COMPUTED_VALUE"""),"c9fa58e5-ccb3-4c72-a2e7-5a6fc2210b69")</f>
        <v>c9fa58e5-ccb3-4c72-a2e7-5a6fc2210b69</v>
      </c>
      <c r="E6709" s="1">
        <f>IFERROR(__xludf.DUMMYFUNCTION("""COMPUTED_VALUE"""),1.1401981299343E13)</f>
        <v>11401981299343</v>
      </c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IFERROR(__xludf.DUMMYFUNCTION("""COMPUTED_VALUE"""),"Aileen Dayanghirang")</f>
        <v>Aileen Dayanghirang</v>
      </c>
      <c r="K6709" s="1" t="str">
        <f>IFERROR(__xludf.DUMMYFUNCTION("""COMPUTED_VALUE"""),"Creators Support")</f>
        <v>Creators Support</v>
      </c>
      <c r="L6709" s="1" t="str">
        <f>IFERROR(__xludf.DUMMYFUNCTION("""COMPUTED_VALUE"""),"SSS Creators")</f>
        <v>SSS Creators</v>
      </c>
    </row>
    <row r="6710">
      <c r="A6710" s="1" t="str">
        <f>IFERROR(__xludf.DUMMYFUNCTION("""COMPUTED_VALUE"""),"2025 Dec")</f>
        <v>2025 Dec</v>
      </c>
      <c r="B6710" s="2">
        <f>IFERROR(__xludf.DUMMYFUNCTION("""COMPUTED_VALUE"""),45992.0)</f>
        <v>45992</v>
      </c>
      <c r="C6710" s="1" t="str">
        <f>IFERROR(__xludf.DUMMYFUNCTION("""COMPUTED_VALUE"""),"Admin Support")</f>
        <v>Admin Support</v>
      </c>
      <c r="D6710" s="1" t="str">
        <f>IFERROR(__xludf.DUMMYFUNCTION("""COMPUTED_VALUE"""),"6695b35c-7a53-4eb2-bcfc-9808f8e07dd8")</f>
        <v>6695b35c-7a53-4eb2-bcfc-9808f8e07dd8</v>
      </c>
      <c r="E6710" s="1">
        <f>IFERROR(__xludf.DUMMYFUNCTION("""COMPUTED_VALUE"""),3.61732164295E11)</f>
        <v>361732164295</v>
      </c>
      <c r="F6710" s="1"/>
      <c r="G6710" s="1">
        <f>IFERROR(__xludf.DUMMYFUNCTION("""COMPUTED_VALUE"""),1.75)</f>
        <v>1.75</v>
      </c>
      <c r="H6710" s="3">
        <f>IFERROR(__xludf.DUMMYFUNCTION("""COMPUTED_VALUE"""),1.75)</f>
        <v>1.75</v>
      </c>
      <c r="I6710" s="4">
        <f>IFERROR(__xludf.DUMMYFUNCTION("""COMPUTED_VALUE"""),1.0)</f>
        <v>1</v>
      </c>
      <c r="J6710" s="1" t="str">
        <f>IFERROR(__xludf.DUMMYFUNCTION("""COMPUTED_VALUE"""),"Kelden Laguting")</f>
        <v>Kelden Laguting</v>
      </c>
      <c r="K6710" s="1" t="str">
        <f>IFERROR(__xludf.DUMMYFUNCTION("""COMPUTED_VALUE"""),"Admin Support PH")</f>
        <v>Admin Support PH</v>
      </c>
      <c r="L6710" s="1" t="str">
        <f>IFERROR(__xludf.DUMMYFUNCTION("""COMPUTED_VALUE"""),"Admin PH")</f>
        <v>Admin PH</v>
      </c>
    </row>
    <row r="6711">
      <c r="A6711" s="1" t="str">
        <f>IFERROR(__xludf.DUMMYFUNCTION("""COMPUTED_VALUE"""),"2025 Dec")</f>
        <v>2025 Dec</v>
      </c>
      <c r="B6711" s="2">
        <f>IFERROR(__xludf.DUMMYFUNCTION("""COMPUTED_VALUE"""),45992.0)</f>
        <v>45992</v>
      </c>
      <c r="C6711" s="1" t="str">
        <f>IFERROR(__xludf.DUMMYFUNCTION("""COMPUTED_VALUE"""),"Core Product Support")</f>
        <v>Core Product Support</v>
      </c>
      <c r="D6711" s="1" t="str">
        <f>IFERROR(__xludf.DUMMYFUNCTION("""COMPUTED_VALUE"""),"a460fd1a-1ef6-4034-a4ca-14a4c4765f42")</f>
        <v>a460fd1a-1ef6-4034-a4ca-14a4c4765f42</v>
      </c>
      <c r="E6711" s="1">
        <f>IFERROR(__xludf.DUMMYFUNCTION("""COMPUTED_VALUE"""),9.107766464399E12)</f>
        <v>9107766464399</v>
      </c>
      <c r="F6711" s="1">
        <f>IFERROR(__xludf.DUMMYFUNCTION("""COMPUTED_VALUE"""),0.5)</f>
        <v>0.5</v>
      </c>
      <c r="G6711" s="1">
        <f>IFERROR(__xludf.DUMMYFUNCTION("""COMPUTED_VALUE"""),1.5)</f>
        <v>1.5</v>
      </c>
      <c r="H6711" s="3">
        <f>IFERROR(__xludf.DUMMYFUNCTION("""COMPUTED_VALUE"""),2.0)</f>
        <v>2</v>
      </c>
      <c r="I6711" s="4">
        <f>IFERROR(__xludf.DUMMYFUNCTION("""COMPUTED_VALUE"""),0.75)</f>
        <v>0.75</v>
      </c>
      <c r="J6711" s="1" t="str">
        <f>IFERROR(__xludf.DUMMYFUNCTION("""COMPUTED_VALUE"""),"Ana Lazaro")</f>
        <v>Ana Lazaro</v>
      </c>
      <c r="K6711" s="1" t="str">
        <f>IFERROR(__xludf.DUMMYFUNCTION("""COMPUTED_VALUE"""),"Advanced Billing &amp; Subscriptions")</f>
        <v>Advanced Billing &amp; Subscriptions</v>
      </c>
      <c r="L6711" s="1" t="str">
        <f>IFERROR(__xludf.DUMMYFUNCTION("""COMPUTED_VALUE"""),"CPS Advanced Billing and Subscriptions (ABS)")</f>
        <v>CPS Advanced Billing and Subscriptions (ABS)</v>
      </c>
    </row>
    <row r="6712">
      <c r="A6712" s="1" t="str">
        <f>IFERROR(__xludf.DUMMYFUNCTION("""COMPUTED_VALUE"""),"2025 Dec")</f>
        <v>2025 Dec</v>
      </c>
      <c r="B6712" s="2">
        <f>IFERROR(__xludf.DUMMYFUNCTION("""COMPUTED_VALUE"""),45992.0)</f>
        <v>45992</v>
      </c>
      <c r="C6712" s="1" t="str">
        <f>IFERROR(__xludf.DUMMYFUNCTION("""COMPUTED_VALUE"""),"Print Support")</f>
        <v>Print Support</v>
      </c>
      <c r="D6712" s="1" t="str">
        <f>IFERROR(__xludf.DUMMYFUNCTION("""COMPUTED_VALUE"""),"2ffdab50-ba8e-4ff1-a8d9-e609f47d6cbd")</f>
        <v>2ffdab50-ba8e-4ff1-a8d9-e609f47d6cbd</v>
      </c>
      <c r="E6712" s="1">
        <f>IFERROR(__xludf.DUMMYFUNCTION("""COMPUTED_VALUE"""),3.61731515115E11)</f>
        <v>361731515115</v>
      </c>
      <c r="F6712" s="1"/>
      <c r="G6712" s="1">
        <f>IFERROR(__xludf.DUMMYFUNCTION("""COMPUTED_VALUE"""),2.0)</f>
        <v>2</v>
      </c>
      <c r="H6712" s="3">
        <f>IFERROR(__xludf.DUMMYFUNCTION("""COMPUTED_VALUE"""),2.0)</f>
        <v>2</v>
      </c>
      <c r="I6712" s="4">
        <f>IFERROR(__xludf.DUMMYFUNCTION("""COMPUTED_VALUE"""),1.0)</f>
        <v>1</v>
      </c>
      <c r="J6712" s="1" t="str">
        <f>IFERROR(__xludf.DUMMYFUNCTION("""COMPUTED_VALUE"""),"Louise Dianne Estrella")</f>
        <v>Louise Dianne Estrella</v>
      </c>
      <c r="K6712" s="1" t="str">
        <f>IFERROR(__xludf.DUMMYFUNCTION("""COMPUTED_VALUE"""),"Print Support PH")</f>
        <v>Print Support PH</v>
      </c>
      <c r="L6712" s="1" t="str">
        <f>IFERROR(__xludf.DUMMYFUNCTION("""COMPUTED_VALUE"""),"Print Print - CHT")</f>
        <v>Print Print - CHT</v>
      </c>
    </row>
    <row r="6713">
      <c r="A6713" s="1" t="str">
        <f>IFERROR(__xludf.DUMMYFUNCTION("""COMPUTED_VALUE"""),"2025 Dec")</f>
        <v>2025 Dec</v>
      </c>
      <c r="B6713" s="2">
        <f>IFERROR(__xludf.DUMMYFUNCTION("""COMPUTED_VALUE"""),45992.0)</f>
        <v>45992</v>
      </c>
      <c r="C6713" s="1" t="str">
        <f>IFERROR(__xludf.DUMMYFUNCTION("""COMPUTED_VALUE"""),"Core Product Support")</f>
        <v>Core Product Support</v>
      </c>
      <c r="D6713" s="1" t="str">
        <f>IFERROR(__xludf.DUMMYFUNCTION("""COMPUTED_VALUE"""),"53c72618-3bf9-4bcf-adf4-39677fd20e1f")</f>
        <v>53c72618-3bf9-4bcf-adf4-39677fd20e1f</v>
      </c>
      <c r="E6713" s="1">
        <f>IFERROR(__xludf.DUMMYFUNCTION("""COMPUTED_VALUE"""),1.1035324543247E13)</f>
        <v>11035324543247</v>
      </c>
      <c r="F6713" s="1">
        <f>IFERROR(__xludf.DUMMYFUNCTION("""COMPUTED_VALUE"""),0.5)</f>
        <v>0.5</v>
      </c>
      <c r="G6713" s="1"/>
      <c r="H6713" s="3">
        <f>IFERROR(__xludf.DUMMYFUNCTION("""COMPUTED_VALUE"""),0.5)</f>
        <v>0.5</v>
      </c>
      <c r="I6713" s="4">
        <f>IFERROR(__xludf.DUMMYFUNCTION("""COMPUTED_VALUE"""),0.0)</f>
        <v>0</v>
      </c>
      <c r="J6713" s="1" t="str">
        <f>IFERROR(__xludf.DUMMYFUNCTION("""COMPUTED_VALUE"""),"Ayza Marie Pascual")</f>
        <v>Ayza Marie Pascual</v>
      </c>
      <c r="K6713" s="1" t="str">
        <f>IFERROR(__xludf.DUMMYFUNCTION("""COMPUTED_VALUE"""),"Advanced Billing &amp; Subscriptions")</f>
        <v>Advanced Billing &amp; Subscriptions</v>
      </c>
      <c r="L6713" s="1" t="str">
        <f>IFERROR(__xludf.DUMMYFUNCTION("""COMPUTED_VALUE"""),"CPS Advanced Billing and Subscriptions (ABS)")</f>
        <v>CPS Advanced Billing and Subscriptions (ABS)</v>
      </c>
    </row>
    <row r="6714">
      <c r="A6714" s="1" t="str">
        <f>IFERROR(__xludf.DUMMYFUNCTION("""COMPUTED_VALUE"""),"2025 Dec")</f>
        <v>2025 Dec</v>
      </c>
      <c r="B6714" s="2">
        <f>IFERROR(__xludf.DUMMYFUNCTION("""COMPUTED_VALUE"""),45992.0)</f>
        <v>45992</v>
      </c>
      <c r="C6714" s="1" t="str">
        <f>IFERROR(__xludf.DUMMYFUNCTION("""COMPUTED_VALUE"""),"Core Product Support")</f>
        <v>Core Product Support</v>
      </c>
      <c r="D6714" s="1" t="str">
        <f>IFERROR(__xludf.DUMMYFUNCTION("""COMPUTED_VALUE"""),"08e80e21-5eab-4b4f-bd2a-c3d833caa4fc")</f>
        <v>08e80e21-5eab-4b4f-bd2a-c3d833caa4fc</v>
      </c>
      <c r="E6714" s="1">
        <f>IFERROR(__xludf.DUMMYFUNCTION("""COMPUTED_VALUE"""),8.409877156495E12)</f>
        <v>8409877156495</v>
      </c>
      <c r="F6714" s="1"/>
      <c r="G6714" s="1">
        <f>IFERROR(__xludf.DUMMYFUNCTION("""COMPUTED_VALUE"""),2.0)</f>
        <v>2</v>
      </c>
      <c r="H6714" s="3">
        <f>IFERROR(__xludf.DUMMYFUNCTION("""COMPUTED_VALUE"""),2.0)</f>
        <v>2</v>
      </c>
      <c r="I6714" s="4">
        <f>IFERROR(__xludf.DUMMYFUNCTION("""COMPUTED_VALUE"""),1.0)</f>
        <v>1</v>
      </c>
      <c r="J6714" s="1" t="str">
        <f>IFERROR(__xludf.DUMMYFUNCTION("""COMPUTED_VALUE"""),"Jahmie Mae Barrameda")</f>
        <v>Jahmie Mae Barrameda</v>
      </c>
      <c r="K6714" s="1" t="str">
        <f>IFERROR(__xludf.DUMMYFUNCTION("""COMPUTED_VALUE"""),"Advanced Billing &amp; Subscriptions")</f>
        <v>Advanced Billing &amp; Subscriptions</v>
      </c>
      <c r="L6714" s="1" t="str">
        <f>IFERROR(__xludf.DUMMYFUNCTION("""COMPUTED_VALUE"""),"CPS Advanced Billing and Subscriptions (ABS)")</f>
        <v>CPS Advanced Billing and Subscriptions (ABS)</v>
      </c>
    </row>
    <row r="6715">
      <c r="A6715" s="1" t="str">
        <f>IFERROR(__xludf.DUMMYFUNCTION("""COMPUTED_VALUE"""),"2025 Dec")</f>
        <v>2025 Dec</v>
      </c>
      <c r="B6715" s="2">
        <f>IFERROR(__xludf.DUMMYFUNCTION("""COMPUTED_VALUE"""),45992.0)</f>
        <v>45992</v>
      </c>
      <c r="C6715" s="1" t="str">
        <f>IFERROR(__xludf.DUMMYFUNCTION("""COMPUTED_VALUE"""),"Core Product Support")</f>
        <v>Core Product Support</v>
      </c>
      <c r="D6715" s="1" t="str">
        <f>IFERROR(__xludf.DUMMYFUNCTION("""COMPUTED_VALUE"""),"41e73ce2-bda5-4412-b2d5-381b4a0a0fdd")</f>
        <v>41e73ce2-bda5-4412-b2d5-381b4a0a0fdd</v>
      </c>
      <c r="E6715" s="1">
        <f>IFERROR(__xludf.DUMMYFUNCTION("""COMPUTED_VALUE"""),3.61750008275E11)</f>
        <v>361750008275</v>
      </c>
      <c r="F6715" s="1"/>
      <c r="G6715" s="1">
        <f>IFERROR(__xludf.DUMMYFUNCTION("""COMPUTED_VALUE"""),3.0)</f>
        <v>3</v>
      </c>
      <c r="H6715" s="3">
        <f>IFERROR(__xludf.DUMMYFUNCTION("""COMPUTED_VALUE"""),3.0)</f>
        <v>3</v>
      </c>
      <c r="I6715" s="4">
        <f>IFERROR(__xludf.DUMMYFUNCTION("""COMPUTED_VALUE"""),1.0)</f>
        <v>1</v>
      </c>
      <c r="J6715" s="1" t="str">
        <f>IFERROR(__xludf.DUMMYFUNCTION("""COMPUTED_VALUE"""),"Bem Launte")</f>
        <v>Bem Launte</v>
      </c>
      <c r="K6715" s="1" t="str">
        <f>IFERROR(__xludf.DUMMYFUNCTION("""COMPUTED_VALUE"""),"Core Product Support Escalation Team")</f>
        <v>Core Product Support Escalation Team</v>
      </c>
      <c r="L6715" s="1" t="str">
        <f>IFERROR(__xludf.DUMMYFUNCTION("""COMPUTED_VALUE"""),"CPS Core Product Support Escalations (CPSET)")</f>
        <v>CPS Core Product Support Escalations (CPSET)</v>
      </c>
    </row>
    <row r="6716">
      <c r="A6716" s="1" t="str">
        <f>IFERROR(__xludf.DUMMYFUNCTION("""COMPUTED_VALUE"""),"2025 Dec")</f>
        <v>2025 Dec</v>
      </c>
      <c r="B6716" s="2">
        <f>IFERROR(__xludf.DUMMYFUNCTION("""COMPUTED_VALUE"""),45992.0)</f>
        <v>45992</v>
      </c>
      <c r="C6716" s="1" t="str">
        <f>IFERROR(__xludf.DUMMYFUNCTION("""COMPUTED_VALUE"""),"Print Support")</f>
        <v>Print Support</v>
      </c>
      <c r="D6716" s="1" t="str">
        <f>IFERROR(__xludf.DUMMYFUNCTION("""COMPUTED_VALUE"""),"a8e62322-b2dc-4c8a-842a-2a259dac6528")</f>
        <v>a8e62322-b2dc-4c8a-842a-2a259dac6528</v>
      </c>
      <c r="E6716" s="1">
        <f>IFERROR(__xludf.DUMMYFUNCTION("""COMPUTED_VALUE"""),9.285106592655E12)</f>
        <v>9285106592655</v>
      </c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IFERROR(__xludf.DUMMYFUNCTION("""COMPUTED_VALUE"""),"Althea Mercado")</f>
        <v>Althea Mercado</v>
      </c>
      <c r="K6716" s="1" t="str">
        <f>IFERROR(__xludf.DUMMYFUNCTION("""COMPUTED_VALUE"""),"Print Support PH")</f>
        <v>Print Support PH</v>
      </c>
      <c r="L6716" s="1" t="str">
        <f>IFERROR(__xludf.DUMMYFUNCTION("""COMPUTED_VALUE"""),"Print Print - CHT")</f>
        <v>Print Print - CHT</v>
      </c>
    </row>
    <row r="6717">
      <c r="A6717" s="1" t="str">
        <f>IFERROR(__xludf.DUMMYFUNCTION("""COMPUTED_VALUE"""),"2025 Dec")</f>
        <v>2025 Dec</v>
      </c>
      <c r="B6717" s="2">
        <f>IFERROR(__xludf.DUMMYFUNCTION("""COMPUTED_VALUE"""),45992.0)</f>
        <v>45992</v>
      </c>
      <c r="C6717" s="1" t="str">
        <f>IFERROR(__xludf.DUMMYFUNCTION("""COMPUTED_VALUE"""),"Admin Support")</f>
        <v>Admin Support</v>
      </c>
      <c r="D6717" s="1" t="str">
        <f>IFERROR(__xludf.DUMMYFUNCTION("""COMPUTED_VALUE"""),"ab14ac10-6fdd-4acd-92a0-afc53948f957")</f>
        <v>ab14ac10-6fdd-4acd-92a0-afc53948f957</v>
      </c>
      <c r="E6717" s="1">
        <f>IFERROR(__xludf.DUMMYFUNCTION("""COMPUTED_VALUE"""),3.61731791675E11)</f>
        <v>361731791675</v>
      </c>
      <c r="F6717" s="1"/>
      <c r="G6717" s="1">
        <f>IFERROR(__xludf.DUMMYFUNCTION("""COMPUTED_VALUE"""),2.5)</f>
        <v>2.5</v>
      </c>
      <c r="H6717" s="3">
        <f>IFERROR(__xludf.DUMMYFUNCTION("""COMPUTED_VALUE"""),2.5)</f>
        <v>2.5</v>
      </c>
      <c r="I6717" s="4">
        <f>IFERROR(__xludf.DUMMYFUNCTION("""COMPUTED_VALUE"""),1.0)</f>
        <v>1</v>
      </c>
      <c r="J6717" s="1" t="str">
        <f>IFERROR(__xludf.DUMMYFUNCTION("""COMPUTED_VALUE"""),"Camille Alvarez")</f>
        <v>Camille Alvarez</v>
      </c>
      <c r="K6717" s="1" t="str">
        <f>IFERROR(__xludf.DUMMYFUNCTION("""COMPUTED_VALUE"""),"Admin Support PH SSO")</f>
        <v>Admin Support PH SSO</v>
      </c>
      <c r="L6717" s="1" t="str">
        <f>IFERROR(__xludf.DUMMYFUNCTION("""COMPUTED_VALUE"""),"Admin SSO - SEE")</f>
        <v>Admin SSO - SEE</v>
      </c>
    </row>
    <row r="6718">
      <c r="A6718" s="1" t="str">
        <f>IFERROR(__xludf.DUMMYFUNCTION("""COMPUTED_VALUE"""),"2025 Dec")</f>
        <v>2025 Dec</v>
      </c>
      <c r="B6718" s="2">
        <f>IFERROR(__xludf.DUMMYFUNCTION("""COMPUTED_VALUE"""),45992.0)</f>
        <v>45992</v>
      </c>
      <c r="C6718" s="1" t="str">
        <f>IFERROR(__xludf.DUMMYFUNCTION("""COMPUTED_VALUE"""),"Segment-specific Support")</f>
        <v>Segment-specific Support</v>
      </c>
      <c r="D6718" s="1" t="str">
        <f>IFERROR(__xludf.DUMMYFUNCTION("""COMPUTED_VALUE"""),"b3a312bb-80a6-4404-a83b-85b5d7be9789")</f>
        <v>b3a312bb-80a6-4404-a83b-85b5d7be9789</v>
      </c>
      <c r="E6718" s="1">
        <f>IFERROR(__xludf.DUMMYFUNCTION("""COMPUTED_VALUE"""),9.903274706831E12)</f>
        <v>9903274706831</v>
      </c>
      <c r="F6718" s="1">
        <f>IFERROR(__xludf.DUMMYFUNCTION("""COMPUTED_VALUE"""),0.5)</f>
        <v>0.5</v>
      </c>
      <c r="G6718" s="1"/>
      <c r="H6718" s="3">
        <f>IFERROR(__xludf.DUMMYFUNCTION("""COMPUTED_VALUE"""),0.5)</f>
        <v>0.5</v>
      </c>
      <c r="I6718" s="4">
        <f>IFERROR(__xludf.DUMMYFUNCTION("""COMPUTED_VALUE"""),0.0)</f>
        <v>0</v>
      </c>
      <c r="J6718" s="1" t="str">
        <f>IFERROR(__xludf.DUMMYFUNCTION("""COMPUTED_VALUE"""),"Jonathan Dimaculangan")</f>
        <v>Jonathan Dimaculangan</v>
      </c>
      <c r="K6718" s="1" t="str">
        <f>IFERROR(__xludf.DUMMYFUNCTION("""COMPUTED_VALUE"""),"Flourish Support")</f>
        <v>Flourish Support</v>
      </c>
      <c r="L6718" s="1" t="str">
        <f>IFERROR(__xludf.DUMMYFUNCTION("""COMPUTED_VALUE"""),"SSS Flourish")</f>
        <v>SSS Flourish</v>
      </c>
    </row>
    <row r="6719">
      <c r="A6719" s="1" t="str">
        <f>IFERROR(__xludf.DUMMYFUNCTION("""COMPUTED_VALUE"""),"2025 Dec")</f>
        <v>2025 Dec</v>
      </c>
      <c r="B6719" s="2">
        <f>IFERROR(__xludf.DUMMYFUNCTION("""COMPUTED_VALUE"""),45992.0)</f>
        <v>45992</v>
      </c>
      <c r="C6719" s="1" t="str">
        <f>IFERROR(__xludf.DUMMYFUNCTION("""COMPUTED_VALUE"""),"Core Product Support")</f>
        <v>Core Product Support</v>
      </c>
      <c r="D6719" s="1" t="str">
        <f>IFERROR(__xludf.DUMMYFUNCTION("""COMPUTED_VALUE"""),"c820bf34-a16a-4ab5-afca-78d6c71226e3")</f>
        <v>c820bf34-a16a-4ab5-afca-78d6c71226e3</v>
      </c>
      <c r="E6719" s="1">
        <f>IFERROR(__xludf.DUMMYFUNCTION("""COMPUTED_VALUE"""),3.61731943295E11)</f>
        <v>361731943295</v>
      </c>
      <c r="F6719" s="1"/>
      <c r="G6719" s="1">
        <f>IFERROR(__xludf.DUMMYFUNCTION("""COMPUTED_VALUE"""),3.0)</f>
        <v>3</v>
      </c>
      <c r="H6719" s="3">
        <f>IFERROR(__xludf.DUMMYFUNCTION("""COMPUTED_VALUE"""),3.0)</f>
        <v>3</v>
      </c>
      <c r="I6719" s="4">
        <f>IFERROR(__xludf.DUMMYFUNCTION("""COMPUTED_VALUE"""),1.0)</f>
        <v>1</v>
      </c>
      <c r="J6719" s="1" t="str">
        <f>IFERROR(__xludf.DUMMYFUNCTION("""COMPUTED_VALUE"""),"Bem Launte")</f>
        <v>Bem Launte</v>
      </c>
      <c r="K6719" s="1" t="str">
        <f>IFERROR(__xludf.DUMMYFUNCTION("""COMPUTED_VALUE"""),"Core Product Support Escalation Team")</f>
        <v>Core Product Support Escalation Team</v>
      </c>
      <c r="L6719" s="1" t="str">
        <f>IFERROR(__xludf.DUMMYFUNCTION("""COMPUTED_VALUE"""),"CPS Core Product Support Escalations (CPSET)")</f>
        <v>CPS Core Product Support Escalations (CPSET)</v>
      </c>
    </row>
    <row r="6720">
      <c r="A6720" s="1" t="str">
        <f>IFERROR(__xludf.DUMMYFUNCTION("""COMPUTED_VALUE"""),"2025 Dec")</f>
        <v>2025 Dec</v>
      </c>
      <c r="B6720" s="2">
        <f>IFERROR(__xludf.DUMMYFUNCTION("""COMPUTED_VALUE"""),45992.0)</f>
        <v>45992</v>
      </c>
      <c r="C6720" s="1" t="str">
        <f>IFERROR(__xludf.DUMMYFUNCTION("""COMPUTED_VALUE"""),"Multilingual Support")</f>
        <v>Multilingual Support</v>
      </c>
      <c r="D6720" s="1" t="str">
        <f>IFERROR(__xludf.DUMMYFUNCTION("""COMPUTED_VALUE"""),"283e2e77-f88a-4efa-b94d-fff3a66e663f")</f>
        <v>283e2e77-f88a-4efa-b94d-fff3a66e663f</v>
      </c>
      <c r="E6720" s="1">
        <f>IFERROR(__xludf.DUMMYFUNCTION("""COMPUTED_VALUE"""),3.61731791575E11)</f>
        <v>361731791575</v>
      </c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IFERROR(__xludf.DUMMYFUNCTION("""COMPUTED_VALUE"""),"Arlene Maurillo")</f>
        <v>Arlene Maurillo</v>
      </c>
      <c r="K6720" s="1" t="str">
        <f>IFERROR(__xludf.DUMMYFUNCTION("""COMPUTED_VALUE"""),"PHL, Multilingual Support")</f>
        <v>PHL, Multilingual Support</v>
      </c>
      <c r="L6720" s="1" t="str">
        <f>IFERROR(__xludf.DUMMYFUNCTION("""COMPUTED_VALUE"""),"ML French Support")</f>
        <v>ML French Support</v>
      </c>
    </row>
    <row r="6721">
      <c r="A6721" s="1" t="str">
        <f>IFERROR(__xludf.DUMMYFUNCTION("""COMPUTED_VALUE"""),"2025 Dec")</f>
        <v>2025 Dec</v>
      </c>
      <c r="B6721" s="2">
        <f>IFERROR(__xludf.DUMMYFUNCTION("""COMPUTED_VALUE"""),45992.0)</f>
        <v>45992</v>
      </c>
      <c r="C6721" s="1" t="str">
        <f>IFERROR(__xludf.DUMMYFUNCTION("""COMPUTED_VALUE"""),"Print Support")</f>
        <v>Print Support</v>
      </c>
      <c r="D6721" s="1" t="str">
        <f>IFERROR(__xludf.DUMMYFUNCTION("""COMPUTED_VALUE"""),"759bff0c-8571-44a6-ac6a-7e74510a6a62")</f>
        <v>759bff0c-8571-44a6-ac6a-7e74510a6a62</v>
      </c>
      <c r="E6721" s="1">
        <f>IFERROR(__xludf.DUMMYFUNCTION("""COMPUTED_VALUE"""),6.839686960271E12)</f>
        <v>6839686960271</v>
      </c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IFERROR(__xludf.DUMMYFUNCTION("""COMPUTED_VALUE"""),"Althea Mercado")</f>
        <v>Althea Mercado</v>
      </c>
      <c r="K6721" s="1" t="str">
        <f>IFERROR(__xludf.DUMMYFUNCTION("""COMPUTED_VALUE"""),"Print Support PH")</f>
        <v>Print Support PH</v>
      </c>
      <c r="L6721" s="1" t="str">
        <f>IFERROR(__xludf.DUMMYFUNCTION("""COMPUTED_VALUE"""),"Print Print - CHT")</f>
        <v>Print Print - CHT</v>
      </c>
    </row>
    <row r="6722">
      <c r="A6722" s="1" t="str">
        <f>IFERROR(__xludf.DUMMYFUNCTION("""COMPUTED_VALUE"""),"2025 Dec")</f>
        <v>2025 Dec</v>
      </c>
      <c r="B6722" s="2">
        <f>IFERROR(__xludf.DUMMYFUNCTION("""COMPUTED_VALUE"""),45992.0)</f>
        <v>45992</v>
      </c>
      <c r="C6722" s="1" t="str">
        <f>IFERROR(__xludf.DUMMYFUNCTION("""COMPUTED_VALUE"""),"Print Support")</f>
        <v>Print Support</v>
      </c>
      <c r="D6722" s="1" t="str">
        <f>IFERROR(__xludf.DUMMYFUNCTION("""COMPUTED_VALUE"""),"435dbe60-cec1-4cb2-b1d3-b030b9d41646")</f>
        <v>435dbe60-cec1-4cb2-b1d3-b030b9d41646</v>
      </c>
      <c r="E6722" s="1">
        <f>IFERROR(__xludf.DUMMYFUNCTION("""COMPUTED_VALUE"""),3.61724666876E11)</f>
        <v>361724666876</v>
      </c>
      <c r="F6722" s="1">
        <f>IFERROR(__xludf.DUMMYFUNCTION("""COMPUTED_VALUE"""),2.0)</f>
        <v>2</v>
      </c>
      <c r="G6722" s="1"/>
      <c r="H6722" s="3">
        <f>IFERROR(__xludf.DUMMYFUNCTION("""COMPUTED_VALUE"""),2.0)</f>
        <v>2</v>
      </c>
      <c r="I6722" s="4">
        <f>IFERROR(__xludf.DUMMYFUNCTION("""COMPUTED_VALUE"""),0.0)</f>
        <v>0</v>
      </c>
      <c r="J6722" s="1" t="str">
        <f>IFERROR(__xludf.DUMMYFUNCTION("""COMPUTED_VALUE"""),"Rae Erlano")</f>
        <v>Rae Erlano</v>
      </c>
      <c r="K6722" s="1" t="str">
        <f>IFERROR(__xludf.DUMMYFUNCTION("""COMPUTED_VALUE"""),"Print Support PH")</f>
        <v>Print Support PH</v>
      </c>
      <c r="L6722" s="1" t="str">
        <f>IFERROR(__xludf.DUMMYFUNCTION("""COMPUTED_VALUE"""),"Print Print - SEE")</f>
        <v>Print Print - SEE</v>
      </c>
    </row>
    <row r="6723">
      <c r="A6723" s="1" t="str">
        <f>IFERROR(__xludf.DUMMYFUNCTION("""COMPUTED_VALUE"""),"2025 Dec")</f>
        <v>2025 Dec</v>
      </c>
      <c r="B6723" s="2">
        <f>IFERROR(__xludf.DUMMYFUNCTION("""COMPUTED_VALUE"""),45992.0)</f>
        <v>45992</v>
      </c>
      <c r="C6723" s="1" t="str">
        <f>IFERROR(__xludf.DUMMYFUNCTION("""COMPUTED_VALUE"""),"Core Product Support")</f>
        <v>Core Product Support</v>
      </c>
      <c r="D6723" s="1" t="str">
        <f>IFERROR(__xludf.DUMMYFUNCTION("""COMPUTED_VALUE"""),"d49e1c15-2cd1-4e35-9b3a-8acda7c42425")</f>
        <v>d49e1c15-2cd1-4e35-9b3a-8acda7c42425</v>
      </c>
      <c r="E6723" s="1">
        <f>IFERROR(__xludf.DUMMYFUNCTION("""COMPUTED_VALUE"""),1.1401961091343E13)</f>
        <v>11401961091343</v>
      </c>
      <c r="F6723" s="1">
        <f>IFERROR(__xludf.DUMMYFUNCTION("""COMPUTED_VALUE"""),0.5)</f>
        <v>0.5</v>
      </c>
      <c r="G6723" s="1"/>
      <c r="H6723" s="3">
        <f>IFERROR(__xludf.DUMMYFUNCTION("""COMPUTED_VALUE"""),0.5)</f>
        <v>0.5</v>
      </c>
      <c r="I6723" s="4">
        <f>IFERROR(__xludf.DUMMYFUNCTION("""COMPUTED_VALUE"""),0.0)</f>
        <v>0</v>
      </c>
      <c r="J6723" s="1" t="str">
        <f>IFERROR(__xludf.DUMMYFUNCTION("""COMPUTED_VALUE"""),"Cate Velasco")</f>
        <v>Cate Velasco</v>
      </c>
      <c r="K6723" s="1" t="str">
        <f>IFERROR(__xludf.DUMMYFUNCTION("""COMPUTED_VALUE"""),"Advanced Product Support")</f>
        <v>Advanced Product Support</v>
      </c>
      <c r="L6723" s="1" t="str">
        <f>IFERROR(__xludf.DUMMYFUNCTION("""COMPUTED_VALUE"""),"CPS Advanced Product Support (APS)")</f>
        <v>CPS Advanced Product Support (APS)</v>
      </c>
    </row>
    <row r="6724">
      <c r="A6724" s="1" t="str">
        <f>IFERROR(__xludf.DUMMYFUNCTION("""COMPUTED_VALUE"""),"2025 Dec")</f>
        <v>2025 Dec</v>
      </c>
      <c r="B6724" s="2">
        <f>IFERROR(__xludf.DUMMYFUNCTION("""COMPUTED_VALUE"""),45992.0)</f>
        <v>45992</v>
      </c>
      <c r="C6724" s="1" t="str">
        <f>IFERROR(__xludf.DUMMYFUNCTION("""COMPUTED_VALUE"""),"Segment-specific Support")</f>
        <v>Segment-specific Support</v>
      </c>
      <c r="D6724" s="1" t="str">
        <f>IFERROR(__xludf.DUMMYFUNCTION("""COMPUTED_VALUE"""),"273af0e8-ae9e-4171-b68c-6f2448bbd29f")</f>
        <v>273af0e8-ae9e-4171-b68c-6f2448bbd29f</v>
      </c>
      <c r="E6724" s="1">
        <f>IFERROR(__xludf.DUMMYFUNCTION("""COMPUTED_VALUE"""),1.1401981037583E13)</f>
        <v>11401981037583</v>
      </c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IFERROR(__xludf.DUMMYFUNCTION("""COMPUTED_VALUE"""),"Aileen Dayanghirang")</f>
        <v>Aileen Dayanghirang</v>
      </c>
      <c r="K6724" s="1" t="str">
        <f>IFERROR(__xludf.DUMMYFUNCTION("""COMPUTED_VALUE"""),"Creators Support")</f>
        <v>Creators Support</v>
      </c>
      <c r="L6724" s="1" t="str">
        <f>IFERROR(__xludf.DUMMYFUNCTION("""COMPUTED_VALUE"""),"SSS Creators")</f>
        <v>SSS Creators</v>
      </c>
    </row>
    <row r="6725">
      <c r="A6725" s="1" t="str">
        <f>IFERROR(__xludf.DUMMYFUNCTION("""COMPUTED_VALUE"""),"2025 Dec")</f>
        <v>2025 Dec</v>
      </c>
      <c r="B6725" s="2">
        <f>IFERROR(__xludf.DUMMYFUNCTION("""COMPUTED_VALUE"""),45992.0)</f>
        <v>45992</v>
      </c>
      <c r="C6725" s="1" t="str">
        <f>IFERROR(__xludf.DUMMYFUNCTION("""COMPUTED_VALUE"""),"Admin Support")</f>
        <v>Admin Support</v>
      </c>
      <c r="D6725" s="1" t="str">
        <f>IFERROR(__xludf.DUMMYFUNCTION("""COMPUTED_VALUE"""),"d497a055-f2f2-4063-8890-6c9684355e4c")</f>
        <v>d497a055-f2f2-4063-8890-6c9684355e4c</v>
      </c>
      <c r="E6725" s="1">
        <f>IFERROR(__xludf.DUMMYFUNCTION("""COMPUTED_VALUE"""),3.61731515255E11)</f>
        <v>361731515255</v>
      </c>
      <c r="F6725" s="1"/>
      <c r="G6725" s="1">
        <f>IFERROR(__xludf.DUMMYFUNCTION("""COMPUTED_VALUE"""),6.0)</f>
        <v>6</v>
      </c>
      <c r="H6725" s="3">
        <f>IFERROR(__xludf.DUMMYFUNCTION("""COMPUTED_VALUE"""),6.0)</f>
        <v>6</v>
      </c>
      <c r="I6725" s="4">
        <f>IFERROR(__xludf.DUMMYFUNCTION("""COMPUTED_VALUE"""),1.0)</f>
        <v>1</v>
      </c>
      <c r="J6725" s="1" t="str">
        <f>IFERROR(__xludf.DUMMYFUNCTION("""COMPUTED_VALUE"""),"Camille Alvarez")</f>
        <v>Camille Alvarez</v>
      </c>
      <c r="K6725" s="1" t="str">
        <f>IFERROR(__xludf.DUMMYFUNCTION("""COMPUTED_VALUE"""),"Admin Support PH SSO")</f>
        <v>Admin Support PH SSO</v>
      </c>
      <c r="L6725" s="1" t="str">
        <f>IFERROR(__xludf.DUMMYFUNCTION("""COMPUTED_VALUE"""),"Admin SSO - SEE")</f>
        <v>Admin SSO - SEE</v>
      </c>
    </row>
    <row r="6726">
      <c r="A6726" s="1" t="str">
        <f>IFERROR(__xludf.DUMMYFUNCTION("""COMPUTED_VALUE"""),"2025 Dec")</f>
        <v>2025 Dec</v>
      </c>
      <c r="B6726" s="2">
        <f>IFERROR(__xludf.DUMMYFUNCTION("""COMPUTED_VALUE"""),45992.0)</f>
        <v>45992</v>
      </c>
      <c r="C6726" s="1" t="str">
        <f>IFERROR(__xludf.DUMMYFUNCTION("""COMPUTED_VALUE"""),"High Sensitivity Support")</f>
        <v>High Sensitivity Support</v>
      </c>
      <c r="D6726" s="1" t="str">
        <f>IFERROR(__xludf.DUMMYFUNCTION("""COMPUTED_VALUE"""),"725213c8-63bc-41f4-927e-adac2805ced0")</f>
        <v>725213c8-63bc-41f4-927e-adac2805ced0</v>
      </c>
      <c r="E6726" s="1">
        <f>IFERROR(__xludf.DUMMYFUNCTION("""COMPUTED_VALUE"""),3.61688633916E11)</f>
        <v>361688633916</v>
      </c>
      <c r="F6726" s="1">
        <f>IFERROR(__xludf.DUMMYFUNCTION("""COMPUTED_VALUE"""),4.0)</f>
        <v>4</v>
      </c>
      <c r="G6726" s="1"/>
      <c r="H6726" s="3">
        <f>IFERROR(__xludf.DUMMYFUNCTION("""COMPUTED_VALUE"""),4.0)</f>
        <v>4</v>
      </c>
      <c r="I6726" s="4">
        <f>IFERROR(__xludf.DUMMYFUNCTION("""COMPUTED_VALUE"""),0.0)</f>
        <v>0</v>
      </c>
      <c r="J6726" s="1" t="str">
        <f>IFERROR(__xludf.DUMMYFUNCTION("""COMPUTED_VALUE"""),"Xandy Azarcon")</f>
        <v>Xandy Azarcon</v>
      </c>
      <c r="K6726" s="1" t="str">
        <f>IFERROR(__xludf.DUMMYFUNCTION("""COMPUTED_VALUE"""),"High Sensitivity Support PH")</f>
        <v>High Sensitivity Support PH</v>
      </c>
      <c r="L6726" s="1" t="str">
        <f>IFERROR(__xludf.DUMMYFUNCTION("""COMPUTED_VALUE"""),"HSS High Sensitivity Support PH - CHT")</f>
        <v>HSS High Sensitivity Support PH - CHT</v>
      </c>
    </row>
    <row r="6727">
      <c r="A6727" s="1" t="str">
        <f>IFERROR(__xludf.DUMMYFUNCTION("""COMPUTED_VALUE"""),"2025 Dec")</f>
        <v>2025 Dec</v>
      </c>
      <c r="B6727" s="2">
        <f>IFERROR(__xludf.DUMMYFUNCTION("""COMPUTED_VALUE"""),45992.0)</f>
        <v>45992</v>
      </c>
      <c r="C6727" s="1" t="str">
        <f>IFERROR(__xludf.DUMMYFUNCTION("""COMPUTED_VALUE"""),"Print Support")</f>
        <v>Print Support</v>
      </c>
      <c r="D6727" s="1" t="str">
        <f>IFERROR(__xludf.DUMMYFUNCTION("""COMPUTED_VALUE"""),"adc14770-23af-4d9e-965d-0e955af819e0")</f>
        <v>adc14770-23af-4d9e-965d-0e955af819e0</v>
      </c>
      <c r="E6727" s="1">
        <f>IFERROR(__xludf.DUMMYFUNCTION("""COMPUTED_VALUE"""),3.61734092356E11)</f>
        <v>361734092356</v>
      </c>
      <c r="F6727" s="1">
        <f>IFERROR(__xludf.DUMMYFUNCTION("""COMPUTED_VALUE"""),2.0)</f>
        <v>2</v>
      </c>
      <c r="G6727" s="1"/>
      <c r="H6727" s="3">
        <f>IFERROR(__xludf.DUMMYFUNCTION("""COMPUTED_VALUE"""),2.0)</f>
        <v>2</v>
      </c>
      <c r="I6727" s="4">
        <f>IFERROR(__xludf.DUMMYFUNCTION("""COMPUTED_VALUE"""),0.0)</f>
        <v>0</v>
      </c>
      <c r="J6727" s="1" t="str">
        <f>IFERROR(__xludf.DUMMYFUNCTION("""COMPUTED_VALUE"""),"Memae Faustino")</f>
        <v>Memae Faustino</v>
      </c>
      <c r="K6727" s="1" t="str">
        <f>IFERROR(__xludf.DUMMYFUNCTION("""COMPUTED_VALUE"""),"Print Support PH")</f>
        <v>Print Support PH</v>
      </c>
      <c r="L6727" s="1" t="str">
        <f>IFERROR(__xludf.DUMMYFUNCTION("""COMPUTED_VALUE"""),"Print Print - SEE")</f>
        <v>Print Print - SEE</v>
      </c>
    </row>
    <row r="6728">
      <c r="A6728" s="1" t="str">
        <f>IFERROR(__xludf.DUMMYFUNCTION("""COMPUTED_VALUE"""),"2025 Dec")</f>
        <v>2025 Dec</v>
      </c>
      <c r="B6728" s="2">
        <f>IFERROR(__xludf.DUMMYFUNCTION("""COMPUTED_VALUE"""),45992.0)</f>
        <v>45992</v>
      </c>
      <c r="C6728" s="1" t="str">
        <f>IFERROR(__xludf.DUMMYFUNCTION("""COMPUTED_VALUE"""),"High Sensitivity Support")</f>
        <v>High Sensitivity Support</v>
      </c>
      <c r="D6728" s="1" t="str">
        <f>IFERROR(__xludf.DUMMYFUNCTION("""COMPUTED_VALUE"""),"d9cfc12e-6b04-430c-bb3b-22b9d67ee77c")</f>
        <v>d9cfc12e-6b04-430c-bb3b-22b9d67ee77c</v>
      </c>
      <c r="E6728" s="1">
        <f>IFERROR(__xludf.DUMMYFUNCTION("""COMPUTED_VALUE"""),9.795905277839E12)</f>
        <v>9795905277839</v>
      </c>
      <c r="F6728" s="1"/>
      <c r="G6728" s="1"/>
      <c r="H6728" s="3">
        <f>IFERROR(__xludf.DUMMYFUNCTION("""COMPUTED_VALUE"""),0.0)</f>
        <v>0</v>
      </c>
      <c r="I6728" s="4"/>
      <c r="J6728" s="1" t="str">
        <f>IFERROR(__xludf.DUMMYFUNCTION("""COMPUTED_VALUE"""),"Issi Afable")</f>
        <v>Issi Afable</v>
      </c>
      <c r="K6728" s="1" t="str">
        <f>IFERROR(__xludf.DUMMYFUNCTION("""COMPUTED_VALUE"""),"High Sensitivity Support PH")</f>
        <v>High Sensitivity Support PH</v>
      </c>
      <c r="L6728" s="1" t="str">
        <f>IFERROR(__xludf.DUMMYFUNCTION("""COMPUTED_VALUE"""),"HSS High Sensitivity Support PH - SEE")</f>
        <v>HSS High Sensitivity Support PH - SEE</v>
      </c>
    </row>
    <row r="6729">
      <c r="A6729" s="1" t="str">
        <f>IFERROR(__xludf.DUMMYFUNCTION("""COMPUTED_VALUE"""),"2025 Dec")</f>
        <v>2025 Dec</v>
      </c>
      <c r="B6729" s="2">
        <f>IFERROR(__xludf.DUMMYFUNCTION("""COMPUTED_VALUE"""),45992.0)</f>
        <v>45992</v>
      </c>
      <c r="C6729" s="1" t="str">
        <f>IFERROR(__xludf.DUMMYFUNCTION("""COMPUTED_VALUE"""),"Core Product Support")</f>
        <v>Core Product Support</v>
      </c>
      <c r="D6729" s="1" t="str">
        <f>IFERROR(__xludf.DUMMYFUNCTION("""COMPUTED_VALUE"""),"d5b38678-ef33-449e-a4d3-7a7a69f2f5cb")</f>
        <v>d5b38678-ef33-449e-a4d3-7a7a69f2f5cb</v>
      </c>
      <c r="E6729" s="1">
        <f>IFERROR(__xludf.DUMMYFUNCTION("""COMPUTED_VALUE"""),3.61857411736E11)</f>
        <v>361857411736</v>
      </c>
      <c r="F6729" s="1">
        <f>IFERROR(__xludf.DUMMYFUNCTION("""COMPUTED_VALUE"""),0.5)</f>
        <v>0.5</v>
      </c>
      <c r="G6729" s="1">
        <f>IFERROR(__xludf.DUMMYFUNCTION("""COMPUTED_VALUE"""),1.0)</f>
        <v>1</v>
      </c>
      <c r="H6729" s="3">
        <f>IFERROR(__xludf.DUMMYFUNCTION("""COMPUTED_VALUE"""),1.5)</f>
        <v>1.5</v>
      </c>
      <c r="I6729" s="4">
        <f>IFERROR(__xludf.DUMMYFUNCTION("""COMPUTED_VALUE"""),0.6666666666666666)</f>
        <v>0.6666666667</v>
      </c>
      <c r="J6729" s="1" t="str">
        <f>IFERROR(__xludf.DUMMYFUNCTION("""COMPUTED_VALUE"""),"Vianca De Jesus")</f>
        <v>Vianca De Jesus</v>
      </c>
      <c r="K6729" s="1" t="str">
        <f>IFERROR(__xludf.DUMMYFUNCTION("""COMPUTED_VALUE"""),"Advanced Chat Support")</f>
        <v>Advanced Chat Support</v>
      </c>
      <c r="L6729" s="1" t="str">
        <f>IFERROR(__xludf.DUMMYFUNCTION("""COMPUTED_VALUE"""),"CPS Advanced Chat Support (ACS)")</f>
        <v>CPS Advanced Chat Support (ACS)</v>
      </c>
    </row>
    <row r="6730">
      <c r="A6730" s="1" t="str">
        <f>IFERROR(__xludf.DUMMYFUNCTION("""COMPUTED_VALUE"""),"2025 Dec")</f>
        <v>2025 Dec</v>
      </c>
      <c r="B6730" s="2">
        <f>IFERROR(__xludf.DUMMYFUNCTION("""COMPUTED_VALUE"""),45992.0)</f>
        <v>45992</v>
      </c>
      <c r="C6730" s="1" t="str">
        <f>IFERROR(__xludf.DUMMYFUNCTION("""COMPUTED_VALUE"""),"Admin Support")</f>
        <v>Admin Support</v>
      </c>
      <c r="D6730" s="1" t="str">
        <f>IFERROR(__xludf.DUMMYFUNCTION("""COMPUTED_VALUE"""),"65280774-7b68-4e6a-9312-4389148cbc01")</f>
        <v>65280774-7b68-4e6a-9312-4389148cbc01</v>
      </c>
      <c r="E6730" s="1">
        <f>IFERROR(__xludf.DUMMYFUNCTION("""COMPUTED_VALUE"""),1.0548588461839E13)</f>
        <v>10548588461839</v>
      </c>
      <c r="F6730" s="1"/>
      <c r="G6730" s="1">
        <f>IFERROR(__xludf.DUMMYFUNCTION("""COMPUTED_VALUE"""),3.5)</f>
        <v>3.5</v>
      </c>
      <c r="H6730" s="3">
        <f>IFERROR(__xludf.DUMMYFUNCTION("""COMPUTED_VALUE"""),3.5)</f>
        <v>3.5</v>
      </c>
      <c r="I6730" s="4">
        <f>IFERROR(__xludf.DUMMYFUNCTION("""COMPUTED_VALUE"""),1.0)</f>
        <v>1</v>
      </c>
      <c r="J6730" s="1" t="str">
        <f>IFERROR(__xludf.DUMMYFUNCTION("""COMPUTED_VALUE"""),"Pau Palmero")</f>
        <v>Pau Palmero</v>
      </c>
      <c r="K6730" s="1" t="str">
        <f>IFERROR(__xludf.DUMMYFUNCTION("""COMPUTED_VALUE"""),"Admin Support PH CEDD")</f>
        <v>Admin Support PH CEDD</v>
      </c>
      <c r="L6730" s="1" t="str">
        <f>IFERROR(__xludf.DUMMYFUNCTION("""COMPUTED_VALUE"""),"Admin CEDD Apps,Admin CEDD Inbox Mgt")</f>
        <v>Admin CEDD Apps,Admin CEDD Inbox Mgt</v>
      </c>
    </row>
    <row r="6731">
      <c r="A6731" s="1" t="str">
        <f>IFERROR(__xludf.DUMMYFUNCTION("""COMPUTED_VALUE"""),"2025 Dec")</f>
        <v>2025 Dec</v>
      </c>
      <c r="B6731" s="2">
        <f>IFERROR(__xludf.DUMMYFUNCTION("""COMPUTED_VALUE"""),45992.0)</f>
        <v>45992</v>
      </c>
      <c r="C6731" s="1" t="str">
        <f>IFERROR(__xludf.DUMMYFUNCTION("""COMPUTED_VALUE"""),"Core Product Support")</f>
        <v>Core Product Support</v>
      </c>
      <c r="D6731" s="1" t="str">
        <f>IFERROR(__xludf.DUMMYFUNCTION("""COMPUTED_VALUE"""),"0a5a8f36-7865-4df1-a7d1-fdbafdddd3eb")</f>
        <v>0a5a8f36-7865-4df1-a7d1-fdbafdddd3eb</v>
      </c>
      <c r="E6731" s="1">
        <f>IFERROR(__xludf.DUMMYFUNCTION("""COMPUTED_VALUE"""),3.61731792395E11)</f>
        <v>361731792395</v>
      </c>
      <c r="F6731" s="1"/>
      <c r="G6731" s="1">
        <f>IFERROR(__xludf.DUMMYFUNCTION("""COMPUTED_VALUE"""),1.0)</f>
        <v>1</v>
      </c>
      <c r="H6731" s="3">
        <f>IFERROR(__xludf.DUMMYFUNCTION("""COMPUTED_VALUE"""),1.0)</f>
        <v>1</v>
      </c>
      <c r="I6731" s="4">
        <f>IFERROR(__xludf.DUMMYFUNCTION("""COMPUTED_VALUE"""),1.0)</f>
        <v>1</v>
      </c>
      <c r="J6731" s="1" t="str">
        <f>IFERROR(__xludf.DUMMYFUNCTION("""COMPUTED_VALUE"""),"Sieg Ballelos")</f>
        <v>Sieg Ballelos</v>
      </c>
      <c r="K6731" s="1" t="str">
        <f>IFERROR(__xludf.DUMMYFUNCTION("""COMPUTED_VALUE"""),"Core Product Support Escalation Team")</f>
        <v>Core Product Support Escalation Team</v>
      </c>
      <c r="L6731" s="1" t="str">
        <f>IFERROR(__xludf.DUMMYFUNCTION("""COMPUTED_VALUE"""),"CPS Core Product Support Escalations (CPSET)")</f>
        <v>CPS Core Product Support Escalations (CPSET)</v>
      </c>
    </row>
    <row r="6732">
      <c r="A6732" s="1" t="str">
        <f>IFERROR(__xludf.DUMMYFUNCTION("""COMPUTED_VALUE"""),"2025 Dec")</f>
        <v>2025 Dec</v>
      </c>
      <c r="B6732" s="2">
        <f>IFERROR(__xludf.DUMMYFUNCTION("""COMPUTED_VALUE"""),45992.0)</f>
        <v>45992</v>
      </c>
      <c r="C6732" s="1" t="str">
        <f>IFERROR(__xludf.DUMMYFUNCTION("""COMPUTED_VALUE"""),"Core Product Support")</f>
        <v>Core Product Support</v>
      </c>
      <c r="D6732" s="1" t="str">
        <f>IFERROR(__xludf.DUMMYFUNCTION("""COMPUTED_VALUE"""),"626e971a-a1f2-466b-b3f0-fd32790eb440")</f>
        <v>626e971a-a1f2-466b-b3f0-fd32790eb440</v>
      </c>
      <c r="E6732" s="1">
        <f>IFERROR(__xludf.DUMMYFUNCTION("""COMPUTED_VALUE"""),8.904494781967E12)</f>
        <v>8904494781967</v>
      </c>
      <c r="F6732" s="1">
        <f>IFERROR(__xludf.DUMMYFUNCTION("""COMPUTED_VALUE"""),0.5)</f>
        <v>0.5</v>
      </c>
      <c r="G6732" s="1">
        <f>IFERROR(__xludf.DUMMYFUNCTION("""COMPUTED_VALUE"""),1.25)</f>
        <v>1.25</v>
      </c>
      <c r="H6732" s="3">
        <f>IFERROR(__xludf.DUMMYFUNCTION("""COMPUTED_VALUE"""),1.75)</f>
        <v>1.75</v>
      </c>
      <c r="I6732" s="4">
        <f>IFERROR(__xludf.DUMMYFUNCTION("""COMPUTED_VALUE"""),0.7142857142857143)</f>
        <v>0.7142857143</v>
      </c>
      <c r="J6732" s="1" t="str">
        <f>IFERROR(__xludf.DUMMYFUNCTION("""COMPUTED_VALUE"""),"Ana Lazaro")</f>
        <v>Ana Lazaro</v>
      </c>
      <c r="K6732" s="1" t="str">
        <f>IFERROR(__xludf.DUMMYFUNCTION("""COMPUTED_VALUE"""),"Advanced Billing &amp; Subscriptions")</f>
        <v>Advanced Billing &amp; Subscriptions</v>
      </c>
      <c r="L6732" s="1" t="str">
        <f>IFERROR(__xludf.DUMMYFUNCTION("""COMPUTED_VALUE"""),"CPS Advanced Billing and Subscriptions (ABS)")</f>
        <v>CPS Advanced Billing and Subscriptions (ABS)</v>
      </c>
    </row>
    <row r="6733">
      <c r="A6733" s="1" t="str">
        <f>IFERROR(__xludf.DUMMYFUNCTION("""COMPUTED_VALUE"""),"2025 Dec")</f>
        <v>2025 Dec</v>
      </c>
      <c r="B6733" s="2">
        <f>IFERROR(__xludf.DUMMYFUNCTION("""COMPUTED_VALUE"""),45992.0)</f>
        <v>45992</v>
      </c>
      <c r="C6733" s="1" t="str">
        <f>IFERROR(__xludf.DUMMYFUNCTION("""COMPUTED_VALUE"""),"Core Product Support")</f>
        <v>Core Product Support</v>
      </c>
      <c r="D6733" s="1" t="str">
        <f>IFERROR(__xludf.DUMMYFUNCTION("""COMPUTED_VALUE"""),"238df195-1311-420b-9bfc-80204048a0d0")</f>
        <v>238df195-1311-420b-9bfc-80204048a0d0</v>
      </c>
      <c r="E6733" s="1">
        <f>IFERROR(__xludf.DUMMYFUNCTION("""COMPUTED_VALUE"""),1.0548626062351E13)</f>
        <v>10548626062351</v>
      </c>
      <c r="F6733" s="1">
        <f>IFERROR(__xludf.DUMMYFUNCTION("""COMPUTED_VALUE"""),0.5)</f>
        <v>0.5</v>
      </c>
      <c r="G6733" s="1">
        <f>IFERROR(__xludf.DUMMYFUNCTION("""COMPUTED_VALUE"""),0.25)</f>
        <v>0.25</v>
      </c>
      <c r="H6733" s="3">
        <f>IFERROR(__xludf.DUMMYFUNCTION("""COMPUTED_VALUE"""),0.75)</f>
        <v>0.75</v>
      </c>
      <c r="I6733" s="4">
        <f>IFERROR(__xludf.DUMMYFUNCTION("""COMPUTED_VALUE"""),0.3333333333333333)</f>
        <v>0.3333333333</v>
      </c>
      <c r="J6733" s="1" t="str">
        <f>IFERROR(__xludf.DUMMYFUNCTION("""COMPUTED_VALUE"""),"Belle Bentazal")</f>
        <v>Belle Bentazal</v>
      </c>
      <c r="K6733" s="1" t="str">
        <f>IFERROR(__xludf.DUMMYFUNCTION("""COMPUTED_VALUE"""),"Advanced Product Support")</f>
        <v>Advanced Product Support</v>
      </c>
      <c r="L6733" s="1" t="str">
        <f>IFERROR(__xludf.DUMMYFUNCTION("""COMPUTED_VALUE"""),"CPS Advanced Product Support (APS)")</f>
        <v>CPS Advanced Product Support (APS)</v>
      </c>
    </row>
    <row r="6734">
      <c r="A6734" s="1" t="str">
        <f>IFERROR(__xludf.DUMMYFUNCTION("""COMPUTED_VALUE"""),"2025 Dec")</f>
        <v>2025 Dec</v>
      </c>
      <c r="B6734" s="2">
        <f>IFERROR(__xludf.DUMMYFUNCTION("""COMPUTED_VALUE"""),45992.0)</f>
        <v>45992</v>
      </c>
      <c r="C6734" s="1" t="str">
        <f>IFERROR(__xludf.DUMMYFUNCTION("""COMPUTED_VALUE"""),"Admin Support")</f>
        <v>Admin Support</v>
      </c>
      <c r="D6734" s="1" t="str">
        <f>IFERROR(__xludf.DUMMYFUNCTION("""COMPUTED_VALUE"""),"4790af32-fa25-48b3-bdc4-76770b6ef929")</f>
        <v>4790af32-fa25-48b3-bdc4-76770b6ef929</v>
      </c>
      <c r="E6734" s="1">
        <f>IFERROR(__xludf.DUMMYFUNCTION("""COMPUTED_VALUE"""),9.107735174799E12)</f>
        <v>9107735174799</v>
      </c>
      <c r="F6734" s="1"/>
      <c r="G6734" s="1">
        <f>IFERROR(__xludf.DUMMYFUNCTION("""COMPUTED_VALUE"""),6.75)</f>
        <v>6.75</v>
      </c>
      <c r="H6734" s="3">
        <f>IFERROR(__xludf.DUMMYFUNCTION("""COMPUTED_VALUE"""),6.75)</f>
        <v>6.75</v>
      </c>
      <c r="I6734" s="4">
        <f>IFERROR(__xludf.DUMMYFUNCTION("""COMPUTED_VALUE"""),1.0)</f>
        <v>1</v>
      </c>
      <c r="J6734" s="1" t="str">
        <f>IFERROR(__xludf.DUMMYFUNCTION("""COMPUTED_VALUE"""),"Pau Palmero")</f>
        <v>Pau Palmero</v>
      </c>
      <c r="K6734" s="1" t="str">
        <f>IFERROR(__xludf.DUMMYFUNCTION("""COMPUTED_VALUE"""),"Admin Support PH CEDD")</f>
        <v>Admin Support PH CEDD</v>
      </c>
      <c r="L6734" s="1" t="str">
        <f>IFERROR(__xludf.DUMMYFUNCTION("""COMPUTED_VALUE"""),"Admin CEDD Apps,Admin CEDD Inbox Mgt,Admin Rostering")</f>
        <v>Admin CEDD Apps,Admin CEDD Inbox Mgt,Admin Rostering</v>
      </c>
    </row>
    <row r="6735">
      <c r="A6735" s="1" t="str">
        <f>IFERROR(__xludf.DUMMYFUNCTION("""COMPUTED_VALUE"""),"2025 Dec")</f>
        <v>2025 Dec</v>
      </c>
      <c r="B6735" s="2">
        <f>IFERROR(__xludf.DUMMYFUNCTION("""COMPUTED_VALUE"""),45992.0)</f>
        <v>45992</v>
      </c>
      <c r="C6735" s="1" t="str">
        <f>IFERROR(__xludf.DUMMYFUNCTION("""COMPUTED_VALUE"""),"Multilingual Support")</f>
        <v>Multilingual Support</v>
      </c>
      <c r="D6735" s="1" t="str">
        <f>IFERROR(__xludf.DUMMYFUNCTION("""COMPUTED_VALUE"""),"c4abd336-8a5c-43a4-942f-2d3f5b2e85fd")</f>
        <v>c4abd336-8a5c-43a4-942f-2d3f5b2e85fd</v>
      </c>
      <c r="E6735" s="1">
        <f>IFERROR(__xludf.DUMMYFUNCTION("""COMPUTED_VALUE"""),6.936778850319E12)</f>
        <v>6936778850319</v>
      </c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IFERROR(__xludf.DUMMYFUNCTION("""COMPUTED_VALUE"""),"Arlene Maurillo")</f>
        <v>Arlene Maurillo</v>
      </c>
      <c r="K6735" s="1" t="str">
        <f>IFERROR(__xludf.DUMMYFUNCTION("""COMPUTED_VALUE"""),"PHL, Multilingual Support")</f>
        <v>PHL, Multilingual Support</v>
      </c>
      <c r="L6735" s="1" t="str">
        <f>IFERROR(__xludf.DUMMYFUNCTION("""COMPUTED_VALUE"""),"ML Japanese Support")</f>
        <v>ML Japanese Support</v>
      </c>
    </row>
    <row r="6736">
      <c r="A6736" s="1" t="str">
        <f>IFERROR(__xludf.DUMMYFUNCTION("""COMPUTED_VALUE"""),"2025 Dec")</f>
        <v>2025 Dec</v>
      </c>
      <c r="B6736" s="2">
        <f>IFERROR(__xludf.DUMMYFUNCTION("""COMPUTED_VALUE"""),45992.0)</f>
        <v>45992</v>
      </c>
      <c r="C6736" s="1" t="str">
        <f>IFERROR(__xludf.DUMMYFUNCTION("""COMPUTED_VALUE"""),"Core Product Support")</f>
        <v>Core Product Support</v>
      </c>
      <c r="D6736" s="1" t="str">
        <f>IFERROR(__xludf.DUMMYFUNCTION("""COMPUTED_VALUE"""),"fde5e5d2-449d-4b43-9d50-543fa050dfcf")</f>
        <v>fde5e5d2-449d-4b43-9d50-543fa050dfcf</v>
      </c>
      <c r="E6736" s="1">
        <f>IFERROR(__xludf.DUMMYFUNCTION("""COMPUTED_VALUE"""),5.566867901455E12)</f>
        <v>5566867901455</v>
      </c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IFERROR(__xludf.DUMMYFUNCTION("""COMPUTED_VALUE"""),"Vianca De Jesus")</f>
        <v>Vianca De Jesus</v>
      </c>
      <c r="K6736" s="1" t="str">
        <f>IFERROR(__xludf.DUMMYFUNCTION("""COMPUTED_VALUE"""),"Advanced Chat Support")</f>
        <v>Advanced Chat Support</v>
      </c>
      <c r="L6736" s="1" t="str">
        <f>IFERROR(__xludf.DUMMYFUNCTION("""COMPUTED_VALUE"""),"CPS Advanced Chat Support (ACS)")</f>
        <v>CPS Advanced Chat Support (ACS)</v>
      </c>
    </row>
    <row r="6737">
      <c r="A6737" s="1" t="str">
        <f>IFERROR(__xludf.DUMMYFUNCTION("""COMPUTED_VALUE"""),"2025 Dec")</f>
        <v>2025 Dec</v>
      </c>
      <c r="B6737" s="2">
        <f>IFERROR(__xludf.DUMMYFUNCTION("""COMPUTED_VALUE"""),45992.0)</f>
        <v>45992</v>
      </c>
      <c r="C6737" s="1" t="str">
        <f>IFERROR(__xludf.DUMMYFUNCTION("""COMPUTED_VALUE"""),"Core Product Support")</f>
        <v>Core Product Support</v>
      </c>
      <c r="D6737" s="1" t="str">
        <f>IFERROR(__xludf.DUMMYFUNCTION("""COMPUTED_VALUE"""),"99085273-2cc4-4932-aad9-eac22f3b9709")</f>
        <v>99085273-2cc4-4932-aad9-eac22f3b9709</v>
      </c>
      <c r="E6737" s="1">
        <f>IFERROR(__xludf.DUMMYFUNCTION("""COMPUTED_VALUE"""),3.61732054935E11)</f>
        <v>361732054935</v>
      </c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IFERROR(__xludf.DUMMYFUNCTION("""COMPUTED_VALUE"""),"Jem Mondoñedo")</f>
        <v>Jem Mondoñedo</v>
      </c>
      <c r="K6737" s="1" t="str">
        <f>IFERROR(__xludf.DUMMYFUNCTION("""COMPUTED_VALUE"""),"Advanced Chat Support")</f>
        <v>Advanced Chat Support</v>
      </c>
      <c r="L6737" s="1" t="str">
        <f>IFERROR(__xludf.DUMMYFUNCTION("""COMPUTED_VALUE"""),"CPS Advanced Chat Support (ACS)")</f>
        <v>CPS Advanced Chat Support (ACS)</v>
      </c>
    </row>
    <row r="6738">
      <c r="A6738" s="1" t="str">
        <f>IFERROR(__xludf.DUMMYFUNCTION("""COMPUTED_VALUE"""),"2025 Dec")</f>
        <v>2025 Dec</v>
      </c>
      <c r="B6738" s="2">
        <f>IFERROR(__xludf.DUMMYFUNCTION("""COMPUTED_VALUE"""),45992.0)</f>
        <v>45992</v>
      </c>
      <c r="C6738" s="1" t="str">
        <f>IFERROR(__xludf.DUMMYFUNCTION("""COMPUTED_VALUE"""),"Admin Support")</f>
        <v>Admin Support</v>
      </c>
      <c r="D6738" s="1" t="str">
        <f>IFERROR(__xludf.DUMMYFUNCTION("""COMPUTED_VALUE"""),"c4296942-0752-4ab1-a016-50f83ec4677d")</f>
        <v>c4296942-0752-4ab1-a016-50f83ec4677d</v>
      </c>
      <c r="E6738" s="1">
        <f>IFERROR(__xludf.DUMMYFUNCTION("""COMPUTED_VALUE"""),3.61732055015E11)</f>
        <v>361732055015</v>
      </c>
      <c r="F6738" s="1"/>
      <c r="G6738" s="1">
        <f>IFERROR(__xludf.DUMMYFUNCTION("""COMPUTED_VALUE"""),11.5)</f>
        <v>11.5</v>
      </c>
      <c r="H6738" s="3">
        <f>IFERROR(__xludf.DUMMYFUNCTION("""COMPUTED_VALUE"""),11.5)</f>
        <v>11.5</v>
      </c>
      <c r="I6738" s="4">
        <f>IFERROR(__xludf.DUMMYFUNCTION("""COMPUTED_VALUE"""),1.0)</f>
        <v>1</v>
      </c>
      <c r="J6738" s="1" t="str">
        <f>IFERROR(__xludf.DUMMYFUNCTION("""COMPUTED_VALUE"""),"AL Suarez")</f>
        <v>AL Suarez</v>
      </c>
      <c r="K6738" s="1" t="str">
        <f>IFERROR(__xludf.DUMMYFUNCTION("""COMPUTED_VALUE"""),"Admin Support PH")</f>
        <v>Admin Support PH</v>
      </c>
      <c r="L6738" s="1" t="str">
        <f>IFERROR(__xludf.DUMMYFUNCTION("""COMPUTED_VALUE"""),"Admin PH")</f>
        <v>Admin PH</v>
      </c>
    </row>
    <row r="6739">
      <c r="A6739" s="1" t="str">
        <f>IFERROR(__xludf.DUMMYFUNCTION("""COMPUTED_VALUE"""),"2025 Dec")</f>
        <v>2025 Dec</v>
      </c>
      <c r="B6739" s="2">
        <f>IFERROR(__xludf.DUMMYFUNCTION("""COMPUTED_VALUE"""),45992.0)</f>
        <v>45992</v>
      </c>
      <c r="C6739" s="1" t="str">
        <f>IFERROR(__xludf.DUMMYFUNCTION("""COMPUTED_VALUE"""),"Print Support")</f>
        <v>Print Support</v>
      </c>
      <c r="D6739" s="1" t="str">
        <f>IFERROR(__xludf.DUMMYFUNCTION("""COMPUTED_VALUE"""),"e612249c-8f64-415b-befe-bb7e6027b43c")</f>
        <v>e612249c-8f64-415b-befe-bb7e6027b43c</v>
      </c>
      <c r="E6739" s="1">
        <f>IFERROR(__xludf.DUMMYFUNCTION("""COMPUTED_VALUE"""),1.3475806334735E13)</f>
        <v>13475806334735</v>
      </c>
      <c r="F6739" s="1"/>
      <c r="G6739" s="1"/>
      <c r="H6739" s="3">
        <f>IFERROR(__xludf.DUMMYFUNCTION("""COMPUTED_VALUE"""),0.0)</f>
        <v>0</v>
      </c>
      <c r="I6739" s="4"/>
      <c r="J6739" s="1" t="str">
        <f>IFERROR(__xludf.DUMMYFUNCTION("""COMPUTED_VALUE"""),"Rei De Jesus")</f>
        <v>Rei De Jesus</v>
      </c>
      <c r="K6739" s="1" t="str">
        <f>IFERROR(__xludf.DUMMYFUNCTION("""COMPUTED_VALUE"""),"Print Design Support")</f>
        <v>Print Design Support</v>
      </c>
      <c r="L6739" s="1" t="str">
        <f>IFERROR(__xludf.DUMMYFUNCTION("""COMPUTED_VALUE"""),"Print Print Design")</f>
        <v>Print Print Design</v>
      </c>
    </row>
    <row r="6740">
      <c r="A6740" s="1" t="str">
        <f>IFERROR(__xludf.DUMMYFUNCTION("""COMPUTED_VALUE"""),"2025 Dec")</f>
        <v>2025 Dec</v>
      </c>
      <c r="B6740" s="2">
        <f>IFERROR(__xludf.DUMMYFUNCTION("""COMPUTED_VALUE"""),45992.0)</f>
        <v>45992</v>
      </c>
      <c r="C6740" s="1" t="str">
        <f>IFERROR(__xludf.DUMMYFUNCTION("""COMPUTED_VALUE"""),"Core Product Support")</f>
        <v>Core Product Support</v>
      </c>
      <c r="D6740" s="1" t="str">
        <f>IFERROR(__xludf.DUMMYFUNCTION("""COMPUTED_VALUE"""),"3623161b-ff5b-4aee-8826-3d6522587a06")</f>
        <v>3623161b-ff5b-4aee-8826-3d6522587a06</v>
      </c>
      <c r="E6740" s="1"/>
      <c r="F6740" s="1">
        <f>IFERROR(__xludf.DUMMYFUNCTION("""COMPUTED_VALUE"""),0.5)</f>
        <v>0.5</v>
      </c>
      <c r="G6740" s="1"/>
      <c r="H6740" s="3">
        <f>IFERROR(__xludf.DUMMYFUNCTION("""COMPUTED_VALUE"""),0.5)</f>
        <v>0.5</v>
      </c>
      <c r="I6740" s="4">
        <f>IFERROR(__xludf.DUMMYFUNCTION("""COMPUTED_VALUE"""),0.0)</f>
        <v>0</v>
      </c>
      <c r="J6740" s="1" t="str">
        <f>IFERROR(__xludf.DUMMYFUNCTION("""COMPUTED_VALUE"""),"Marie Mordeno")</f>
        <v>Marie Mordeno</v>
      </c>
      <c r="K6740" s="1" t="str">
        <f>IFERROR(__xludf.DUMMYFUNCTION("""COMPUTED_VALUE"""),"Advanced Billing &amp; Subscriptions")</f>
        <v>Advanced Billing &amp; Subscriptions</v>
      </c>
      <c r="L6740" s="1" t="str">
        <f>IFERROR(__xludf.DUMMYFUNCTION("""COMPUTED_VALUE"""),"CPS Advanced Billing and Subscriptions (ABS)")</f>
        <v>CPS Advanced Billing and Subscriptions (ABS)</v>
      </c>
    </row>
    <row r="6741">
      <c r="A6741" s="1" t="str">
        <f>IFERROR(__xludf.DUMMYFUNCTION("""COMPUTED_VALUE"""),"2025 Dec")</f>
        <v>2025 Dec</v>
      </c>
      <c r="B6741" s="2">
        <f>IFERROR(__xludf.DUMMYFUNCTION("""COMPUTED_VALUE"""),45992.0)</f>
        <v>45992</v>
      </c>
      <c r="C6741" s="1" t="str">
        <f>IFERROR(__xludf.DUMMYFUNCTION("""COMPUTED_VALUE"""),"Admin Support")</f>
        <v>Admin Support</v>
      </c>
      <c r="D6741" s="1" t="str">
        <f>IFERROR(__xludf.DUMMYFUNCTION("""COMPUTED_VALUE"""),"ae4ace4e-6cd8-4a8d-bb18-10768406ce5b")</f>
        <v>ae4ace4e-6cd8-4a8d-bb18-10768406ce5b</v>
      </c>
      <c r="E6741" s="1">
        <f>IFERROR(__xludf.DUMMYFUNCTION("""COMPUTED_VALUE"""),3.61725374736E11)</f>
        <v>361725374736</v>
      </c>
      <c r="F6741" s="1"/>
      <c r="G6741" s="1">
        <f>IFERROR(__xludf.DUMMYFUNCTION("""COMPUTED_VALUE"""),3.0)</f>
        <v>3</v>
      </c>
      <c r="H6741" s="3">
        <f>IFERROR(__xludf.DUMMYFUNCTION("""COMPUTED_VALUE"""),3.0)</f>
        <v>3</v>
      </c>
      <c r="I6741" s="4">
        <f>IFERROR(__xludf.DUMMYFUNCTION("""COMPUTED_VALUE"""),1.0)</f>
        <v>1</v>
      </c>
      <c r="J6741" s="1" t="str">
        <f>IFERROR(__xludf.DUMMYFUNCTION("""COMPUTED_VALUE"""),"AL Suarez")</f>
        <v>AL Suarez</v>
      </c>
      <c r="K6741" s="1" t="str">
        <f>IFERROR(__xludf.DUMMYFUNCTION("""COMPUTED_VALUE"""),"Admin Support PH")</f>
        <v>Admin Support PH</v>
      </c>
      <c r="L6741" s="1" t="str">
        <f>IFERROR(__xludf.DUMMYFUNCTION("""COMPUTED_VALUE"""),"Admin PH")</f>
        <v>Admin PH</v>
      </c>
    </row>
    <row r="6742">
      <c r="A6742" s="1" t="str">
        <f>IFERROR(__xludf.DUMMYFUNCTION("""COMPUTED_VALUE"""),"2025 Dec")</f>
        <v>2025 Dec</v>
      </c>
      <c r="B6742" s="2">
        <f>IFERROR(__xludf.DUMMYFUNCTION("""COMPUTED_VALUE"""),45992.0)</f>
        <v>45992</v>
      </c>
      <c r="C6742" s="1" t="str">
        <f>IFERROR(__xludf.DUMMYFUNCTION("""COMPUTED_VALUE"""),"Print Support")</f>
        <v>Print Support</v>
      </c>
      <c r="D6742" s="1" t="str">
        <f>IFERROR(__xludf.DUMMYFUNCTION("""COMPUTED_VALUE"""),"099dd243-b724-478e-9692-79686402a18c")</f>
        <v>099dd243-b724-478e-9692-79686402a18c</v>
      </c>
      <c r="E6742" s="1">
        <f>IFERROR(__xludf.DUMMYFUNCTION("""COMPUTED_VALUE"""),3.61731348935E11)</f>
        <v>361731348935</v>
      </c>
      <c r="F6742" s="1">
        <f>IFERROR(__xludf.DUMMYFUNCTION("""COMPUTED_VALUE"""),2.0)</f>
        <v>2</v>
      </c>
      <c r="G6742" s="1"/>
      <c r="H6742" s="3">
        <f>IFERROR(__xludf.DUMMYFUNCTION("""COMPUTED_VALUE"""),2.0)</f>
        <v>2</v>
      </c>
      <c r="I6742" s="4">
        <f>IFERROR(__xludf.DUMMYFUNCTION("""COMPUTED_VALUE"""),0.0)</f>
        <v>0</v>
      </c>
      <c r="J6742" s="1" t="str">
        <f>IFERROR(__xludf.DUMMYFUNCTION("""COMPUTED_VALUE"""),"Memae Faustino")</f>
        <v>Memae Faustino</v>
      </c>
      <c r="K6742" s="1" t="str">
        <f>IFERROR(__xludf.DUMMYFUNCTION("""COMPUTED_VALUE"""),"Print Support PH")</f>
        <v>Print Support PH</v>
      </c>
      <c r="L6742" s="1" t="str">
        <f>IFERROR(__xludf.DUMMYFUNCTION("""COMPUTED_VALUE"""),"Print Print - SEE")</f>
        <v>Print Print - SEE</v>
      </c>
    </row>
    <row r="6743">
      <c r="A6743" s="1" t="str">
        <f>IFERROR(__xludf.DUMMYFUNCTION("""COMPUTED_VALUE"""),"2025 Dec")</f>
        <v>2025 Dec</v>
      </c>
      <c r="B6743" s="2">
        <f>IFERROR(__xludf.DUMMYFUNCTION("""COMPUTED_VALUE"""),45992.0)</f>
        <v>45992</v>
      </c>
      <c r="C6743" s="1" t="str">
        <f>IFERROR(__xludf.DUMMYFUNCTION("""COMPUTED_VALUE"""),"Multilingual Support")</f>
        <v>Multilingual Support</v>
      </c>
      <c r="D6743" s="1" t="str">
        <f>IFERROR(__xludf.DUMMYFUNCTION("""COMPUTED_VALUE"""),"65e111e9-ab12-453f-afa3-155200027cc6")</f>
        <v>65e111e9-ab12-453f-afa3-155200027cc6</v>
      </c>
      <c r="E6743" s="1">
        <f>IFERROR(__xludf.DUMMYFUNCTION("""COMPUTED_VALUE"""),6.392444639375E12)</f>
        <v>6392444639375</v>
      </c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IFERROR(__xludf.DUMMYFUNCTION("""COMPUTED_VALUE"""),"Arlene Maurillo")</f>
        <v>Arlene Maurillo</v>
      </c>
      <c r="K6743" s="1" t="str">
        <f>IFERROR(__xludf.DUMMYFUNCTION("""COMPUTED_VALUE"""),"PHL, Multilingual Support")</f>
        <v>PHL, Multilingual Support</v>
      </c>
      <c r="L6743" s="1" t="str">
        <f>IFERROR(__xludf.DUMMYFUNCTION("""COMPUTED_VALUE"""),"ML Portuguese Support")</f>
        <v>ML Portuguese Support</v>
      </c>
    </row>
    <row r="6744">
      <c r="A6744" s="1" t="str">
        <f>IFERROR(__xludf.DUMMYFUNCTION("""COMPUTED_VALUE"""),"2025 Dec")</f>
        <v>2025 Dec</v>
      </c>
      <c r="B6744" s="2">
        <f>IFERROR(__xludf.DUMMYFUNCTION("""COMPUTED_VALUE"""),45992.0)</f>
        <v>45992</v>
      </c>
      <c r="C6744" s="1" t="str">
        <f>IFERROR(__xludf.DUMMYFUNCTION("""COMPUTED_VALUE"""),"Core Product Support")</f>
        <v>Core Product Support</v>
      </c>
      <c r="D6744" s="1" t="str">
        <f>IFERROR(__xludf.DUMMYFUNCTION("""COMPUTED_VALUE"""),"5cc46a1e-c49d-4562-acbb-742a43deb5f7")</f>
        <v>5cc46a1e-c49d-4562-acbb-742a43deb5f7</v>
      </c>
      <c r="E6744" s="1">
        <f>IFERROR(__xludf.DUMMYFUNCTION("""COMPUTED_VALUE"""),1.0548581777679E13)</f>
        <v>10548581777679</v>
      </c>
      <c r="F6744" s="1">
        <f>IFERROR(__xludf.DUMMYFUNCTION("""COMPUTED_VALUE"""),0.5)</f>
        <v>0.5</v>
      </c>
      <c r="G6744" s="1"/>
      <c r="H6744" s="3">
        <f>IFERROR(__xludf.DUMMYFUNCTION("""COMPUTED_VALUE"""),0.5)</f>
        <v>0.5</v>
      </c>
      <c r="I6744" s="4">
        <f>IFERROR(__xludf.DUMMYFUNCTION("""COMPUTED_VALUE"""),0.0)</f>
        <v>0</v>
      </c>
      <c r="J6744" s="1" t="str">
        <f>IFERROR(__xludf.DUMMYFUNCTION("""COMPUTED_VALUE"""),"Jem Mondoñedo")</f>
        <v>Jem Mondoñedo</v>
      </c>
      <c r="K6744" s="1" t="str">
        <f>IFERROR(__xludf.DUMMYFUNCTION("""COMPUTED_VALUE"""),"Advanced Billing &amp; Subscriptions")</f>
        <v>Advanced Billing &amp; Subscriptions</v>
      </c>
      <c r="L6744" s="1" t="str">
        <f>IFERROR(__xludf.DUMMYFUNCTION("""COMPUTED_VALUE"""),"CPS Advanced Billing and Subscriptions (ABS)")</f>
        <v>CPS Advanced Billing and Subscriptions (ABS)</v>
      </c>
    </row>
    <row r="6745">
      <c r="A6745" s="1" t="str">
        <f>IFERROR(__xludf.DUMMYFUNCTION("""COMPUTED_VALUE"""),"2025 Dec")</f>
        <v>2025 Dec</v>
      </c>
      <c r="B6745" s="2">
        <f>IFERROR(__xludf.DUMMYFUNCTION("""COMPUTED_VALUE"""),45992.0)</f>
        <v>45992</v>
      </c>
      <c r="C6745" s="1" t="str">
        <f>IFERROR(__xludf.DUMMYFUNCTION("""COMPUTED_VALUE"""),"Print Support")</f>
        <v>Print Support</v>
      </c>
      <c r="D6745" s="1" t="str">
        <f>IFERROR(__xludf.DUMMYFUNCTION("""COMPUTED_VALUE"""),"1d59ca6e-6219-4532-99a2-f499de8a1287")</f>
        <v>1d59ca6e-6219-4532-99a2-f499de8a1287</v>
      </c>
      <c r="E6745" s="1"/>
      <c r="F6745" s="1"/>
      <c r="G6745" s="1">
        <f>IFERROR(__xludf.DUMMYFUNCTION("""COMPUTED_VALUE"""),1.0)</f>
        <v>1</v>
      </c>
      <c r="H6745" s="3">
        <f>IFERROR(__xludf.DUMMYFUNCTION("""COMPUTED_VALUE"""),1.0)</f>
        <v>1</v>
      </c>
      <c r="I6745" s="4">
        <f>IFERROR(__xludf.DUMMYFUNCTION("""COMPUTED_VALUE"""),1.0)</f>
        <v>1</v>
      </c>
      <c r="J6745" s="1" t="str">
        <f>IFERROR(__xludf.DUMMYFUNCTION("""COMPUTED_VALUE"""),"Aliza Dote")</f>
        <v>Aliza Dote</v>
      </c>
      <c r="K6745" s="1" t="str">
        <f>IFERROR(__xludf.DUMMYFUNCTION("""COMPUTED_VALUE"""),"Print Design Support")</f>
        <v>Print Design Support</v>
      </c>
      <c r="L6745" s="1" t="str">
        <f>IFERROR(__xludf.DUMMYFUNCTION("""COMPUTED_VALUE"""),"Print Print Design")</f>
        <v>Print Print Design</v>
      </c>
    </row>
    <row r="6746">
      <c r="A6746" s="1" t="str">
        <f>IFERROR(__xludf.DUMMYFUNCTION("""COMPUTED_VALUE"""),"2025 Dec")</f>
        <v>2025 Dec</v>
      </c>
      <c r="B6746" s="2">
        <f>IFERROR(__xludf.DUMMYFUNCTION("""COMPUTED_VALUE"""),45992.0)</f>
        <v>45992</v>
      </c>
      <c r="C6746" s="1" t="str">
        <f>IFERROR(__xludf.DUMMYFUNCTION("""COMPUTED_VALUE"""),"Print Support")</f>
        <v>Print Support</v>
      </c>
      <c r="D6746" s="1" t="str">
        <f>IFERROR(__xludf.DUMMYFUNCTION("""COMPUTED_VALUE"""),"3eea6a70-1d1f-4def-93fa-d9de190c7fd7")</f>
        <v>3eea6a70-1d1f-4def-93fa-d9de190c7fd7</v>
      </c>
      <c r="E6746" s="1">
        <f>IFERROR(__xludf.DUMMYFUNCTION("""COMPUTED_VALUE"""),3.61726424736E11)</f>
        <v>361726424736</v>
      </c>
      <c r="F6746" s="1">
        <f>IFERROR(__xludf.DUMMYFUNCTION("""COMPUTED_VALUE"""),2.0)</f>
        <v>2</v>
      </c>
      <c r="G6746" s="1">
        <f>IFERROR(__xludf.DUMMYFUNCTION("""COMPUTED_VALUE"""),1.0)</f>
        <v>1</v>
      </c>
      <c r="H6746" s="3">
        <f>IFERROR(__xludf.DUMMYFUNCTION("""COMPUTED_VALUE"""),3.0)</f>
        <v>3</v>
      </c>
      <c r="I6746" s="4">
        <f>IFERROR(__xludf.DUMMYFUNCTION("""COMPUTED_VALUE"""),0.3333333333333333)</f>
        <v>0.3333333333</v>
      </c>
      <c r="J6746" s="1" t="str">
        <f>IFERROR(__xludf.DUMMYFUNCTION("""COMPUTED_VALUE"""),"Memae Faustino")</f>
        <v>Memae Faustino</v>
      </c>
      <c r="K6746" s="1" t="str">
        <f>IFERROR(__xludf.DUMMYFUNCTION("""COMPUTED_VALUE"""),"Print Support PH")</f>
        <v>Print Support PH</v>
      </c>
      <c r="L6746" s="1" t="str">
        <f>IFERROR(__xludf.DUMMYFUNCTION("""COMPUTED_VALUE"""),"Print Print - SEE")</f>
        <v>Print Print - SEE</v>
      </c>
    </row>
    <row r="6747">
      <c r="A6747" s="1" t="str">
        <f>IFERROR(__xludf.DUMMYFUNCTION("""COMPUTED_VALUE"""),"2025 Dec")</f>
        <v>2025 Dec</v>
      </c>
      <c r="B6747" s="2">
        <f>IFERROR(__xludf.DUMMYFUNCTION("""COMPUTED_VALUE"""),45992.0)</f>
        <v>45992</v>
      </c>
      <c r="C6747" s="1" t="str">
        <f>IFERROR(__xludf.DUMMYFUNCTION("""COMPUTED_VALUE"""),"High Sensitivity Support")</f>
        <v>High Sensitivity Support</v>
      </c>
      <c r="D6747" s="1" t="str">
        <f>IFERROR(__xludf.DUMMYFUNCTION("""COMPUTED_VALUE"""),"10c46fa3-c076-41b6-9aad-4ec7c4a07294")</f>
        <v>10c46fa3-c076-41b6-9aad-4ec7c4a07294</v>
      </c>
      <c r="E6747" s="1">
        <f>IFERROR(__xludf.DUMMYFUNCTION("""COMPUTED_VALUE"""),7.235815910671E12)</f>
        <v>7235815910671</v>
      </c>
      <c r="F6747" s="1">
        <f>IFERROR(__xludf.DUMMYFUNCTION("""COMPUTED_VALUE"""),4.0)</f>
        <v>4</v>
      </c>
      <c r="G6747" s="1"/>
      <c r="H6747" s="3">
        <f>IFERROR(__xludf.DUMMYFUNCTION("""COMPUTED_VALUE"""),4.0)</f>
        <v>4</v>
      </c>
      <c r="I6747" s="4">
        <f>IFERROR(__xludf.DUMMYFUNCTION("""COMPUTED_VALUE"""),0.0)</f>
        <v>0</v>
      </c>
      <c r="J6747" s="1" t="str">
        <f>IFERROR(__xludf.DUMMYFUNCTION("""COMPUTED_VALUE"""),"Xandy Azarcon")</f>
        <v>Xandy Azarcon</v>
      </c>
      <c r="K6747" s="1" t="str">
        <f>IFERROR(__xludf.DUMMYFUNCTION("""COMPUTED_VALUE"""),"High Sensitivity Support PH")</f>
        <v>High Sensitivity Support PH</v>
      </c>
      <c r="L6747" s="1" t="str">
        <f>IFERROR(__xludf.DUMMYFUNCTION("""COMPUTED_VALUE"""),"HSS High Sensitivity Support PH - CHT")</f>
        <v>HSS High Sensitivity Support PH - CHT</v>
      </c>
    </row>
    <row r="6748">
      <c r="A6748" s="1" t="str">
        <f>IFERROR(__xludf.DUMMYFUNCTION("""COMPUTED_VALUE"""),"2025 Dec")</f>
        <v>2025 Dec</v>
      </c>
      <c r="B6748" s="2">
        <f>IFERROR(__xludf.DUMMYFUNCTION("""COMPUTED_VALUE"""),45992.0)</f>
        <v>45992</v>
      </c>
      <c r="C6748" s="1" t="str">
        <f>IFERROR(__xludf.DUMMYFUNCTION("""COMPUTED_VALUE"""),"Core Product Support")</f>
        <v>Core Product Support</v>
      </c>
      <c r="D6748" s="1" t="str">
        <f>IFERROR(__xludf.DUMMYFUNCTION("""COMPUTED_VALUE"""),"cf4102e5-f522-43ac-bf51-15cc96666fde")</f>
        <v>cf4102e5-f522-43ac-bf51-15cc96666fde</v>
      </c>
      <c r="E6748" s="1"/>
      <c r="F6748" s="1">
        <f>IFERROR(__xludf.DUMMYFUNCTION("""COMPUTED_VALUE"""),0.5)</f>
        <v>0.5</v>
      </c>
      <c r="G6748" s="1"/>
      <c r="H6748" s="3">
        <f>IFERROR(__xludf.DUMMYFUNCTION("""COMPUTED_VALUE"""),0.5)</f>
        <v>0.5</v>
      </c>
      <c r="I6748" s="4">
        <f>IFERROR(__xludf.DUMMYFUNCTION("""COMPUTED_VALUE"""),0.0)</f>
        <v>0</v>
      </c>
      <c r="J6748" s="1" t="str">
        <f>IFERROR(__xludf.DUMMYFUNCTION("""COMPUTED_VALUE"""),"Mikhaela Decangchon")</f>
        <v>Mikhaela Decangchon</v>
      </c>
      <c r="K6748" s="1" t="str">
        <f>IFERROR(__xludf.DUMMYFUNCTION("""COMPUTED_VALUE"""),"Advanced Product Support")</f>
        <v>Advanced Product Support</v>
      </c>
      <c r="L6748" s="1" t="str">
        <f>IFERROR(__xludf.DUMMYFUNCTION("""COMPUTED_VALUE"""),"CPS Advanced Product Support (APS)")</f>
        <v>CPS Advanced Product Support (APS)</v>
      </c>
    </row>
    <row r="6749">
      <c r="A6749" s="1" t="str">
        <f>IFERROR(__xludf.DUMMYFUNCTION("""COMPUTED_VALUE"""),"2025 Dec")</f>
        <v>2025 Dec</v>
      </c>
      <c r="B6749" s="2">
        <f>IFERROR(__xludf.DUMMYFUNCTION("""COMPUTED_VALUE"""),45992.0)</f>
        <v>45992</v>
      </c>
      <c r="C6749" s="1" t="str">
        <f>IFERROR(__xludf.DUMMYFUNCTION("""COMPUTED_VALUE"""),"Core Product Support")</f>
        <v>Core Product Support</v>
      </c>
      <c r="D6749" s="1" t="str">
        <f>IFERROR(__xludf.DUMMYFUNCTION("""COMPUTED_VALUE"""),"b0e1557c-d0d9-4265-a67b-f94aae240d24")</f>
        <v>b0e1557c-d0d9-4265-a67b-f94aae240d24</v>
      </c>
      <c r="E6749" s="1">
        <f>IFERROR(__xludf.DUMMYFUNCTION("""COMPUTED_VALUE"""),8.519267619343E12)</f>
        <v>8519267619343</v>
      </c>
      <c r="F6749" s="1"/>
      <c r="G6749" s="1">
        <f>IFERROR(__xludf.DUMMYFUNCTION("""COMPUTED_VALUE"""),1.0)</f>
        <v>1</v>
      </c>
      <c r="H6749" s="3">
        <f>IFERROR(__xludf.DUMMYFUNCTION("""COMPUTED_VALUE"""),1.0)</f>
        <v>1</v>
      </c>
      <c r="I6749" s="4">
        <f>IFERROR(__xludf.DUMMYFUNCTION("""COMPUTED_VALUE"""),1.0)</f>
        <v>1</v>
      </c>
      <c r="J6749" s="1" t="str">
        <f>IFERROR(__xludf.DUMMYFUNCTION("""COMPUTED_VALUE"""),"Jahmie Mae Barrameda")</f>
        <v>Jahmie Mae Barrameda</v>
      </c>
      <c r="K6749" s="1" t="str">
        <f>IFERROR(__xludf.DUMMYFUNCTION("""COMPUTED_VALUE"""),"Advanced Billing &amp; Subscriptions")</f>
        <v>Advanced Billing &amp; Subscriptions</v>
      </c>
      <c r="L6749" s="1" t="str">
        <f>IFERROR(__xludf.DUMMYFUNCTION("""COMPUTED_VALUE"""),"CPS Advanced Billing and Subscriptions (ABS)")</f>
        <v>CPS Advanced Billing and Subscriptions (ABS)</v>
      </c>
    </row>
    <row r="6750">
      <c r="A6750" s="1" t="str">
        <f>IFERROR(__xludf.DUMMYFUNCTION("""COMPUTED_VALUE"""),"2025 Dec")</f>
        <v>2025 Dec</v>
      </c>
      <c r="B6750" s="2">
        <f>IFERROR(__xludf.DUMMYFUNCTION("""COMPUTED_VALUE"""),45992.0)</f>
        <v>45992</v>
      </c>
      <c r="C6750" s="1" t="str">
        <f>IFERROR(__xludf.DUMMYFUNCTION("""COMPUTED_VALUE"""),"Core Product Support")</f>
        <v>Core Product Support</v>
      </c>
      <c r="D6750" s="1" t="str">
        <f>IFERROR(__xludf.DUMMYFUNCTION("""COMPUTED_VALUE"""),"042e5ee4-7da0-42f9-92d0-d66496630cb9")</f>
        <v>042e5ee4-7da0-42f9-92d0-d66496630cb9</v>
      </c>
      <c r="E6750" s="1">
        <f>IFERROR(__xludf.DUMMYFUNCTION("""COMPUTED_VALUE"""),3.61861298335E11)</f>
        <v>361861298335</v>
      </c>
      <c r="F6750" s="1"/>
      <c r="G6750" s="1">
        <f>IFERROR(__xludf.DUMMYFUNCTION("""COMPUTED_VALUE"""),1.0)</f>
        <v>1</v>
      </c>
      <c r="H6750" s="3">
        <f>IFERROR(__xludf.DUMMYFUNCTION("""COMPUTED_VALUE"""),1.0)</f>
        <v>1</v>
      </c>
      <c r="I6750" s="4">
        <f>IFERROR(__xludf.DUMMYFUNCTION("""COMPUTED_VALUE"""),1.0)</f>
        <v>1</v>
      </c>
      <c r="J6750" s="1" t="str">
        <f>IFERROR(__xludf.DUMMYFUNCTION("""COMPUTED_VALUE"""),"Renette Bok")</f>
        <v>Renette Bok</v>
      </c>
      <c r="K6750" s="1" t="str">
        <f>IFERROR(__xludf.DUMMYFUNCTION("""COMPUTED_VALUE"""),"Advanced Billing &amp; Subscriptions")</f>
        <v>Advanced Billing &amp; Subscriptions</v>
      </c>
      <c r="L6750" s="1" t="str">
        <f>IFERROR(__xludf.DUMMYFUNCTION("""COMPUTED_VALUE"""),"CPS Advanced Billing and Subscriptions (ABS)")</f>
        <v>CPS Advanced Billing and Subscriptions (ABS)</v>
      </c>
    </row>
    <row r="6751">
      <c r="A6751" s="1" t="str">
        <f>IFERROR(__xludf.DUMMYFUNCTION("""COMPUTED_VALUE"""),"2025 Dec")</f>
        <v>2025 Dec</v>
      </c>
      <c r="B6751" s="2">
        <f>IFERROR(__xludf.DUMMYFUNCTION("""COMPUTED_VALUE"""),45992.0)</f>
        <v>45992</v>
      </c>
      <c r="C6751" s="1" t="str">
        <f>IFERROR(__xludf.DUMMYFUNCTION("""COMPUTED_VALUE"""),"Core Product Support")</f>
        <v>Core Product Support</v>
      </c>
      <c r="D6751" s="1" t="str">
        <f>IFERROR(__xludf.DUMMYFUNCTION("""COMPUTED_VALUE"""),"0cc61976-099e-4704-9248-c0d612333122")</f>
        <v>0cc61976-099e-4704-9248-c0d612333122</v>
      </c>
      <c r="E6751" s="1">
        <f>IFERROR(__xludf.DUMMYFUNCTION("""COMPUTED_VALUE"""),4.502607605263E12)</f>
        <v>4502607605263</v>
      </c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IFERROR(__xludf.DUMMYFUNCTION("""COMPUTED_VALUE"""),"Ellaine Estayo")</f>
        <v>Ellaine Estayo</v>
      </c>
      <c r="K6751" s="1" t="str">
        <f>IFERROR(__xludf.DUMMYFUNCTION("""COMPUTED_VALUE"""),"Core Product Support Escalation Team")</f>
        <v>Core Product Support Escalation Team</v>
      </c>
      <c r="L6751" s="1" t="str">
        <f>IFERROR(__xludf.DUMMYFUNCTION("""COMPUTED_VALUE"""),"CPS Core Product Support Escalations (CPSET)")</f>
        <v>CPS Core Product Support Escalations (CPSET)</v>
      </c>
    </row>
    <row r="6752">
      <c r="A6752" s="1" t="str">
        <f>IFERROR(__xludf.DUMMYFUNCTION("""COMPUTED_VALUE"""),"2025 Dec")</f>
        <v>2025 Dec</v>
      </c>
      <c r="B6752" s="2">
        <f>IFERROR(__xludf.DUMMYFUNCTION("""COMPUTED_VALUE"""),45992.0)</f>
        <v>45992</v>
      </c>
      <c r="C6752" s="1" t="str">
        <f>IFERROR(__xludf.DUMMYFUNCTION("""COMPUTED_VALUE"""),"Print Support")</f>
        <v>Print Support</v>
      </c>
      <c r="D6752" s="1" t="str">
        <f>IFERROR(__xludf.DUMMYFUNCTION("""COMPUTED_VALUE"""),"1eb6d900-9254-4ad7-b5e2-1f27f00e2077")</f>
        <v>1eb6d900-9254-4ad7-b5e2-1f27f00e2077</v>
      </c>
      <c r="E6752" s="1">
        <f>IFERROR(__xludf.DUMMYFUNCTION("""COMPUTED_VALUE"""),1.3477715168271E13)</f>
        <v>13477715168271</v>
      </c>
      <c r="F6752" s="1"/>
      <c r="G6752" s="1"/>
      <c r="H6752" s="3">
        <f>IFERROR(__xludf.DUMMYFUNCTION("""COMPUTED_VALUE"""),0.0)</f>
        <v>0</v>
      </c>
      <c r="I6752" s="4"/>
      <c r="J6752" s="1" t="str">
        <f>IFERROR(__xludf.DUMMYFUNCTION("""COMPUTED_VALUE"""),"Jan Domingo")</f>
        <v>Jan Domingo</v>
      </c>
      <c r="K6752" s="1" t="str">
        <f>IFERROR(__xludf.DUMMYFUNCTION("""COMPUTED_VALUE"""),"Print Design Support")</f>
        <v>Print Design Support</v>
      </c>
      <c r="L6752" s="1" t="str">
        <f>IFERROR(__xludf.DUMMYFUNCTION("""COMPUTED_VALUE"""),"Print Print Design")</f>
        <v>Print Print Design</v>
      </c>
    </row>
    <row r="6753">
      <c r="A6753" s="1" t="str">
        <f>IFERROR(__xludf.DUMMYFUNCTION("""COMPUTED_VALUE"""),"2025 Dec")</f>
        <v>2025 Dec</v>
      </c>
      <c r="B6753" s="2">
        <f>IFERROR(__xludf.DUMMYFUNCTION("""COMPUTED_VALUE"""),45992.0)</f>
        <v>45992</v>
      </c>
      <c r="C6753" s="1" t="str">
        <f>IFERROR(__xludf.DUMMYFUNCTION("""COMPUTED_VALUE"""),"Core Product Support")</f>
        <v>Core Product Support</v>
      </c>
      <c r="D6753" s="1" t="str">
        <f>IFERROR(__xludf.DUMMYFUNCTION("""COMPUTED_VALUE"""),"fb4299a4-0e59-4c64-8fbb-5fd3f6a3cb3e")</f>
        <v>fb4299a4-0e59-4c64-8fbb-5fd3f6a3cb3e</v>
      </c>
      <c r="E6753" s="1">
        <f>IFERROR(__xludf.DUMMYFUNCTION("""COMPUTED_VALUE"""),3.61964324536E11)</f>
        <v>361964324536</v>
      </c>
      <c r="F6753" s="1"/>
      <c r="G6753" s="1">
        <f>IFERROR(__xludf.DUMMYFUNCTION("""COMPUTED_VALUE"""),3.0)</f>
        <v>3</v>
      </c>
      <c r="H6753" s="3">
        <f>IFERROR(__xludf.DUMMYFUNCTION("""COMPUTED_VALUE"""),3.0)</f>
        <v>3</v>
      </c>
      <c r="I6753" s="4">
        <f>IFERROR(__xludf.DUMMYFUNCTION("""COMPUTED_VALUE"""),1.0)</f>
        <v>1</v>
      </c>
      <c r="J6753" s="1" t="str">
        <f>IFERROR(__xludf.DUMMYFUNCTION("""COMPUTED_VALUE"""),"Sieg Ballelos")</f>
        <v>Sieg Ballelos</v>
      </c>
      <c r="K6753" s="1" t="str">
        <f>IFERROR(__xludf.DUMMYFUNCTION("""COMPUTED_VALUE"""),"Core Product Support Escalation Team")</f>
        <v>Core Product Support Escalation Team</v>
      </c>
      <c r="L6753" s="1" t="str">
        <f>IFERROR(__xludf.DUMMYFUNCTION("""COMPUTED_VALUE"""),"CPS Core Product Support Escalations (CPSET)")</f>
        <v>CPS Core Product Support Escalations (CPSET)</v>
      </c>
    </row>
    <row r="6754">
      <c r="A6754" s="1" t="str">
        <f>IFERROR(__xludf.DUMMYFUNCTION("""COMPUTED_VALUE"""),"2025 Dec")</f>
        <v>2025 Dec</v>
      </c>
      <c r="B6754" s="2">
        <f>IFERROR(__xludf.DUMMYFUNCTION("""COMPUTED_VALUE"""),45992.0)</f>
        <v>45992</v>
      </c>
      <c r="C6754" s="1" t="str">
        <f>IFERROR(__xludf.DUMMYFUNCTION("""COMPUTED_VALUE"""),"Admin Support")</f>
        <v>Admin Support</v>
      </c>
      <c r="D6754" s="1" t="str">
        <f>IFERROR(__xludf.DUMMYFUNCTION("""COMPUTED_VALUE"""),"b9737663-79f8-4cad-a8f9-6db9a37d36bf")</f>
        <v>b9737663-79f8-4cad-a8f9-6db9a37d36bf</v>
      </c>
      <c r="E6754" s="1">
        <f>IFERROR(__xludf.DUMMYFUNCTION("""COMPUTED_VALUE"""),3.61726427416E11)</f>
        <v>361726427416</v>
      </c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IFERROR(__xludf.DUMMYFUNCTION("""COMPUTED_VALUE"""),"Camille Alvarez")</f>
        <v>Camille Alvarez</v>
      </c>
      <c r="K6754" s="1" t="str">
        <f>IFERROR(__xludf.DUMMYFUNCTION("""COMPUTED_VALUE"""),"Admin Support PH SSO")</f>
        <v>Admin Support PH SSO</v>
      </c>
      <c r="L6754" s="1" t="str">
        <f>IFERROR(__xludf.DUMMYFUNCTION("""COMPUTED_VALUE"""),"Admin SSO - SEE")</f>
        <v>Admin SSO - SEE</v>
      </c>
    </row>
    <row r="6755">
      <c r="A6755" s="1" t="str">
        <f>IFERROR(__xludf.DUMMYFUNCTION("""COMPUTED_VALUE"""),"2025 Dec")</f>
        <v>2025 Dec</v>
      </c>
      <c r="B6755" s="2">
        <f>IFERROR(__xludf.DUMMYFUNCTION("""COMPUTED_VALUE"""),45992.0)</f>
        <v>45992</v>
      </c>
      <c r="C6755" s="1" t="str">
        <f>IFERROR(__xludf.DUMMYFUNCTION("""COMPUTED_VALUE"""),"Core Product Support")</f>
        <v>Core Product Support</v>
      </c>
      <c r="D6755" s="1" t="str">
        <f>IFERROR(__xludf.DUMMYFUNCTION("""COMPUTED_VALUE"""),"253d67a9-d468-454b-b17c-b16b05cc6794")</f>
        <v>253d67a9-d468-454b-b17c-b16b05cc6794</v>
      </c>
      <c r="E6755" s="1">
        <f>IFERROR(__xludf.DUMMYFUNCTION("""COMPUTED_VALUE"""),1.0333034131599E13)</f>
        <v>10333034131599</v>
      </c>
      <c r="F6755" s="1">
        <f>IFERROR(__xludf.DUMMYFUNCTION("""COMPUTED_VALUE"""),0.5)</f>
        <v>0.5</v>
      </c>
      <c r="G6755" s="1"/>
      <c r="H6755" s="3">
        <f>IFERROR(__xludf.DUMMYFUNCTION("""COMPUTED_VALUE"""),0.5)</f>
        <v>0.5</v>
      </c>
      <c r="I6755" s="4">
        <f>IFERROR(__xludf.DUMMYFUNCTION("""COMPUTED_VALUE"""),0.0)</f>
        <v>0</v>
      </c>
      <c r="J6755" s="1" t="str">
        <f>IFERROR(__xludf.DUMMYFUNCTION("""COMPUTED_VALUE"""),"Marie Mordeno")</f>
        <v>Marie Mordeno</v>
      </c>
      <c r="K6755" s="1" t="str">
        <f>IFERROR(__xludf.DUMMYFUNCTION("""COMPUTED_VALUE"""),"Advanced Billing &amp; Subscriptions")</f>
        <v>Advanced Billing &amp; Subscriptions</v>
      </c>
      <c r="L6755" s="1" t="str">
        <f>IFERROR(__xludf.DUMMYFUNCTION("""COMPUTED_VALUE"""),"CPS Advanced Billing and Subscriptions (ABS)")</f>
        <v>CPS Advanced Billing and Subscriptions (ABS)</v>
      </c>
    </row>
    <row r="6756">
      <c r="A6756" s="1" t="str">
        <f>IFERROR(__xludf.DUMMYFUNCTION("""COMPUTED_VALUE"""),"2025 Dec")</f>
        <v>2025 Dec</v>
      </c>
      <c r="B6756" s="2">
        <f>IFERROR(__xludf.DUMMYFUNCTION("""COMPUTED_VALUE"""),45992.0)</f>
        <v>45992</v>
      </c>
      <c r="C6756" s="1" t="str">
        <f>IFERROR(__xludf.DUMMYFUNCTION("""COMPUTED_VALUE"""),"Core Product Support")</f>
        <v>Core Product Support</v>
      </c>
      <c r="D6756" s="1" t="str">
        <f>IFERROR(__xludf.DUMMYFUNCTION("""COMPUTED_VALUE"""),"e2ffb663-8d10-4463-8bb8-3bd130fdce1c")</f>
        <v>e2ffb663-8d10-4463-8bb8-3bd130fdce1c</v>
      </c>
      <c r="E6756" s="1">
        <f>IFERROR(__xludf.DUMMYFUNCTION("""COMPUTED_VALUE"""),1.1279730843407E13)</f>
        <v>11279730843407</v>
      </c>
      <c r="F6756" s="1">
        <f>IFERROR(__xludf.DUMMYFUNCTION("""COMPUTED_VALUE"""),0.5)</f>
        <v>0.5</v>
      </c>
      <c r="G6756" s="1"/>
      <c r="H6756" s="3">
        <f>IFERROR(__xludf.DUMMYFUNCTION("""COMPUTED_VALUE"""),0.5)</f>
        <v>0.5</v>
      </c>
      <c r="I6756" s="4">
        <f>IFERROR(__xludf.DUMMYFUNCTION("""COMPUTED_VALUE"""),0.0)</f>
        <v>0</v>
      </c>
      <c r="J6756" s="1" t="str">
        <f>IFERROR(__xludf.DUMMYFUNCTION("""COMPUTED_VALUE"""),"Ayza Marie Pascual")</f>
        <v>Ayza Marie Pascual</v>
      </c>
      <c r="K6756" s="1" t="str">
        <f>IFERROR(__xludf.DUMMYFUNCTION("""COMPUTED_VALUE"""),"Advanced Billing &amp; Subscriptions")</f>
        <v>Advanced Billing &amp; Subscriptions</v>
      </c>
      <c r="L6756" s="1" t="str">
        <f>IFERROR(__xludf.DUMMYFUNCTION("""COMPUTED_VALUE"""),"CPS Advanced Billing and Subscriptions (ABS)")</f>
        <v>CPS Advanced Billing and Subscriptions (ABS)</v>
      </c>
    </row>
    <row r="6757">
      <c r="A6757" s="1" t="str">
        <f>IFERROR(__xludf.DUMMYFUNCTION("""COMPUTED_VALUE"""),"2025 Dec")</f>
        <v>2025 Dec</v>
      </c>
      <c r="B6757" s="2">
        <f>IFERROR(__xludf.DUMMYFUNCTION("""COMPUTED_VALUE"""),45992.0)</f>
        <v>45992</v>
      </c>
      <c r="C6757" s="1" t="str">
        <f>IFERROR(__xludf.DUMMYFUNCTION("""COMPUTED_VALUE"""),"Core Product Support")</f>
        <v>Core Product Support</v>
      </c>
      <c r="D6757" s="1" t="str">
        <f>IFERROR(__xludf.DUMMYFUNCTION("""COMPUTED_VALUE"""),"1a6492df-fa9a-416f-b1d1-da6edc22036f")</f>
        <v>1a6492df-fa9a-416f-b1d1-da6edc22036f</v>
      </c>
      <c r="E6757" s="1">
        <f>IFERROR(__xludf.DUMMYFUNCTION("""COMPUTED_VALUE"""),7.874569114383E12)</f>
        <v>7874569114383</v>
      </c>
      <c r="F6757" s="1">
        <f>IFERROR(__xludf.DUMMYFUNCTION("""COMPUTED_VALUE"""),0.5)</f>
        <v>0.5</v>
      </c>
      <c r="G6757" s="1"/>
      <c r="H6757" s="3">
        <f>IFERROR(__xludf.DUMMYFUNCTION("""COMPUTED_VALUE"""),0.5)</f>
        <v>0.5</v>
      </c>
      <c r="I6757" s="4">
        <f>IFERROR(__xludf.DUMMYFUNCTION("""COMPUTED_VALUE"""),0.0)</f>
        <v>0</v>
      </c>
      <c r="J6757" s="1" t="str">
        <f>IFERROR(__xludf.DUMMYFUNCTION("""COMPUTED_VALUE"""),"Ana Lazaro")</f>
        <v>Ana Lazaro</v>
      </c>
      <c r="K6757" s="1" t="str">
        <f>IFERROR(__xludf.DUMMYFUNCTION("""COMPUTED_VALUE"""),"Advanced Billing &amp; Subscriptions")</f>
        <v>Advanced Billing &amp; Subscriptions</v>
      </c>
      <c r="L6757" s="1" t="str">
        <f>IFERROR(__xludf.DUMMYFUNCTION("""COMPUTED_VALUE"""),"CPS Advanced Billing and Subscriptions (ABS)")</f>
        <v>CPS Advanced Billing and Subscriptions (ABS)</v>
      </c>
    </row>
    <row r="6758">
      <c r="A6758" s="1" t="str">
        <f>IFERROR(__xludf.DUMMYFUNCTION("""COMPUTED_VALUE"""),"2025 Dec")</f>
        <v>2025 Dec</v>
      </c>
      <c r="B6758" s="2">
        <f>IFERROR(__xludf.DUMMYFUNCTION("""COMPUTED_VALUE"""),45992.0)</f>
        <v>45992</v>
      </c>
      <c r="C6758" s="1" t="str">
        <f>IFERROR(__xludf.DUMMYFUNCTION("""COMPUTED_VALUE"""),"High Sensitivity Support")</f>
        <v>High Sensitivity Support</v>
      </c>
      <c r="D6758" s="1" t="str">
        <f>IFERROR(__xludf.DUMMYFUNCTION("""COMPUTED_VALUE"""),"8b075f45-27b1-469e-bbc3-e97261e6934d")</f>
        <v>8b075f45-27b1-469e-bbc3-e97261e6934d</v>
      </c>
      <c r="E6758" s="1">
        <f>IFERROR(__xludf.DUMMYFUNCTION("""COMPUTED_VALUE"""),5.202423769487E12)</f>
        <v>5202423769487</v>
      </c>
      <c r="F6758" s="1">
        <f>IFERROR(__xludf.DUMMYFUNCTION("""COMPUTED_VALUE"""),4.0)</f>
        <v>4</v>
      </c>
      <c r="G6758" s="1"/>
      <c r="H6758" s="3">
        <f>IFERROR(__xludf.DUMMYFUNCTION("""COMPUTED_VALUE"""),4.0)</f>
        <v>4</v>
      </c>
      <c r="I6758" s="4">
        <f>IFERROR(__xludf.DUMMYFUNCTION("""COMPUTED_VALUE"""),0.0)</f>
        <v>0</v>
      </c>
      <c r="J6758" s="1" t="str">
        <f>IFERROR(__xludf.DUMMYFUNCTION("""COMPUTED_VALUE"""),"Rex Villamor")</f>
        <v>Rex Villamor</v>
      </c>
      <c r="K6758" s="1" t="str">
        <f>IFERROR(__xludf.DUMMYFUNCTION("""COMPUTED_VALUE"""),"High Sensitivity Support PH")</f>
        <v>High Sensitivity Support PH</v>
      </c>
      <c r="L6758" s="1" t="str">
        <f>IFERROR(__xludf.DUMMYFUNCTION("""COMPUTED_VALUE"""),"HSS High Sensitivity Support PH - CHT")</f>
        <v>HSS High Sensitivity Support PH - CHT</v>
      </c>
    </row>
    <row r="6759">
      <c r="A6759" s="1" t="str">
        <f>IFERROR(__xludf.DUMMYFUNCTION("""COMPUTED_VALUE"""),"2025 Dec")</f>
        <v>2025 Dec</v>
      </c>
      <c r="B6759" s="2">
        <f>IFERROR(__xludf.DUMMYFUNCTION("""COMPUTED_VALUE"""),45992.0)</f>
        <v>45992</v>
      </c>
      <c r="C6759" s="1" t="str">
        <f>IFERROR(__xludf.DUMMYFUNCTION("""COMPUTED_VALUE"""),"Core Product Support")</f>
        <v>Core Product Support</v>
      </c>
      <c r="D6759" s="1" t="str">
        <f>IFERROR(__xludf.DUMMYFUNCTION("""COMPUTED_VALUE"""),"50f6ee84-cef1-4ed8-84ed-42a64211811d")</f>
        <v>50f6ee84-cef1-4ed8-84ed-42a64211811d</v>
      </c>
      <c r="E6759" s="1">
        <f>IFERROR(__xludf.DUMMYFUNCTION("""COMPUTED_VALUE"""),3.61688608636E11)</f>
        <v>361688608636</v>
      </c>
      <c r="F6759" s="1"/>
      <c r="G6759" s="1">
        <f>IFERROR(__xludf.DUMMYFUNCTION("""COMPUTED_VALUE"""),1.5)</f>
        <v>1.5</v>
      </c>
      <c r="H6759" s="3">
        <f>IFERROR(__xludf.DUMMYFUNCTION("""COMPUTED_VALUE"""),1.5)</f>
        <v>1.5</v>
      </c>
      <c r="I6759" s="4">
        <f>IFERROR(__xludf.DUMMYFUNCTION("""COMPUTED_VALUE"""),1.0)</f>
        <v>1</v>
      </c>
      <c r="J6759" s="1" t="str">
        <f>IFERROR(__xludf.DUMMYFUNCTION("""COMPUTED_VALUE"""),"Sieg Ballelos")</f>
        <v>Sieg Ballelos</v>
      </c>
      <c r="K6759" s="1" t="str">
        <f>IFERROR(__xludf.DUMMYFUNCTION("""COMPUTED_VALUE"""),"Core Product Support Escalation Team")</f>
        <v>Core Product Support Escalation Team</v>
      </c>
      <c r="L6759" s="1" t="str">
        <f>IFERROR(__xludf.DUMMYFUNCTION("""COMPUTED_VALUE"""),"CPS Core Product Support Escalations (CPSET)")</f>
        <v>CPS Core Product Support Escalations (CPSET)</v>
      </c>
    </row>
    <row r="6760">
      <c r="A6760" s="1" t="str">
        <f>IFERROR(__xludf.DUMMYFUNCTION("""COMPUTED_VALUE"""),"2025 Dec")</f>
        <v>2025 Dec</v>
      </c>
      <c r="B6760" s="2">
        <f>IFERROR(__xludf.DUMMYFUNCTION("""COMPUTED_VALUE"""),45992.0)</f>
        <v>45992</v>
      </c>
      <c r="C6760" s="1" t="str">
        <f>IFERROR(__xludf.DUMMYFUNCTION("""COMPUTED_VALUE"""),"Segment-specific Support")</f>
        <v>Segment-specific Support</v>
      </c>
      <c r="D6760" s="1" t="str">
        <f>IFERROR(__xludf.DUMMYFUNCTION("""COMPUTED_VALUE"""),"68027150-37ee-48bc-8dee-e459591aca37")</f>
        <v>68027150-37ee-48bc-8dee-e459591aca37</v>
      </c>
      <c r="E6760" s="1">
        <f>IFERROR(__xludf.DUMMYFUNCTION("""COMPUTED_VALUE"""),9.586408606607E12)</f>
        <v>9586408606607</v>
      </c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IFERROR(__xludf.DUMMYFUNCTION("""COMPUTED_VALUE"""),"Tash Kelly")</f>
        <v>Tash Kelly</v>
      </c>
      <c r="K6760" s="1" t="str">
        <f>IFERROR(__xludf.DUMMYFUNCTION("""COMPUTED_VALUE"""),"Affinity Support")</f>
        <v>Affinity Support</v>
      </c>
      <c r="L6760" s="1" t="str">
        <f>IFERROR(__xludf.DUMMYFUNCTION("""COMPUTED_VALUE"""),"SSS Affinity")</f>
        <v>SSS Affinity</v>
      </c>
    </row>
    <row r="6761">
      <c r="A6761" s="1" t="str">
        <f>IFERROR(__xludf.DUMMYFUNCTION("""COMPUTED_VALUE"""),"2025 Dec")</f>
        <v>2025 Dec</v>
      </c>
      <c r="B6761" s="2">
        <f>IFERROR(__xludf.DUMMYFUNCTION("""COMPUTED_VALUE"""),45992.0)</f>
        <v>45992</v>
      </c>
      <c r="C6761" s="1" t="str">
        <f>IFERROR(__xludf.DUMMYFUNCTION("""COMPUTED_VALUE"""),"Core Product Support")</f>
        <v>Core Product Support</v>
      </c>
      <c r="D6761" s="1" t="str">
        <f>IFERROR(__xludf.DUMMYFUNCTION("""COMPUTED_VALUE"""),"2417322d-d75a-4184-9e3c-95ae48393a05")</f>
        <v>2417322d-d75a-4184-9e3c-95ae48393a05</v>
      </c>
      <c r="E6761" s="1">
        <f>IFERROR(__xludf.DUMMYFUNCTION("""COMPUTED_VALUE"""),3.61861297995E11)</f>
        <v>361861297995</v>
      </c>
      <c r="F6761" s="1">
        <f>IFERROR(__xludf.DUMMYFUNCTION("""COMPUTED_VALUE"""),0.5)</f>
        <v>0.5</v>
      </c>
      <c r="G6761" s="1"/>
      <c r="H6761" s="3">
        <f>IFERROR(__xludf.DUMMYFUNCTION("""COMPUTED_VALUE"""),0.5)</f>
        <v>0.5</v>
      </c>
      <c r="I6761" s="4">
        <f>IFERROR(__xludf.DUMMYFUNCTION("""COMPUTED_VALUE"""),0.0)</f>
        <v>0</v>
      </c>
      <c r="J6761" s="1" t="str">
        <f>IFERROR(__xludf.DUMMYFUNCTION("""COMPUTED_VALUE"""),"Jem Mondoñedo")</f>
        <v>Jem Mondoñedo</v>
      </c>
      <c r="K6761" s="1" t="str">
        <f>IFERROR(__xludf.DUMMYFUNCTION("""COMPUTED_VALUE"""),"Advanced Chat Support")</f>
        <v>Advanced Chat Support</v>
      </c>
      <c r="L6761" s="1" t="str">
        <f>IFERROR(__xludf.DUMMYFUNCTION("""COMPUTED_VALUE"""),"CPS Advanced Chat Support (ACS)")</f>
        <v>CPS Advanced Chat Support (ACS)</v>
      </c>
    </row>
    <row r="6762">
      <c r="A6762" s="1" t="str">
        <f>IFERROR(__xludf.DUMMYFUNCTION("""COMPUTED_VALUE"""),"2025 Dec")</f>
        <v>2025 Dec</v>
      </c>
      <c r="B6762" s="2">
        <f>IFERROR(__xludf.DUMMYFUNCTION("""COMPUTED_VALUE"""),45992.0)</f>
        <v>45992</v>
      </c>
      <c r="C6762" s="1" t="str">
        <f>IFERROR(__xludf.DUMMYFUNCTION("""COMPUTED_VALUE"""),"Segment-specific Support")</f>
        <v>Segment-specific Support</v>
      </c>
      <c r="D6762" s="1" t="str">
        <f>IFERROR(__xludf.DUMMYFUNCTION("""COMPUTED_VALUE"""),"4cae5e1d-2159-4afc-b9cd-a826e7f3982e")</f>
        <v>4cae5e1d-2159-4afc-b9cd-a826e7f3982e</v>
      </c>
      <c r="E6762" s="1">
        <f>IFERROR(__xludf.DUMMYFUNCTION("""COMPUTED_VALUE"""),3.61726424816E11)</f>
        <v>361726424816</v>
      </c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IFERROR(__xludf.DUMMYFUNCTION("""COMPUTED_VALUE"""),"Aileen Dayanghirang")</f>
        <v>Aileen Dayanghirang</v>
      </c>
      <c r="K6762" s="1" t="str">
        <f>IFERROR(__xludf.DUMMYFUNCTION("""COMPUTED_VALUE"""),"Creators Support")</f>
        <v>Creators Support</v>
      </c>
      <c r="L6762" s="1" t="str">
        <f>IFERROR(__xludf.DUMMYFUNCTION("""COMPUTED_VALUE"""),"SSS Creators")</f>
        <v>SSS Creators</v>
      </c>
    </row>
    <row r="6763">
      <c r="A6763" s="1" t="str">
        <f>IFERROR(__xludf.DUMMYFUNCTION("""COMPUTED_VALUE"""),"2025 Dec")</f>
        <v>2025 Dec</v>
      </c>
      <c r="B6763" s="2">
        <f>IFERROR(__xludf.DUMMYFUNCTION("""COMPUTED_VALUE"""),45992.0)</f>
        <v>45992</v>
      </c>
      <c r="C6763" s="1" t="str">
        <f>IFERROR(__xludf.DUMMYFUNCTION("""COMPUTED_VALUE"""),"Core Product Support")</f>
        <v>Core Product Support</v>
      </c>
      <c r="D6763" s="1" t="str">
        <f>IFERROR(__xludf.DUMMYFUNCTION("""COMPUTED_VALUE"""),"ecc3a54c-2b13-4ea5-ad1e-96b8b278e7da")</f>
        <v>ecc3a54c-2b13-4ea5-ad1e-96b8b278e7da</v>
      </c>
      <c r="E6763" s="1">
        <f>IFERROR(__xludf.DUMMYFUNCTION("""COMPUTED_VALUE"""),1.0333050571535E13)</f>
        <v>10333050571535</v>
      </c>
      <c r="F6763" s="1">
        <f>IFERROR(__xludf.DUMMYFUNCTION("""COMPUTED_VALUE"""),0.5)</f>
        <v>0.5</v>
      </c>
      <c r="G6763" s="1"/>
      <c r="H6763" s="3">
        <f>IFERROR(__xludf.DUMMYFUNCTION("""COMPUTED_VALUE"""),0.5)</f>
        <v>0.5</v>
      </c>
      <c r="I6763" s="4">
        <f>IFERROR(__xludf.DUMMYFUNCTION("""COMPUTED_VALUE"""),0.0)</f>
        <v>0</v>
      </c>
      <c r="J6763" s="1" t="str">
        <f>IFERROR(__xludf.DUMMYFUNCTION("""COMPUTED_VALUE"""),"Mikhaela Decangchon")</f>
        <v>Mikhaela Decangchon</v>
      </c>
      <c r="K6763" s="1" t="str">
        <f>IFERROR(__xludf.DUMMYFUNCTION("""COMPUTED_VALUE"""),"Advanced Product Support")</f>
        <v>Advanced Product Support</v>
      </c>
      <c r="L6763" s="1" t="str">
        <f>IFERROR(__xludf.DUMMYFUNCTION("""COMPUTED_VALUE"""),"CPS Advanced Product Support (APS)")</f>
        <v>CPS Advanced Product Support (APS)</v>
      </c>
    </row>
    <row r="6764">
      <c r="A6764" s="1" t="str">
        <f>IFERROR(__xludf.DUMMYFUNCTION("""COMPUTED_VALUE"""),"2025 Dec")</f>
        <v>2025 Dec</v>
      </c>
      <c r="B6764" s="2">
        <f>IFERROR(__xludf.DUMMYFUNCTION("""COMPUTED_VALUE"""),45992.0)</f>
        <v>45992</v>
      </c>
      <c r="C6764" s="1" t="str">
        <f>IFERROR(__xludf.DUMMYFUNCTION("""COMPUTED_VALUE"""),"Print Support")</f>
        <v>Print Support</v>
      </c>
      <c r="D6764" s="1" t="str">
        <f>IFERROR(__xludf.DUMMYFUNCTION("""COMPUTED_VALUE"""),"c6cec3c3-9fe7-48ea-b63e-7658cdee4747")</f>
        <v>c6cec3c3-9fe7-48ea-b63e-7658cdee4747</v>
      </c>
      <c r="E6764" s="1">
        <f>IFERROR(__xludf.DUMMYFUNCTION("""COMPUTED_VALUE"""),5.901960272783E12)</f>
        <v>5901960272783</v>
      </c>
      <c r="F6764" s="1"/>
      <c r="G6764" s="1"/>
      <c r="H6764" s="3">
        <f>IFERROR(__xludf.DUMMYFUNCTION("""COMPUTED_VALUE"""),0.0)</f>
        <v>0</v>
      </c>
      <c r="I6764" s="4"/>
      <c r="J6764" s="1" t="str">
        <f>IFERROR(__xludf.DUMMYFUNCTION("""COMPUTED_VALUE"""),"Aliza Dote")</f>
        <v>Aliza Dote</v>
      </c>
      <c r="K6764" s="1" t="str">
        <f>IFERROR(__xludf.DUMMYFUNCTION("""COMPUTED_VALUE"""),"Print Design Support")</f>
        <v>Print Design Support</v>
      </c>
      <c r="L6764" s="1" t="str">
        <f>IFERROR(__xludf.DUMMYFUNCTION("""COMPUTED_VALUE"""),"Print Print Design")</f>
        <v>Print Print Design</v>
      </c>
    </row>
    <row r="6765">
      <c r="A6765" s="1" t="str">
        <f>IFERROR(__xludf.DUMMYFUNCTION("""COMPUTED_VALUE"""),"2025 Dec")</f>
        <v>2025 Dec</v>
      </c>
      <c r="B6765" s="2">
        <f>IFERROR(__xludf.DUMMYFUNCTION("""COMPUTED_VALUE"""),45992.0)</f>
        <v>45992</v>
      </c>
      <c r="C6765" s="1" t="str">
        <f>IFERROR(__xludf.DUMMYFUNCTION("""COMPUTED_VALUE"""),"Admin Support")</f>
        <v>Admin Support</v>
      </c>
      <c r="D6765" s="1" t="str">
        <f>IFERROR(__xludf.DUMMYFUNCTION("""COMPUTED_VALUE"""),"f1bbdd3e-ea42-496f-87a0-14d656a67a92")</f>
        <v>f1bbdd3e-ea42-496f-87a0-14d656a67a92</v>
      </c>
      <c r="E6765" s="1">
        <f>IFERROR(__xludf.DUMMYFUNCTION("""COMPUTED_VALUE"""),5.563904587279E12)</f>
        <v>5563904587279</v>
      </c>
      <c r="F6765" s="1">
        <f>IFERROR(__xludf.DUMMYFUNCTION("""COMPUTED_VALUE"""),1.5)</f>
        <v>1.5</v>
      </c>
      <c r="G6765" s="1"/>
      <c r="H6765" s="3">
        <f>IFERROR(__xludf.DUMMYFUNCTION("""COMPUTED_VALUE"""),1.5)</f>
        <v>1.5</v>
      </c>
      <c r="I6765" s="4">
        <f>IFERROR(__xludf.DUMMYFUNCTION("""COMPUTED_VALUE"""),0.0)</f>
        <v>0</v>
      </c>
      <c r="J6765" s="1" t="str">
        <f>IFERROR(__xludf.DUMMYFUNCTION("""COMPUTED_VALUE"""),"Tash Kelly")</f>
        <v>Tash Kelly</v>
      </c>
      <c r="K6765" s="1" t="str">
        <f>IFERROR(__xludf.DUMMYFUNCTION("""COMPUTED_VALUE"""),"Admin Support NA")</f>
        <v>Admin Support NA</v>
      </c>
      <c r="L6765" s="1" t="str">
        <f>IFERROR(__xludf.DUMMYFUNCTION("""COMPUTED_VALUE"""),"Admin NA")</f>
        <v>Admin NA</v>
      </c>
    </row>
    <row r="6766">
      <c r="A6766" s="1" t="str">
        <f>IFERROR(__xludf.DUMMYFUNCTION("""COMPUTED_VALUE"""),"2025 Dec")</f>
        <v>2025 Dec</v>
      </c>
      <c r="B6766" s="2">
        <f>IFERROR(__xludf.DUMMYFUNCTION("""COMPUTED_VALUE"""),45992.0)</f>
        <v>45992</v>
      </c>
      <c r="C6766" s="1" t="str">
        <f>IFERROR(__xludf.DUMMYFUNCTION("""COMPUTED_VALUE"""),"Core Product Support")</f>
        <v>Core Product Support</v>
      </c>
      <c r="D6766" s="1" t="str">
        <f>IFERROR(__xludf.DUMMYFUNCTION("""COMPUTED_VALUE"""),"3146744a-956c-4560-bc5a-70bcebe20785")</f>
        <v>3146744a-956c-4560-bc5a-70bcebe20785</v>
      </c>
      <c r="E6766" s="1">
        <f>IFERROR(__xludf.DUMMYFUNCTION("""COMPUTED_VALUE"""),3.61861297835E11)</f>
        <v>361861297835</v>
      </c>
      <c r="F6766" s="1">
        <f>IFERROR(__xludf.DUMMYFUNCTION("""COMPUTED_VALUE"""),0.5)</f>
        <v>0.5</v>
      </c>
      <c r="G6766" s="1"/>
      <c r="H6766" s="3">
        <f>IFERROR(__xludf.DUMMYFUNCTION("""COMPUTED_VALUE"""),0.5)</f>
        <v>0.5</v>
      </c>
      <c r="I6766" s="4">
        <f>IFERROR(__xludf.DUMMYFUNCTION("""COMPUTED_VALUE"""),0.0)</f>
        <v>0</v>
      </c>
      <c r="J6766" s="1" t="str">
        <f>IFERROR(__xludf.DUMMYFUNCTION("""COMPUTED_VALUE"""),"Jem Mondoñedo")</f>
        <v>Jem Mondoñedo</v>
      </c>
      <c r="K6766" s="1" t="str">
        <f>IFERROR(__xludf.DUMMYFUNCTION("""COMPUTED_VALUE"""),"Advanced Chat Support")</f>
        <v>Advanced Chat Support</v>
      </c>
      <c r="L6766" s="1" t="str">
        <f>IFERROR(__xludf.DUMMYFUNCTION("""COMPUTED_VALUE"""),"CPS Advanced Chat Support (ACS)")</f>
        <v>CPS Advanced Chat Support (ACS)</v>
      </c>
    </row>
    <row r="6767">
      <c r="A6767" s="1" t="str">
        <f>IFERROR(__xludf.DUMMYFUNCTION("""COMPUTED_VALUE"""),"2025 Dec")</f>
        <v>2025 Dec</v>
      </c>
      <c r="B6767" s="2">
        <f>IFERROR(__xludf.DUMMYFUNCTION("""COMPUTED_VALUE"""),45992.0)</f>
        <v>45992</v>
      </c>
      <c r="C6767" s="1" t="str">
        <f>IFERROR(__xludf.DUMMYFUNCTION("""COMPUTED_VALUE"""),"Print Support")</f>
        <v>Print Support</v>
      </c>
      <c r="D6767" s="1" t="str">
        <f>IFERROR(__xludf.DUMMYFUNCTION("""COMPUTED_VALUE"""),"30527ca4-aa21-4ba1-bf53-3e00c15dfada")</f>
        <v>30527ca4-aa21-4ba1-bf53-3e00c15dfada</v>
      </c>
      <c r="E6767" s="1">
        <f>IFERROR(__xludf.DUMMYFUNCTION("""COMPUTED_VALUE"""),5.359149526287E12)</f>
        <v>5359149526287</v>
      </c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IFERROR(__xludf.DUMMYFUNCTION("""COMPUTED_VALUE"""),"Rae Erlano")</f>
        <v>Rae Erlano</v>
      </c>
      <c r="K6767" s="1" t="str">
        <f>IFERROR(__xludf.DUMMYFUNCTION("""COMPUTED_VALUE"""),"Print Support PH")</f>
        <v>Print Support PH</v>
      </c>
      <c r="L6767" s="1" t="str">
        <f>IFERROR(__xludf.DUMMYFUNCTION("""COMPUTED_VALUE"""),"Print Print - CHT")</f>
        <v>Print Print - CHT</v>
      </c>
    </row>
    <row r="6768">
      <c r="A6768" s="1" t="str">
        <f>IFERROR(__xludf.DUMMYFUNCTION("""COMPUTED_VALUE"""),"2025 Dec")</f>
        <v>2025 Dec</v>
      </c>
      <c r="B6768" s="2">
        <f>IFERROR(__xludf.DUMMYFUNCTION("""COMPUTED_VALUE"""),45992.0)</f>
        <v>45992</v>
      </c>
      <c r="C6768" s="1" t="str">
        <f>IFERROR(__xludf.DUMMYFUNCTION("""COMPUTED_VALUE"""),"High Sensitivity Support")</f>
        <v>High Sensitivity Support</v>
      </c>
      <c r="D6768" s="1" t="str">
        <f>IFERROR(__xludf.DUMMYFUNCTION("""COMPUTED_VALUE"""),"ed28aa1c-230f-414c-b415-191d703a8bac")</f>
        <v>ed28aa1c-230f-414c-b415-191d703a8bac</v>
      </c>
      <c r="E6768" s="1">
        <f>IFERROR(__xludf.DUMMYFUNCTION("""COMPUTED_VALUE"""),8.409870322319E12)</f>
        <v>8409870322319</v>
      </c>
      <c r="F6768" s="1"/>
      <c r="G6768" s="1">
        <f>IFERROR(__xludf.DUMMYFUNCTION("""COMPUTED_VALUE"""),1.0)</f>
        <v>1</v>
      </c>
      <c r="H6768" s="3">
        <f>IFERROR(__xludf.DUMMYFUNCTION("""COMPUTED_VALUE"""),1.0)</f>
        <v>1</v>
      </c>
      <c r="I6768" s="4">
        <f>IFERROR(__xludf.DUMMYFUNCTION("""COMPUTED_VALUE"""),1.0)</f>
        <v>1</v>
      </c>
      <c r="J6768" s="1" t="str">
        <f>IFERROR(__xludf.DUMMYFUNCTION("""COMPUTED_VALUE"""),"Rossheen Pura")</f>
        <v>Rossheen Pura</v>
      </c>
      <c r="K6768" s="1" t="str">
        <f>IFERROR(__xludf.DUMMYFUNCTION("""COMPUTED_VALUE"""),"High Sensitivity Support PH")</f>
        <v>High Sensitivity Support PH</v>
      </c>
      <c r="L6768" s="1" t="str">
        <f>IFERROR(__xludf.DUMMYFUNCTION("""COMPUTED_VALUE"""),"HSS High Sensitivity Support PH - CHT")</f>
        <v>HSS High Sensitivity Support PH - CHT</v>
      </c>
    </row>
    <row r="6769">
      <c r="A6769" s="1" t="str">
        <f>IFERROR(__xludf.DUMMYFUNCTION("""COMPUTED_VALUE"""),"2025 Dec")</f>
        <v>2025 Dec</v>
      </c>
      <c r="B6769" s="2">
        <f>IFERROR(__xludf.DUMMYFUNCTION("""COMPUTED_VALUE"""),45992.0)</f>
        <v>45992</v>
      </c>
      <c r="C6769" s="1" t="str">
        <f>IFERROR(__xludf.DUMMYFUNCTION("""COMPUTED_VALUE"""),"Segment-specific Support")</f>
        <v>Segment-specific Support</v>
      </c>
      <c r="D6769" s="1" t="str">
        <f>IFERROR(__xludf.DUMMYFUNCTION("""COMPUTED_VALUE"""),"df9ba7dd-188f-4978-8344-eb262fcbed64")</f>
        <v>df9ba7dd-188f-4978-8344-eb262fcbed64</v>
      </c>
      <c r="E6769" s="1">
        <f>IFERROR(__xludf.DUMMYFUNCTION("""COMPUTED_VALUE"""),5.729839272719E12)</f>
        <v>5729839272719</v>
      </c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IFERROR(__xludf.DUMMYFUNCTION("""COMPUTED_VALUE"""),"Tash Kelly")</f>
        <v>Tash Kelly</v>
      </c>
      <c r="K6769" s="1" t="str">
        <f>IFERROR(__xludf.DUMMYFUNCTION("""COMPUTED_VALUE"""),"Affinity Support")</f>
        <v>Affinity Support</v>
      </c>
      <c r="L6769" s="1" t="str">
        <f>IFERROR(__xludf.DUMMYFUNCTION("""COMPUTED_VALUE"""),"SSS Affinity")</f>
        <v>SSS Affinity</v>
      </c>
    </row>
    <row r="6770">
      <c r="A6770" s="1" t="str">
        <f>IFERROR(__xludf.DUMMYFUNCTION("""COMPUTED_VALUE"""),"2025 Dec")</f>
        <v>2025 Dec</v>
      </c>
      <c r="B6770" s="2">
        <f>IFERROR(__xludf.DUMMYFUNCTION("""COMPUTED_VALUE"""),45992.0)</f>
        <v>45992</v>
      </c>
      <c r="C6770" s="1" t="str">
        <f>IFERROR(__xludf.DUMMYFUNCTION("""COMPUTED_VALUE"""),"Print Support")</f>
        <v>Print Support</v>
      </c>
      <c r="D6770" s="1" t="str">
        <f>IFERROR(__xludf.DUMMYFUNCTION("""COMPUTED_VALUE"""),"438e36b3-4d38-44fd-b78d-2f3e27dfd609")</f>
        <v>438e36b3-4d38-44fd-b78d-2f3e27dfd609</v>
      </c>
      <c r="E6770" s="1">
        <f>IFERROR(__xludf.DUMMYFUNCTION("""COMPUTED_VALUE"""),5.359189606799E12)</f>
        <v>5359189606799</v>
      </c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IFERROR(__xludf.DUMMYFUNCTION("""COMPUTED_VALUE"""),"Rae Erlano")</f>
        <v>Rae Erlano</v>
      </c>
      <c r="K6770" s="1" t="str">
        <f>IFERROR(__xludf.DUMMYFUNCTION("""COMPUTED_VALUE"""),"Print Support PH")</f>
        <v>Print Support PH</v>
      </c>
      <c r="L6770" s="1" t="str">
        <f>IFERROR(__xludf.DUMMYFUNCTION("""COMPUTED_VALUE"""),"Print Print - CHT")</f>
        <v>Print Print - CHT</v>
      </c>
    </row>
    <row r="6771">
      <c r="A6771" s="1" t="str">
        <f>IFERROR(__xludf.DUMMYFUNCTION("""COMPUTED_VALUE"""),"2025 Dec")</f>
        <v>2025 Dec</v>
      </c>
      <c r="B6771" s="2">
        <f>IFERROR(__xludf.DUMMYFUNCTION("""COMPUTED_VALUE"""),45992.0)</f>
        <v>45992</v>
      </c>
      <c r="C6771" s="1" t="str">
        <f>IFERROR(__xludf.DUMMYFUNCTION("""COMPUTED_VALUE"""),"Admin Support")</f>
        <v>Admin Support</v>
      </c>
      <c r="D6771" s="1" t="str">
        <f>IFERROR(__xludf.DUMMYFUNCTION("""COMPUTED_VALUE"""),"d7fa60f7-5345-4940-b70f-a9ee1e24882e")</f>
        <v>d7fa60f7-5345-4940-b70f-a9ee1e24882e</v>
      </c>
      <c r="E6771" s="1">
        <f>IFERROR(__xludf.DUMMYFUNCTION("""COMPUTED_VALUE"""),3.61731792375E11)</f>
        <v>361731792375</v>
      </c>
      <c r="F6771" s="1"/>
      <c r="G6771" s="1">
        <f>IFERROR(__xludf.DUMMYFUNCTION("""COMPUTED_VALUE"""),1.75)</f>
        <v>1.75</v>
      </c>
      <c r="H6771" s="3">
        <f>IFERROR(__xludf.DUMMYFUNCTION("""COMPUTED_VALUE"""),1.75)</f>
        <v>1.75</v>
      </c>
      <c r="I6771" s="4">
        <f>IFERROR(__xludf.DUMMYFUNCTION("""COMPUTED_VALUE"""),1.0)</f>
        <v>1</v>
      </c>
      <c r="J6771" s="1" t="str">
        <f>IFERROR(__xludf.DUMMYFUNCTION("""COMPUTED_VALUE"""),"Karla Mananghaya")</f>
        <v>Karla Mananghaya</v>
      </c>
      <c r="K6771" s="1" t="str">
        <f>IFERROR(__xludf.DUMMYFUNCTION("""COMPUTED_VALUE"""),"Admin Support PH")</f>
        <v>Admin Support PH</v>
      </c>
      <c r="L6771" s="1" t="str">
        <f>IFERROR(__xludf.DUMMYFUNCTION("""COMPUTED_VALUE"""),"Admin - SEE")</f>
        <v>Admin - SEE</v>
      </c>
    </row>
    <row r="6772">
      <c r="A6772" s="1" t="str">
        <f>IFERROR(__xludf.DUMMYFUNCTION("""COMPUTED_VALUE"""),"2025 Dec")</f>
        <v>2025 Dec</v>
      </c>
      <c r="B6772" s="2">
        <f>IFERROR(__xludf.DUMMYFUNCTION("""COMPUTED_VALUE"""),45992.0)</f>
        <v>45992</v>
      </c>
      <c r="C6772" s="1" t="str">
        <f>IFERROR(__xludf.DUMMYFUNCTION("""COMPUTED_VALUE"""),"Core Product Support")</f>
        <v>Core Product Support</v>
      </c>
      <c r="D6772" s="1" t="str">
        <f>IFERROR(__xludf.DUMMYFUNCTION("""COMPUTED_VALUE"""),"5a22b3ea-0755-416b-a006-f5a0d4b19aba")</f>
        <v>5a22b3ea-0755-416b-a006-f5a0d4b19aba</v>
      </c>
      <c r="E6772" s="1">
        <f>IFERROR(__xludf.DUMMYFUNCTION("""COMPUTED_VALUE"""),5.202392949391E12)</f>
        <v>5202392949391</v>
      </c>
      <c r="F6772" s="1"/>
      <c r="G6772" s="1">
        <f>IFERROR(__xludf.DUMMYFUNCTION("""COMPUTED_VALUE"""),3.0)</f>
        <v>3</v>
      </c>
      <c r="H6772" s="3">
        <f>IFERROR(__xludf.DUMMYFUNCTION("""COMPUTED_VALUE"""),3.0)</f>
        <v>3</v>
      </c>
      <c r="I6772" s="4">
        <f>IFERROR(__xludf.DUMMYFUNCTION("""COMPUTED_VALUE"""),1.0)</f>
        <v>1</v>
      </c>
      <c r="J6772" s="1" t="str">
        <f>IFERROR(__xludf.DUMMYFUNCTION("""COMPUTED_VALUE"""),"Sieg Ballelos")</f>
        <v>Sieg Ballelos</v>
      </c>
      <c r="K6772" s="1" t="str">
        <f>IFERROR(__xludf.DUMMYFUNCTION("""COMPUTED_VALUE"""),"Core Product Support Escalation Team")</f>
        <v>Core Product Support Escalation Team</v>
      </c>
      <c r="L6772" s="1" t="str">
        <f>IFERROR(__xludf.DUMMYFUNCTION("""COMPUTED_VALUE"""),"CPS Core Product Support Escalations (CPSET)")</f>
        <v>CPS Core Product Support Escalations (CPSET)</v>
      </c>
    </row>
    <row r="6773">
      <c r="A6773" s="1" t="str">
        <f>IFERROR(__xludf.DUMMYFUNCTION("""COMPUTED_VALUE"""),"2025 Dec")</f>
        <v>2025 Dec</v>
      </c>
      <c r="B6773" s="2">
        <f>IFERROR(__xludf.DUMMYFUNCTION("""COMPUTED_VALUE"""),45992.0)</f>
        <v>45992</v>
      </c>
      <c r="C6773" s="1" t="str">
        <f>IFERROR(__xludf.DUMMYFUNCTION("""COMPUTED_VALUE"""),"Core Product Support")</f>
        <v>Core Product Support</v>
      </c>
      <c r="D6773" s="1" t="str">
        <f>IFERROR(__xludf.DUMMYFUNCTION("""COMPUTED_VALUE"""),"0ae24c9b-6172-4326-bb51-99cd5756da29")</f>
        <v>0ae24c9b-6172-4326-bb51-99cd5756da29</v>
      </c>
      <c r="E6773" s="1">
        <f>IFERROR(__xludf.DUMMYFUNCTION("""COMPUTED_VALUE"""),8.904479838351E12)</f>
        <v>8904479838351</v>
      </c>
      <c r="F6773" s="1">
        <f>IFERROR(__xludf.DUMMYFUNCTION("""COMPUTED_VALUE"""),0.27)</f>
        <v>0.27</v>
      </c>
      <c r="G6773" s="1">
        <f>IFERROR(__xludf.DUMMYFUNCTION("""COMPUTED_VALUE"""),2.0)</f>
        <v>2</v>
      </c>
      <c r="H6773" s="3">
        <f>IFERROR(__xludf.DUMMYFUNCTION("""COMPUTED_VALUE"""),2.27)</f>
        <v>2.27</v>
      </c>
      <c r="I6773" s="4">
        <f>IFERROR(__xludf.DUMMYFUNCTION("""COMPUTED_VALUE"""),0.8810572687224669)</f>
        <v>0.8810572687</v>
      </c>
      <c r="J6773" s="1" t="str">
        <f>IFERROR(__xludf.DUMMYFUNCTION("""COMPUTED_VALUE"""),"Ana Lazaro")</f>
        <v>Ana Lazaro</v>
      </c>
      <c r="K6773" s="1" t="str">
        <f>IFERROR(__xludf.DUMMYFUNCTION("""COMPUTED_VALUE"""),"Advanced Billing &amp; Subscriptions")</f>
        <v>Advanced Billing &amp; Subscriptions</v>
      </c>
      <c r="L6773" s="1" t="str">
        <f>IFERROR(__xludf.DUMMYFUNCTION("""COMPUTED_VALUE"""),"CPS Advanced Billing and Subscriptions (ABS)")</f>
        <v>CPS Advanced Billing and Subscriptions (ABS)</v>
      </c>
    </row>
    <row r="6774">
      <c r="A6774" s="1" t="str">
        <f>IFERROR(__xludf.DUMMYFUNCTION("""COMPUTED_VALUE"""),"2025 Dec")</f>
        <v>2025 Dec</v>
      </c>
      <c r="B6774" s="2">
        <f>IFERROR(__xludf.DUMMYFUNCTION("""COMPUTED_VALUE"""),45992.0)</f>
        <v>45992</v>
      </c>
      <c r="C6774" s="1" t="str">
        <f>IFERROR(__xludf.DUMMYFUNCTION("""COMPUTED_VALUE"""),"Segment-specific Support")</f>
        <v>Segment-specific Support</v>
      </c>
      <c r="D6774" s="1" t="str">
        <f>IFERROR(__xludf.DUMMYFUNCTION("""COMPUTED_VALUE"""),"702a1682-65ec-47f2-b736-d60aecc92e68")</f>
        <v>702a1682-65ec-47f2-b736-d60aecc92e68</v>
      </c>
      <c r="E6774" s="1">
        <f>IFERROR(__xludf.DUMMYFUNCTION("""COMPUTED_VALUE"""),3.61726425496E11)</f>
        <v>361726425496</v>
      </c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IFERROR(__xludf.DUMMYFUNCTION("""COMPUTED_VALUE"""),"Aileen Dayanghirang")</f>
        <v>Aileen Dayanghirang</v>
      </c>
      <c r="K6774" s="1" t="str">
        <f>IFERROR(__xludf.DUMMYFUNCTION("""COMPUTED_VALUE"""),"Creators Support")</f>
        <v>Creators Support</v>
      </c>
      <c r="L6774" s="1" t="str">
        <f>IFERROR(__xludf.DUMMYFUNCTION("""COMPUTED_VALUE"""),"SSS Creators")</f>
        <v>SSS Creators</v>
      </c>
    </row>
    <row r="6775">
      <c r="A6775" s="1" t="str">
        <f>IFERROR(__xludf.DUMMYFUNCTION("""COMPUTED_VALUE"""),"2025 Dec")</f>
        <v>2025 Dec</v>
      </c>
      <c r="B6775" s="2">
        <f>IFERROR(__xludf.DUMMYFUNCTION("""COMPUTED_VALUE"""),45992.0)</f>
        <v>45992</v>
      </c>
      <c r="C6775" s="1" t="str">
        <f>IFERROR(__xludf.DUMMYFUNCTION("""COMPUTED_VALUE"""),"Print Support")</f>
        <v>Print Support</v>
      </c>
      <c r="D6775" s="1" t="str">
        <f>IFERROR(__xludf.DUMMYFUNCTION("""COMPUTED_VALUE"""),"5b9a60b0-b877-48e1-8013-eb7cdd15bd64")</f>
        <v>5b9a60b0-b877-48e1-8013-eb7cdd15bd64</v>
      </c>
      <c r="E6775" s="1">
        <f>IFERROR(__xludf.DUMMYFUNCTION("""COMPUTED_VALUE"""),3.61825394516E11)</f>
        <v>361825394516</v>
      </c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IFERROR(__xludf.DUMMYFUNCTION("""COMPUTED_VALUE"""),"G-Anne Murillo")</f>
        <v>G-Anne Murillo</v>
      </c>
      <c r="K6775" s="1" t="str">
        <f>IFERROR(__xludf.DUMMYFUNCTION("""COMPUTED_VALUE"""),"Print Design Support")</f>
        <v>Print Design Support</v>
      </c>
      <c r="L6775" s="1" t="str">
        <f>IFERROR(__xludf.DUMMYFUNCTION("""COMPUTED_VALUE"""),"Print Print Design")</f>
        <v>Print Print Design</v>
      </c>
    </row>
    <row r="6776">
      <c r="A6776" s="1" t="str">
        <f>IFERROR(__xludf.DUMMYFUNCTION("""COMPUTED_VALUE"""),"2025 Dec")</f>
        <v>2025 Dec</v>
      </c>
      <c r="B6776" s="2">
        <f>IFERROR(__xludf.DUMMYFUNCTION("""COMPUTED_VALUE"""),45992.0)</f>
        <v>45992</v>
      </c>
      <c r="C6776" s="1" t="str">
        <f>IFERROR(__xludf.DUMMYFUNCTION("""COMPUTED_VALUE"""),"Print Support")</f>
        <v>Print Support</v>
      </c>
      <c r="D6776" s="1" t="str">
        <f>IFERROR(__xludf.DUMMYFUNCTION("""COMPUTED_VALUE"""),"582c23f3-af21-4402-83b6-920f8fd6fe88")</f>
        <v>582c23f3-af21-4402-83b6-920f8fd6fe88</v>
      </c>
      <c r="E6776" s="1">
        <f>IFERROR(__xludf.DUMMYFUNCTION("""COMPUTED_VALUE"""),5.566843512207E12)</f>
        <v>5566843512207</v>
      </c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IFERROR(__xludf.DUMMYFUNCTION("""COMPUTED_VALUE"""),"Ann Dumlao")</f>
        <v>Ann Dumlao</v>
      </c>
      <c r="K6776" s="1" t="str">
        <f>IFERROR(__xludf.DUMMYFUNCTION("""COMPUTED_VALUE"""),"Print Support PH")</f>
        <v>Print Support PH</v>
      </c>
      <c r="L6776" s="1" t="str">
        <f>IFERROR(__xludf.DUMMYFUNCTION("""COMPUTED_VALUE"""),"Print Print - CHT")</f>
        <v>Print Print - CHT</v>
      </c>
    </row>
    <row r="6777">
      <c r="A6777" s="1" t="str">
        <f>IFERROR(__xludf.DUMMYFUNCTION("""COMPUTED_VALUE"""),"2025 Dec")</f>
        <v>2025 Dec</v>
      </c>
      <c r="B6777" s="2">
        <f>IFERROR(__xludf.DUMMYFUNCTION("""COMPUTED_VALUE"""),45992.0)</f>
        <v>45992</v>
      </c>
      <c r="C6777" s="1" t="str">
        <f>IFERROR(__xludf.DUMMYFUNCTION("""COMPUTED_VALUE"""),"Multilingual Support")</f>
        <v>Multilingual Support</v>
      </c>
      <c r="D6777" s="1" t="str">
        <f>IFERROR(__xludf.DUMMYFUNCTION("""COMPUTED_VALUE"""),"a08e6c23-8f56-4eb2-a86d-ff398e709601")</f>
        <v>a08e6c23-8f56-4eb2-a86d-ff398e709601</v>
      </c>
      <c r="E6777" s="1">
        <f>IFERROR(__xludf.DUMMYFUNCTION("""COMPUTED_VALUE"""),3.61744520136E11)</f>
        <v>361744520136</v>
      </c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IFERROR(__xludf.DUMMYFUNCTION("""COMPUTED_VALUE"""),"Arlene Maurillo")</f>
        <v>Arlene Maurillo</v>
      </c>
      <c r="K6777" s="1" t="str">
        <f>IFERROR(__xludf.DUMMYFUNCTION("""COMPUTED_VALUE"""),"PHL, Multilingual Support")</f>
        <v>PHL, Multilingual Support</v>
      </c>
      <c r="L6777" s="1" t="str">
        <f>IFERROR(__xludf.DUMMYFUNCTION("""COMPUTED_VALUE"""),"ML Spanish Support")</f>
        <v>ML Spanish Support</v>
      </c>
    </row>
    <row r="6778">
      <c r="A6778" s="1" t="str">
        <f>IFERROR(__xludf.DUMMYFUNCTION("""COMPUTED_VALUE"""),"2025 Dec")</f>
        <v>2025 Dec</v>
      </c>
      <c r="B6778" s="2">
        <f>IFERROR(__xludf.DUMMYFUNCTION("""COMPUTED_VALUE"""),45992.0)</f>
        <v>45992</v>
      </c>
      <c r="C6778" s="1" t="str">
        <f>IFERROR(__xludf.DUMMYFUNCTION("""COMPUTED_VALUE"""),"Core Product Support")</f>
        <v>Core Product Support</v>
      </c>
      <c r="D6778" s="1" t="str">
        <f>IFERROR(__xludf.DUMMYFUNCTION("""COMPUTED_VALUE"""),"9160bc84-9174-4736-bd46-926c52c66223")</f>
        <v>9160bc84-9174-4736-bd46-926c52c66223</v>
      </c>
      <c r="E6778" s="1">
        <f>IFERROR(__xludf.DUMMYFUNCTION("""COMPUTED_VALUE"""),3.61731516675E11)</f>
        <v>361731516675</v>
      </c>
      <c r="F6778" s="1">
        <f>IFERROR(__xludf.DUMMYFUNCTION("""COMPUTED_VALUE"""),0.5)</f>
        <v>0.5</v>
      </c>
      <c r="G6778" s="1"/>
      <c r="H6778" s="3">
        <f>IFERROR(__xludf.DUMMYFUNCTION("""COMPUTED_VALUE"""),0.5)</f>
        <v>0.5</v>
      </c>
      <c r="I6778" s="4">
        <f>IFERROR(__xludf.DUMMYFUNCTION("""COMPUTED_VALUE"""),0.0)</f>
        <v>0</v>
      </c>
      <c r="J6778" s="1" t="str">
        <f>IFERROR(__xludf.DUMMYFUNCTION("""COMPUTED_VALUE"""),"Marie Mordeno")</f>
        <v>Marie Mordeno</v>
      </c>
      <c r="K6778" s="1" t="str">
        <f>IFERROR(__xludf.DUMMYFUNCTION("""COMPUTED_VALUE"""),"Advanced Billing &amp; Subscriptions")</f>
        <v>Advanced Billing &amp; Subscriptions</v>
      </c>
      <c r="L6778" s="1" t="str">
        <f>IFERROR(__xludf.DUMMYFUNCTION("""COMPUTED_VALUE"""),"CPS Advanced Billing and Subscriptions (ABS)")</f>
        <v>CPS Advanced Billing and Subscriptions (ABS)</v>
      </c>
    </row>
    <row r="6779">
      <c r="A6779" s="1" t="str">
        <f>IFERROR(__xludf.DUMMYFUNCTION("""COMPUTED_VALUE"""),"2025 Dec")</f>
        <v>2025 Dec</v>
      </c>
      <c r="B6779" s="2">
        <f>IFERROR(__xludf.DUMMYFUNCTION("""COMPUTED_VALUE"""),45992.0)</f>
        <v>45992</v>
      </c>
      <c r="C6779" s="1" t="str">
        <f>IFERROR(__xludf.DUMMYFUNCTION("""COMPUTED_VALUE"""),"Core Product Support")</f>
        <v>Core Product Support</v>
      </c>
      <c r="D6779" s="1" t="str">
        <f>IFERROR(__xludf.DUMMYFUNCTION("""COMPUTED_VALUE"""),"4db6d8c1-797e-4f39-9494-3babf0366bc0")</f>
        <v>4db6d8c1-797e-4f39-9494-3babf0366bc0</v>
      </c>
      <c r="E6779" s="1">
        <f>IFERROR(__xludf.DUMMYFUNCTION("""COMPUTED_VALUE"""),3.61731943715E11)</f>
        <v>361731943715</v>
      </c>
      <c r="F6779" s="1"/>
      <c r="G6779" s="1">
        <f>IFERROR(__xludf.DUMMYFUNCTION("""COMPUTED_VALUE"""),3.0)</f>
        <v>3</v>
      </c>
      <c r="H6779" s="3">
        <f>IFERROR(__xludf.DUMMYFUNCTION("""COMPUTED_VALUE"""),3.0)</f>
        <v>3</v>
      </c>
      <c r="I6779" s="4">
        <f>IFERROR(__xludf.DUMMYFUNCTION("""COMPUTED_VALUE"""),1.0)</f>
        <v>1</v>
      </c>
      <c r="J6779" s="1" t="str">
        <f>IFERROR(__xludf.DUMMYFUNCTION("""COMPUTED_VALUE"""),"Sieg Ballelos")</f>
        <v>Sieg Ballelos</v>
      </c>
      <c r="K6779" s="1" t="str">
        <f>IFERROR(__xludf.DUMMYFUNCTION("""COMPUTED_VALUE"""),"Core Product Support Escalation Team")</f>
        <v>Core Product Support Escalation Team</v>
      </c>
      <c r="L6779" s="1" t="str">
        <f>IFERROR(__xludf.DUMMYFUNCTION("""COMPUTED_VALUE"""),"CPS Core Product Support Escalations (CPSET)")</f>
        <v>CPS Core Product Support Escalations (CPSET)</v>
      </c>
    </row>
    <row r="6780">
      <c r="A6780" s="1" t="str">
        <f>IFERROR(__xludf.DUMMYFUNCTION("""COMPUTED_VALUE"""),"2025 Dec")</f>
        <v>2025 Dec</v>
      </c>
      <c r="B6780" s="2">
        <f>IFERROR(__xludf.DUMMYFUNCTION("""COMPUTED_VALUE"""),45992.0)</f>
        <v>45992</v>
      </c>
      <c r="C6780" s="1" t="str">
        <f>IFERROR(__xludf.DUMMYFUNCTION("""COMPUTED_VALUE"""),"Core Product Support")</f>
        <v>Core Product Support</v>
      </c>
      <c r="D6780" s="1" t="str">
        <f>IFERROR(__xludf.DUMMYFUNCTION("""COMPUTED_VALUE"""),"961e0a53-62a6-4087-8811-6449381daa52")</f>
        <v>961e0a53-62a6-4087-8811-6449381daa52</v>
      </c>
      <c r="E6780" s="1">
        <f>IFERROR(__xludf.DUMMYFUNCTION("""COMPUTED_VALUE"""),3.61694638315E11)</f>
        <v>361694638315</v>
      </c>
      <c r="F6780" s="1"/>
      <c r="G6780" s="1">
        <f>IFERROR(__xludf.DUMMYFUNCTION("""COMPUTED_VALUE"""),2.0)</f>
        <v>2</v>
      </c>
      <c r="H6780" s="3">
        <f>IFERROR(__xludf.DUMMYFUNCTION("""COMPUTED_VALUE"""),2.0)</f>
        <v>2</v>
      </c>
      <c r="I6780" s="4">
        <f>IFERROR(__xludf.DUMMYFUNCTION("""COMPUTED_VALUE"""),1.0)</f>
        <v>1</v>
      </c>
      <c r="J6780" s="1" t="str">
        <f>IFERROR(__xludf.DUMMYFUNCTION("""COMPUTED_VALUE"""),"Ellaine Estayo")</f>
        <v>Ellaine Estayo</v>
      </c>
      <c r="K6780" s="1" t="str">
        <f>IFERROR(__xludf.DUMMYFUNCTION("""COMPUTED_VALUE"""),"Core Product Support Escalation Team")</f>
        <v>Core Product Support Escalation Team</v>
      </c>
      <c r="L6780" s="1" t="str">
        <f>IFERROR(__xludf.DUMMYFUNCTION("""COMPUTED_VALUE"""),"CPS Core Product Support Escalations (CPSET)")</f>
        <v>CPS Core Product Support Escalations (CPSET)</v>
      </c>
    </row>
    <row r="6781">
      <c r="A6781" s="1" t="str">
        <f>IFERROR(__xludf.DUMMYFUNCTION("""COMPUTED_VALUE"""),"2025 Dec")</f>
        <v>2025 Dec</v>
      </c>
      <c r="B6781" s="2">
        <f>IFERROR(__xludf.DUMMYFUNCTION("""COMPUTED_VALUE"""),45992.0)</f>
        <v>45992</v>
      </c>
      <c r="C6781" s="1" t="str">
        <f>IFERROR(__xludf.DUMMYFUNCTION("""COMPUTED_VALUE"""),"High Sensitivity Support")</f>
        <v>High Sensitivity Support</v>
      </c>
      <c r="D6781" s="1" t="str">
        <f>IFERROR(__xludf.DUMMYFUNCTION("""COMPUTED_VALUE"""),"50f4f34a-5f46-4ee9-a2ab-686901231801")</f>
        <v>50f4f34a-5f46-4ee9-a2ab-686901231801</v>
      </c>
      <c r="E6781" s="1">
        <f>IFERROR(__xludf.DUMMYFUNCTION("""COMPUTED_VALUE"""),1.0548602304527E13)</f>
        <v>10548602304527</v>
      </c>
      <c r="F6781" s="1">
        <f>IFERROR(__xludf.DUMMYFUNCTION("""COMPUTED_VALUE"""),3.0)</f>
        <v>3</v>
      </c>
      <c r="G6781" s="1"/>
      <c r="H6781" s="3">
        <f>IFERROR(__xludf.DUMMYFUNCTION("""COMPUTED_VALUE"""),3.0)</f>
        <v>3</v>
      </c>
      <c r="I6781" s="4">
        <f>IFERROR(__xludf.DUMMYFUNCTION("""COMPUTED_VALUE"""),0.0)</f>
        <v>0</v>
      </c>
      <c r="J6781" s="1" t="str">
        <f>IFERROR(__xludf.DUMMYFUNCTION("""COMPUTED_VALUE"""),"Rossheen Pura")</f>
        <v>Rossheen Pura</v>
      </c>
      <c r="K6781" s="1" t="str">
        <f>IFERROR(__xludf.DUMMYFUNCTION("""COMPUTED_VALUE"""),"High Sensitivity Support PH")</f>
        <v>High Sensitivity Support PH</v>
      </c>
      <c r="L6781" s="1" t="str">
        <f>IFERROR(__xludf.DUMMYFUNCTION("""COMPUTED_VALUE"""),"HSS High Sensitivity Support PH - CHT")</f>
        <v>HSS High Sensitivity Support PH - CHT</v>
      </c>
    </row>
    <row r="6782">
      <c r="A6782" s="1" t="str">
        <f>IFERROR(__xludf.DUMMYFUNCTION("""COMPUTED_VALUE"""),"2025 Dec")</f>
        <v>2025 Dec</v>
      </c>
      <c r="B6782" s="2">
        <f>IFERROR(__xludf.DUMMYFUNCTION("""COMPUTED_VALUE"""),45992.0)</f>
        <v>45992</v>
      </c>
      <c r="C6782" s="1" t="str">
        <f>IFERROR(__xludf.DUMMYFUNCTION("""COMPUTED_VALUE"""),"Print Support")</f>
        <v>Print Support</v>
      </c>
      <c r="D6782" s="1" t="str">
        <f>IFERROR(__xludf.DUMMYFUNCTION("""COMPUTED_VALUE"""),"4b906fe3-66c8-454a-a7d0-1f50f4b6cdf4")</f>
        <v>4b906fe3-66c8-454a-a7d0-1f50f4b6cdf4</v>
      </c>
      <c r="E6782" s="1">
        <f>IFERROR(__xludf.DUMMYFUNCTION("""COMPUTED_VALUE"""),3.61825398056E11)</f>
        <v>361825398056</v>
      </c>
      <c r="F6782" s="1"/>
      <c r="G6782" s="1"/>
      <c r="H6782" s="3">
        <f>IFERROR(__xludf.DUMMYFUNCTION("""COMPUTED_VALUE"""),0.0)</f>
        <v>0</v>
      </c>
      <c r="I6782" s="4"/>
      <c r="J6782" s="1" t="str">
        <f>IFERROR(__xludf.DUMMYFUNCTION("""COMPUTED_VALUE"""),"Rei De Jesus")</f>
        <v>Rei De Jesus</v>
      </c>
      <c r="K6782" s="1" t="str">
        <f>IFERROR(__xludf.DUMMYFUNCTION("""COMPUTED_VALUE"""),"Print Design Support")</f>
        <v>Print Design Support</v>
      </c>
      <c r="L6782" s="1" t="str">
        <f>IFERROR(__xludf.DUMMYFUNCTION("""COMPUTED_VALUE"""),"Print Print Design")</f>
        <v>Print Print Design</v>
      </c>
    </row>
    <row r="6783">
      <c r="A6783" s="1" t="str">
        <f>IFERROR(__xludf.DUMMYFUNCTION("""COMPUTED_VALUE"""),"2025 Dec")</f>
        <v>2025 Dec</v>
      </c>
      <c r="B6783" s="2">
        <f>IFERROR(__xludf.DUMMYFUNCTION("""COMPUTED_VALUE"""),45992.0)</f>
        <v>45992</v>
      </c>
      <c r="C6783" s="1" t="str">
        <f>IFERROR(__xludf.DUMMYFUNCTION("""COMPUTED_VALUE"""),"Core Product Support")</f>
        <v>Core Product Support</v>
      </c>
      <c r="D6783" s="1" t="str">
        <f>IFERROR(__xludf.DUMMYFUNCTION("""COMPUTED_VALUE"""),"7f8ea57d-3bc6-435c-ac89-36216f416d2b")</f>
        <v>7f8ea57d-3bc6-435c-ac89-36216f416d2b</v>
      </c>
      <c r="E6783" s="1">
        <f>IFERROR(__xludf.DUMMYFUNCTION("""COMPUTED_VALUE"""),5.202392782223E12)</f>
        <v>5202392782223</v>
      </c>
      <c r="F6783" s="1"/>
      <c r="G6783" s="1">
        <f>IFERROR(__xludf.DUMMYFUNCTION("""COMPUTED_VALUE"""),1.0)</f>
        <v>1</v>
      </c>
      <c r="H6783" s="3">
        <f>IFERROR(__xludf.DUMMYFUNCTION("""COMPUTED_VALUE"""),1.0)</f>
        <v>1</v>
      </c>
      <c r="I6783" s="4">
        <f>IFERROR(__xludf.DUMMYFUNCTION("""COMPUTED_VALUE"""),1.0)</f>
        <v>1</v>
      </c>
      <c r="J6783" s="1" t="str">
        <f>IFERROR(__xludf.DUMMYFUNCTION("""COMPUTED_VALUE"""),"Renette Bok")</f>
        <v>Renette Bok</v>
      </c>
      <c r="K6783" s="1" t="str">
        <f>IFERROR(__xludf.DUMMYFUNCTION("""COMPUTED_VALUE"""),"Advanced Billing &amp; Subscriptions")</f>
        <v>Advanced Billing &amp; Subscriptions</v>
      </c>
      <c r="L6783" s="1" t="str">
        <f>IFERROR(__xludf.DUMMYFUNCTION("""COMPUTED_VALUE"""),"CPS Advanced Billing and Subscriptions (ABS)")</f>
        <v>CPS Advanced Billing and Subscriptions (ABS)</v>
      </c>
    </row>
    <row r="6784">
      <c r="A6784" s="1" t="str">
        <f>IFERROR(__xludf.DUMMYFUNCTION("""COMPUTED_VALUE"""),"2025 Dec")</f>
        <v>2025 Dec</v>
      </c>
      <c r="B6784" s="2">
        <f>IFERROR(__xludf.DUMMYFUNCTION("""COMPUTED_VALUE"""),45992.0)</f>
        <v>45992</v>
      </c>
      <c r="C6784" s="1" t="str">
        <f>IFERROR(__xludf.DUMMYFUNCTION("""COMPUTED_VALUE"""),"Core Product Support")</f>
        <v>Core Product Support</v>
      </c>
      <c r="D6784" s="1" t="str">
        <f>IFERROR(__xludf.DUMMYFUNCTION("""COMPUTED_VALUE"""),"5aed746e-cb5c-469a-8821-9e6506c7b9e6")</f>
        <v>5aed746e-cb5c-469a-8821-9e6506c7b9e6</v>
      </c>
      <c r="E6784" s="1">
        <f>IFERROR(__xludf.DUMMYFUNCTION("""COMPUTED_VALUE"""),3.61731350535E11)</f>
        <v>361731350535</v>
      </c>
      <c r="F6784" s="1">
        <f>IFERROR(__xludf.DUMMYFUNCTION("""COMPUTED_VALUE"""),0.5)</f>
        <v>0.5</v>
      </c>
      <c r="G6784" s="1">
        <f>IFERROR(__xludf.DUMMYFUNCTION("""COMPUTED_VALUE"""),0.75)</f>
        <v>0.75</v>
      </c>
      <c r="H6784" s="3">
        <f>IFERROR(__xludf.DUMMYFUNCTION("""COMPUTED_VALUE"""),1.25)</f>
        <v>1.25</v>
      </c>
      <c r="I6784" s="4">
        <f>IFERROR(__xludf.DUMMYFUNCTION("""COMPUTED_VALUE"""),0.6)</f>
        <v>0.6</v>
      </c>
      <c r="J6784" s="1" t="str">
        <f>IFERROR(__xludf.DUMMYFUNCTION("""COMPUTED_VALUE"""),"Vinz Lazaro")</f>
        <v>Vinz Lazaro</v>
      </c>
      <c r="K6784" s="1" t="str">
        <f>IFERROR(__xludf.DUMMYFUNCTION("""COMPUTED_VALUE"""),"Advanced Product Support")</f>
        <v>Advanced Product Support</v>
      </c>
      <c r="L6784" s="1" t="str">
        <f>IFERROR(__xludf.DUMMYFUNCTION("""COMPUTED_VALUE"""),"CPS Advanced Product Support (APS)")</f>
        <v>CPS Advanced Product Support (APS)</v>
      </c>
    </row>
    <row r="6785">
      <c r="A6785" s="1" t="str">
        <f>IFERROR(__xludf.DUMMYFUNCTION("""COMPUTED_VALUE"""),"2025 Dec")</f>
        <v>2025 Dec</v>
      </c>
      <c r="B6785" s="2">
        <f>IFERROR(__xludf.DUMMYFUNCTION("""COMPUTED_VALUE"""),45992.0)</f>
        <v>45992</v>
      </c>
      <c r="C6785" s="1" t="str">
        <f>IFERROR(__xludf.DUMMYFUNCTION("""COMPUTED_VALUE"""),"Core Product Support")</f>
        <v>Core Product Support</v>
      </c>
      <c r="D6785" s="1" t="str">
        <f>IFERROR(__xludf.DUMMYFUNCTION("""COMPUTED_VALUE"""),"a5566f0b-0c7b-4dd5-a5bf-cc571ed45f36")</f>
        <v>a5566f0b-0c7b-4dd5-a5bf-cc571ed45f36</v>
      </c>
      <c r="E6785" s="1">
        <f>IFERROR(__xludf.DUMMYFUNCTION("""COMPUTED_VALUE"""),1.0333033796879E13)</f>
        <v>10333033796879</v>
      </c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IFERROR(__xludf.DUMMYFUNCTION("""COMPUTED_VALUE"""),"Jelyn Elmido")</f>
        <v>Jelyn Elmido</v>
      </c>
      <c r="K6785" s="1" t="str">
        <f>IFERROR(__xludf.DUMMYFUNCTION("""COMPUTED_VALUE"""),"Advanced Product Support")</f>
        <v>Advanced Product Support</v>
      </c>
      <c r="L6785" s="1" t="str">
        <f>IFERROR(__xludf.DUMMYFUNCTION("""COMPUTED_VALUE"""),"CPS Advanced Product Support (APS)")</f>
        <v>CPS Advanced Product Support (APS)</v>
      </c>
    </row>
    <row r="6786">
      <c r="A6786" s="1" t="str">
        <f>IFERROR(__xludf.DUMMYFUNCTION("""COMPUTED_VALUE"""),"2025 Dec")</f>
        <v>2025 Dec</v>
      </c>
      <c r="B6786" s="2">
        <f>IFERROR(__xludf.DUMMYFUNCTION("""COMPUTED_VALUE"""),45992.0)</f>
        <v>45992</v>
      </c>
      <c r="C6786" s="1" t="str">
        <f>IFERROR(__xludf.DUMMYFUNCTION("""COMPUTED_VALUE"""),"Core Product Support")</f>
        <v>Core Product Support</v>
      </c>
      <c r="D6786" s="1" t="str">
        <f>IFERROR(__xludf.DUMMYFUNCTION("""COMPUTED_VALUE"""),"98f36067-d801-431b-ba9a-fcb9a6ae433a")</f>
        <v>98f36067-d801-431b-ba9a-fcb9a6ae433a</v>
      </c>
      <c r="E6786" s="1">
        <f>IFERROR(__xludf.DUMMYFUNCTION("""COMPUTED_VALUE"""),3.61731350795E11)</f>
        <v>361731350795</v>
      </c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IFERROR(__xludf.DUMMYFUNCTION("""COMPUTED_VALUE"""),"Jem Mondoñedo")</f>
        <v>Jem Mondoñedo</v>
      </c>
      <c r="K6786" s="1" t="str">
        <f>IFERROR(__xludf.DUMMYFUNCTION("""COMPUTED_VALUE"""),"Advanced Chat Support")</f>
        <v>Advanced Chat Support</v>
      </c>
      <c r="L6786" s="1" t="str">
        <f>IFERROR(__xludf.DUMMYFUNCTION("""COMPUTED_VALUE"""),"CPS Advanced Chat Support (ACS)")</f>
        <v>CPS Advanced Chat Support (ACS)</v>
      </c>
    </row>
    <row r="6787">
      <c r="A6787" s="1" t="str">
        <f>IFERROR(__xludf.DUMMYFUNCTION("""COMPUTED_VALUE"""),"2025 Dec")</f>
        <v>2025 Dec</v>
      </c>
      <c r="B6787" s="2">
        <f>IFERROR(__xludf.DUMMYFUNCTION("""COMPUTED_VALUE"""),45992.0)</f>
        <v>45992</v>
      </c>
      <c r="C6787" s="1" t="str">
        <f>IFERROR(__xludf.DUMMYFUNCTION("""COMPUTED_VALUE"""),"Core Product Support")</f>
        <v>Core Product Support</v>
      </c>
      <c r="D6787" s="1" t="str">
        <f>IFERROR(__xludf.DUMMYFUNCTION("""COMPUTED_VALUE"""),"7d586eb5-1b74-4e56-b56f-6c2807700cb7")</f>
        <v>7d586eb5-1b74-4e56-b56f-6c2807700cb7</v>
      </c>
      <c r="E6787" s="1">
        <f>IFERROR(__xludf.DUMMYFUNCTION("""COMPUTED_VALUE"""),5.202378938383E12)</f>
        <v>5202378938383</v>
      </c>
      <c r="F6787" s="1"/>
      <c r="G6787" s="1">
        <f>IFERROR(__xludf.DUMMYFUNCTION("""COMPUTED_VALUE"""),3.0)</f>
        <v>3</v>
      </c>
      <c r="H6787" s="3">
        <f>IFERROR(__xludf.DUMMYFUNCTION("""COMPUTED_VALUE"""),3.0)</f>
        <v>3</v>
      </c>
      <c r="I6787" s="4">
        <f>IFERROR(__xludf.DUMMYFUNCTION("""COMPUTED_VALUE"""),1.0)</f>
        <v>1</v>
      </c>
      <c r="J6787" s="1" t="str">
        <f>IFERROR(__xludf.DUMMYFUNCTION("""COMPUTED_VALUE"""),"Sieg Ballelos")</f>
        <v>Sieg Ballelos</v>
      </c>
      <c r="K6787" s="1" t="str">
        <f>IFERROR(__xludf.DUMMYFUNCTION("""COMPUTED_VALUE"""),"Core Product Support Escalation Team")</f>
        <v>Core Product Support Escalation Team</v>
      </c>
      <c r="L6787" s="1" t="str">
        <f>IFERROR(__xludf.DUMMYFUNCTION("""COMPUTED_VALUE"""),"CPS Core Product Support Escalations (CPSET)")</f>
        <v>CPS Core Product Support Escalations (CPSET)</v>
      </c>
    </row>
    <row r="6788">
      <c r="A6788" s="1" t="str">
        <f>IFERROR(__xludf.DUMMYFUNCTION("""COMPUTED_VALUE"""),"2025 Dec")</f>
        <v>2025 Dec</v>
      </c>
      <c r="B6788" s="2">
        <f>IFERROR(__xludf.DUMMYFUNCTION("""COMPUTED_VALUE"""),45992.0)</f>
        <v>45992</v>
      </c>
      <c r="C6788" s="1" t="str">
        <f>IFERROR(__xludf.DUMMYFUNCTION("""COMPUTED_VALUE"""),"Core Product Support")</f>
        <v>Core Product Support</v>
      </c>
      <c r="D6788" s="1" t="str">
        <f>IFERROR(__xludf.DUMMYFUNCTION("""COMPUTED_VALUE"""),"c7d7e66b-4dfe-47b9-a47f-66af76d8fb19")</f>
        <v>c7d7e66b-4dfe-47b9-a47f-66af76d8fb19</v>
      </c>
      <c r="E6788" s="1">
        <f>IFERROR(__xludf.DUMMYFUNCTION("""COMPUTED_VALUE"""),1.1401981374607E13)</f>
        <v>11401981374607</v>
      </c>
      <c r="F6788" s="1">
        <f>IFERROR(__xludf.DUMMYFUNCTION("""COMPUTED_VALUE"""),0.5)</f>
        <v>0.5</v>
      </c>
      <c r="G6788" s="1"/>
      <c r="H6788" s="3">
        <f>IFERROR(__xludf.DUMMYFUNCTION("""COMPUTED_VALUE"""),0.5)</f>
        <v>0.5</v>
      </c>
      <c r="I6788" s="4">
        <f>IFERROR(__xludf.DUMMYFUNCTION("""COMPUTED_VALUE"""),0.0)</f>
        <v>0</v>
      </c>
      <c r="J6788" s="1" t="str">
        <f>IFERROR(__xludf.DUMMYFUNCTION("""COMPUTED_VALUE"""),"Jelyn Elmido")</f>
        <v>Jelyn Elmido</v>
      </c>
      <c r="K6788" s="1" t="str">
        <f>IFERROR(__xludf.DUMMYFUNCTION("""COMPUTED_VALUE"""),"Advanced Product Support")</f>
        <v>Advanced Product Support</v>
      </c>
      <c r="L6788" s="1" t="str">
        <f>IFERROR(__xludf.DUMMYFUNCTION("""COMPUTED_VALUE"""),"CPS Advanced Product Support (APS)")</f>
        <v>CPS Advanced Product Support (APS)</v>
      </c>
    </row>
    <row r="6789">
      <c r="A6789" s="1" t="str">
        <f>IFERROR(__xludf.DUMMYFUNCTION("""COMPUTED_VALUE"""),"2025 Dec")</f>
        <v>2025 Dec</v>
      </c>
      <c r="B6789" s="2">
        <f>IFERROR(__xludf.DUMMYFUNCTION("""COMPUTED_VALUE"""),45992.0)</f>
        <v>45992</v>
      </c>
      <c r="C6789" s="1" t="str">
        <f>IFERROR(__xludf.DUMMYFUNCTION("""COMPUTED_VALUE"""),"Print Support")</f>
        <v>Print Support</v>
      </c>
      <c r="D6789" s="1" t="str">
        <f>IFERROR(__xludf.DUMMYFUNCTION("""COMPUTED_VALUE"""),"10b96ef4-077e-4868-9c27-17d96d8b4f68")</f>
        <v>10b96ef4-077e-4868-9c27-17d96d8b4f68</v>
      </c>
      <c r="E6789" s="1">
        <f>IFERROR(__xludf.DUMMYFUNCTION("""COMPUTED_VALUE"""),3.61744117796E11)</f>
        <v>361744117796</v>
      </c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IFERROR(__xludf.DUMMYFUNCTION("""COMPUTED_VALUE"""),"Jen Momo")</f>
        <v>Jen Momo</v>
      </c>
      <c r="K6789" s="1" t="str">
        <f>IFERROR(__xludf.DUMMYFUNCTION("""COMPUTED_VALUE"""),"Print Support PH")</f>
        <v>Print Support PH</v>
      </c>
      <c r="L6789" s="1" t="str">
        <f>IFERROR(__xludf.DUMMYFUNCTION("""COMPUTED_VALUE"""),"Print Print - CHT")</f>
        <v>Print Print - CHT</v>
      </c>
    </row>
    <row r="6790">
      <c r="A6790" s="1" t="str">
        <f>IFERROR(__xludf.DUMMYFUNCTION("""COMPUTED_VALUE"""),"2025 Dec")</f>
        <v>2025 Dec</v>
      </c>
      <c r="B6790" s="2">
        <f>IFERROR(__xludf.DUMMYFUNCTION("""COMPUTED_VALUE"""),45992.0)</f>
        <v>45992</v>
      </c>
      <c r="C6790" s="1" t="str">
        <f>IFERROR(__xludf.DUMMYFUNCTION("""COMPUTED_VALUE"""),"Print Support")</f>
        <v>Print Support</v>
      </c>
      <c r="D6790" s="1" t="str">
        <f>IFERROR(__xludf.DUMMYFUNCTION("""COMPUTED_VALUE"""),"12eca747-9244-47cb-894e-d3c873c08566")</f>
        <v>12eca747-9244-47cb-894e-d3c873c08566</v>
      </c>
      <c r="E6790" s="1">
        <f>IFERROR(__xludf.DUMMYFUNCTION("""COMPUTED_VALUE"""),1.0548625681423E13)</f>
        <v>10548625681423</v>
      </c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IFERROR(__xludf.DUMMYFUNCTION("""COMPUTED_VALUE"""),"Ann Dumlao")</f>
        <v>Ann Dumlao</v>
      </c>
      <c r="K6790" s="1" t="str">
        <f>IFERROR(__xludf.DUMMYFUNCTION("""COMPUTED_VALUE"""),"Print Support PH")</f>
        <v>Print Support PH</v>
      </c>
      <c r="L6790" s="1" t="str">
        <f>IFERROR(__xludf.DUMMYFUNCTION("""COMPUTED_VALUE"""),"Print Print - CHT")</f>
        <v>Print Print - CHT</v>
      </c>
    </row>
    <row r="6791">
      <c r="A6791" s="1" t="str">
        <f>IFERROR(__xludf.DUMMYFUNCTION("""COMPUTED_VALUE"""),"2025 Dec")</f>
        <v>2025 Dec</v>
      </c>
      <c r="B6791" s="2">
        <f>IFERROR(__xludf.DUMMYFUNCTION("""COMPUTED_VALUE"""),45992.0)</f>
        <v>45992</v>
      </c>
      <c r="C6791" s="1" t="str">
        <f>IFERROR(__xludf.DUMMYFUNCTION("""COMPUTED_VALUE"""),"Multilingual Support")</f>
        <v>Multilingual Support</v>
      </c>
      <c r="D6791" s="1" t="str">
        <f>IFERROR(__xludf.DUMMYFUNCTION("""COMPUTED_VALUE"""),"757d9757-27bf-49d1-a07c-15a426289b02")</f>
        <v>757d9757-27bf-49d1-a07c-15a426289b02</v>
      </c>
      <c r="E6791" s="1">
        <f>IFERROR(__xludf.DUMMYFUNCTION("""COMPUTED_VALUE"""),1.1819962468111E13)</f>
        <v>11819962468111</v>
      </c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IFERROR(__xludf.DUMMYFUNCTION("""COMPUTED_VALUE"""),"Arlene Maurillo")</f>
        <v>Arlene Maurillo</v>
      </c>
      <c r="K6791" s="1" t="str">
        <f>IFERROR(__xludf.DUMMYFUNCTION("""COMPUTED_VALUE"""),"PHL, Multilingual Support")</f>
        <v>PHL, Multilingual Support</v>
      </c>
      <c r="L6791" s="1" t="str">
        <f>IFERROR(__xludf.DUMMYFUNCTION("""COMPUTED_VALUE"""),"ML Spanish Support")</f>
        <v>ML Spanish Support</v>
      </c>
    </row>
    <row r="6792">
      <c r="A6792" s="1" t="str">
        <f>IFERROR(__xludf.DUMMYFUNCTION("""COMPUTED_VALUE"""),"2025 Dec")</f>
        <v>2025 Dec</v>
      </c>
      <c r="B6792" s="2">
        <f>IFERROR(__xludf.DUMMYFUNCTION("""COMPUTED_VALUE"""),45992.0)</f>
        <v>45992</v>
      </c>
      <c r="C6792" s="1" t="str">
        <f>IFERROR(__xludf.DUMMYFUNCTION("""COMPUTED_VALUE"""),"Core Product Support")</f>
        <v>Core Product Support</v>
      </c>
      <c r="D6792" s="1" t="str">
        <f>IFERROR(__xludf.DUMMYFUNCTION("""COMPUTED_VALUE"""),"a3fade96-9131-4bb4-90c2-f54d385ec4bf")</f>
        <v>a3fade96-9131-4bb4-90c2-f54d385ec4bf</v>
      </c>
      <c r="E6792" s="1">
        <f>IFERROR(__xludf.DUMMYFUNCTION("""COMPUTED_VALUE"""),3.61724829156E11)</f>
        <v>361724829156</v>
      </c>
      <c r="F6792" s="1"/>
      <c r="G6792" s="1">
        <f>IFERROR(__xludf.DUMMYFUNCTION("""COMPUTED_VALUE"""),3.0)</f>
        <v>3</v>
      </c>
      <c r="H6792" s="3">
        <f>IFERROR(__xludf.DUMMYFUNCTION("""COMPUTED_VALUE"""),3.0)</f>
        <v>3</v>
      </c>
      <c r="I6792" s="4">
        <f>IFERROR(__xludf.DUMMYFUNCTION("""COMPUTED_VALUE"""),1.0)</f>
        <v>1</v>
      </c>
      <c r="J6792" s="1" t="str">
        <f>IFERROR(__xludf.DUMMYFUNCTION("""COMPUTED_VALUE"""),"Sieg Ballelos")</f>
        <v>Sieg Ballelos</v>
      </c>
      <c r="K6792" s="1" t="str">
        <f>IFERROR(__xludf.DUMMYFUNCTION("""COMPUTED_VALUE"""),"Core Product Support Escalation Team")</f>
        <v>Core Product Support Escalation Team</v>
      </c>
      <c r="L6792" s="1" t="str">
        <f>IFERROR(__xludf.DUMMYFUNCTION("""COMPUTED_VALUE"""),"CPS Core Product Support Escalations (CPSET)")</f>
        <v>CPS Core Product Support Escalations (CPSET)</v>
      </c>
    </row>
    <row r="6793">
      <c r="A6793" s="1" t="str">
        <f>IFERROR(__xludf.DUMMYFUNCTION("""COMPUTED_VALUE"""),"2025 Dec")</f>
        <v>2025 Dec</v>
      </c>
      <c r="B6793" s="2">
        <f>IFERROR(__xludf.DUMMYFUNCTION("""COMPUTED_VALUE"""),45992.0)</f>
        <v>45992</v>
      </c>
      <c r="C6793" s="1" t="str">
        <f>IFERROR(__xludf.DUMMYFUNCTION("""COMPUTED_VALUE"""),"Admin Support")</f>
        <v>Admin Support</v>
      </c>
      <c r="D6793" s="1" t="str">
        <f>IFERROR(__xludf.DUMMYFUNCTION("""COMPUTED_VALUE"""),"09d87fc9-bd97-4b66-b6e5-fc2d50b135a4")</f>
        <v>09d87fc9-bd97-4b66-b6e5-fc2d50b135a4</v>
      </c>
      <c r="E6793" s="1">
        <f>IFERROR(__xludf.DUMMYFUNCTION("""COMPUTED_VALUE"""),3.61725260596E11)</f>
        <v>361725260596</v>
      </c>
      <c r="F6793" s="1"/>
      <c r="G6793" s="1">
        <f>IFERROR(__xludf.DUMMYFUNCTION("""COMPUTED_VALUE"""),8.5)</f>
        <v>8.5</v>
      </c>
      <c r="H6793" s="3">
        <f>IFERROR(__xludf.DUMMYFUNCTION("""COMPUTED_VALUE"""),8.5)</f>
        <v>8.5</v>
      </c>
      <c r="I6793" s="4">
        <f>IFERROR(__xludf.DUMMYFUNCTION("""COMPUTED_VALUE"""),1.0)</f>
        <v>1</v>
      </c>
      <c r="J6793" s="1" t="str">
        <f>IFERROR(__xludf.DUMMYFUNCTION("""COMPUTED_VALUE"""),"AL Suarez")</f>
        <v>AL Suarez</v>
      </c>
      <c r="K6793" s="1" t="str">
        <f>IFERROR(__xludf.DUMMYFUNCTION("""COMPUTED_VALUE"""),"Admin Support PH")</f>
        <v>Admin Support PH</v>
      </c>
      <c r="L6793" s="1" t="str">
        <f>IFERROR(__xludf.DUMMYFUNCTION("""COMPUTED_VALUE"""),"Admin PH")</f>
        <v>Admin PH</v>
      </c>
    </row>
    <row r="6794">
      <c r="A6794" s="1" t="str">
        <f>IFERROR(__xludf.DUMMYFUNCTION("""COMPUTED_VALUE"""),"2025 Dec")</f>
        <v>2025 Dec</v>
      </c>
      <c r="B6794" s="2">
        <f>IFERROR(__xludf.DUMMYFUNCTION("""COMPUTED_VALUE"""),45992.0)</f>
        <v>45992</v>
      </c>
      <c r="C6794" s="1" t="str">
        <f>IFERROR(__xludf.DUMMYFUNCTION("""COMPUTED_VALUE"""),"Core Product Support")</f>
        <v>Core Product Support</v>
      </c>
      <c r="D6794" s="1" t="str">
        <f>IFERROR(__xludf.DUMMYFUNCTION("""COMPUTED_VALUE"""),"f955e205-68df-47fa-8f47-3ee8758dc76e")</f>
        <v>f955e205-68df-47fa-8f47-3ee8758dc76e</v>
      </c>
      <c r="E6794" s="1">
        <f>IFERROR(__xludf.DUMMYFUNCTION("""COMPUTED_VALUE"""),6.839679630095E12)</f>
        <v>6839679630095</v>
      </c>
      <c r="F6794" s="1">
        <f>IFERROR(__xludf.DUMMYFUNCTION("""COMPUTED_VALUE"""),0.5)</f>
        <v>0.5</v>
      </c>
      <c r="G6794" s="1"/>
      <c r="H6794" s="3">
        <f>IFERROR(__xludf.DUMMYFUNCTION("""COMPUTED_VALUE"""),0.5)</f>
        <v>0.5</v>
      </c>
      <c r="I6794" s="4">
        <f>IFERROR(__xludf.DUMMYFUNCTION("""COMPUTED_VALUE"""),0.0)</f>
        <v>0</v>
      </c>
      <c r="J6794" s="1" t="str">
        <f>IFERROR(__xludf.DUMMYFUNCTION("""COMPUTED_VALUE"""),"Ayza Marie Pascual")</f>
        <v>Ayza Marie Pascual</v>
      </c>
      <c r="K6794" s="1" t="str">
        <f>IFERROR(__xludf.DUMMYFUNCTION("""COMPUTED_VALUE"""),"Advanced Billing &amp; Subscriptions")</f>
        <v>Advanced Billing &amp; Subscriptions</v>
      </c>
      <c r="L6794" s="1" t="str">
        <f>IFERROR(__xludf.DUMMYFUNCTION("""COMPUTED_VALUE"""),"CPS Advanced Billing and Subscriptions (ABS)")</f>
        <v>CPS Advanced Billing and Subscriptions (ABS)</v>
      </c>
    </row>
    <row r="6795">
      <c r="A6795" s="1" t="str">
        <f>IFERROR(__xludf.DUMMYFUNCTION("""COMPUTED_VALUE"""),"2025 Dec")</f>
        <v>2025 Dec</v>
      </c>
      <c r="B6795" s="2">
        <f>IFERROR(__xludf.DUMMYFUNCTION("""COMPUTED_VALUE"""),45992.0)</f>
        <v>45992</v>
      </c>
      <c r="C6795" s="1" t="str">
        <f>IFERROR(__xludf.DUMMYFUNCTION("""COMPUTED_VALUE"""),"Core Product Support")</f>
        <v>Core Product Support</v>
      </c>
      <c r="D6795" s="1" t="str">
        <f>IFERROR(__xludf.DUMMYFUNCTION("""COMPUTED_VALUE"""),"00be8036-de23-4dcc-a683-b039df965fa3")</f>
        <v>00be8036-de23-4dcc-a683-b039df965fa3</v>
      </c>
      <c r="E6795" s="1">
        <f>IFERROR(__xludf.DUMMYFUNCTION("""COMPUTED_VALUE"""),3.61861298295E11)</f>
        <v>361861298295</v>
      </c>
      <c r="F6795" s="1"/>
      <c r="G6795" s="1">
        <f>IFERROR(__xludf.DUMMYFUNCTION("""COMPUTED_VALUE"""),3.5)</f>
        <v>3.5</v>
      </c>
      <c r="H6795" s="3">
        <f>IFERROR(__xludf.DUMMYFUNCTION("""COMPUTED_VALUE"""),3.5)</f>
        <v>3.5</v>
      </c>
      <c r="I6795" s="4">
        <f>IFERROR(__xludf.DUMMYFUNCTION("""COMPUTED_VALUE"""),1.0)</f>
        <v>1</v>
      </c>
      <c r="J6795" s="1" t="str">
        <f>IFERROR(__xludf.DUMMYFUNCTION("""COMPUTED_VALUE"""),"Ellaine Estayo")</f>
        <v>Ellaine Estayo</v>
      </c>
      <c r="K6795" s="1" t="str">
        <f>IFERROR(__xludf.DUMMYFUNCTION("""COMPUTED_VALUE"""),"Core Product Support Escalation Team")</f>
        <v>Core Product Support Escalation Team</v>
      </c>
      <c r="L6795" s="1" t="str">
        <f>IFERROR(__xludf.DUMMYFUNCTION("""COMPUTED_VALUE"""),"CPS Core Product Support Escalations (CPSET)")</f>
        <v>CPS Core Product Support Escalations (CPSET)</v>
      </c>
    </row>
    <row r="6796">
      <c r="A6796" s="1" t="str">
        <f>IFERROR(__xludf.DUMMYFUNCTION("""COMPUTED_VALUE"""),"2025 Dec")</f>
        <v>2025 Dec</v>
      </c>
      <c r="B6796" s="2">
        <f>IFERROR(__xludf.DUMMYFUNCTION("""COMPUTED_VALUE"""),45992.0)</f>
        <v>45992</v>
      </c>
      <c r="C6796" s="1" t="str">
        <f>IFERROR(__xludf.DUMMYFUNCTION("""COMPUTED_VALUE"""),"Core Product Support")</f>
        <v>Core Product Support</v>
      </c>
      <c r="D6796" s="1" t="str">
        <f>IFERROR(__xludf.DUMMYFUNCTION("""COMPUTED_VALUE"""),"5f0096f6-f7a7-4fe8-ac45-0435aaacdfb4")</f>
        <v>5f0096f6-f7a7-4fe8-ac45-0435aaacdfb4</v>
      </c>
      <c r="E6796" s="1">
        <f>IFERROR(__xludf.DUMMYFUNCTION("""COMPUTED_VALUE"""),1.1035371839887E13)</f>
        <v>11035371839887</v>
      </c>
      <c r="F6796" s="1">
        <f>IFERROR(__xludf.DUMMYFUNCTION("""COMPUTED_VALUE"""),0.5)</f>
        <v>0.5</v>
      </c>
      <c r="G6796" s="1"/>
      <c r="H6796" s="3">
        <f>IFERROR(__xludf.DUMMYFUNCTION("""COMPUTED_VALUE"""),0.5)</f>
        <v>0.5</v>
      </c>
      <c r="I6796" s="4">
        <f>IFERROR(__xludf.DUMMYFUNCTION("""COMPUTED_VALUE"""),0.0)</f>
        <v>0</v>
      </c>
      <c r="J6796" s="1" t="str">
        <f>IFERROR(__xludf.DUMMYFUNCTION("""COMPUTED_VALUE"""),"Ayza Marie Pascual")</f>
        <v>Ayza Marie Pascual</v>
      </c>
      <c r="K6796" s="1" t="str">
        <f>IFERROR(__xludf.DUMMYFUNCTION("""COMPUTED_VALUE"""),"Advanced Billing &amp; Subscriptions")</f>
        <v>Advanced Billing &amp; Subscriptions</v>
      </c>
      <c r="L6796" s="1" t="str">
        <f>IFERROR(__xludf.DUMMYFUNCTION("""COMPUTED_VALUE"""),"CPS Advanced Billing and Subscriptions (ABS)")</f>
        <v>CPS Advanced Billing and Subscriptions (ABS)</v>
      </c>
    </row>
    <row r="6797">
      <c r="A6797" s="1" t="str">
        <f>IFERROR(__xludf.DUMMYFUNCTION("""COMPUTED_VALUE"""),"2025 Dec")</f>
        <v>2025 Dec</v>
      </c>
      <c r="B6797" s="2">
        <f>IFERROR(__xludf.DUMMYFUNCTION("""COMPUTED_VALUE"""),45992.0)</f>
        <v>45992</v>
      </c>
      <c r="C6797" s="1" t="str">
        <f>IFERROR(__xludf.DUMMYFUNCTION("""COMPUTED_VALUE"""),"Print Support")</f>
        <v>Print Support</v>
      </c>
      <c r="D6797" s="1" t="str">
        <f>IFERROR(__xludf.DUMMYFUNCTION("""COMPUTED_VALUE"""),"a5b6f808-7e87-4668-a7a6-2faa138923c8")</f>
        <v>a5b6f808-7e87-4668-a7a6-2faa138923c8</v>
      </c>
      <c r="E6797" s="1">
        <f>IFERROR(__xludf.DUMMYFUNCTION("""COMPUTED_VALUE"""),1.1279766049295E13)</f>
        <v>11279766049295</v>
      </c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IFERROR(__xludf.DUMMYFUNCTION("""COMPUTED_VALUE"""),"Jen Momo")</f>
        <v>Jen Momo</v>
      </c>
      <c r="K6797" s="1" t="str">
        <f>IFERROR(__xludf.DUMMYFUNCTION("""COMPUTED_VALUE"""),"Print Support PH")</f>
        <v>Print Support PH</v>
      </c>
      <c r="L6797" s="1" t="str">
        <f>IFERROR(__xludf.DUMMYFUNCTION("""COMPUTED_VALUE"""),"Print Print - CHT")</f>
        <v>Print Print - CHT</v>
      </c>
    </row>
    <row r="6798">
      <c r="A6798" s="1" t="str">
        <f>IFERROR(__xludf.DUMMYFUNCTION("""COMPUTED_VALUE"""),"2025 Dec")</f>
        <v>2025 Dec</v>
      </c>
      <c r="B6798" s="2">
        <f>IFERROR(__xludf.DUMMYFUNCTION("""COMPUTED_VALUE"""),45992.0)</f>
        <v>45992</v>
      </c>
      <c r="C6798" s="1" t="str">
        <f>IFERROR(__xludf.DUMMYFUNCTION("""COMPUTED_VALUE"""),"Core Product Support")</f>
        <v>Core Product Support</v>
      </c>
      <c r="D6798" s="1" t="str">
        <f>IFERROR(__xludf.DUMMYFUNCTION("""COMPUTED_VALUE"""),"e930b948-a2f3-4c3f-8b54-7ddcb5c13c7b")</f>
        <v>e930b948-a2f3-4c3f-8b54-7ddcb5c13c7b</v>
      </c>
      <c r="E6798" s="1">
        <f>IFERROR(__xludf.DUMMYFUNCTION("""COMPUTED_VALUE"""),3.61725113576E11)</f>
        <v>361725113576</v>
      </c>
      <c r="F6798" s="1"/>
      <c r="G6798" s="1">
        <f>IFERROR(__xludf.DUMMYFUNCTION("""COMPUTED_VALUE"""),3.5)</f>
        <v>3.5</v>
      </c>
      <c r="H6798" s="3">
        <f>IFERROR(__xludf.DUMMYFUNCTION("""COMPUTED_VALUE"""),3.5)</f>
        <v>3.5</v>
      </c>
      <c r="I6798" s="4">
        <f>IFERROR(__xludf.DUMMYFUNCTION("""COMPUTED_VALUE"""),1.0)</f>
        <v>1</v>
      </c>
      <c r="J6798" s="1" t="str">
        <f>IFERROR(__xludf.DUMMYFUNCTION("""COMPUTED_VALUE"""),"Ellaine Estayo")</f>
        <v>Ellaine Estayo</v>
      </c>
      <c r="K6798" s="1" t="str">
        <f>IFERROR(__xludf.DUMMYFUNCTION("""COMPUTED_VALUE"""),"Core Product Support Escalation Team")</f>
        <v>Core Product Support Escalation Team</v>
      </c>
      <c r="L6798" s="1" t="str">
        <f>IFERROR(__xludf.DUMMYFUNCTION("""COMPUTED_VALUE"""),"CPS Core Product Support Escalations (CPSET)")</f>
        <v>CPS Core Product Support Escalations (CPSET)</v>
      </c>
    </row>
    <row r="6799">
      <c r="A6799" s="1" t="str">
        <f>IFERROR(__xludf.DUMMYFUNCTION("""COMPUTED_VALUE"""),"2025 Dec")</f>
        <v>2025 Dec</v>
      </c>
      <c r="B6799" s="2">
        <f>IFERROR(__xludf.DUMMYFUNCTION("""COMPUTED_VALUE"""),45992.0)</f>
        <v>45992</v>
      </c>
      <c r="C6799" s="1" t="str">
        <f>IFERROR(__xludf.DUMMYFUNCTION("""COMPUTED_VALUE"""),"Print Support")</f>
        <v>Print Support</v>
      </c>
      <c r="D6799" s="1" t="str">
        <f>IFERROR(__xludf.DUMMYFUNCTION("""COMPUTED_VALUE"""),"b5bf3764-4c76-47b7-b10d-b1f8e9a0087e")</f>
        <v>b5bf3764-4c76-47b7-b10d-b1f8e9a0087e</v>
      </c>
      <c r="E6799" s="1">
        <f>IFERROR(__xludf.DUMMYFUNCTION("""COMPUTED_VALUE"""),6.839674714895E12)</f>
        <v>6839674714895</v>
      </c>
      <c r="F6799" s="1"/>
      <c r="G6799" s="1"/>
      <c r="H6799" s="3">
        <f>IFERROR(__xludf.DUMMYFUNCTION("""COMPUTED_VALUE"""),0.0)</f>
        <v>0</v>
      </c>
      <c r="I6799" s="4"/>
      <c r="J6799" s="1" t="str">
        <f>IFERROR(__xludf.DUMMYFUNCTION("""COMPUTED_VALUE"""),"Aliza Dote")</f>
        <v>Aliza Dote</v>
      </c>
      <c r="K6799" s="1" t="str">
        <f>IFERROR(__xludf.DUMMYFUNCTION("""COMPUTED_VALUE"""),"Print Design Support")</f>
        <v>Print Design Support</v>
      </c>
      <c r="L6799" s="1" t="str">
        <f>IFERROR(__xludf.DUMMYFUNCTION("""COMPUTED_VALUE"""),"Print Print Design")</f>
        <v>Print Print Design</v>
      </c>
    </row>
    <row r="6800">
      <c r="A6800" s="1" t="str">
        <f>IFERROR(__xludf.DUMMYFUNCTION("""COMPUTED_VALUE"""),"2025 Dec")</f>
        <v>2025 Dec</v>
      </c>
      <c r="B6800" s="2">
        <f>IFERROR(__xludf.DUMMYFUNCTION("""COMPUTED_VALUE"""),45992.0)</f>
        <v>45992</v>
      </c>
      <c r="C6800" s="1" t="str">
        <f>IFERROR(__xludf.DUMMYFUNCTION("""COMPUTED_VALUE"""),"Admin Support")</f>
        <v>Admin Support</v>
      </c>
      <c r="D6800" s="1" t="str">
        <f>IFERROR(__xludf.DUMMYFUNCTION("""COMPUTED_VALUE"""),"d50b210b-01b8-4681-be11-0604b6046af3")</f>
        <v>d50b210b-01b8-4681-be11-0604b6046af3</v>
      </c>
      <c r="E6800" s="1">
        <f>IFERROR(__xludf.DUMMYFUNCTION("""COMPUTED_VALUE"""),1.0333049788943E13)</f>
        <v>10333049788943</v>
      </c>
      <c r="F6800" s="1"/>
      <c r="G6800" s="1">
        <f>IFERROR(__xludf.DUMMYFUNCTION("""COMPUTED_VALUE"""),4.0)</f>
        <v>4</v>
      </c>
      <c r="H6800" s="3">
        <f>IFERROR(__xludf.DUMMYFUNCTION("""COMPUTED_VALUE"""),4.0)</f>
        <v>4</v>
      </c>
      <c r="I6800" s="4">
        <f>IFERROR(__xludf.DUMMYFUNCTION("""COMPUTED_VALUE"""),1.0)</f>
        <v>1</v>
      </c>
      <c r="J6800" s="1" t="str">
        <f>IFERROR(__xludf.DUMMYFUNCTION("""COMPUTED_VALUE"""),"AL Suarez")</f>
        <v>AL Suarez</v>
      </c>
      <c r="K6800" s="1" t="str">
        <f>IFERROR(__xludf.DUMMYFUNCTION("""COMPUTED_VALUE"""),"Advanced Product Support")</f>
        <v>Advanced Product Support</v>
      </c>
      <c r="L6800" s="1" t="str">
        <f>IFERROR(__xludf.DUMMYFUNCTION("""COMPUTED_VALUE"""),"CPS Advanced Product Support (APS)")</f>
        <v>CPS Advanced Product Support (APS)</v>
      </c>
    </row>
    <row r="6801">
      <c r="A6801" s="1" t="str">
        <f>IFERROR(__xludf.DUMMYFUNCTION("""COMPUTED_VALUE"""),"2025 Dec")</f>
        <v>2025 Dec</v>
      </c>
      <c r="B6801" s="2">
        <f>IFERROR(__xludf.DUMMYFUNCTION("""COMPUTED_VALUE"""),45992.0)</f>
        <v>45992</v>
      </c>
      <c r="C6801" s="1" t="str">
        <f>IFERROR(__xludf.DUMMYFUNCTION("""COMPUTED_VALUE"""),"High Sensitivity Support")</f>
        <v>High Sensitivity Support</v>
      </c>
      <c r="D6801" s="1" t="str">
        <f>IFERROR(__xludf.DUMMYFUNCTION("""COMPUTED_VALUE"""),"bdf574f0-069d-4493-a93e-73eb74edd906")</f>
        <v>bdf574f0-069d-4493-a93e-73eb74edd906</v>
      </c>
      <c r="E6801" s="1">
        <f>IFERROR(__xludf.DUMMYFUNCTION("""COMPUTED_VALUE"""),3.61725261136E11)</f>
        <v>361725261136</v>
      </c>
      <c r="F6801" s="1">
        <f>IFERROR(__xludf.DUMMYFUNCTION("""COMPUTED_VALUE"""),4.0)</f>
        <v>4</v>
      </c>
      <c r="G6801" s="1"/>
      <c r="H6801" s="3">
        <f>IFERROR(__xludf.DUMMYFUNCTION("""COMPUTED_VALUE"""),4.0)</f>
        <v>4</v>
      </c>
      <c r="I6801" s="4">
        <f>IFERROR(__xludf.DUMMYFUNCTION("""COMPUTED_VALUE"""),0.0)</f>
        <v>0</v>
      </c>
      <c r="J6801" s="1" t="str">
        <f>IFERROR(__xludf.DUMMYFUNCTION("""COMPUTED_VALUE"""),"Rex Villamor")</f>
        <v>Rex Villamor</v>
      </c>
      <c r="K6801" s="1" t="str">
        <f>IFERROR(__xludf.DUMMYFUNCTION("""COMPUTED_VALUE"""),"High Sensitivity Support PH")</f>
        <v>High Sensitivity Support PH</v>
      </c>
      <c r="L6801" s="1" t="str">
        <f>IFERROR(__xludf.DUMMYFUNCTION("""COMPUTED_VALUE"""),"HSS High Sensitivity Support PH - CHT")</f>
        <v>HSS High Sensitivity Support PH - CHT</v>
      </c>
    </row>
    <row r="6802">
      <c r="A6802" s="1" t="str">
        <f>IFERROR(__xludf.DUMMYFUNCTION("""COMPUTED_VALUE"""),"2025 Dec")</f>
        <v>2025 Dec</v>
      </c>
      <c r="B6802" s="2">
        <f>IFERROR(__xludf.DUMMYFUNCTION("""COMPUTED_VALUE"""),45992.0)</f>
        <v>45992</v>
      </c>
      <c r="C6802" s="1" t="str">
        <f>IFERROR(__xludf.DUMMYFUNCTION("""COMPUTED_VALUE"""),"Core Product Support")</f>
        <v>Core Product Support</v>
      </c>
      <c r="D6802" s="1" t="str">
        <f>IFERROR(__xludf.DUMMYFUNCTION("""COMPUTED_VALUE"""),"1f5a4168-ecb9-42df-a403-8c86095beba7")</f>
        <v>1f5a4168-ecb9-42df-a403-8c86095beba7</v>
      </c>
      <c r="E6802" s="1"/>
      <c r="F6802" s="1">
        <f>IFERROR(__xludf.DUMMYFUNCTION("""COMPUTED_VALUE"""),0.5)</f>
        <v>0.5</v>
      </c>
      <c r="G6802" s="1"/>
      <c r="H6802" s="3">
        <f>IFERROR(__xludf.DUMMYFUNCTION("""COMPUTED_VALUE"""),0.5)</f>
        <v>0.5</v>
      </c>
      <c r="I6802" s="4">
        <f>IFERROR(__xludf.DUMMYFUNCTION("""COMPUTED_VALUE"""),0.0)</f>
        <v>0</v>
      </c>
      <c r="J6802" s="1" t="str">
        <f>IFERROR(__xludf.DUMMYFUNCTION("""COMPUTED_VALUE"""),"Mikhaela Decangchon")</f>
        <v>Mikhaela Decangchon</v>
      </c>
      <c r="K6802" s="1" t="str">
        <f>IFERROR(__xludf.DUMMYFUNCTION("""COMPUTED_VALUE"""),"Advanced Product Support")</f>
        <v>Advanced Product Support</v>
      </c>
      <c r="L6802" s="1" t="str">
        <f>IFERROR(__xludf.DUMMYFUNCTION("""COMPUTED_VALUE"""),"CPS Advanced Product Support (APS)")</f>
        <v>CPS Advanced Product Support (APS)</v>
      </c>
    </row>
    <row r="6803">
      <c r="A6803" s="1" t="str">
        <f>IFERROR(__xludf.DUMMYFUNCTION("""COMPUTED_VALUE"""),"2025 Dec")</f>
        <v>2025 Dec</v>
      </c>
      <c r="B6803" s="2">
        <f>IFERROR(__xludf.DUMMYFUNCTION("""COMPUTED_VALUE"""),45992.0)</f>
        <v>45992</v>
      </c>
      <c r="C6803" s="1" t="str">
        <f>IFERROR(__xludf.DUMMYFUNCTION("""COMPUTED_VALUE"""),"Admin Support")</f>
        <v>Admin Support</v>
      </c>
      <c r="D6803" s="1" t="str">
        <f>IFERROR(__xludf.DUMMYFUNCTION("""COMPUTED_VALUE"""),"a404c935-ed2c-453c-a3d5-0af18b23cb55")</f>
        <v>a404c935-ed2c-453c-a3d5-0af18b23cb55</v>
      </c>
      <c r="E6803" s="1">
        <f>IFERROR(__xludf.DUMMYFUNCTION("""COMPUTED_VALUE"""),3.61731792475E11)</f>
        <v>361731792475</v>
      </c>
      <c r="F6803" s="1"/>
      <c r="G6803" s="1">
        <f>IFERROR(__xludf.DUMMYFUNCTION("""COMPUTED_VALUE"""),8.5)</f>
        <v>8.5</v>
      </c>
      <c r="H6803" s="3">
        <f>IFERROR(__xludf.DUMMYFUNCTION("""COMPUTED_VALUE"""),8.5)</f>
        <v>8.5</v>
      </c>
      <c r="I6803" s="4">
        <f>IFERROR(__xludf.DUMMYFUNCTION("""COMPUTED_VALUE"""),1.0)</f>
        <v>1</v>
      </c>
      <c r="J6803" s="1" t="str">
        <f>IFERROR(__xludf.DUMMYFUNCTION("""COMPUTED_VALUE"""),"Karla Mananghaya")</f>
        <v>Karla Mananghaya</v>
      </c>
      <c r="K6803" s="1" t="str">
        <f>IFERROR(__xludf.DUMMYFUNCTION("""COMPUTED_VALUE"""),"Back of House Operations PH")</f>
        <v>Back of House Operations PH</v>
      </c>
      <c r="L6803" s="1" t="str">
        <f>IFERROR(__xludf.DUMMYFUNCTION("""COMPUTED_VALUE"""),"BoHO SEE")</f>
        <v>BoHO SEE</v>
      </c>
    </row>
    <row r="6804">
      <c r="A6804" s="1" t="str">
        <f>IFERROR(__xludf.DUMMYFUNCTION("""COMPUTED_VALUE"""),"2025 Dec")</f>
        <v>2025 Dec</v>
      </c>
      <c r="B6804" s="2">
        <f>IFERROR(__xludf.DUMMYFUNCTION("""COMPUTED_VALUE"""),45992.0)</f>
        <v>45992</v>
      </c>
      <c r="C6804" s="1" t="str">
        <f>IFERROR(__xludf.DUMMYFUNCTION("""COMPUTED_VALUE"""),"Print Support")</f>
        <v>Print Support</v>
      </c>
      <c r="D6804" s="1" t="str">
        <f>IFERROR(__xludf.DUMMYFUNCTION("""COMPUTED_VALUE"""),"d34aba25-1e55-4f8e-b85b-ef3d3928a2d3")</f>
        <v>d34aba25-1e55-4f8e-b85b-ef3d3928a2d3</v>
      </c>
      <c r="E6804" s="1">
        <f>IFERROR(__xludf.DUMMYFUNCTION("""COMPUTED_VALUE"""),5.566810533775E12)</f>
        <v>5566810533775</v>
      </c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IFERROR(__xludf.DUMMYFUNCTION("""COMPUTED_VALUE"""),"Althea Mercado")</f>
        <v>Althea Mercado</v>
      </c>
      <c r="K6804" s="1" t="str">
        <f>IFERROR(__xludf.DUMMYFUNCTION("""COMPUTED_VALUE"""),"Print Support PH")</f>
        <v>Print Support PH</v>
      </c>
      <c r="L6804" s="1" t="str">
        <f>IFERROR(__xludf.DUMMYFUNCTION("""COMPUTED_VALUE"""),"Print Print - CHT")</f>
        <v>Print Print - CHT</v>
      </c>
    </row>
    <row r="6805">
      <c r="A6805" s="1" t="str">
        <f>IFERROR(__xludf.DUMMYFUNCTION("""COMPUTED_VALUE"""),"2025 Dec")</f>
        <v>2025 Dec</v>
      </c>
      <c r="B6805" s="2">
        <f>IFERROR(__xludf.DUMMYFUNCTION("""COMPUTED_VALUE"""),45992.0)</f>
        <v>45992</v>
      </c>
      <c r="C6805" s="1" t="str">
        <f>IFERROR(__xludf.DUMMYFUNCTION("""COMPUTED_VALUE"""),"Core Product Support")</f>
        <v>Core Product Support</v>
      </c>
      <c r="D6805" s="1" t="str">
        <f>IFERROR(__xludf.DUMMYFUNCTION("""COMPUTED_VALUE"""),"c5ba42b5-b56e-4880-adbe-57292f722509")</f>
        <v>c5ba42b5-b56e-4880-adbe-57292f722509</v>
      </c>
      <c r="E6805" s="1">
        <f>IFERROR(__xludf.DUMMYFUNCTION("""COMPUTED_VALUE"""),1.1401945362575E13)</f>
        <v>11401945362575</v>
      </c>
      <c r="F6805" s="1">
        <f>IFERROR(__xludf.DUMMYFUNCTION("""COMPUTED_VALUE"""),0.5)</f>
        <v>0.5</v>
      </c>
      <c r="G6805" s="1">
        <f>IFERROR(__xludf.DUMMYFUNCTION("""COMPUTED_VALUE"""),0.48)</f>
        <v>0.48</v>
      </c>
      <c r="H6805" s="3">
        <f>IFERROR(__xludf.DUMMYFUNCTION("""COMPUTED_VALUE"""),0.98)</f>
        <v>0.98</v>
      </c>
      <c r="I6805" s="4">
        <f>IFERROR(__xludf.DUMMYFUNCTION("""COMPUTED_VALUE"""),0.4897959183673469)</f>
        <v>0.4897959184</v>
      </c>
      <c r="J6805" s="1" t="str">
        <f>IFERROR(__xludf.DUMMYFUNCTION("""COMPUTED_VALUE"""),"Ayza Marie Pascual")</f>
        <v>Ayza Marie Pascual</v>
      </c>
      <c r="K6805" s="1" t="str">
        <f>IFERROR(__xludf.DUMMYFUNCTION("""COMPUTED_VALUE"""),"Advanced Billing &amp; Subscriptions")</f>
        <v>Advanced Billing &amp; Subscriptions</v>
      </c>
      <c r="L6805" s="1" t="str">
        <f>IFERROR(__xludf.DUMMYFUNCTION("""COMPUTED_VALUE"""),"CPS Advanced Billing and Subscriptions (ABS)")</f>
        <v>CPS Advanced Billing and Subscriptions (ABS)</v>
      </c>
    </row>
    <row r="6806">
      <c r="A6806" s="1" t="str">
        <f>IFERROR(__xludf.DUMMYFUNCTION("""COMPUTED_VALUE"""),"2025 Dec")</f>
        <v>2025 Dec</v>
      </c>
      <c r="B6806" s="2">
        <f>IFERROR(__xludf.DUMMYFUNCTION("""COMPUTED_VALUE"""),45992.0)</f>
        <v>45992</v>
      </c>
      <c r="C6806" s="1" t="str">
        <f>IFERROR(__xludf.DUMMYFUNCTION("""COMPUTED_VALUE"""),"Print Support")</f>
        <v>Print Support</v>
      </c>
      <c r="D6806" s="1" t="str">
        <f>IFERROR(__xludf.DUMMYFUNCTION("""COMPUTED_VALUE"""),"f154e992-ffb0-484a-b731-9da1092e886a")</f>
        <v>f154e992-ffb0-484a-b731-9da1092e886a</v>
      </c>
      <c r="E6806" s="1"/>
      <c r="F6806" s="1"/>
      <c r="G6806" s="1"/>
      <c r="H6806" s="3">
        <f>IFERROR(__xludf.DUMMYFUNCTION("""COMPUTED_VALUE"""),0.0)</f>
        <v>0</v>
      </c>
      <c r="I6806" s="4"/>
      <c r="J6806" s="1" t="str">
        <f>IFERROR(__xludf.DUMMYFUNCTION("""COMPUTED_VALUE"""),"Gem Agoncillo")</f>
        <v>Gem Agoncillo</v>
      </c>
      <c r="K6806" s="1" t="str">
        <f>IFERROR(__xludf.DUMMYFUNCTION("""COMPUTED_VALUE"""),"Print Design Support")</f>
        <v>Print Design Support</v>
      </c>
      <c r="L6806" s="1" t="str">
        <f>IFERROR(__xludf.DUMMYFUNCTION("""COMPUTED_VALUE"""),"Print Print Design")</f>
        <v>Print Print Design</v>
      </c>
    </row>
    <row r="6807">
      <c r="A6807" s="1" t="str">
        <f>IFERROR(__xludf.DUMMYFUNCTION("""COMPUTED_VALUE"""),"2025 Dec")</f>
        <v>2025 Dec</v>
      </c>
      <c r="B6807" s="2">
        <f>IFERROR(__xludf.DUMMYFUNCTION("""COMPUTED_VALUE"""),45992.0)</f>
        <v>45992</v>
      </c>
      <c r="C6807" s="1" t="str">
        <f>IFERROR(__xludf.DUMMYFUNCTION("""COMPUTED_VALUE"""),"Core Product Support")</f>
        <v>Core Product Support</v>
      </c>
      <c r="D6807" s="1" t="str">
        <f>IFERROR(__xludf.DUMMYFUNCTION("""COMPUTED_VALUE"""),"123e8c80-f84d-46ba-8ddf-e514a808d270")</f>
        <v>123e8c80-f84d-46ba-8ddf-e514a808d270</v>
      </c>
      <c r="E6807" s="1">
        <f>IFERROR(__xludf.DUMMYFUNCTION("""COMPUTED_VALUE"""),7.235815845903E12)</f>
        <v>7235815845903</v>
      </c>
      <c r="F6807" s="1">
        <f>IFERROR(__xludf.DUMMYFUNCTION("""COMPUTED_VALUE"""),0.5)</f>
        <v>0.5</v>
      </c>
      <c r="G6807" s="1"/>
      <c r="H6807" s="3">
        <f>IFERROR(__xludf.DUMMYFUNCTION("""COMPUTED_VALUE"""),0.5)</f>
        <v>0.5</v>
      </c>
      <c r="I6807" s="4">
        <f>IFERROR(__xludf.DUMMYFUNCTION("""COMPUTED_VALUE"""),0.0)</f>
        <v>0</v>
      </c>
      <c r="J6807" s="1" t="str">
        <f>IFERROR(__xludf.DUMMYFUNCTION("""COMPUTED_VALUE"""),"Marie Mordeno")</f>
        <v>Marie Mordeno</v>
      </c>
      <c r="K6807" s="1" t="str">
        <f>IFERROR(__xludf.DUMMYFUNCTION("""COMPUTED_VALUE"""),"Advanced Billing &amp; Subscriptions")</f>
        <v>Advanced Billing &amp; Subscriptions</v>
      </c>
      <c r="L6807" s="1" t="str">
        <f>IFERROR(__xludf.DUMMYFUNCTION("""COMPUTED_VALUE"""),"CPS Advanced Billing and Subscriptions (ABS)")</f>
        <v>CPS Advanced Billing and Subscriptions (ABS)</v>
      </c>
    </row>
    <row r="6808">
      <c r="A6808" s="1" t="str">
        <f>IFERROR(__xludf.DUMMYFUNCTION("""COMPUTED_VALUE"""),"2025 Dec")</f>
        <v>2025 Dec</v>
      </c>
      <c r="B6808" s="2">
        <f>IFERROR(__xludf.DUMMYFUNCTION("""COMPUTED_VALUE"""),45992.0)</f>
        <v>45992</v>
      </c>
      <c r="C6808" s="1" t="str">
        <f>IFERROR(__xludf.DUMMYFUNCTION("""COMPUTED_VALUE"""),"High Sensitivity Support")</f>
        <v>High Sensitivity Support</v>
      </c>
      <c r="D6808" s="1" t="str">
        <f>IFERROR(__xludf.DUMMYFUNCTION("""COMPUTED_VALUE"""),"12813a5b-5274-49dd-9f6b-59da40c97ee7")</f>
        <v>12813a5b-5274-49dd-9f6b-59da40c97ee7</v>
      </c>
      <c r="E6808" s="1">
        <f>IFERROR(__xludf.DUMMYFUNCTION("""COMPUTED_VALUE"""),9.795905227023E12)</f>
        <v>9795905227023</v>
      </c>
      <c r="F6808" s="1">
        <f>IFERROR(__xludf.DUMMYFUNCTION("""COMPUTED_VALUE"""),4.0)</f>
        <v>4</v>
      </c>
      <c r="G6808" s="1"/>
      <c r="H6808" s="3">
        <f>IFERROR(__xludf.DUMMYFUNCTION("""COMPUTED_VALUE"""),4.0)</f>
        <v>4</v>
      </c>
      <c r="I6808" s="4">
        <f>IFERROR(__xludf.DUMMYFUNCTION("""COMPUTED_VALUE"""),0.0)</f>
        <v>0</v>
      </c>
      <c r="J6808" s="1" t="str">
        <f>IFERROR(__xludf.DUMMYFUNCTION("""COMPUTED_VALUE"""),"Xandy Azarcon")</f>
        <v>Xandy Azarcon</v>
      </c>
      <c r="K6808" s="1" t="str">
        <f>IFERROR(__xludf.DUMMYFUNCTION("""COMPUTED_VALUE"""),"High Sensitivity Support PH")</f>
        <v>High Sensitivity Support PH</v>
      </c>
      <c r="L6808" s="1" t="str">
        <f>IFERROR(__xludf.DUMMYFUNCTION("""COMPUTED_VALUE"""),"HSS High Sensitivity Support PH - CHT")</f>
        <v>HSS High Sensitivity Support PH - CHT</v>
      </c>
    </row>
    <row r="6809">
      <c r="A6809" s="1" t="str">
        <f>IFERROR(__xludf.DUMMYFUNCTION("""COMPUTED_VALUE"""),"2025 Dec")</f>
        <v>2025 Dec</v>
      </c>
      <c r="B6809" s="2">
        <f>IFERROR(__xludf.DUMMYFUNCTION("""COMPUTED_VALUE"""),45992.0)</f>
        <v>45992</v>
      </c>
      <c r="C6809" s="1" t="str">
        <f>IFERROR(__xludf.DUMMYFUNCTION("""COMPUTED_VALUE"""),"Admin Support")</f>
        <v>Admin Support</v>
      </c>
      <c r="D6809" s="1" t="str">
        <f>IFERROR(__xludf.DUMMYFUNCTION("""COMPUTED_VALUE"""),"3a47626d-5d83-4eb3-99f0-da594375a7a4")</f>
        <v>3a47626d-5d83-4eb3-99f0-da594375a7a4</v>
      </c>
      <c r="E6809" s="1">
        <f>IFERROR(__xludf.DUMMYFUNCTION("""COMPUTED_VALUE"""),3.61731944855E11)</f>
        <v>361731944855</v>
      </c>
      <c r="F6809" s="1"/>
      <c r="G6809" s="1">
        <f>IFERROR(__xludf.DUMMYFUNCTION("""COMPUTED_VALUE"""),4.25)</f>
        <v>4.25</v>
      </c>
      <c r="H6809" s="3">
        <f>IFERROR(__xludf.DUMMYFUNCTION("""COMPUTED_VALUE"""),4.25)</f>
        <v>4.25</v>
      </c>
      <c r="I6809" s="4">
        <f>IFERROR(__xludf.DUMMYFUNCTION("""COMPUTED_VALUE"""),1.0)</f>
        <v>1</v>
      </c>
      <c r="J6809" s="1" t="str">
        <f>IFERROR(__xludf.DUMMYFUNCTION("""COMPUTED_VALUE"""),"Pau Palmero")</f>
        <v>Pau Palmero</v>
      </c>
      <c r="K6809" s="1" t="str">
        <f>IFERROR(__xludf.DUMMYFUNCTION("""COMPUTED_VALUE"""),"Admin Support PH CEDD")</f>
        <v>Admin Support PH CEDD</v>
      </c>
      <c r="L6809" s="1" t="str">
        <f>IFERROR(__xludf.DUMMYFUNCTION("""COMPUTED_VALUE"""),"Admin CEDD Apps,Admin CEDD Inbox Mgt")</f>
        <v>Admin CEDD Apps,Admin CEDD Inbox Mgt</v>
      </c>
    </row>
    <row r="6810">
      <c r="A6810" s="1" t="str">
        <f>IFERROR(__xludf.DUMMYFUNCTION("""COMPUTED_VALUE"""),"2025 Dec")</f>
        <v>2025 Dec</v>
      </c>
      <c r="B6810" s="2">
        <f>IFERROR(__xludf.DUMMYFUNCTION("""COMPUTED_VALUE"""),45992.0)</f>
        <v>45992</v>
      </c>
      <c r="C6810" s="1" t="str">
        <f>IFERROR(__xludf.DUMMYFUNCTION("""COMPUTED_VALUE"""),"Core Product Support")</f>
        <v>Core Product Support</v>
      </c>
      <c r="D6810" s="1" t="str">
        <f>IFERROR(__xludf.DUMMYFUNCTION("""COMPUTED_VALUE"""),"4ab45a4c-a376-4058-a184-5b3f466a5947")</f>
        <v>4ab45a4c-a376-4058-a184-5b3f466a5947</v>
      </c>
      <c r="E6810" s="1">
        <f>IFERROR(__xludf.DUMMYFUNCTION("""COMPUTED_VALUE"""),4.967084440335E12)</f>
        <v>4967084440335</v>
      </c>
      <c r="F6810" s="1">
        <f>IFERROR(__xludf.DUMMYFUNCTION("""COMPUTED_VALUE"""),0.5)</f>
        <v>0.5</v>
      </c>
      <c r="G6810" s="1">
        <f>IFERROR(__xludf.DUMMYFUNCTION("""COMPUTED_VALUE"""),1.28)</f>
        <v>1.28</v>
      </c>
      <c r="H6810" s="3">
        <f>IFERROR(__xludf.DUMMYFUNCTION("""COMPUTED_VALUE"""),1.78)</f>
        <v>1.78</v>
      </c>
      <c r="I6810" s="4">
        <f>IFERROR(__xludf.DUMMYFUNCTION("""COMPUTED_VALUE"""),0.7191011235955056)</f>
        <v>0.7191011236</v>
      </c>
      <c r="J6810" s="1" t="str">
        <f>IFERROR(__xludf.DUMMYFUNCTION("""COMPUTED_VALUE"""),"Vianca De Jesus")</f>
        <v>Vianca De Jesus</v>
      </c>
      <c r="K6810" s="1" t="str">
        <f>IFERROR(__xludf.DUMMYFUNCTION("""COMPUTED_VALUE"""),"Advanced Chat Support")</f>
        <v>Advanced Chat Support</v>
      </c>
      <c r="L6810" s="1" t="str">
        <f>IFERROR(__xludf.DUMMYFUNCTION("""COMPUTED_VALUE"""),"CPS Advanced Chat Support (ACS)")</f>
        <v>CPS Advanced Chat Support (ACS)</v>
      </c>
    </row>
    <row r="6811">
      <c r="A6811" s="1" t="str">
        <f>IFERROR(__xludf.DUMMYFUNCTION("""COMPUTED_VALUE"""),"2025 Dec")</f>
        <v>2025 Dec</v>
      </c>
      <c r="B6811" s="2">
        <f>IFERROR(__xludf.DUMMYFUNCTION("""COMPUTED_VALUE"""),45992.0)</f>
        <v>45992</v>
      </c>
      <c r="C6811" s="1" t="str">
        <f>IFERROR(__xludf.DUMMYFUNCTION("""COMPUTED_VALUE"""),"Print Support")</f>
        <v>Print Support</v>
      </c>
      <c r="D6811" s="1" t="str">
        <f>IFERROR(__xludf.DUMMYFUNCTION("""COMPUTED_VALUE"""),"73b91882-25ef-4c9c-8b6f-9152a825d832")</f>
        <v>73b91882-25ef-4c9c-8b6f-9152a825d832</v>
      </c>
      <c r="E6811" s="1">
        <f>IFERROR(__xludf.DUMMYFUNCTION("""COMPUTED_VALUE"""),3.61825397936E11)</f>
        <v>361825397936</v>
      </c>
      <c r="F6811" s="1"/>
      <c r="G6811" s="1"/>
      <c r="H6811" s="3">
        <f>IFERROR(__xludf.DUMMYFUNCTION("""COMPUTED_VALUE"""),0.0)</f>
        <v>0</v>
      </c>
      <c r="I6811" s="4"/>
      <c r="J6811" s="1" t="str">
        <f>IFERROR(__xludf.DUMMYFUNCTION("""COMPUTED_VALUE"""),"Jan Domingo")</f>
        <v>Jan Domingo</v>
      </c>
      <c r="K6811" s="1" t="str">
        <f>IFERROR(__xludf.DUMMYFUNCTION("""COMPUTED_VALUE"""),"Print Design Support")</f>
        <v>Print Design Support</v>
      </c>
      <c r="L6811" s="1" t="str">
        <f>IFERROR(__xludf.DUMMYFUNCTION("""COMPUTED_VALUE"""),"Print Print Design")</f>
        <v>Print Print Design</v>
      </c>
    </row>
    <row r="6812">
      <c r="A6812" s="1" t="str">
        <f>IFERROR(__xludf.DUMMYFUNCTION("""COMPUTED_VALUE"""),"2025 Dec")</f>
        <v>2025 Dec</v>
      </c>
      <c r="B6812" s="2">
        <f>IFERROR(__xludf.DUMMYFUNCTION("""COMPUTED_VALUE"""),45992.0)</f>
        <v>45992</v>
      </c>
      <c r="C6812" s="1" t="str">
        <f>IFERROR(__xludf.DUMMYFUNCTION("""COMPUTED_VALUE"""),"Core Product Support")</f>
        <v>Core Product Support</v>
      </c>
      <c r="D6812" s="1" t="str">
        <f>IFERROR(__xludf.DUMMYFUNCTION("""COMPUTED_VALUE"""),"75169e9a-969f-480f-aae4-eff49591cf56")</f>
        <v>75169e9a-969f-480f-aae4-eff49591cf56</v>
      </c>
      <c r="E6812" s="1"/>
      <c r="F6812" s="1">
        <f>IFERROR(__xludf.DUMMYFUNCTION("""COMPUTED_VALUE"""),0.5)</f>
        <v>0.5</v>
      </c>
      <c r="G6812" s="1"/>
      <c r="H6812" s="3">
        <f>IFERROR(__xludf.DUMMYFUNCTION("""COMPUTED_VALUE"""),0.5)</f>
        <v>0.5</v>
      </c>
      <c r="I6812" s="4">
        <f>IFERROR(__xludf.DUMMYFUNCTION("""COMPUTED_VALUE"""),0.0)</f>
        <v>0</v>
      </c>
      <c r="J6812" s="1" t="str">
        <f>IFERROR(__xludf.DUMMYFUNCTION("""COMPUTED_VALUE"""),"Jelyn Elmido")</f>
        <v>Jelyn Elmido</v>
      </c>
      <c r="K6812" s="1" t="str">
        <f>IFERROR(__xludf.DUMMYFUNCTION("""COMPUTED_VALUE"""),"Advanced Product Support")</f>
        <v>Advanced Product Support</v>
      </c>
      <c r="L6812" s="1" t="str">
        <f>IFERROR(__xludf.DUMMYFUNCTION("""COMPUTED_VALUE"""),"CPS Advanced Product Support (APS)")</f>
        <v>CPS Advanced Product Support (APS)</v>
      </c>
    </row>
    <row r="6813">
      <c r="A6813" s="1" t="str">
        <f>IFERROR(__xludf.DUMMYFUNCTION("""COMPUTED_VALUE"""),"2025 Dec")</f>
        <v>2025 Dec</v>
      </c>
      <c r="B6813" s="2">
        <f>IFERROR(__xludf.DUMMYFUNCTION("""COMPUTED_VALUE"""),45992.0)</f>
        <v>45992</v>
      </c>
      <c r="C6813" s="1" t="str">
        <f>IFERROR(__xludf.DUMMYFUNCTION("""COMPUTED_VALUE"""),"Core Product Support")</f>
        <v>Core Product Support</v>
      </c>
      <c r="D6813" s="1" t="str">
        <f>IFERROR(__xludf.DUMMYFUNCTION("""COMPUTED_VALUE"""),"d235389b-3321-47e0-9816-c2275d682304")</f>
        <v>d235389b-3321-47e0-9816-c2275d682304</v>
      </c>
      <c r="E6813" s="1">
        <f>IFERROR(__xludf.DUMMYFUNCTION("""COMPUTED_VALUE"""),5.202378916623E12)</f>
        <v>5202378916623</v>
      </c>
      <c r="F6813" s="1"/>
      <c r="G6813" s="1">
        <f>IFERROR(__xludf.DUMMYFUNCTION("""COMPUTED_VALUE"""),1.0)</f>
        <v>1</v>
      </c>
      <c r="H6813" s="3">
        <f>IFERROR(__xludf.DUMMYFUNCTION("""COMPUTED_VALUE"""),1.0)</f>
        <v>1</v>
      </c>
      <c r="I6813" s="4">
        <f>IFERROR(__xludf.DUMMYFUNCTION("""COMPUTED_VALUE"""),1.0)</f>
        <v>1</v>
      </c>
      <c r="J6813" s="1" t="str">
        <f>IFERROR(__xludf.DUMMYFUNCTION("""COMPUTED_VALUE"""),"Renette Bok")</f>
        <v>Renette Bok</v>
      </c>
      <c r="K6813" s="1" t="str">
        <f>IFERROR(__xludf.DUMMYFUNCTION("""COMPUTED_VALUE"""),"Advanced Billing &amp; Subscriptions")</f>
        <v>Advanced Billing &amp; Subscriptions</v>
      </c>
      <c r="L6813" s="1" t="str">
        <f>IFERROR(__xludf.DUMMYFUNCTION("""COMPUTED_VALUE"""),"CPS Advanced Billing and Subscriptions (ABS)")</f>
        <v>CPS Advanced Billing and Subscriptions (ABS)</v>
      </c>
    </row>
    <row r="6814">
      <c r="A6814" s="1" t="str">
        <f>IFERROR(__xludf.DUMMYFUNCTION("""COMPUTED_VALUE"""),"2025 Dec")</f>
        <v>2025 Dec</v>
      </c>
      <c r="B6814" s="2">
        <f>IFERROR(__xludf.DUMMYFUNCTION("""COMPUTED_VALUE"""),45992.0)</f>
        <v>45992</v>
      </c>
      <c r="C6814" s="1" t="str">
        <f>IFERROR(__xludf.DUMMYFUNCTION("""COMPUTED_VALUE"""),"Core Product Support")</f>
        <v>Core Product Support</v>
      </c>
      <c r="D6814" s="1" t="str">
        <f>IFERROR(__xludf.DUMMYFUNCTION("""COMPUTED_VALUE"""),"e5eebde5-1bdf-4fc4-a4e5-e5f13689363d")</f>
        <v>e5eebde5-1bdf-4fc4-a4e5-e5f13689363d</v>
      </c>
      <c r="E6814" s="1">
        <f>IFERROR(__xludf.DUMMYFUNCTION("""COMPUTED_VALUE"""),8.303581036047E12)</f>
        <v>8303581036047</v>
      </c>
      <c r="F6814" s="1">
        <f>IFERROR(__xludf.DUMMYFUNCTION("""COMPUTED_VALUE"""),0.5)</f>
        <v>0.5</v>
      </c>
      <c r="G6814" s="1"/>
      <c r="H6814" s="3">
        <f>IFERROR(__xludf.DUMMYFUNCTION("""COMPUTED_VALUE"""),0.5)</f>
        <v>0.5</v>
      </c>
      <c r="I6814" s="4">
        <f>IFERROR(__xludf.DUMMYFUNCTION("""COMPUTED_VALUE"""),0.0)</f>
        <v>0</v>
      </c>
      <c r="J6814" s="1" t="str">
        <f>IFERROR(__xludf.DUMMYFUNCTION("""COMPUTED_VALUE"""),"Jelyn Elmido")</f>
        <v>Jelyn Elmido</v>
      </c>
      <c r="K6814" s="1" t="str">
        <f>IFERROR(__xludf.DUMMYFUNCTION("""COMPUTED_VALUE"""),"Advanced Product Support")</f>
        <v>Advanced Product Support</v>
      </c>
      <c r="L6814" s="1" t="str">
        <f>IFERROR(__xludf.DUMMYFUNCTION("""COMPUTED_VALUE"""),"CPS Advanced Product Support (APS)")</f>
        <v>CPS Advanced Product Support (APS)</v>
      </c>
    </row>
    <row r="6815">
      <c r="A6815" s="1" t="str">
        <f>IFERROR(__xludf.DUMMYFUNCTION("""COMPUTED_VALUE"""),"2025 Dec")</f>
        <v>2025 Dec</v>
      </c>
      <c r="B6815" s="2">
        <f>IFERROR(__xludf.DUMMYFUNCTION("""COMPUTED_VALUE"""),45992.0)</f>
        <v>45992</v>
      </c>
      <c r="C6815" s="1" t="str">
        <f>IFERROR(__xludf.DUMMYFUNCTION("""COMPUTED_VALUE"""),"Admin Support")</f>
        <v>Admin Support</v>
      </c>
      <c r="D6815" s="1" t="str">
        <f>IFERROR(__xludf.DUMMYFUNCTION("""COMPUTED_VALUE"""),"298d5f55-b7f6-4164-b84e-face9b3cbecb")</f>
        <v>298d5f55-b7f6-4164-b84e-face9b3cbecb</v>
      </c>
      <c r="E6815" s="1">
        <f>IFERROR(__xludf.DUMMYFUNCTION("""COMPUTED_VALUE"""),6.182237177103E12)</f>
        <v>6182237177103</v>
      </c>
      <c r="F6815" s="1"/>
      <c r="G6815" s="1">
        <f>IFERROR(__xludf.DUMMYFUNCTION("""COMPUTED_VALUE"""),1.75)</f>
        <v>1.75</v>
      </c>
      <c r="H6815" s="3">
        <f>IFERROR(__xludf.DUMMYFUNCTION("""COMPUTED_VALUE"""),1.75)</f>
        <v>1.75</v>
      </c>
      <c r="I6815" s="4">
        <f>IFERROR(__xludf.DUMMYFUNCTION("""COMPUTED_VALUE"""),1.0)</f>
        <v>1</v>
      </c>
      <c r="J6815" s="1" t="str">
        <f>IFERROR(__xludf.DUMMYFUNCTION("""COMPUTED_VALUE"""),"AL Suarez")</f>
        <v>AL Suarez</v>
      </c>
      <c r="K6815" s="1" t="str">
        <f>IFERROR(__xludf.DUMMYFUNCTION("""COMPUTED_VALUE"""),"Admin Support PH")</f>
        <v>Admin Support PH</v>
      </c>
      <c r="L6815" s="1" t="str">
        <f>IFERROR(__xludf.DUMMYFUNCTION("""COMPUTED_VALUE"""),"Admin PH")</f>
        <v>Admin PH</v>
      </c>
    </row>
    <row r="6816">
      <c r="A6816" s="1" t="str">
        <f>IFERROR(__xludf.DUMMYFUNCTION("""COMPUTED_VALUE"""),"2025 Dec")</f>
        <v>2025 Dec</v>
      </c>
      <c r="B6816" s="2">
        <f>IFERROR(__xludf.DUMMYFUNCTION("""COMPUTED_VALUE"""),45992.0)</f>
        <v>45992</v>
      </c>
      <c r="C6816" s="1" t="str">
        <f>IFERROR(__xludf.DUMMYFUNCTION("""COMPUTED_VALUE"""),"Admin Support")</f>
        <v>Admin Support</v>
      </c>
      <c r="D6816" s="1" t="str">
        <f>IFERROR(__xludf.DUMMYFUNCTION("""COMPUTED_VALUE"""),"bb9992e4-86b4-4be4-9177-e09f03299559")</f>
        <v>bb9992e4-86b4-4be4-9177-e09f03299559</v>
      </c>
      <c r="E6816" s="1">
        <f>IFERROR(__xludf.DUMMYFUNCTION("""COMPUTED_VALUE"""),3.61724830696E11)</f>
        <v>361724830696</v>
      </c>
      <c r="F6816" s="1"/>
      <c r="G6816" s="1">
        <f>IFERROR(__xludf.DUMMYFUNCTION("""COMPUTED_VALUE"""),0.5)</f>
        <v>0.5</v>
      </c>
      <c r="H6816" s="3">
        <f>IFERROR(__xludf.DUMMYFUNCTION("""COMPUTED_VALUE"""),0.5)</f>
        <v>0.5</v>
      </c>
      <c r="I6816" s="4">
        <f>IFERROR(__xludf.DUMMYFUNCTION("""COMPUTED_VALUE"""),1.0)</f>
        <v>1</v>
      </c>
      <c r="J6816" s="1" t="str">
        <f>IFERROR(__xludf.DUMMYFUNCTION("""COMPUTED_VALUE"""),"Rose Gabilan")</f>
        <v>Rose Gabilan</v>
      </c>
      <c r="K6816" s="1" t="str">
        <f>IFERROR(__xludf.DUMMYFUNCTION("""COMPUTED_VALUE"""),"Admin Support PH SSO")</f>
        <v>Admin Support PH SSO</v>
      </c>
      <c r="L6816" s="1" t="str">
        <f>IFERROR(__xludf.DUMMYFUNCTION("""COMPUTED_VALUE"""),"Admin SSO - CHT")</f>
        <v>Admin SSO - CHT</v>
      </c>
    </row>
    <row r="6817">
      <c r="A6817" s="1" t="str">
        <f>IFERROR(__xludf.DUMMYFUNCTION("""COMPUTED_VALUE"""),"2025 Dec")</f>
        <v>2025 Dec</v>
      </c>
      <c r="B6817" s="2">
        <f>IFERROR(__xludf.DUMMYFUNCTION("""COMPUTED_VALUE"""),45992.0)</f>
        <v>45992</v>
      </c>
      <c r="C6817" s="1" t="str">
        <f>IFERROR(__xludf.DUMMYFUNCTION("""COMPUTED_VALUE"""),"Core Product Support")</f>
        <v>Core Product Support</v>
      </c>
      <c r="D6817" s="1" t="str">
        <f>IFERROR(__xludf.DUMMYFUNCTION("""COMPUTED_VALUE"""),"1fa942bd-1815-4054-9636-810d3c7d937c")</f>
        <v>1fa942bd-1815-4054-9636-810d3c7d937c</v>
      </c>
      <c r="E6817" s="1">
        <f>IFERROR(__xludf.DUMMYFUNCTION("""COMPUTED_VALUE"""),3.61731348455E11)</f>
        <v>361731348455</v>
      </c>
      <c r="F6817" s="1"/>
      <c r="G6817" s="1">
        <f>IFERROR(__xludf.DUMMYFUNCTION("""COMPUTED_VALUE"""),2.0)</f>
        <v>2</v>
      </c>
      <c r="H6817" s="3">
        <f>IFERROR(__xludf.DUMMYFUNCTION("""COMPUTED_VALUE"""),2.0)</f>
        <v>2</v>
      </c>
      <c r="I6817" s="4">
        <f>IFERROR(__xludf.DUMMYFUNCTION("""COMPUTED_VALUE"""),1.0)</f>
        <v>1</v>
      </c>
      <c r="J6817" s="1" t="str">
        <f>IFERROR(__xludf.DUMMYFUNCTION("""COMPUTED_VALUE"""),"Sieg Ballelos")</f>
        <v>Sieg Ballelos</v>
      </c>
      <c r="K6817" s="1" t="str">
        <f>IFERROR(__xludf.DUMMYFUNCTION("""COMPUTED_VALUE"""),"Core Product Support Escalation Team")</f>
        <v>Core Product Support Escalation Team</v>
      </c>
      <c r="L6817" s="1" t="str">
        <f>IFERROR(__xludf.DUMMYFUNCTION("""COMPUTED_VALUE"""),"CPS Core Product Support Escalations (CPSET)")</f>
        <v>CPS Core Product Support Escalations (CPSET)</v>
      </c>
    </row>
    <row r="6818">
      <c r="A6818" s="1" t="str">
        <f>IFERROR(__xludf.DUMMYFUNCTION("""COMPUTED_VALUE"""),"2025 Dec")</f>
        <v>2025 Dec</v>
      </c>
      <c r="B6818" s="2">
        <f>IFERROR(__xludf.DUMMYFUNCTION("""COMPUTED_VALUE"""),45992.0)</f>
        <v>45992</v>
      </c>
      <c r="C6818" s="1" t="str">
        <f>IFERROR(__xludf.DUMMYFUNCTION("""COMPUTED_VALUE"""),"Core Product Support")</f>
        <v>Core Product Support</v>
      </c>
      <c r="D6818" s="1" t="str">
        <f>IFERROR(__xludf.DUMMYFUNCTION("""COMPUTED_VALUE"""),"b366931c-0597-40c7-babb-0a89ffc75e01")</f>
        <v>b366931c-0597-40c7-babb-0a89ffc75e01</v>
      </c>
      <c r="E6818" s="1"/>
      <c r="F6818" s="1">
        <f>IFERROR(__xludf.DUMMYFUNCTION("""COMPUTED_VALUE"""),0.5)</f>
        <v>0.5</v>
      </c>
      <c r="G6818" s="1"/>
      <c r="H6818" s="3">
        <f>IFERROR(__xludf.DUMMYFUNCTION("""COMPUTED_VALUE"""),0.5)</f>
        <v>0.5</v>
      </c>
      <c r="I6818" s="4">
        <f>IFERROR(__xludf.DUMMYFUNCTION("""COMPUTED_VALUE"""),0.0)</f>
        <v>0</v>
      </c>
      <c r="J6818" s="1" t="str">
        <f>IFERROR(__xludf.DUMMYFUNCTION("""COMPUTED_VALUE"""),"Marie Mordeno")</f>
        <v>Marie Mordeno</v>
      </c>
      <c r="K6818" s="1" t="str">
        <f>IFERROR(__xludf.DUMMYFUNCTION("""COMPUTED_VALUE"""),"Advanced Billing &amp; Subscriptions")</f>
        <v>Advanced Billing &amp; Subscriptions</v>
      </c>
      <c r="L6818" s="1" t="str">
        <f>IFERROR(__xludf.DUMMYFUNCTION("""COMPUTED_VALUE"""),"CPS Advanced Billing and Subscriptions (ABS)")</f>
        <v>CPS Advanced Billing and Subscriptions (ABS)</v>
      </c>
    </row>
    <row r="6819">
      <c r="A6819" s="1" t="str">
        <f>IFERROR(__xludf.DUMMYFUNCTION("""COMPUTED_VALUE"""),"2025 Dec")</f>
        <v>2025 Dec</v>
      </c>
      <c r="B6819" s="2">
        <f>IFERROR(__xludf.DUMMYFUNCTION("""COMPUTED_VALUE"""),45992.0)</f>
        <v>45992</v>
      </c>
      <c r="C6819" s="1" t="str">
        <f>IFERROR(__xludf.DUMMYFUNCTION("""COMPUTED_VALUE"""),"Core Product Support")</f>
        <v>Core Product Support</v>
      </c>
      <c r="D6819" s="1" t="str">
        <f>IFERROR(__xludf.DUMMYFUNCTION("""COMPUTED_VALUE"""),"d8cafb49-0513-4066-8298-8198c1c303c8")</f>
        <v>d8cafb49-0513-4066-8298-8198c1c303c8</v>
      </c>
      <c r="E6819" s="1">
        <f>IFERROR(__xludf.DUMMYFUNCTION("""COMPUTED_VALUE"""),5.566859239951E12)</f>
        <v>5566859239951</v>
      </c>
      <c r="F6819" s="1"/>
      <c r="G6819" s="1">
        <f>IFERROR(__xludf.DUMMYFUNCTION("""COMPUTED_VALUE"""),1.0)</f>
        <v>1</v>
      </c>
      <c r="H6819" s="3">
        <f>IFERROR(__xludf.DUMMYFUNCTION("""COMPUTED_VALUE"""),1.0)</f>
        <v>1</v>
      </c>
      <c r="I6819" s="4">
        <f>IFERROR(__xludf.DUMMYFUNCTION("""COMPUTED_VALUE"""),1.0)</f>
        <v>1</v>
      </c>
      <c r="J6819" s="1" t="str">
        <f>IFERROR(__xludf.DUMMYFUNCTION("""COMPUTED_VALUE"""),"Jahmie Mae Barrameda")</f>
        <v>Jahmie Mae Barrameda</v>
      </c>
      <c r="K6819" s="1" t="str">
        <f>IFERROR(__xludf.DUMMYFUNCTION("""COMPUTED_VALUE"""),"Advanced Billing &amp; Subscriptions")</f>
        <v>Advanced Billing &amp; Subscriptions</v>
      </c>
      <c r="L6819" s="1" t="str">
        <f>IFERROR(__xludf.DUMMYFUNCTION("""COMPUTED_VALUE"""),"CPS Advanced Billing and Subscriptions (ABS)")</f>
        <v>CPS Advanced Billing and Subscriptions (ABS)</v>
      </c>
    </row>
    <row r="6820">
      <c r="A6820" s="1" t="str">
        <f>IFERROR(__xludf.DUMMYFUNCTION("""COMPUTED_VALUE"""),"2025 Dec")</f>
        <v>2025 Dec</v>
      </c>
      <c r="B6820" s="2">
        <f>IFERROR(__xludf.DUMMYFUNCTION("""COMPUTED_VALUE"""),45992.0)</f>
        <v>45992</v>
      </c>
      <c r="C6820" s="1" t="str">
        <f>IFERROR(__xludf.DUMMYFUNCTION("""COMPUTED_VALUE"""),"Print Support")</f>
        <v>Print Support</v>
      </c>
      <c r="D6820" s="1" t="str">
        <f>IFERROR(__xludf.DUMMYFUNCTION("""COMPUTED_VALUE"""),"b38dd32d-e840-4454-9bff-9270032e26ec")</f>
        <v>b38dd32d-e840-4454-9bff-9270032e26ec</v>
      </c>
      <c r="E6820" s="1">
        <f>IFERROR(__xludf.DUMMYFUNCTION("""COMPUTED_VALUE"""),1.1279671882767E13)</f>
        <v>11279671882767</v>
      </c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IFERROR(__xludf.DUMMYFUNCTION("""COMPUTED_VALUE"""),"Jen Momo")</f>
        <v>Jen Momo</v>
      </c>
      <c r="K6820" s="1" t="str">
        <f>IFERROR(__xludf.DUMMYFUNCTION("""COMPUTED_VALUE"""),"Print Support PH")</f>
        <v>Print Support PH</v>
      </c>
      <c r="L6820" s="1" t="str">
        <f>IFERROR(__xludf.DUMMYFUNCTION("""COMPUTED_VALUE"""),"Print Print - CHT")</f>
        <v>Print Print - CHT</v>
      </c>
    </row>
    <row r="6821">
      <c r="A6821" s="1" t="str">
        <f>IFERROR(__xludf.DUMMYFUNCTION("""COMPUTED_VALUE"""),"2025 Dec")</f>
        <v>2025 Dec</v>
      </c>
      <c r="B6821" s="2">
        <f>IFERROR(__xludf.DUMMYFUNCTION("""COMPUTED_VALUE"""),45992.0)</f>
        <v>45992</v>
      </c>
      <c r="C6821" s="1" t="str">
        <f>IFERROR(__xludf.DUMMYFUNCTION("""COMPUTED_VALUE"""),"Print Support")</f>
        <v>Print Support</v>
      </c>
      <c r="D6821" s="1" t="str">
        <f>IFERROR(__xludf.DUMMYFUNCTION("""COMPUTED_VALUE"""),"f6ab909a-8fae-4139-af23-d06c28a32b8c")</f>
        <v>f6ab909a-8fae-4139-af23-d06c28a32b8c</v>
      </c>
      <c r="E6821" s="1">
        <f>IFERROR(__xludf.DUMMYFUNCTION("""COMPUTED_VALUE"""),3.61724667376E11)</f>
        <v>361724667376</v>
      </c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IFERROR(__xludf.DUMMYFUNCTION("""COMPUTED_VALUE"""),"Ann Dumlao")</f>
        <v>Ann Dumlao</v>
      </c>
      <c r="K6821" s="1" t="str">
        <f>IFERROR(__xludf.DUMMYFUNCTION("""COMPUTED_VALUE"""),"Print Support PH")</f>
        <v>Print Support PH</v>
      </c>
      <c r="L6821" s="1" t="str">
        <f>IFERROR(__xludf.DUMMYFUNCTION("""COMPUTED_VALUE"""),"Print Print - CHT")</f>
        <v>Print Print - CHT</v>
      </c>
    </row>
    <row r="6822">
      <c r="A6822" s="1" t="str">
        <f>IFERROR(__xludf.DUMMYFUNCTION("""COMPUTED_VALUE"""),"2025 Dec")</f>
        <v>2025 Dec</v>
      </c>
      <c r="B6822" s="2">
        <f>IFERROR(__xludf.DUMMYFUNCTION("""COMPUTED_VALUE"""),45992.0)</f>
        <v>45992</v>
      </c>
      <c r="C6822" s="1" t="str">
        <f>IFERROR(__xludf.DUMMYFUNCTION("""COMPUTED_VALUE"""),"Admin Support")</f>
        <v>Admin Support</v>
      </c>
      <c r="D6822" s="1" t="str">
        <f>IFERROR(__xludf.DUMMYFUNCTION("""COMPUTED_VALUE"""),"2440a395-2ee9-49c8-95dd-ec980955ac7b")</f>
        <v>2440a395-2ee9-49c8-95dd-ec980955ac7b</v>
      </c>
      <c r="E6822" s="1">
        <f>IFERROR(__xludf.DUMMYFUNCTION("""COMPUTED_VALUE"""),3.61725375656E11)</f>
        <v>361725375656</v>
      </c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IFERROR(__xludf.DUMMYFUNCTION("""COMPUTED_VALUE"""),"Karla Mananghaya")</f>
        <v>Karla Mananghaya</v>
      </c>
      <c r="K6822" s="1" t="str">
        <f>IFERROR(__xludf.DUMMYFUNCTION("""COMPUTED_VALUE"""),"Back of House Operations PH")</f>
        <v>Back of House Operations PH</v>
      </c>
      <c r="L6822" s="1" t="str">
        <f>IFERROR(__xludf.DUMMYFUNCTION("""COMPUTED_VALUE"""),"BoHO SEE")</f>
        <v>BoHO SEE</v>
      </c>
    </row>
    <row r="6823">
      <c r="A6823" s="1" t="str">
        <f>IFERROR(__xludf.DUMMYFUNCTION("""COMPUTED_VALUE"""),"2025 Dec")</f>
        <v>2025 Dec</v>
      </c>
      <c r="B6823" s="2">
        <f>IFERROR(__xludf.DUMMYFUNCTION("""COMPUTED_VALUE"""),45992.0)</f>
        <v>45992</v>
      </c>
      <c r="C6823" s="1" t="str">
        <f>IFERROR(__xludf.DUMMYFUNCTION("""COMPUTED_VALUE"""),"High Sensitivity Support")</f>
        <v>High Sensitivity Support</v>
      </c>
      <c r="D6823" s="1" t="str">
        <f>IFERROR(__xludf.DUMMYFUNCTION("""COMPUTED_VALUE"""),"0bb396c0-8b48-4382-addc-66818b7167ec")</f>
        <v>0bb396c0-8b48-4382-addc-66818b7167ec</v>
      </c>
      <c r="E6823" s="1">
        <f>IFERROR(__xludf.DUMMYFUNCTION("""COMPUTED_VALUE"""),5.566867976335E12)</f>
        <v>5566867976335</v>
      </c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IFERROR(__xludf.DUMMYFUNCTION("""COMPUTED_VALUE"""),"Issi Afable")</f>
        <v>Issi Afable</v>
      </c>
      <c r="K6823" s="1" t="str">
        <f>IFERROR(__xludf.DUMMYFUNCTION("""COMPUTED_VALUE"""),"High Sensitivity Support PH")</f>
        <v>High Sensitivity Support PH</v>
      </c>
      <c r="L6823" s="1" t="str">
        <f>IFERROR(__xludf.DUMMYFUNCTION("""COMPUTED_VALUE"""),"HSS High Sensitivity Support PH - SEE")</f>
        <v>HSS High Sensitivity Support PH - SEE</v>
      </c>
    </row>
    <row r="6824">
      <c r="A6824" s="1" t="str">
        <f>IFERROR(__xludf.DUMMYFUNCTION("""COMPUTED_VALUE"""),"2025 Dec")</f>
        <v>2025 Dec</v>
      </c>
      <c r="B6824" s="2">
        <f>IFERROR(__xludf.DUMMYFUNCTION("""COMPUTED_VALUE"""),45992.0)</f>
        <v>45992</v>
      </c>
      <c r="C6824" s="1" t="str">
        <f>IFERROR(__xludf.DUMMYFUNCTION("""COMPUTED_VALUE"""),"Print Support")</f>
        <v>Print Support</v>
      </c>
      <c r="D6824" s="1" t="str">
        <f>IFERROR(__xludf.DUMMYFUNCTION("""COMPUTED_VALUE"""),"bfafe2d2-bab4-4d76-87e0-5b42d5285805")</f>
        <v>bfafe2d2-bab4-4d76-87e0-5b42d5285805</v>
      </c>
      <c r="E6824" s="1">
        <f>IFERROR(__xludf.DUMMYFUNCTION("""COMPUTED_VALUE"""),5.202379009423E12)</f>
        <v>5202379009423</v>
      </c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IFERROR(__xludf.DUMMYFUNCTION("""COMPUTED_VALUE"""),"Althea Mercado")</f>
        <v>Althea Mercado</v>
      </c>
      <c r="K6824" s="1" t="str">
        <f>IFERROR(__xludf.DUMMYFUNCTION("""COMPUTED_VALUE"""),"Print Support PH")</f>
        <v>Print Support PH</v>
      </c>
      <c r="L6824" s="1" t="str">
        <f>IFERROR(__xludf.DUMMYFUNCTION("""COMPUTED_VALUE"""),"Print Print - CHT")</f>
        <v>Print Print - CHT</v>
      </c>
    </row>
    <row r="6825">
      <c r="A6825" s="1" t="str">
        <f>IFERROR(__xludf.DUMMYFUNCTION("""COMPUTED_VALUE"""),"2025 Dec")</f>
        <v>2025 Dec</v>
      </c>
      <c r="B6825" s="2">
        <f>IFERROR(__xludf.DUMMYFUNCTION("""COMPUTED_VALUE"""),45992.0)</f>
        <v>45992</v>
      </c>
      <c r="C6825" s="1" t="str">
        <f>IFERROR(__xludf.DUMMYFUNCTION("""COMPUTED_VALUE"""),"Core Product Support")</f>
        <v>Core Product Support</v>
      </c>
      <c r="D6825" s="1" t="str">
        <f>IFERROR(__xludf.DUMMYFUNCTION("""COMPUTED_VALUE"""),"c0f3492c-b6e0-4663-88e9-07ef49890f6a")</f>
        <v>c0f3492c-b6e0-4663-88e9-07ef49890f6a</v>
      </c>
      <c r="E6825" s="1">
        <f>IFERROR(__xludf.DUMMYFUNCTION("""COMPUTED_VALUE"""),7.437401161487E12)</f>
        <v>7437401161487</v>
      </c>
      <c r="F6825" s="1"/>
      <c r="G6825" s="1">
        <f>IFERROR(__xludf.DUMMYFUNCTION("""COMPUTED_VALUE"""),1.0)</f>
        <v>1</v>
      </c>
      <c r="H6825" s="3">
        <f>IFERROR(__xludf.DUMMYFUNCTION("""COMPUTED_VALUE"""),1.0)</f>
        <v>1</v>
      </c>
      <c r="I6825" s="4">
        <f>IFERROR(__xludf.DUMMYFUNCTION("""COMPUTED_VALUE"""),1.0)</f>
        <v>1</v>
      </c>
      <c r="J6825" s="1" t="str">
        <f>IFERROR(__xludf.DUMMYFUNCTION("""COMPUTED_VALUE"""),"Renette Bok")</f>
        <v>Renette Bok</v>
      </c>
      <c r="K6825" s="1" t="str">
        <f>IFERROR(__xludf.DUMMYFUNCTION("""COMPUTED_VALUE"""),"Advanced Billing &amp; Subscriptions")</f>
        <v>Advanced Billing &amp; Subscriptions</v>
      </c>
      <c r="L6825" s="1" t="str">
        <f>IFERROR(__xludf.DUMMYFUNCTION("""COMPUTED_VALUE"""),"CPS Advanced Billing and Subscriptions (ABS)")</f>
        <v>CPS Advanced Billing and Subscriptions (ABS)</v>
      </c>
    </row>
    <row r="6826">
      <c r="A6826" s="1" t="str">
        <f>IFERROR(__xludf.DUMMYFUNCTION("""COMPUTED_VALUE"""),"2025 Dec")</f>
        <v>2025 Dec</v>
      </c>
      <c r="B6826" s="2">
        <f>IFERROR(__xludf.DUMMYFUNCTION("""COMPUTED_VALUE"""),45992.0)</f>
        <v>45992</v>
      </c>
      <c r="C6826" s="1" t="str">
        <f>IFERROR(__xludf.DUMMYFUNCTION("""COMPUTED_VALUE"""),"Core Product Support")</f>
        <v>Core Product Support</v>
      </c>
      <c r="D6826" s="1" t="str">
        <f>IFERROR(__xludf.DUMMYFUNCTION("""COMPUTED_VALUE"""),"3335501a-b303-4b1b-b874-e502875b9c00")</f>
        <v>3335501a-b303-4b1b-b874-e502875b9c00</v>
      </c>
      <c r="E6826" s="1">
        <f>IFERROR(__xludf.DUMMYFUNCTION("""COMPUTED_VALUE"""),5.901973624079E12)</f>
        <v>5901973624079</v>
      </c>
      <c r="F6826" s="1"/>
      <c r="G6826" s="1">
        <f>IFERROR(__xludf.DUMMYFUNCTION("""COMPUTED_VALUE"""),3.0)</f>
        <v>3</v>
      </c>
      <c r="H6826" s="3">
        <f>IFERROR(__xludf.DUMMYFUNCTION("""COMPUTED_VALUE"""),3.0)</f>
        <v>3</v>
      </c>
      <c r="I6826" s="4">
        <f>IFERROR(__xludf.DUMMYFUNCTION("""COMPUTED_VALUE"""),1.0)</f>
        <v>1</v>
      </c>
      <c r="J6826" s="1" t="str">
        <f>IFERROR(__xludf.DUMMYFUNCTION("""COMPUTED_VALUE"""),"Bem Launte")</f>
        <v>Bem Launte</v>
      </c>
      <c r="K6826" s="1" t="str">
        <f>IFERROR(__xludf.DUMMYFUNCTION("""COMPUTED_VALUE"""),"Core Product Support Escalation Team")</f>
        <v>Core Product Support Escalation Team</v>
      </c>
      <c r="L6826" s="1" t="str">
        <f>IFERROR(__xludf.DUMMYFUNCTION("""COMPUTED_VALUE"""),"CPS Core Product Support Escalations (CPSET)")</f>
        <v>CPS Core Product Support Escalations (CPSET)</v>
      </c>
    </row>
    <row r="6827">
      <c r="A6827" s="1" t="str">
        <f>IFERROR(__xludf.DUMMYFUNCTION("""COMPUTED_VALUE"""),"2025 Dec")</f>
        <v>2025 Dec</v>
      </c>
      <c r="B6827" s="2">
        <f>IFERROR(__xludf.DUMMYFUNCTION("""COMPUTED_VALUE"""),45992.0)</f>
        <v>45992</v>
      </c>
      <c r="C6827" s="1" t="str">
        <f>IFERROR(__xludf.DUMMYFUNCTION("""COMPUTED_VALUE"""),"Print Support")</f>
        <v>Print Support</v>
      </c>
      <c r="D6827" s="1" t="str">
        <f>IFERROR(__xludf.DUMMYFUNCTION("""COMPUTED_VALUE"""),"81f19830-f845-4879-96ee-0654dc8f6f68")</f>
        <v>81f19830-f845-4879-96ee-0654dc8f6f68</v>
      </c>
      <c r="E6827" s="1">
        <f>IFERROR(__xludf.DUMMYFUNCTION("""COMPUTED_VALUE"""),3.61750058635E11)</f>
        <v>361750058635</v>
      </c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IFERROR(__xludf.DUMMYFUNCTION("""COMPUTED_VALUE"""),"Rae Erlano")</f>
        <v>Rae Erlano</v>
      </c>
      <c r="K6827" s="1" t="str">
        <f>IFERROR(__xludf.DUMMYFUNCTION("""COMPUTED_VALUE"""),"Print Support PH")</f>
        <v>Print Support PH</v>
      </c>
      <c r="L6827" s="1" t="str">
        <f>IFERROR(__xludf.DUMMYFUNCTION("""COMPUTED_VALUE"""),"Print Print - CHT")</f>
        <v>Print Print - CHT</v>
      </c>
    </row>
    <row r="6828">
      <c r="A6828" s="1" t="str">
        <f>IFERROR(__xludf.DUMMYFUNCTION("""COMPUTED_VALUE"""),"2025 Dec")</f>
        <v>2025 Dec</v>
      </c>
      <c r="B6828" s="2">
        <f>IFERROR(__xludf.DUMMYFUNCTION("""COMPUTED_VALUE"""),45992.0)</f>
        <v>45992</v>
      </c>
      <c r="C6828" s="1" t="str">
        <f>IFERROR(__xludf.DUMMYFUNCTION("""COMPUTED_VALUE"""),"Core Product Support")</f>
        <v>Core Product Support</v>
      </c>
      <c r="D6828" s="1" t="str">
        <f>IFERROR(__xludf.DUMMYFUNCTION("""COMPUTED_VALUE"""),"2e981db7-61ee-4b53-aef6-4c4cc65464d7")</f>
        <v>2e981db7-61ee-4b53-aef6-4c4cc65464d7</v>
      </c>
      <c r="E6828" s="1">
        <f>IFERROR(__xludf.DUMMYFUNCTION("""COMPUTED_VALUE"""),8.904435850895E12)</f>
        <v>8904435850895</v>
      </c>
      <c r="F6828" s="1">
        <f>IFERROR(__xludf.DUMMYFUNCTION("""COMPUTED_VALUE"""),0.5)</f>
        <v>0.5</v>
      </c>
      <c r="G6828" s="1"/>
      <c r="H6828" s="3">
        <f>IFERROR(__xludf.DUMMYFUNCTION("""COMPUTED_VALUE"""),0.5)</f>
        <v>0.5</v>
      </c>
      <c r="I6828" s="4">
        <f>IFERROR(__xludf.DUMMYFUNCTION("""COMPUTED_VALUE"""),0.0)</f>
        <v>0</v>
      </c>
      <c r="J6828" s="1" t="str">
        <f>IFERROR(__xludf.DUMMYFUNCTION("""COMPUTED_VALUE"""),"Mikhaela Decangchon")</f>
        <v>Mikhaela Decangchon</v>
      </c>
      <c r="K6828" s="1" t="str">
        <f>IFERROR(__xludf.DUMMYFUNCTION("""COMPUTED_VALUE"""),"Advanced Product Support")</f>
        <v>Advanced Product Support</v>
      </c>
      <c r="L6828" s="1" t="str">
        <f>IFERROR(__xludf.DUMMYFUNCTION("""COMPUTED_VALUE"""),"CPS Advanced Product Support (APS)")</f>
        <v>CPS Advanced Product Support (APS)</v>
      </c>
    </row>
    <row r="6829">
      <c r="A6829" s="1" t="str">
        <f>IFERROR(__xludf.DUMMYFUNCTION("""COMPUTED_VALUE"""),"2025 Dec")</f>
        <v>2025 Dec</v>
      </c>
      <c r="B6829" s="2">
        <f>IFERROR(__xludf.DUMMYFUNCTION("""COMPUTED_VALUE"""),45992.0)</f>
        <v>45992</v>
      </c>
      <c r="C6829" s="1" t="str">
        <f>IFERROR(__xludf.DUMMYFUNCTION("""COMPUTED_VALUE"""),"Segment-specific Support")</f>
        <v>Segment-specific Support</v>
      </c>
      <c r="D6829" s="1" t="str">
        <f>IFERROR(__xludf.DUMMYFUNCTION("""COMPUTED_VALUE"""),"a9175f4e-c2a3-4f80-bd6c-76adc2cfcef8")</f>
        <v>a9175f4e-c2a3-4f80-bd6c-76adc2cfcef8</v>
      </c>
      <c r="E6829" s="1">
        <f>IFERROR(__xludf.DUMMYFUNCTION("""COMPUTED_VALUE"""),5.359144633743E12)</f>
        <v>5359144633743</v>
      </c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IFERROR(__xludf.DUMMYFUNCTION("""COMPUTED_VALUE"""),"Tash Kelly")</f>
        <v>Tash Kelly</v>
      </c>
      <c r="K6829" s="1" t="str">
        <f>IFERROR(__xludf.DUMMYFUNCTION("""COMPUTED_VALUE"""),"Affinity Support")</f>
        <v>Affinity Support</v>
      </c>
      <c r="L6829" s="1" t="str">
        <f>IFERROR(__xludf.DUMMYFUNCTION("""COMPUTED_VALUE"""),"SSS Affinity")</f>
        <v>SSS Affinity</v>
      </c>
    </row>
    <row r="6830">
      <c r="A6830" s="1" t="str">
        <f>IFERROR(__xludf.DUMMYFUNCTION("""COMPUTED_VALUE"""),"2025 Dec")</f>
        <v>2025 Dec</v>
      </c>
      <c r="B6830" s="2">
        <f>IFERROR(__xludf.DUMMYFUNCTION("""COMPUTED_VALUE"""),45992.0)</f>
        <v>45992</v>
      </c>
      <c r="C6830" s="1" t="str">
        <f>IFERROR(__xludf.DUMMYFUNCTION("""COMPUTED_VALUE"""),"Print Support")</f>
        <v>Print Support</v>
      </c>
      <c r="D6830" s="1" t="str">
        <f>IFERROR(__xludf.DUMMYFUNCTION("""COMPUTED_VALUE"""),"c099fecd-f2e4-4b33-8ba3-1c6779033d42")</f>
        <v>c099fecd-f2e4-4b33-8ba3-1c6779033d42</v>
      </c>
      <c r="E6830" s="1">
        <f>IFERROR(__xludf.DUMMYFUNCTION("""COMPUTED_VALUE"""),5.901988081807E12)</f>
        <v>5901988081807</v>
      </c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IFERROR(__xludf.DUMMYFUNCTION("""COMPUTED_VALUE"""),"Rae Erlano")</f>
        <v>Rae Erlano</v>
      </c>
      <c r="K6830" s="1" t="str">
        <f>IFERROR(__xludf.DUMMYFUNCTION("""COMPUTED_VALUE"""),"Print Support PH")</f>
        <v>Print Support PH</v>
      </c>
      <c r="L6830" s="1" t="str">
        <f>IFERROR(__xludf.DUMMYFUNCTION("""COMPUTED_VALUE"""),"Print Print - CHT")</f>
        <v>Print Print - CHT</v>
      </c>
    </row>
    <row r="6831">
      <c r="A6831" s="1" t="str">
        <f>IFERROR(__xludf.DUMMYFUNCTION("""COMPUTED_VALUE"""),"2025 Dec")</f>
        <v>2025 Dec</v>
      </c>
      <c r="B6831" s="2">
        <f>IFERROR(__xludf.DUMMYFUNCTION("""COMPUTED_VALUE"""),45992.0)</f>
        <v>45992</v>
      </c>
      <c r="C6831" s="1" t="str">
        <f>IFERROR(__xludf.DUMMYFUNCTION("""COMPUTED_VALUE"""),"Print Support")</f>
        <v>Print Support</v>
      </c>
      <c r="D6831" s="1" t="str">
        <f>IFERROR(__xludf.DUMMYFUNCTION("""COMPUTED_VALUE"""),"f49619b0-d053-442f-946d-b652dbfb2703")</f>
        <v>f49619b0-d053-442f-946d-b652dbfb2703</v>
      </c>
      <c r="E6831" s="1"/>
      <c r="F6831" s="1"/>
      <c r="G6831" s="1">
        <f>IFERROR(__xludf.DUMMYFUNCTION("""COMPUTED_VALUE"""),1.0)</f>
        <v>1</v>
      </c>
      <c r="H6831" s="3">
        <f>IFERROR(__xludf.DUMMYFUNCTION("""COMPUTED_VALUE"""),1.0)</f>
        <v>1</v>
      </c>
      <c r="I6831" s="4">
        <f>IFERROR(__xludf.DUMMYFUNCTION("""COMPUTED_VALUE"""),1.0)</f>
        <v>1</v>
      </c>
      <c r="J6831" s="1" t="str">
        <f>IFERROR(__xludf.DUMMYFUNCTION("""COMPUTED_VALUE"""),"Aliza Dote")</f>
        <v>Aliza Dote</v>
      </c>
      <c r="K6831" s="1" t="str">
        <f>IFERROR(__xludf.DUMMYFUNCTION("""COMPUTED_VALUE"""),"Print Design Support")</f>
        <v>Print Design Support</v>
      </c>
      <c r="L6831" s="1" t="str">
        <f>IFERROR(__xludf.DUMMYFUNCTION("""COMPUTED_VALUE"""),"Print Print Design")</f>
        <v>Print Print Design</v>
      </c>
    </row>
    <row r="6832">
      <c r="A6832" s="1" t="str">
        <f>IFERROR(__xludf.DUMMYFUNCTION("""COMPUTED_VALUE"""),"2025 Dec")</f>
        <v>2025 Dec</v>
      </c>
      <c r="B6832" s="2">
        <f>IFERROR(__xludf.DUMMYFUNCTION("""COMPUTED_VALUE"""),45992.0)</f>
        <v>45992</v>
      </c>
      <c r="C6832" s="1" t="str">
        <f>IFERROR(__xludf.DUMMYFUNCTION("""COMPUTED_VALUE"""),"Core Product Support")</f>
        <v>Core Product Support</v>
      </c>
      <c r="D6832" s="1" t="str">
        <f>IFERROR(__xludf.DUMMYFUNCTION("""COMPUTED_VALUE"""),"34b01611-0778-4238-845c-71a5fb4b19f1")</f>
        <v>34b01611-0778-4238-845c-71a5fb4b19f1</v>
      </c>
      <c r="E6832" s="1">
        <f>IFERROR(__xludf.DUMMYFUNCTION("""COMPUTED_VALUE"""),1.0005722473615E13)</f>
        <v>10005722473615</v>
      </c>
      <c r="F6832" s="1">
        <f>IFERROR(__xludf.DUMMYFUNCTION("""COMPUTED_VALUE"""),0.5)</f>
        <v>0.5</v>
      </c>
      <c r="G6832" s="1">
        <f>IFERROR(__xludf.DUMMYFUNCTION("""COMPUTED_VALUE"""),1.0)</f>
        <v>1</v>
      </c>
      <c r="H6832" s="3">
        <f>IFERROR(__xludf.DUMMYFUNCTION("""COMPUTED_VALUE"""),1.5)</f>
        <v>1.5</v>
      </c>
      <c r="I6832" s="4">
        <f>IFERROR(__xludf.DUMMYFUNCTION("""COMPUTED_VALUE"""),0.6666666666666666)</f>
        <v>0.6666666667</v>
      </c>
      <c r="J6832" s="1" t="str">
        <f>IFERROR(__xludf.DUMMYFUNCTION("""COMPUTED_VALUE"""),"Vianca De Jesus")</f>
        <v>Vianca De Jesus</v>
      </c>
      <c r="K6832" s="1" t="str">
        <f>IFERROR(__xludf.DUMMYFUNCTION("""COMPUTED_VALUE"""),"Advanced Billing &amp; Subscriptions")</f>
        <v>Advanced Billing &amp; Subscriptions</v>
      </c>
      <c r="L6832" s="1" t="str">
        <f>IFERROR(__xludf.DUMMYFUNCTION("""COMPUTED_VALUE"""),"CPS Advanced Billing and Subscriptions (ABS)")</f>
        <v>CPS Advanced Billing and Subscriptions (ABS)</v>
      </c>
    </row>
    <row r="6833">
      <c r="A6833" s="1" t="str">
        <f>IFERROR(__xludf.DUMMYFUNCTION("""COMPUTED_VALUE"""),"2025 Dec")</f>
        <v>2025 Dec</v>
      </c>
      <c r="B6833" s="2">
        <f>IFERROR(__xludf.DUMMYFUNCTION("""COMPUTED_VALUE"""),45992.0)</f>
        <v>45992</v>
      </c>
      <c r="C6833" s="1" t="str">
        <f>IFERROR(__xludf.DUMMYFUNCTION("""COMPUTED_VALUE"""),"Core Product Support")</f>
        <v>Core Product Support</v>
      </c>
      <c r="D6833" s="1" t="str">
        <f>IFERROR(__xludf.DUMMYFUNCTION("""COMPUTED_VALUE"""),"29f1cfbb-326c-4f39-b32d-9350f380b21a")</f>
        <v>29f1cfbb-326c-4f39-b32d-9350f380b21a</v>
      </c>
      <c r="E6833" s="1">
        <f>IFERROR(__xludf.DUMMYFUNCTION("""COMPUTED_VALUE"""),3.61732161455E11)</f>
        <v>361732161455</v>
      </c>
      <c r="F6833" s="1"/>
      <c r="G6833" s="1">
        <f>IFERROR(__xludf.DUMMYFUNCTION("""COMPUTED_VALUE"""),3.0)</f>
        <v>3</v>
      </c>
      <c r="H6833" s="3">
        <f>IFERROR(__xludf.DUMMYFUNCTION("""COMPUTED_VALUE"""),3.0)</f>
        <v>3</v>
      </c>
      <c r="I6833" s="4">
        <f>IFERROR(__xludf.DUMMYFUNCTION("""COMPUTED_VALUE"""),1.0)</f>
        <v>1</v>
      </c>
      <c r="J6833" s="1" t="str">
        <f>IFERROR(__xludf.DUMMYFUNCTION("""COMPUTED_VALUE"""),"Bem Launte")</f>
        <v>Bem Launte</v>
      </c>
      <c r="K6833" s="1" t="str">
        <f>IFERROR(__xludf.DUMMYFUNCTION("""COMPUTED_VALUE"""),"Core Product Support Escalation Team")</f>
        <v>Core Product Support Escalation Team</v>
      </c>
      <c r="L6833" s="1" t="str">
        <f>IFERROR(__xludf.DUMMYFUNCTION("""COMPUTED_VALUE"""),"CPS Core Product Support Escalations (CPSET)")</f>
        <v>CPS Core Product Support Escalations (CPSET)</v>
      </c>
    </row>
    <row r="6834">
      <c r="A6834" s="1" t="str">
        <f>IFERROR(__xludf.DUMMYFUNCTION("""COMPUTED_VALUE"""),"2025 Dec")</f>
        <v>2025 Dec</v>
      </c>
      <c r="B6834" s="2">
        <f>IFERROR(__xludf.DUMMYFUNCTION("""COMPUTED_VALUE"""),45992.0)</f>
        <v>45992</v>
      </c>
      <c r="C6834" s="1" t="str">
        <f>IFERROR(__xludf.DUMMYFUNCTION("""COMPUTED_VALUE"""),"Print Support")</f>
        <v>Print Support</v>
      </c>
      <c r="D6834" s="1" t="str">
        <f>IFERROR(__xludf.DUMMYFUNCTION("""COMPUTED_VALUE"""),"e7288a86-def8-455e-9571-0e09ee52eb10")</f>
        <v>e7288a86-def8-455e-9571-0e09ee52eb10</v>
      </c>
      <c r="E6834" s="1">
        <f>IFERROR(__xludf.DUMMYFUNCTION("""COMPUTED_VALUE"""),5.566843775631E12)</f>
        <v>5566843775631</v>
      </c>
      <c r="F6834" s="1"/>
      <c r="G6834" s="1">
        <f>IFERROR(__xludf.DUMMYFUNCTION("""COMPUTED_VALUE"""),1.0)</f>
        <v>1</v>
      </c>
      <c r="H6834" s="3">
        <f>IFERROR(__xludf.DUMMYFUNCTION("""COMPUTED_VALUE"""),1.0)</f>
        <v>1</v>
      </c>
      <c r="I6834" s="4">
        <f>IFERROR(__xludf.DUMMYFUNCTION("""COMPUTED_VALUE"""),1.0)</f>
        <v>1</v>
      </c>
      <c r="J6834" s="1" t="str">
        <f>IFERROR(__xludf.DUMMYFUNCTION("""COMPUTED_VALUE"""),"Rae Erlano")</f>
        <v>Rae Erlano</v>
      </c>
      <c r="K6834" s="1" t="str">
        <f>IFERROR(__xludf.DUMMYFUNCTION("""COMPUTED_VALUE"""),"Print Support PH")</f>
        <v>Print Support PH</v>
      </c>
      <c r="L6834" s="1" t="str">
        <f>IFERROR(__xludf.DUMMYFUNCTION("""COMPUTED_VALUE"""),"Print Print - CHT")</f>
        <v>Print Print - CHT</v>
      </c>
    </row>
    <row r="6835">
      <c r="A6835" s="1" t="str">
        <f>IFERROR(__xludf.DUMMYFUNCTION("""COMPUTED_VALUE"""),"2025 Dec")</f>
        <v>2025 Dec</v>
      </c>
      <c r="B6835" s="2">
        <f>IFERROR(__xludf.DUMMYFUNCTION("""COMPUTED_VALUE"""),45992.0)</f>
        <v>45992</v>
      </c>
      <c r="C6835" s="1" t="str">
        <f>IFERROR(__xludf.DUMMYFUNCTION("""COMPUTED_VALUE"""),"Admin Support")</f>
        <v>Admin Support</v>
      </c>
      <c r="D6835" s="1" t="str">
        <f>IFERROR(__xludf.DUMMYFUNCTION("""COMPUTED_VALUE"""),"c771ba05-3c70-40d0-afa5-186bade746f2")</f>
        <v>c771ba05-3c70-40d0-afa5-186bade746f2</v>
      </c>
      <c r="E6835" s="1">
        <f>IFERROR(__xludf.DUMMYFUNCTION("""COMPUTED_VALUE"""),7.437392979983E12)</f>
        <v>7437392979983</v>
      </c>
      <c r="F6835" s="1"/>
      <c r="G6835" s="1">
        <f>IFERROR(__xludf.DUMMYFUNCTION("""COMPUTED_VALUE"""),2.5)</f>
        <v>2.5</v>
      </c>
      <c r="H6835" s="3">
        <f>IFERROR(__xludf.DUMMYFUNCTION("""COMPUTED_VALUE"""),2.5)</f>
        <v>2.5</v>
      </c>
      <c r="I6835" s="4">
        <f>IFERROR(__xludf.DUMMYFUNCTION("""COMPUTED_VALUE"""),1.0)</f>
        <v>1</v>
      </c>
      <c r="J6835" s="1" t="str">
        <f>IFERROR(__xludf.DUMMYFUNCTION("""COMPUTED_VALUE"""),"Rose Gabilan")</f>
        <v>Rose Gabilan</v>
      </c>
      <c r="K6835" s="1" t="str">
        <f>IFERROR(__xludf.DUMMYFUNCTION("""COMPUTED_VALUE"""),"Admin Support PH SSO")</f>
        <v>Admin Support PH SSO</v>
      </c>
      <c r="L6835" s="1" t="str">
        <f>IFERROR(__xludf.DUMMYFUNCTION("""COMPUTED_VALUE"""),"Admin SSO - CHT")</f>
        <v>Admin SSO - CHT</v>
      </c>
    </row>
    <row r="6836">
      <c r="A6836" s="1" t="str">
        <f>IFERROR(__xludf.DUMMYFUNCTION("""COMPUTED_VALUE"""),"2025 Dec")</f>
        <v>2025 Dec</v>
      </c>
      <c r="B6836" s="2">
        <f>IFERROR(__xludf.DUMMYFUNCTION("""COMPUTED_VALUE"""),45992.0)</f>
        <v>45992</v>
      </c>
      <c r="C6836" s="1" t="str">
        <f>IFERROR(__xludf.DUMMYFUNCTION("""COMPUTED_VALUE"""),"Admin Support")</f>
        <v>Admin Support</v>
      </c>
      <c r="D6836" s="1" t="str">
        <f>IFERROR(__xludf.DUMMYFUNCTION("""COMPUTED_VALUE"""),"5e57a2c8-fe7b-40fb-b179-0090e8e3060b")</f>
        <v>5e57a2c8-fe7b-40fb-b179-0090e8e3060b</v>
      </c>
      <c r="E6836" s="1">
        <f>IFERROR(__xludf.DUMMYFUNCTION("""COMPUTED_VALUE"""),3.61733079315E11)</f>
        <v>361733079315</v>
      </c>
      <c r="F6836" s="1"/>
      <c r="G6836" s="1">
        <f>IFERROR(__xludf.DUMMYFUNCTION("""COMPUTED_VALUE"""),8.25)</f>
        <v>8.25</v>
      </c>
      <c r="H6836" s="3">
        <f>IFERROR(__xludf.DUMMYFUNCTION("""COMPUTED_VALUE"""),8.25)</f>
        <v>8.25</v>
      </c>
      <c r="I6836" s="4">
        <f>IFERROR(__xludf.DUMMYFUNCTION("""COMPUTED_VALUE"""),1.0)</f>
        <v>1</v>
      </c>
      <c r="J6836" s="1" t="str">
        <f>IFERROR(__xludf.DUMMYFUNCTION("""COMPUTED_VALUE"""),"Kelden Laguting")</f>
        <v>Kelden Laguting</v>
      </c>
      <c r="K6836" s="1" t="str">
        <f>IFERROR(__xludf.DUMMYFUNCTION("""COMPUTED_VALUE"""),"Admin Support PH")</f>
        <v>Admin Support PH</v>
      </c>
      <c r="L6836" s="1" t="str">
        <f>IFERROR(__xludf.DUMMYFUNCTION("""COMPUTED_VALUE"""),"Admin PH")</f>
        <v>Admin PH</v>
      </c>
    </row>
    <row r="6837">
      <c r="A6837" s="1" t="str">
        <f>IFERROR(__xludf.DUMMYFUNCTION("""COMPUTED_VALUE"""),"2025 Dec")</f>
        <v>2025 Dec</v>
      </c>
      <c r="B6837" s="2">
        <f>IFERROR(__xludf.DUMMYFUNCTION("""COMPUTED_VALUE"""),45992.0)</f>
        <v>45992</v>
      </c>
      <c r="C6837" s="1" t="str">
        <f>IFERROR(__xludf.DUMMYFUNCTION("""COMPUTED_VALUE"""),"High Sensitivity Support")</f>
        <v>High Sensitivity Support</v>
      </c>
      <c r="D6837" s="1" t="str">
        <f>IFERROR(__xludf.DUMMYFUNCTION("""COMPUTED_VALUE"""),"b7fd1097-c419-4ccc-9d67-4b66f71021a1")</f>
        <v>b7fd1097-c419-4ccc-9d67-4b66f71021a1</v>
      </c>
      <c r="E6837" s="1">
        <f>IFERROR(__xludf.DUMMYFUNCTION("""COMPUTED_VALUE"""),8.139562541455E12)</f>
        <v>8139562541455</v>
      </c>
      <c r="F6837" s="1">
        <f>IFERROR(__xludf.DUMMYFUNCTION("""COMPUTED_VALUE"""),4.0)</f>
        <v>4</v>
      </c>
      <c r="G6837" s="1"/>
      <c r="H6837" s="3">
        <f>IFERROR(__xludf.DUMMYFUNCTION("""COMPUTED_VALUE"""),4.0)</f>
        <v>4</v>
      </c>
      <c r="I6837" s="4">
        <f>IFERROR(__xludf.DUMMYFUNCTION("""COMPUTED_VALUE"""),0.0)</f>
        <v>0</v>
      </c>
      <c r="J6837" s="1" t="str">
        <f>IFERROR(__xludf.DUMMYFUNCTION("""COMPUTED_VALUE"""),"Rossheen Pura")</f>
        <v>Rossheen Pura</v>
      </c>
      <c r="K6837" s="1" t="str">
        <f>IFERROR(__xludf.DUMMYFUNCTION("""COMPUTED_VALUE"""),"High Sensitivity Support PH")</f>
        <v>High Sensitivity Support PH</v>
      </c>
      <c r="L6837" s="1" t="str">
        <f>IFERROR(__xludf.DUMMYFUNCTION("""COMPUTED_VALUE"""),"HSS High Sensitivity Support PH - CHT")</f>
        <v>HSS High Sensitivity Support PH - CHT</v>
      </c>
    </row>
    <row r="6838">
      <c r="A6838" s="1" t="str">
        <f>IFERROR(__xludf.DUMMYFUNCTION("""COMPUTED_VALUE"""),"2025 Dec")</f>
        <v>2025 Dec</v>
      </c>
      <c r="B6838" s="2">
        <f>IFERROR(__xludf.DUMMYFUNCTION("""COMPUTED_VALUE"""),45992.0)</f>
        <v>45992</v>
      </c>
      <c r="C6838" s="1" t="str">
        <f>IFERROR(__xludf.DUMMYFUNCTION("""COMPUTED_VALUE"""),"Core Product Support")</f>
        <v>Core Product Support</v>
      </c>
      <c r="D6838" s="1" t="str">
        <f>IFERROR(__xludf.DUMMYFUNCTION("""COMPUTED_VALUE"""),"20080360-d6b6-487a-ad2b-4d92f14a3e3a")</f>
        <v>20080360-d6b6-487a-ad2b-4d92f14a3e3a</v>
      </c>
      <c r="E6838" s="1">
        <f>IFERROR(__xludf.DUMMYFUNCTION("""COMPUTED_VALUE"""),5.901973593231E12)</f>
        <v>5901973593231</v>
      </c>
      <c r="F6838" s="1">
        <f>IFERROR(__xludf.DUMMYFUNCTION("""COMPUTED_VALUE"""),0.5)</f>
        <v>0.5</v>
      </c>
      <c r="G6838" s="1"/>
      <c r="H6838" s="3">
        <f>IFERROR(__xludf.DUMMYFUNCTION("""COMPUTED_VALUE"""),0.5)</f>
        <v>0.5</v>
      </c>
      <c r="I6838" s="4">
        <f>IFERROR(__xludf.DUMMYFUNCTION("""COMPUTED_VALUE"""),0.0)</f>
        <v>0</v>
      </c>
      <c r="J6838" s="1" t="str">
        <f>IFERROR(__xludf.DUMMYFUNCTION("""COMPUTED_VALUE"""),"Jelyn Elmido")</f>
        <v>Jelyn Elmido</v>
      </c>
      <c r="K6838" s="1" t="str">
        <f>IFERROR(__xludf.DUMMYFUNCTION("""COMPUTED_VALUE"""),"Advanced Product Support")</f>
        <v>Advanced Product Support</v>
      </c>
      <c r="L6838" s="1" t="str">
        <f>IFERROR(__xludf.DUMMYFUNCTION("""COMPUTED_VALUE"""),"CPS Advanced Product Support (APS)")</f>
        <v>CPS Advanced Product Support (APS)</v>
      </c>
    </row>
    <row r="6839">
      <c r="A6839" s="1" t="str">
        <f>IFERROR(__xludf.DUMMYFUNCTION("""COMPUTED_VALUE"""),"2025 Dec")</f>
        <v>2025 Dec</v>
      </c>
      <c r="B6839" s="2">
        <f>IFERROR(__xludf.DUMMYFUNCTION("""COMPUTED_VALUE"""),45992.0)</f>
        <v>45992</v>
      </c>
      <c r="C6839" s="1" t="str">
        <f>IFERROR(__xludf.DUMMYFUNCTION("""COMPUTED_VALUE"""),"High Sensitivity Support")</f>
        <v>High Sensitivity Support</v>
      </c>
      <c r="D6839" s="1" t="str">
        <f>IFERROR(__xludf.DUMMYFUNCTION("""COMPUTED_VALUE"""),"27bbaf2c-6971-4b55-91a0-193260eb00dd")</f>
        <v>27bbaf2c-6971-4b55-91a0-193260eb00dd</v>
      </c>
      <c r="E6839" s="1">
        <f>IFERROR(__xludf.DUMMYFUNCTION("""COMPUTED_VALUE"""),5.202441057551E12)</f>
        <v>5202441057551</v>
      </c>
      <c r="F6839" s="1">
        <f>IFERROR(__xludf.DUMMYFUNCTION("""COMPUTED_VALUE"""),4.0)</f>
        <v>4</v>
      </c>
      <c r="G6839" s="1"/>
      <c r="H6839" s="3">
        <f>IFERROR(__xludf.DUMMYFUNCTION("""COMPUTED_VALUE"""),4.0)</f>
        <v>4</v>
      </c>
      <c r="I6839" s="4">
        <f>IFERROR(__xludf.DUMMYFUNCTION("""COMPUTED_VALUE"""),0.0)</f>
        <v>0</v>
      </c>
      <c r="J6839" s="1" t="str">
        <f>IFERROR(__xludf.DUMMYFUNCTION("""COMPUTED_VALUE"""),"Xandy Azarcon")</f>
        <v>Xandy Azarcon</v>
      </c>
      <c r="K6839" s="1" t="str">
        <f>IFERROR(__xludf.DUMMYFUNCTION("""COMPUTED_VALUE"""),"High Sensitivity Support PH")</f>
        <v>High Sensitivity Support PH</v>
      </c>
      <c r="L6839" s="1" t="str">
        <f>IFERROR(__xludf.DUMMYFUNCTION("""COMPUTED_VALUE"""),"HSS High Sensitivity Support PH - CHT")</f>
        <v>HSS High Sensitivity Support PH - CHT</v>
      </c>
    </row>
    <row r="6840">
      <c r="A6840" s="1" t="str">
        <f>IFERROR(__xludf.DUMMYFUNCTION("""COMPUTED_VALUE"""),"2025 Dec")</f>
        <v>2025 Dec</v>
      </c>
      <c r="B6840" s="2">
        <f>IFERROR(__xludf.DUMMYFUNCTION("""COMPUTED_VALUE"""),45992.0)</f>
        <v>45992</v>
      </c>
      <c r="C6840" s="1" t="str">
        <f>IFERROR(__xludf.DUMMYFUNCTION("""COMPUTED_VALUE"""),"Core Product Support")</f>
        <v>Core Product Support</v>
      </c>
      <c r="D6840" s="1" t="str">
        <f>IFERROR(__xludf.DUMMYFUNCTION("""COMPUTED_VALUE"""),"426201d1-0b5d-4900-95cc-7a8b0c35e471")</f>
        <v>426201d1-0b5d-4900-95cc-7a8b0c35e471</v>
      </c>
      <c r="E6840" s="1">
        <f>IFERROR(__xludf.DUMMYFUNCTION("""COMPUTED_VALUE"""),7.235417174415E12)</f>
        <v>7235417174415</v>
      </c>
      <c r="F6840" s="1">
        <f>IFERROR(__xludf.DUMMYFUNCTION("""COMPUTED_VALUE"""),0.5)</f>
        <v>0.5</v>
      </c>
      <c r="G6840" s="1"/>
      <c r="H6840" s="3">
        <f>IFERROR(__xludf.DUMMYFUNCTION("""COMPUTED_VALUE"""),0.5)</f>
        <v>0.5</v>
      </c>
      <c r="I6840" s="4">
        <f>IFERROR(__xludf.DUMMYFUNCTION("""COMPUTED_VALUE"""),0.0)</f>
        <v>0</v>
      </c>
      <c r="J6840" s="1" t="str">
        <f>IFERROR(__xludf.DUMMYFUNCTION("""COMPUTED_VALUE"""),"Ana Lazaro")</f>
        <v>Ana Lazaro</v>
      </c>
      <c r="K6840" s="1" t="str">
        <f>IFERROR(__xludf.DUMMYFUNCTION("""COMPUTED_VALUE"""),"Advanced Billing &amp; Subscriptions")</f>
        <v>Advanced Billing &amp; Subscriptions</v>
      </c>
      <c r="L6840" s="1" t="str">
        <f>IFERROR(__xludf.DUMMYFUNCTION("""COMPUTED_VALUE"""),"CPS Advanced Billing and Subscriptions (ABS)")</f>
        <v>CPS Advanced Billing and Subscriptions (ABS)</v>
      </c>
    </row>
    <row r="6841">
      <c r="A6841" s="1" t="str">
        <f>IFERROR(__xludf.DUMMYFUNCTION("""COMPUTED_VALUE"""),"2025 Dec")</f>
        <v>2025 Dec</v>
      </c>
      <c r="B6841" s="2">
        <f>IFERROR(__xludf.DUMMYFUNCTION("""COMPUTED_VALUE"""),45992.0)</f>
        <v>45992</v>
      </c>
      <c r="C6841" s="1" t="str">
        <f>IFERROR(__xludf.DUMMYFUNCTION("""COMPUTED_VALUE"""),"Print Support")</f>
        <v>Print Support</v>
      </c>
      <c r="D6841" s="1" t="str">
        <f>IFERROR(__xludf.DUMMYFUNCTION("""COMPUTED_VALUE"""),"ae33c457-9730-4b61-af51-a03edb80253a")</f>
        <v>ae33c457-9730-4b61-af51-a03edb80253a</v>
      </c>
      <c r="E6841" s="1">
        <f>IFERROR(__xludf.DUMMYFUNCTION("""COMPUTED_VALUE"""),3.61733077175E11)</f>
        <v>361733077175</v>
      </c>
      <c r="F6841" s="1"/>
      <c r="G6841" s="1"/>
      <c r="H6841" s="3">
        <f>IFERROR(__xludf.DUMMYFUNCTION("""COMPUTED_VALUE"""),0.0)</f>
        <v>0</v>
      </c>
      <c r="I6841" s="4"/>
      <c r="J6841" s="1" t="str">
        <f>IFERROR(__xludf.DUMMYFUNCTION("""COMPUTED_VALUE"""),"Ann Dumlao")</f>
        <v>Ann Dumlao</v>
      </c>
      <c r="K6841" s="1" t="str">
        <f>IFERROR(__xludf.DUMMYFUNCTION("""COMPUTED_VALUE"""),"Print Support PH")</f>
        <v>Print Support PH</v>
      </c>
      <c r="L6841" s="1" t="str">
        <f>IFERROR(__xludf.DUMMYFUNCTION("""COMPUTED_VALUE"""),"Print Print - CHT")</f>
        <v>Print Print - CHT</v>
      </c>
    </row>
    <row r="6842">
      <c r="A6842" s="1" t="str">
        <f>IFERROR(__xludf.DUMMYFUNCTION("""COMPUTED_VALUE"""),"2025 Dec")</f>
        <v>2025 Dec</v>
      </c>
      <c r="B6842" s="2">
        <f>IFERROR(__xludf.DUMMYFUNCTION("""COMPUTED_VALUE"""),45992.0)</f>
        <v>45992</v>
      </c>
      <c r="C6842" s="1" t="str">
        <f>IFERROR(__xludf.DUMMYFUNCTION("""COMPUTED_VALUE"""),"Core Product Support")</f>
        <v>Core Product Support</v>
      </c>
      <c r="D6842" s="1" t="str">
        <f>IFERROR(__xludf.DUMMYFUNCTION("""COMPUTED_VALUE"""),"2436b15f-d23f-4ea2-bd46-0852b5df957c")</f>
        <v>2436b15f-d23f-4ea2-bd46-0852b5df957c</v>
      </c>
      <c r="E6842" s="1">
        <f>IFERROR(__xludf.DUMMYFUNCTION("""COMPUTED_VALUE"""),3.61731349115E11)</f>
        <v>361731349115</v>
      </c>
      <c r="F6842" s="1"/>
      <c r="G6842" s="1"/>
      <c r="H6842" s="3">
        <f>IFERROR(__xludf.DUMMYFUNCTION("""COMPUTED_VALUE"""),0.0)</f>
        <v>0</v>
      </c>
      <c r="I6842" s="4"/>
      <c r="J6842" s="1" t="str">
        <f>IFERROR(__xludf.DUMMYFUNCTION("""COMPUTED_VALUE"""),"Vinz Lazaro")</f>
        <v>Vinz Lazaro</v>
      </c>
      <c r="K6842" s="1" t="str">
        <f>IFERROR(__xludf.DUMMYFUNCTION("""COMPUTED_VALUE"""),"Advanced Product Support")</f>
        <v>Advanced Product Support</v>
      </c>
      <c r="L6842" s="1" t="str">
        <f>IFERROR(__xludf.DUMMYFUNCTION("""COMPUTED_VALUE"""),"CPS Advanced Product Support (APS)")</f>
        <v>CPS Advanced Product Support (APS)</v>
      </c>
    </row>
    <row r="6843">
      <c r="A6843" s="1" t="str">
        <f>IFERROR(__xludf.DUMMYFUNCTION("""COMPUTED_VALUE"""),"2025 Dec")</f>
        <v>2025 Dec</v>
      </c>
      <c r="B6843" s="2">
        <f>IFERROR(__xludf.DUMMYFUNCTION("""COMPUTED_VALUE"""),45992.0)</f>
        <v>45992</v>
      </c>
      <c r="C6843" s="1" t="str">
        <f>IFERROR(__xludf.DUMMYFUNCTION("""COMPUTED_VALUE"""),"High Sensitivity Support")</f>
        <v>High Sensitivity Support</v>
      </c>
      <c r="D6843" s="1" t="str">
        <f>IFERROR(__xludf.DUMMYFUNCTION("""COMPUTED_VALUE"""),"3a5a6ab5-8abf-422b-9670-8975c03a0818")</f>
        <v>3a5a6ab5-8abf-422b-9670-8975c03a0818</v>
      </c>
      <c r="E6843" s="1">
        <f>IFERROR(__xludf.DUMMYFUNCTION("""COMPUTED_VALUE"""),3.61725260976E11)</f>
        <v>361725260976</v>
      </c>
      <c r="F6843" s="1">
        <f>IFERROR(__xludf.DUMMYFUNCTION("""COMPUTED_VALUE"""),4.0)</f>
        <v>4</v>
      </c>
      <c r="G6843" s="1"/>
      <c r="H6843" s="3">
        <f>IFERROR(__xludf.DUMMYFUNCTION("""COMPUTED_VALUE"""),4.0)</f>
        <v>4</v>
      </c>
      <c r="I6843" s="4">
        <f>IFERROR(__xludf.DUMMYFUNCTION("""COMPUTED_VALUE"""),0.0)</f>
        <v>0</v>
      </c>
      <c r="J6843" s="1" t="str">
        <f>IFERROR(__xludf.DUMMYFUNCTION("""COMPUTED_VALUE"""),"Rossheen Pura")</f>
        <v>Rossheen Pura</v>
      </c>
      <c r="K6843" s="1" t="str">
        <f>IFERROR(__xludf.DUMMYFUNCTION("""COMPUTED_VALUE"""),"High Sensitivity Support PH")</f>
        <v>High Sensitivity Support PH</v>
      </c>
      <c r="L6843" s="1" t="str">
        <f>IFERROR(__xludf.DUMMYFUNCTION("""COMPUTED_VALUE"""),"HSS High Sensitivity Support PH - CHT")</f>
        <v>HSS High Sensitivity Support PH - CHT</v>
      </c>
    </row>
    <row r="6844">
      <c r="A6844" s="1" t="str">
        <f>IFERROR(__xludf.DUMMYFUNCTION("""COMPUTED_VALUE"""),"2025 Dec")</f>
        <v>2025 Dec</v>
      </c>
      <c r="B6844" s="2">
        <f>IFERROR(__xludf.DUMMYFUNCTION("""COMPUTED_VALUE"""),45992.0)</f>
        <v>45992</v>
      </c>
      <c r="C6844" s="1" t="str">
        <f>IFERROR(__xludf.DUMMYFUNCTION("""COMPUTED_VALUE"""),"Core Product Support")</f>
        <v>Core Product Support</v>
      </c>
      <c r="D6844" s="1" t="str">
        <f>IFERROR(__xludf.DUMMYFUNCTION("""COMPUTED_VALUE"""),"ec2c53f2-66fa-462e-9ac9-b9e626e485b4")</f>
        <v>ec2c53f2-66fa-462e-9ac9-b9e626e485b4</v>
      </c>
      <c r="E6844" s="1">
        <f>IFERROR(__xludf.DUMMYFUNCTION("""COMPUTED_VALUE"""),5.047318720783E12)</f>
        <v>5047318720783</v>
      </c>
      <c r="F6844" s="1">
        <f>IFERROR(__xludf.DUMMYFUNCTION("""COMPUTED_VALUE"""),0.5)</f>
        <v>0.5</v>
      </c>
      <c r="G6844" s="1">
        <f>IFERROR(__xludf.DUMMYFUNCTION("""COMPUTED_VALUE"""),0.25)</f>
        <v>0.25</v>
      </c>
      <c r="H6844" s="3">
        <f>IFERROR(__xludf.DUMMYFUNCTION("""COMPUTED_VALUE"""),0.75)</f>
        <v>0.75</v>
      </c>
      <c r="I6844" s="4">
        <f>IFERROR(__xludf.DUMMYFUNCTION("""COMPUTED_VALUE"""),0.3333333333333333)</f>
        <v>0.3333333333</v>
      </c>
      <c r="J6844" s="1" t="str">
        <f>IFERROR(__xludf.DUMMYFUNCTION("""COMPUTED_VALUE"""),"Vinz Lazaro")</f>
        <v>Vinz Lazaro</v>
      </c>
      <c r="K6844" s="1" t="str">
        <f>IFERROR(__xludf.DUMMYFUNCTION("""COMPUTED_VALUE"""),"Advanced Product Support")</f>
        <v>Advanced Product Support</v>
      </c>
      <c r="L6844" s="1" t="str">
        <f>IFERROR(__xludf.DUMMYFUNCTION("""COMPUTED_VALUE"""),"CPS Advanced Product Support (APS)")</f>
        <v>CPS Advanced Product Support (APS)</v>
      </c>
    </row>
    <row r="6845">
      <c r="A6845" s="1" t="str">
        <f>IFERROR(__xludf.DUMMYFUNCTION("""COMPUTED_VALUE"""),"2025 Dec")</f>
        <v>2025 Dec</v>
      </c>
      <c r="B6845" s="2">
        <f>IFERROR(__xludf.DUMMYFUNCTION("""COMPUTED_VALUE"""),45992.0)</f>
        <v>45992</v>
      </c>
      <c r="C6845" s="1" t="str">
        <f>IFERROR(__xludf.DUMMYFUNCTION("""COMPUTED_VALUE"""),"High Sensitivity Support")</f>
        <v>High Sensitivity Support</v>
      </c>
      <c r="D6845" s="1" t="str">
        <f>IFERROR(__xludf.DUMMYFUNCTION("""COMPUTED_VALUE"""),"ac409d1d-146f-4f2e-97cf-ac668184be31")</f>
        <v>ac409d1d-146f-4f2e-97cf-ac668184be31</v>
      </c>
      <c r="E6845" s="1">
        <f>IFERROR(__xludf.DUMMYFUNCTION("""COMPUTED_VALUE"""),9.285050515215E12)</f>
        <v>9285050515215</v>
      </c>
      <c r="F6845" s="1">
        <f>IFERROR(__xludf.DUMMYFUNCTION("""COMPUTED_VALUE"""),4.0)</f>
        <v>4</v>
      </c>
      <c r="G6845" s="1"/>
      <c r="H6845" s="3">
        <f>IFERROR(__xludf.DUMMYFUNCTION("""COMPUTED_VALUE"""),4.0)</f>
        <v>4</v>
      </c>
      <c r="I6845" s="4">
        <f>IFERROR(__xludf.DUMMYFUNCTION("""COMPUTED_VALUE"""),0.0)</f>
        <v>0</v>
      </c>
      <c r="J6845" s="1" t="str">
        <f>IFERROR(__xludf.DUMMYFUNCTION("""COMPUTED_VALUE"""),"Xandy Azarcon")</f>
        <v>Xandy Azarcon</v>
      </c>
      <c r="K6845" s="1" t="str">
        <f>IFERROR(__xludf.DUMMYFUNCTION("""COMPUTED_VALUE"""),"High Sensitivity Support PH")</f>
        <v>High Sensitivity Support PH</v>
      </c>
      <c r="L6845" s="1" t="str">
        <f>IFERROR(__xludf.DUMMYFUNCTION("""COMPUTED_VALUE"""),"HSS High Sensitivity Support PH - CHT")</f>
        <v>HSS High Sensitivity Support PH - CHT</v>
      </c>
    </row>
    <row r="6846">
      <c r="A6846" s="1" t="str">
        <f>IFERROR(__xludf.DUMMYFUNCTION("""COMPUTED_VALUE"""),"2025 Dec")</f>
        <v>2025 Dec</v>
      </c>
      <c r="B6846" s="2">
        <f>IFERROR(__xludf.DUMMYFUNCTION("""COMPUTED_VALUE"""),45992.0)</f>
        <v>45992</v>
      </c>
      <c r="C6846" s="1" t="str">
        <f>IFERROR(__xludf.DUMMYFUNCTION("""COMPUTED_VALUE"""),"Admin Support")</f>
        <v>Admin Support</v>
      </c>
      <c r="D6846" s="1" t="str">
        <f>IFERROR(__xludf.DUMMYFUNCTION("""COMPUTED_VALUE"""),"390ace33-d7f9-4dda-8f95-3d06e72320ce")</f>
        <v>390ace33-d7f9-4dda-8f95-3d06e72320ce</v>
      </c>
      <c r="E6846" s="1">
        <f>IFERROR(__xludf.DUMMYFUNCTION("""COMPUTED_VALUE"""),3.61724963216E11)</f>
        <v>361724963216</v>
      </c>
      <c r="F6846" s="1"/>
      <c r="G6846" s="1">
        <f>IFERROR(__xludf.DUMMYFUNCTION("""COMPUTED_VALUE"""),1.75)</f>
        <v>1.75</v>
      </c>
      <c r="H6846" s="3">
        <f>IFERROR(__xludf.DUMMYFUNCTION("""COMPUTED_VALUE"""),1.75)</f>
        <v>1.75</v>
      </c>
      <c r="I6846" s="4">
        <f>IFERROR(__xludf.DUMMYFUNCTION("""COMPUTED_VALUE"""),1.0)</f>
        <v>1</v>
      </c>
      <c r="J6846" s="1" t="str">
        <f>IFERROR(__xludf.DUMMYFUNCTION("""COMPUTED_VALUE"""),"Karla Mananghaya")</f>
        <v>Karla Mananghaya</v>
      </c>
      <c r="K6846" s="1" t="str">
        <f>IFERROR(__xludf.DUMMYFUNCTION("""COMPUTED_VALUE"""),"Admin Support PH")</f>
        <v>Admin Support PH</v>
      </c>
      <c r="L6846" s="1" t="str">
        <f>IFERROR(__xludf.DUMMYFUNCTION("""COMPUTED_VALUE"""),"Admin - SEE")</f>
        <v>Admin - SEE</v>
      </c>
    </row>
    <row r="6847">
      <c r="A6847" s="1" t="str">
        <f>IFERROR(__xludf.DUMMYFUNCTION("""COMPUTED_VALUE"""),"2025 Dec")</f>
        <v>2025 Dec</v>
      </c>
      <c r="B6847" s="2">
        <f>IFERROR(__xludf.DUMMYFUNCTION("""COMPUTED_VALUE"""),45992.0)</f>
        <v>45992</v>
      </c>
      <c r="C6847" s="1" t="str">
        <f>IFERROR(__xludf.DUMMYFUNCTION("""COMPUTED_VALUE"""),"Core Product Support")</f>
        <v>Core Product Support</v>
      </c>
      <c r="D6847" s="1" t="str">
        <f>IFERROR(__xludf.DUMMYFUNCTION("""COMPUTED_VALUE"""),"4213e169-349c-47c9-b613-f4356c986a3d")</f>
        <v>4213e169-349c-47c9-b613-f4356c986a3d</v>
      </c>
      <c r="E6847" s="1">
        <f>IFERROR(__xludf.DUMMYFUNCTION("""COMPUTED_VALUE"""),1.0548588312463E13)</f>
        <v>10548588312463</v>
      </c>
      <c r="F6847" s="1">
        <f>IFERROR(__xludf.DUMMYFUNCTION("""COMPUTED_VALUE"""),0.25)</f>
        <v>0.25</v>
      </c>
      <c r="G6847" s="1">
        <f>IFERROR(__xludf.DUMMYFUNCTION("""COMPUTED_VALUE"""),0.25)</f>
        <v>0.25</v>
      </c>
      <c r="H6847" s="3">
        <f>IFERROR(__xludf.DUMMYFUNCTION("""COMPUTED_VALUE"""),0.5)</f>
        <v>0.5</v>
      </c>
      <c r="I6847" s="4">
        <f>IFERROR(__xludf.DUMMYFUNCTION("""COMPUTED_VALUE"""),0.5)</f>
        <v>0.5</v>
      </c>
      <c r="J6847" s="1" t="str">
        <f>IFERROR(__xludf.DUMMYFUNCTION("""COMPUTED_VALUE"""),"Belle Bentazal")</f>
        <v>Belle Bentazal</v>
      </c>
      <c r="K6847" s="1" t="str">
        <f>IFERROR(__xludf.DUMMYFUNCTION("""COMPUTED_VALUE"""),"Advanced Product Support")</f>
        <v>Advanced Product Support</v>
      </c>
      <c r="L6847" s="1" t="str">
        <f>IFERROR(__xludf.DUMMYFUNCTION("""COMPUTED_VALUE"""),"CPS Advanced Product Support (APS)")</f>
        <v>CPS Advanced Product Support (APS)</v>
      </c>
    </row>
    <row r="6848">
      <c r="A6848" s="1" t="str">
        <f>IFERROR(__xludf.DUMMYFUNCTION("""COMPUTED_VALUE"""),"2025 Dec")</f>
        <v>2025 Dec</v>
      </c>
      <c r="B6848" s="2">
        <f>IFERROR(__xludf.DUMMYFUNCTION("""COMPUTED_VALUE"""),45992.0)</f>
        <v>45992</v>
      </c>
      <c r="C6848" s="1" t="str">
        <f>IFERROR(__xludf.DUMMYFUNCTION("""COMPUTED_VALUE"""),"Core Product Support")</f>
        <v>Core Product Support</v>
      </c>
      <c r="D6848" s="1" t="str">
        <f>IFERROR(__xludf.DUMMYFUNCTION("""COMPUTED_VALUE"""),"3d49537c-dbf0-4f04-896b-1d3cc141a183")</f>
        <v>3d49537c-dbf0-4f04-896b-1d3cc141a183</v>
      </c>
      <c r="E6848" s="1">
        <f>IFERROR(__xludf.DUMMYFUNCTION("""COMPUTED_VALUE"""),5.901988041103E12)</f>
        <v>5901988041103</v>
      </c>
      <c r="F6848" s="1">
        <f>IFERROR(__xludf.DUMMYFUNCTION("""COMPUTED_VALUE"""),0.5)</f>
        <v>0.5</v>
      </c>
      <c r="G6848" s="1">
        <f>IFERROR(__xludf.DUMMYFUNCTION("""COMPUTED_VALUE"""),1.0)</f>
        <v>1</v>
      </c>
      <c r="H6848" s="3">
        <f>IFERROR(__xludf.DUMMYFUNCTION("""COMPUTED_VALUE"""),1.5)</f>
        <v>1.5</v>
      </c>
      <c r="I6848" s="4">
        <f>IFERROR(__xludf.DUMMYFUNCTION("""COMPUTED_VALUE"""),0.6666666666666666)</f>
        <v>0.6666666667</v>
      </c>
      <c r="J6848" s="1" t="str">
        <f>IFERROR(__xludf.DUMMYFUNCTION("""COMPUTED_VALUE"""),"Vianca De Jesus")</f>
        <v>Vianca De Jesus</v>
      </c>
      <c r="K6848" s="1" t="str">
        <f>IFERROR(__xludf.DUMMYFUNCTION("""COMPUTED_VALUE"""),"Advanced Chat Support")</f>
        <v>Advanced Chat Support</v>
      </c>
      <c r="L6848" s="1" t="str">
        <f>IFERROR(__xludf.DUMMYFUNCTION("""COMPUTED_VALUE"""),"CPS Advanced Chat Support (ACS)")</f>
        <v>CPS Advanced Chat Support (ACS)</v>
      </c>
    </row>
    <row r="6849">
      <c r="A6849" s="1" t="str">
        <f>IFERROR(__xludf.DUMMYFUNCTION("""COMPUTED_VALUE"""),"2025 Dec")</f>
        <v>2025 Dec</v>
      </c>
      <c r="B6849" s="2">
        <f>IFERROR(__xludf.DUMMYFUNCTION("""COMPUTED_VALUE"""),45992.0)</f>
        <v>45992</v>
      </c>
      <c r="C6849" s="1" t="str">
        <f>IFERROR(__xludf.DUMMYFUNCTION("""COMPUTED_VALUE"""),"Core Product Support")</f>
        <v>Core Product Support</v>
      </c>
      <c r="D6849" s="1" t="str">
        <f>IFERROR(__xludf.DUMMYFUNCTION("""COMPUTED_VALUE"""),"b5f49a72-6ea0-44a0-8325-970c0e83dea7")</f>
        <v>b5f49a72-6ea0-44a0-8325-970c0e83dea7</v>
      </c>
      <c r="E6849" s="1">
        <f>IFERROR(__xludf.DUMMYFUNCTION("""COMPUTED_VALUE"""),9.586408388239E12)</f>
        <v>9586408388239</v>
      </c>
      <c r="F6849" s="1">
        <f>IFERROR(__xludf.DUMMYFUNCTION("""COMPUTED_VALUE"""),0.25)</f>
        <v>0.25</v>
      </c>
      <c r="G6849" s="1">
        <f>IFERROR(__xludf.DUMMYFUNCTION("""COMPUTED_VALUE"""),0.25)</f>
        <v>0.25</v>
      </c>
      <c r="H6849" s="3">
        <f>IFERROR(__xludf.DUMMYFUNCTION("""COMPUTED_VALUE"""),0.5)</f>
        <v>0.5</v>
      </c>
      <c r="I6849" s="4">
        <f>IFERROR(__xludf.DUMMYFUNCTION("""COMPUTED_VALUE"""),0.5)</f>
        <v>0.5</v>
      </c>
      <c r="J6849" s="1" t="str">
        <f>IFERROR(__xludf.DUMMYFUNCTION("""COMPUTED_VALUE"""),"Belle Bentazal")</f>
        <v>Belle Bentazal</v>
      </c>
      <c r="K6849" s="1" t="str">
        <f>IFERROR(__xludf.DUMMYFUNCTION("""COMPUTED_VALUE"""),"Advanced Product Support")</f>
        <v>Advanced Product Support</v>
      </c>
      <c r="L6849" s="1" t="str">
        <f>IFERROR(__xludf.DUMMYFUNCTION("""COMPUTED_VALUE"""),"CPS Advanced Product Support (APS)")</f>
        <v>CPS Advanced Product Support (APS)</v>
      </c>
    </row>
    <row r="6850">
      <c r="A6850" s="1" t="str">
        <f>IFERROR(__xludf.DUMMYFUNCTION("""COMPUTED_VALUE"""),"2025 Dec")</f>
        <v>2025 Dec</v>
      </c>
      <c r="B6850" s="2">
        <f>IFERROR(__xludf.DUMMYFUNCTION("""COMPUTED_VALUE"""),45992.0)</f>
        <v>45992</v>
      </c>
      <c r="C6850" s="1" t="str">
        <f>IFERROR(__xludf.DUMMYFUNCTION("""COMPUTED_VALUE"""),"Admin Support")</f>
        <v>Admin Support</v>
      </c>
      <c r="D6850" s="1" t="str">
        <f>IFERROR(__xludf.DUMMYFUNCTION("""COMPUTED_VALUE"""),"3960812e-748b-47a3-8dea-3a0c6b21aee1")</f>
        <v>3960812e-748b-47a3-8dea-3a0c6b21aee1</v>
      </c>
      <c r="E6850" s="1">
        <f>IFERROR(__xludf.DUMMYFUNCTION("""COMPUTED_VALUE"""),9.107749076367E12)</f>
        <v>9107749076367</v>
      </c>
      <c r="F6850" s="1"/>
      <c r="G6850" s="1">
        <f>IFERROR(__xludf.DUMMYFUNCTION("""COMPUTED_VALUE"""),6.75)</f>
        <v>6.75</v>
      </c>
      <c r="H6850" s="3">
        <f>IFERROR(__xludf.DUMMYFUNCTION("""COMPUTED_VALUE"""),6.75)</f>
        <v>6.75</v>
      </c>
      <c r="I6850" s="4">
        <f>IFERROR(__xludf.DUMMYFUNCTION("""COMPUTED_VALUE"""),1.0)</f>
        <v>1</v>
      </c>
      <c r="J6850" s="1" t="str">
        <f>IFERROR(__xludf.DUMMYFUNCTION("""COMPUTED_VALUE"""),"Pau Palmero")</f>
        <v>Pau Palmero</v>
      </c>
      <c r="K6850" s="1" t="str">
        <f>IFERROR(__xludf.DUMMYFUNCTION("""COMPUTED_VALUE"""),"Admin Support PH CEDD")</f>
        <v>Admin Support PH CEDD</v>
      </c>
      <c r="L6850" s="1" t="str">
        <f>IFERROR(__xludf.DUMMYFUNCTION("""COMPUTED_VALUE"""),"Admin CEDD Apps,Admin CEDD Inbox Mgt")</f>
        <v>Admin CEDD Apps,Admin CEDD Inbox Mgt</v>
      </c>
    </row>
    <row r="6851">
      <c r="A6851" s="1" t="str">
        <f>IFERROR(__xludf.DUMMYFUNCTION("""COMPUTED_VALUE"""),"2025 Dec")</f>
        <v>2025 Dec</v>
      </c>
      <c r="B6851" s="2">
        <f>IFERROR(__xludf.DUMMYFUNCTION("""COMPUTED_VALUE"""),45992.0)</f>
        <v>45992</v>
      </c>
      <c r="C6851" s="1" t="str">
        <f>IFERROR(__xludf.DUMMYFUNCTION("""COMPUTED_VALUE"""),"Segment-specific Support")</f>
        <v>Segment-specific Support</v>
      </c>
      <c r="D6851" s="1" t="str">
        <f>IFERROR(__xludf.DUMMYFUNCTION("""COMPUTED_VALUE"""),"0519f8dd-38e2-4c44-b925-77b43587196d")</f>
        <v>0519f8dd-38e2-4c44-b925-77b43587196d</v>
      </c>
      <c r="E6851" s="1">
        <f>IFERROR(__xludf.DUMMYFUNCTION("""COMPUTED_VALUE"""),3.61731348815E11)</f>
        <v>361731348815</v>
      </c>
      <c r="F6851" s="1"/>
      <c r="G6851" s="1"/>
      <c r="H6851" s="3">
        <f>IFERROR(__xludf.DUMMYFUNCTION("""COMPUTED_VALUE"""),0.0)</f>
        <v>0</v>
      </c>
      <c r="I6851" s="4"/>
      <c r="J6851" s="1" t="str">
        <f>IFERROR(__xludf.DUMMYFUNCTION("""COMPUTED_VALUE"""),"Aileen Dayanghirang")</f>
        <v>Aileen Dayanghirang</v>
      </c>
      <c r="K6851" s="1" t="str">
        <f>IFERROR(__xludf.DUMMYFUNCTION("""COMPUTED_VALUE"""),"Creators Support")</f>
        <v>Creators Support</v>
      </c>
      <c r="L6851" s="1" t="str">
        <f>IFERROR(__xludf.DUMMYFUNCTION("""COMPUTED_VALUE"""),"SSS Creators")</f>
        <v>SSS Creators</v>
      </c>
    </row>
    <row r="6852">
      <c r="A6852" s="1" t="str">
        <f>IFERROR(__xludf.DUMMYFUNCTION("""COMPUTED_VALUE"""),"2025 Dec")</f>
        <v>2025 Dec</v>
      </c>
      <c r="B6852" s="2">
        <f>IFERROR(__xludf.DUMMYFUNCTION("""COMPUTED_VALUE"""),45992.0)</f>
        <v>45992</v>
      </c>
      <c r="C6852" s="1" t="str">
        <f>IFERROR(__xludf.DUMMYFUNCTION("""COMPUTED_VALUE"""),"Core Product Support")</f>
        <v>Core Product Support</v>
      </c>
      <c r="D6852" s="1" t="str">
        <f>IFERROR(__xludf.DUMMYFUNCTION("""COMPUTED_VALUE"""),"3ea48634-b6a2-4b3f-b17e-bc63a77dd069")</f>
        <v>3ea48634-b6a2-4b3f-b17e-bc63a77dd069</v>
      </c>
      <c r="E6852" s="1">
        <f>IFERROR(__xludf.DUMMYFUNCTION("""COMPUTED_VALUE"""),3.61969384715E11)</f>
        <v>361969384715</v>
      </c>
      <c r="F6852" s="1">
        <f>IFERROR(__xludf.DUMMYFUNCTION("""COMPUTED_VALUE"""),0.5)</f>
        <v>0.5</v>
      </c>
      <c r="G6852" s="1">
        <f>IFERROR(__xludf.DUMMYFUNCTION("""COMPUTED_VALUE"""),1.0)</f>
        <v>1</v>
      </c>
      <c r="H6852" s="3">
        <f>IFERROR(__xludf.DUMMYFUNCTION("""COMPUTED_VALUE"""),1.5)</f>
        <v>1.5</v>
      </c>
      <c r="I6852" s="4">
        <f>IFERROR(__xludf.DUMMYFUNCTION("""COMPUTED_VALUE"""),0.6666666666666666)</f>
        <v>0.6666666667</v>
      </c>
      <c r="J6852" s="1" t="str">
        <f>IFERROR(__xludf.DUMMYFUNCTION("""COMPUTED_VALUE"""),"Vianca De Jesus")</f>
        <v>Vianca De Jesus</v>
      </c>
      <c r="K6852" s="1" t="str">
        <f>IFERROR(__xludf.DUMMYFUNCTION("""COMPUTED_VALUE"""),"Advanced Chat Support")</f>
        <v>Advanced Chat Support</v>
      </c>
      <c r="L6852" s="1" t="str">
        <f>IFERROR(__xludf.DUMMYFUNCTION("""COMPUTED_VALUE"""),"CPS Advanced Chat Support (ACS)")</f>
        <v>CPS Advanced Chat Support (ACS)</v>
      </c>
    </row>
    <row r="6853">
      <c r="A6853" s="1" t="str">
        <f>IFERROR(__xludf.DUMMYFUNCTION("""COMPUTED_VALUE"""),"2025 Dec")</f>
        <v>2025 Dec</v>
      </c>
      <c r="B6853" s="2">
        <f>IFERROR(__xludf.DUMMYFUNCTION("""COMPUTED_VALUE"""),45992.0)</f>
        <v>45992</v>
      </c>
      <c r="C6853" s="1" t="str">
        <f>IFERROR(__xludf.DUMMYFUNCTION("""COMPUTED_VALUE"""),"Print Support")</f>
        <v>Print Support</v>
      </c>
      <c r="D6853" s="1" t="str">
        <f>IFERROR(__xludf.DUMMYFUNCTION("""COMPUTED_VALUE"""),"5957e659-d004-4b50-a833-96d89b506744")</f>
        <v>5957e659-d004-4b50-a833-96d89b506744</v>
      </c>
      <c r="E6853" s="1">
        <f>IFERROR(__xludf.DUMMYFUNCTION("""COMPUTED_VALUE"""),1.3475786244239E13)</f>
        <v>13475786244239</v>
      </c>
      <c r="F6853" s="1"/>
      <c r="G6853" s="1"/>
      <c r="H6853" s="3">
        <f>IFERROR(__xludf.DUMMYFUNCTION("""COMPUTED_VALUE"""),0.0)</f>
        <v>0</v>
      </c>
      <c r="I6853" s="4"/>
      <c r="J6853" s="1" t="str">
        <f>IFERROR(__xludf.DUMMYFUNCTION("""COMPUTED_VALUE"""),"Gem Agoncillo")</f>
        <v>Gem Agoncillo</v>
      </c>
      <c r="K6853" s="1" t="str">
        <f>IFERROR(__xludf.DUMMYFUNCTION("""COMPUTED_VALUE"""),"Print Design Support")</f>
        <v>Print Design Support</v>
      </c>
      <c r="L6853" s="1" t="str">
        <f>IFERROR(__xludf.DUMMYFUNCTION("""COMPUTED_VALUE"""),"Print Print Design")</f>
        <v>Print Print Design</v>
      </c>
    </row>
    <row r="6854">
      <c r="A6854" s="1" t="str">
        <f>IFERROR(__xludf.DUMMYFUNCTION("""COMPUTED_VALUE"""),"2025 Dec")</f>
        <v>2025 Dec</v>
      </c>
      <c r="B6854" s="2">
        <f>IFERROR(__xludf.DUMMYFUNCTION("""COMPUTED_VALUE"""),45992.0)</f>
        <v>45992</v>
      </c>
      <c r="C6854" s="1" t="str">
        <f>IFERROR(__xludf.DUMMYFUNCTION("""COMPUTED_VALUE"""),"Admin Support")</f>
        <v>Admin Support</v>
      </c>
      <c r="D6854" s="1" t="str">
        <f>IFERROR(__xludf.DUMMYFUNCTION("""COMPUTED_VALUE"""),"aba1b506-4ed6-4f4a-abad-f264703b1937")</f>
        <v>aba1b506-4ed6-4f4a-abad-f264703b1937</v>
      </c>
      <c r="E6854" s="1">
        <f>IFERROR(__xludf.DUMMYFUNCTION("""COMPUTED_VALUE"""),9.684963584655E12)</f>
        <v>9684963584655</v>
      </c>
      <c r="F6854" s="1">
        <f>IFERROR(__xludf.DUMMYFUNCTION("""COMPUTED_VALUE"""),0.5)</f>
        <v>0.5</v>
      </c>
      <c r="G6854" s="1"/>
      <c r="H6854" s="3">
        <f>IFERROR(__xludf.DUMMYFUNCTION("""COMPUTED_VALUE"""),0.5)</f>
        <v>0.5</v>
      </c>
      <c r="I6854" s="4">
        <f>IFERROR(__xludf.DUMMYFUNCTION("""COMPUTED_VALUE"""),0.0)</f>
        <v>0</v>
      </c>
      <c r="J6854" s="1" t="str">
        <f>IFERROR(__xludf.DUMMYFUNCTION("""COMPUTED_VALUE"""),"Tash Kelly")</f>
        <v>Tash Kelly</v>
      </c>
      <c r="K6854" s="1" t="str">
        <f>IFERROR(__xludf.DUMMYFUNCTION("""COMPUTED_VALUE"""),"Admin Support NA")</f>
        <v>Admin Support NA</v>
      </c>
      <c r="L6854" s="1" t="str">
        <f>IFERROR(__xludf.DUMMYFUNCTION("""COMPUTED_VALUE"""),"Admin NA")</f>
        <v>Admin NA</v>
      </c>
    </row>
    <row r="6855">
      <c r="A6855" s="1" t="str">
        <f>IFERROR(__xludf.DUMMYFUNCTION("""COMPUTED_VALUE"""),"2025 Dec")</f>
        <v>2025 Dec</v>
      </c>
      <c r="B6855" s="2">
        <f>IFERROR(__xludf.DUMMYFUNCTION("""COMPUTED_VALUE"""),45992.0)</f>
        <v>45992</v>
      </c>
      <c r="C6855" s="1" t="str">
        <f>IFERROR(__xludf.DUMMYFUNCTION("""COMPUTED_VALUE"""),"High Sensitivity Support")</f>
        <v>High Sensitivity Support</v>
      </c>
      <c r="D6855" s="1" t="str">
        <f>IFERROR(__xludf.DUMMYFUNCTION("""COMPUTED_VALUE"""),"1b0e8a89-47b2-4607-8a32-61610d221409")</f>
        <v>1b0e8a89-47b2-4607-8a32-61610d221409</v>
      </c>
      <c r="E6855" s="1">
        <f>IFERROR(__xludf.DUMMYFUNCTION("""COMPUTED_VALUE"""),9.107749325455E12)</f>
        <v>9107749325455</v>
      </c>
      <c r="F6855" s="1"/>
      <c r="G6855" s="1"/>
      <c r="H6855" s="3">
        <f>IFERROR(__xludf.DUMMYFUNCTION("""COMPUTED_VALUE"""),0.0)</f>
        <v>0</v>
      </c>
      <c r="I6855" s="4"/>
      <c r="J6855" s="1" t="str">
        <f>IFERROR(__xludf.DUMMYFUNCTION("""COMPUTED_VALUE"""),"Rex Villamor")</f>
        <v>Rex Villamor</v>
      </c>
      <c r="K6855" s="1" t="str">
        <f>IFERROR(__xludf.DUMMYFUNCTION("""COMPUTED_VALUE"""),"High Sensitivity Support PH")</f>
        <v>High Sensitivity Support PH</v>
      </c>
      <c r="L6855" s="1" t="str">
        <f>IFERROR(__xludf.DUMMYFUNCTION("""COMPUTED_VALUE"""),"HSS High Sensitivity Support PH - CHT")</f>
        <v>HSS High Sensitivity Support PH - CHT</v>
      </c>
    </row>
    <row r="6856">
      <c r="A6856" s="1" t="str">
        <f>IFERROR(__xludf.DUMMYFUNCTION("""COMPUTED_VALUE"""),"2025 Dec")</f>
        <v>2025 Dec</v>
      </c>
      <c r="B6856" s="2">
        <f>IFERROR(__xludf.DUMMYFUNCTION("""COMPUTED_VALUE"""),45992.0)</f>
        <v>45992</v>
      </c>
      <c r="C6856" s="1" t="str">
        <f>IFERROR(__xludf.DUMMYFUNCTION("""COMPUTED_VALUE"""),"Core Product Support")</f>
        <v>Core Product Support</v>
      </c>
      <c r="D6856" s="1" t="str">
        <f>IFERROR(__xludf.DUMMYFUNCTION("""COMPUTED_VALUE"""),"34f2d71e-2948-4046-b11a-6ec3d91fb2f7")</f>
        <v>34f2d71e-2948-4046-b11a-6ec3d91fb2f7</v>
      </c>
      <c r="E6856" s="1">
        <f>IFERROR(__xludf.DUMMYFUNCTION("""COMPUTED_VALUE"""),3.61725261076E11)</f>
        <v>361725261076</v>
      </c>
      <c r="F6856" s="1"/>
      <c r="G6856" s="1">
        <f>IFERROR(__xludf.DUMMYFUNCTION("""COMPUTED_VALUE"""),3.0)</f>
        <v>3</v>
      </c>
      <c r="H6856" s="3">
        <f>IFERROR(__xludf.DUMMYFUNCTION("""COMPUTED_VALUE"""),3.0)</f>
        <v>3</v>
      </c>
      <c r="I6856" s="4">
        <f>IFERROR(__xludf.DUMMYFUNCTION("""COMPUTED_VALUE"""),1.0)</f>
        <v>1</v>
      </c>
      <c r="J6856" s="1" t="str">
        <f>IFERROR(__xludf.DUMMYFUNCTION("""COMPUTED_VALUE"""),"Bem Launte")</f>
        <v>Bem Launte</v>
      </c>
      <c r="K6856" s="1" t="str">
        <f>IFERROR(__xludf.DUMMYFUNCTION("""COMPUTED_VALUE"""),"Core Product Support Escalation Team")</f>
        <v>Core Product Support Escalation Team</v>
      </c>
      <c r="L6856" s="1" t="str">
        <f>IFERROR(__xludf.DUMMYFUNCTION("""COMPUTED_VALUE"""),"CPS Core Product Support Escalations (CPSET)")</f>
        <v>CPS Core Product Support Escalations (CPSET)</v>
      </c>
    </row>
    <row r="6857">
      <c r="A6857" s="1" t="str">
        <f>IFERROR(__xludf.DUMMYFUNCTION("""COMPUTED_VALUE"""),"2025 Dec")</f>
        <v>2025 Dec</v>
      </c>
      <c r="B6857" s="2">
        <f>IFERROR(__xludf.DUMMYFUNCTION("""COMPUTED_VALUE"""),45992.0)</f>
        <v>45992</v>
      </c>
      <c r="C6857" s="1" t="str">
        <f>IFERROR(__xludf.DUMMYFUNCTION("""COMPUTED_VALUE"""),"Core Product Support")</f>
        <v>Core Product Support</v>
      </c>
      <c r="D6857" s="1" t="str">
        <f>IFERROR(__xludf.DUMMYFUNCTION("""COMPUTED_VALUE"""),"d0bf168c-4c21-43be-abef-2d821133980c")</f>
        <v>d0bf168c-4c21-43be-abef-2d821133980c</v>
      </c>
      <c r="E6857" s="1">
        <f>IFERROR(__xludf.DUMMYFUNCTION("""COMPUTED_VALUE"""),7.437371735567E12)</f>
        <v>7437371735567</v>
      </c>
      <c r="F6857" s="1"/>
      <c r="G6857" s="1">
        <f>IFERROR(__xludf.DUMMYFUNCTION("""COMPUTED_VALUE"""),1.0)</f>
        <v>1</v>
      </c>
      <c r="H6857" s="3">
        <f>IFERROR(__xludf.DUMMYFUNCTION("""COMPUTED_VALUE"""),1.0)</f>
        <v>1</v>
      </c>
      <c r="I6857" s="4">
        <f>IFERROR(__xludf.DUMMYFUNCTION("""COMPUTED_VALUE"""),1.0)</f>
        <v>1</v>
      </c>
      <c r="J6857" s="1" t="str">
        <f>IFERROR(__xludf.DUMMYFUNCTION("""COMPUTED_VALUE"""),"Renette Bok")</f>
        <v>Renette Bok</v>
      </c>
      <c r="K6857" s="1" t="str">
        <f>IFERROR(__xludf.DUMMYFUNCTION("""COMPUTED_VALUE"""),"Advanced Billing &amp; Subscriptions")</f>
        <v>Advanced Billing &amp; Subscriptions</v>
      </c>
      <c r="L6857" s="1" t="str">
        <f>IFERROR(__xludf.DUMMYFUNCTION("""COMPUTED_VALUE"""),"CPS Advanced Billing and Subscriptions (ABS)")</f>
        <v>CPS Advanced Billing and Subscriptions (ABS)</v>
      </c>
    </row>
    <row r="6858">
      <c r="A6858" s="1" t="str">
        <f>IFERROR(__xludf.DUMMYFUNCTION("""COMPUTED_VALUE"""),"2025 Dec")</f>
        <v>2025 Dec</v>
      </c>
      <c r="B6858" s="2">
        <f>IFERROR(__xludf.DUMMYFUNCTION("""COMPUTED_VALUE"""),45992.0)</f>
        <v>45992</v>
      </c>
      <c r="C6858" s="1" t="str">
        <f>IFERROR(__xludf.DUMMYFUNCTION("""COMPUTED_VALUE"""),"High Sensitivity Support")</f>
        <v>High Sensitivity Support</v>
      </c>
      <c r="D6858" s="1" t="str">
        <f>IFERROR(__xludf.DUMMYFUNCTION("""COMPUTED_VALUE"""),"f56a1f10-27ad-435d-9c50-8e847d04dbcf")</f>
        <v>f56a1f10-27ad-435d-9c50-8e847d04dbcf</v>
      </c>
      <c r="E6858" s="1">
        <f>IFERROR(__xludf.DUMMYFUNCTION("""COMPUTED_VALUE"""),5.566811301007E12)</f>
        <v>5566811301007</v>
      </c>
      <c r="F6858" s="1"/>
      <c r="G6858" s="1"/>
      <c r="H6858" s="3">
        <f>IFERROR(__xludf.DUMMYFUNCTION("""COMPUTED_VALUE"""),0.0)</f>
        <v>0</v>
      </c>
      <c r="I6858" s="4"/>
      <c r="J6858" s="1" t="str">
        <f>IFERROR(__xludf.DUMMYFUNCTION("""COMPUTED_VALUE"""),"Issi Afable")</f>
        <v>Issi Afable</v>
      </c>
      <c r="K6858" s="1" t="str">
        <f>IFERROR(__xludf.DUMMYFUNCTION("""COMPUTED_VALUE"""),"High Sensitivity Support PH")</f>
        <v>High Sensitivity Support PH</v>
      </c>
      <c r="L6858" s="1" t="str">
        <f>IFERROR(__xludf.DUMMYFUNCTION("""COMPUTED_VALUE"""),"HSS High Sensitivity Support PH - SEE")</f>
        <v>HSS High Sensitivity Support PH - SEE</v>
      </c>
    </row>
    <row r="6859">
      <c r="A6859" s="1" t="str">
        <f>IFERROR(__xludf.DUMMYFUNCTION("""COMPUTED_VALUE"""),"2025 Dec")</f>
        <v>2025 Dec</v>
      </c>
      <c r="B6859" s="2">
        <f>IFERROR(__xludf.DUMMYFUNCTION("""COMPUTED_VALUE"""),45992.0)</f>
        <v>45992</v>
      </c>
      <c r="C6859" s="1" t="str">
        <f>IFERROR(__xludf.DUMMYFUNCTION("""COMPUTED_VALUE"""),"Print Support")</f>
        <v>Print Support</v>
      </c>
      <c r="D6859" s="1" t="str">
        <f>IFERROR(__xludf.DUMMYFUNCTION("""COMPUTED_VALUE"""),"298f0d76-bd7a-4274-ba39-7bf5fff1a6f0")</f>
        <v>298f0d76-bd7a-4274-ba39-7bf5fff1a6f0</v>
      </c>
      <c r="E6859" s="1"/>
      <c r="F6859" s="1"/>
      <c r="G6859" s="1"/>
      <c r="H6859" s="3">
        <f>IFERROR(__xludf.DUMMYFUNCTION("""COMPUTED_VALUE"""),0.0)</f>
        <v>0</v>
      </c>
      <c r="I6859" s="4"/>
      <c r="J6859" s="1" t="str">
        <f>IFERROR(__xludf.DUMMYFUNCTION("""COMPUTED_VALUE"""),"Gem Agoncillo")</f>
        <v>Gem Agoncillo</v>
      </c>
      <c r="K6859" s="1" t="str">
        <f>IFERROR(__xludf.DUMMYFUNCTION("""COMPUTED_VALUE"""),"Print Design Support")</f>
        <v>Print Design Support</v>
      </c>
      <c r="L6859" s="1" t="str">
        <f>IFERROR(__xludf.DUMMYFUNCTION("""COMPUTED_VALUE"""),"Print Print Design")</f>
        <v>Print Print Design</v>
      </c>
    </row>
    <row r="6860">
      <c r="A6860" s="1" t="str">
        <f>IFERROR(__xludf.DUMMYFUNCTION("""COMPUTED_VALUE"""),"2025 Dec")</f>
        <v>2025 Dec</v>
      </c>
      <c r="B6860" s="2">
        <f>IFERROR(__xludf.DUMMYFUNCTION("""COMPUTED_VALUE"""),45992.0)</f>
        <v>45992</v>
      </c>
      <c r="C6860" s="1" t="str">
        <f>IFERROR(__xludf.DUMMYFUNCTION("""COMPUTED_VALUE"""),"Print Support")</f>
        <v>Print Support</v>
      </c>
      <c r="D6860" s="1" t="str">
        <f>IFERROR(__xludf.DUMMYFUNCTION("""COMPUTED_VALUE"""),"6a7b954c-b6c3-49ee-b531-c1516331ca46")</f>
        <v>6a7b954c-b6c3-49ee-b531-c1516331ca46</v>
      </c>
      <c r="E6860" s="1">
        <f>IFERROR(__xludf.DUMMYFUNCTION("""COMPUTED_VALUE"""),3.61725484216E11)</f>
        <v>361725484216</v>
      </c>
      <c r="F6860" s="1"/>
      <c r="G6860" s="1"/>
      <c r="H6860" s="3">
        <f>IFERROR(__xludf.DUMMYFUNCTION("""COMPUTED_VALUE"""),0.0)</f>
        <v>0</v>
      </c>
      <c r="I6860" s="4"/>
      <c r="J6860" s="1" t="str">
        <f>IFERROR(__xludf.DUMMYFUNCTION("""COMPUTED_VALUE"""),"Louise Dianne Estrella")</f>
        <v>Louise Dianne Estrella</v>
      </c>
      <c r="K6860" s="1" t="str">
        <f>IFERROR(__xludf.DUMMYFUNCTION("""COMPUTED_VALUE"""),"Print Support PH")</f>
        <v>Print Support PH</v>
      </c>
      <c r="L6860" s="1" t="str">
        <f>IFERROR(__xludf.DUMMYFUNCTION("""COMPUTED_VALUE"""),"Print Print - CHT")</f>
        <v>Print Print - CHT</v>
      </c>
    </row>
    <row r="6861">
      <c r="A6861" s="1" t="str">
        <f>IFERROR(__xludf.DUMMYFUNCTION("""COMPUTED_VALUE"""),"2025 Dec")</f>
        <v>2025 Dec</v>
      </c>
      <c r="B6861" s="2">
        <f>IFERROR(__xludf.DUMMYFUNCTION("""COMPUTED_VALUE"""),45992.0)</f>
        <v>45992</v>
      </c>
      <c r="C6861" s="1" t="str">
        <f>IFERROR(__xludf.DUMMYFUNCTION("""COMPUTED_VALUE"""),"Print Support")</f>
        <v>Print Support</v>
      </c>
      <c r="D6861" s="1" t="str">
        <f>IFERROR(__xludf.DUMMYFUNCTION("""COMPUTED_VALUE"""),"795981ce-4d10-4d82-8c86-abfaee5aa819")</f>
        <v>795981ce-4d10-4d82-8c86-abfaee5aa819</v>
      </c>
      <c r="E6861" s="1"/>
      <c r="F6861" s="1"/>
      <c r="G6861" s="1"/>
      <c r="H6861" s="3">
        <f>IFERROR(__xludf.DUMMYFUNCTION("""COMPUTED_VALUE"""),0.0)</f>
        <v>0</v>
      </c>
      <c r="I6861" s="4"/>
      <c r="J6861" s="1" t="str">
        <f>IFERROR(__xludf.DUMMYFUNCTION("""COMPUTED_VALUE"""),"Rei De Jesus")</f>
        <v>Rei De Jesus</v>
      </c>
      <c r="K6861" s="1" t="str">
        <f>IFERROR(__xludf.DUMMYFUNCTION("""COMPUTED_VALUE"""),"Print Design Support")</f>
        <v>Print Design Support</v>
      </c>
      <c r="L6861" s="1" t="str">
        <f>IFERROR(__xludf.DUMMYFUNCTION("""COMPUTED_VALUE"""),"Print Print Design")</f>
        <v>Print Print Design</v>
      </c>
    </row>
    <row r="6862">
      <c r="A6862" s="1" t="str">
        <f>IFERROR(__xludf.DUMMYFUNCTION("""COMPUTED_VALUE"""),"2025 Dec")</f>
        <v>2025 Dec</v>
      </c>
      <c r="B6862" s="2">
        <f>IFERROR(__xludf.DUMMYFUNCTION("""COMPUTED_VALUE"""),45992.0)</f>
        <v>45992</v>
      </c>
      <c r="C6862" s="1" t="str">
        <f>IFERROR(__xludf.DUMMYFUNCTION("""COMPUTED_VALUE"""),"Core Product Support")</f>
        <v>Core Product Support</v>
      </c>
      <c r="D6862" s="1" t="str">
        <f>IFERROR(__xludf.DUMMYFUNCTION("""COMPUTED_VALUE"""),"c3188fb3-23e5-43d8-86c2-072029c768d3")</f>
        <v>c3188fb3-23e5-43d8-86c2-072029c768d3</v>
      </c>
      <c r="E6862" s="1">
        <f>IFERROR(__xludf.DUMMYFUNCTION("""COMPUTED_VALUE"""),1.0808000160399E13)</f>
        <v>10808000160399</v>
      </c>
      <c r="F6862" s="1">
        <f>IFERROR(__xludf.DUMMYFUNCTION("""COMPUTED_VALUE"""),0.5)</f>
        <v>0.5</v>
      </c>
      <c r="G6862" s="1">
        <f>IFERROR(__xludf.DUMMYFUNCTION("""COMPUTED_VALUE"""),0.17)</f>
        <v>0.17</v>
      </c>
      <c r="H6862" s="3">
        <f>IFERROR(__xludf.DUMMYFUNCTION("""COMPUTED_VALUE"""),0.67)</f>
        <v>0.67</v>
      </c>
      <c r="I6862" s="4">
        <f>IFERROR(__xludf.DUMMYFUNCTION("""COMPUTED_VALUE"""),0.2537313432835821)</f>
        <v>0.2537313433</v>
      </c>
      <c r="J6862" s="1" t="str">
        <f>IFERROR(__xludf.DUMMYFUNCTION("""COMPUTED_VALUE"""),"Cate Velasco")</f>
        <v>Cate Velasco</v>
      </c>
      <c r="K6862" s="1" t="str">
        <f>IFERROR(__xludf.DUMMYFUNCTION("""COMPUTED_VALUE"""),"Advanced Product Support")</f>
        <v>Advanced Product Support</v>
      </c>
      <c r="L6862" s="1" t="str">
        <f>IFERROR(__xludf.DUMMYFUNCTION("""COMPUTED_VALUE"""),"CPS Advanced Product Support (APS)")</f>
        <v>CPS Advanced Product Support (APS)</v>
      </c>
    </row>
    <row r="6863">
      <c r="A6863" s="1" t="str">
        <f>IFERROR(__xludf.DUMMYFUNCTION("""COMPUTED_VALUE"""),"2025 Dec")</f>
        <v>2025 Dec</v>
      </c>
      <c r="B6863" s="2">
        <f>IFERROR(__xludf.DUMMYFUNCTION("""COMPUTED_VALUE"""),45992.0)</f>
        <v>45992</v>
      </c>
      <c r="C6863" s="1" t="str">
        <f>IFERROR(__xludf.DUMMYFUNCTION("""COMPUTED_VALUE"""),"Core Product Support")</f>
        <v>Core Product Support</v>
      </c>
      <c r="D6863" s="1" t="str">
        <f>IFERROR(__xludf.DUMMYFUNCTION("""COMPUTED_VALUE"""),"484a67d0-5e69-4c98-848a-5ffa0b23046e")</f>
        <v>484a67d0-5e69-4c98-848a-5ffa0b23046e</v>
      </c>
      <c r="E6863" s="1">
        <f>IFERROR(__xludf.DUMMYFUNCTION("""COMPUTED_VALUE"""),5.202392804111E12)</f>
        <v>5202392804111</v>
      </c>
      <c r="F6863" s="1"/>
      <c r="G6863" s="1">
        <f>IFERROR(__xludf.DUMMYFUNCTION("""COMPUTED_VALUE"""),1.0)</f>
        <v>1</v>
      </c>
      <c r="H6863" s="3">
        <f>IFERROR(__xludf.DUMMYFUNCTION("""COMPUTED_VALUE"""),1.0)</f>
        <v>1</v>
      </c>
      <c r="I6863" s="4">
        <f>IFERROR(__xludf.DUMMYFUNCTION("""COMPUTED_VALUE"""),1.0)</f>
        <v>1</v>
      </c>
      <c r="J6863" s="1" t="str">
        <f>IFERROR(__xludf.DUMMYFUNCTION("""COMPUTED_VALUE"""),"Renette Bok")</f>
        <v>Renette Bok</v>
      </c>
      <c r="K6863" s="1" t="str">
        <f>IFERROR(__xludf.DUMMYFUNCTION("""COMPUTED_VALUE"""),"Advanced Billing &amp; Subscriptions")</f>
        <v>Advanced Billing &amp; Subscriptions</v>
      </c>
      <c r="L6863" s="1" t="str">
        <f>IFERROR(__xludf.DUMMYFUNCTION("""COMPUTED_VALUE"""),"CPS Advanced Billing and Subscriptions (ABS)")</f>
        <v>CPS Advanced Billing and Subscriptions (ABS)</v>
      </c>
    </row>
    <row r="6864">
      <c r="A6864" s="1" t="str">
        <f>IFERROR(__xludf.DUMMYFUNCTION("""COMPUTED_VALUE"""),"2025 Dec")</f>
        <v>2025 Dec</v>
      </c>
      <c r="B6864" s="2">
        <f>IFERROR(__xludf.DUMMYFUNCTION("""COMPUTED_VALUE"""),45992.0)</f>
        <v>45992</v>
      </c>
      <c r="C6864" s="1" t="str">
        <f>IFERROR(__xludf.DUMMYFUNCTION("""COMPUTED_VALUE"""),"Core Product Support")</f>
        <v>Core Product Support</v>
      </c>
      <c r="D6864" s="1" t="str">
        <f>IFERROR(__xludf.DUMMYFUNCTION("""COMPUTED_VALUE"""),"64aee857-09bd-4a17-90d8-7b6e2d71c216")</f>
        <v>64aee857-09bd-4a17-90d8-7b6e2d71c216</v>
      </c>
      <c r="E6864" s="1">
        <f>IFERROR(__xludf.DUMMYFUNCTION("""COMPUTED_VALUE"""),3.61725374316E11)</f>
        <v>361725374316</v>
      </c>
      <c r="F6864" s="1"/>
      <c r="G6864" s="1">
        <f>IFERROR(__xludf.DUMMYFUNCTION("""COMPUTED_VALUE"""),2.5)</f>
        <v>2.5</v>
      </c>
      <c r="H6864" s="3">
        <f>IFERROR(__xludf.DUMMYFUNCTION("""COMPUTED_VALUE"""),2.5)</f>
        <v>2.5</v>
      </c>
      <c r="I6864" s="4">
        <f>IFERROR(__xludf.DUMMYFUNCTION("""COMPUTED_VALUE"""),1.0)</f>
        <v>1</v>
      </c>
      <c r="J6864" s="1" t="str">
        <f>IFERROR(__xludf.DUMMYFUNCTION("""COMPUTED_VALUE"""),"Sieg Ballelos")</f>
        <v>Sieg Ballelos</v>
      </c>
      <c r="K6864" s="1" t="str">
        <f>IFERROR(__xludf.DUMMYFUNCTION("""COMPUTED_VALUE"""),"Core Product Support Escalation Team")</f>
        <v>Core Product Support Escalation Team</v>
      </c>
      <c r="L6864" s="1" t="str">
        <f>IFERROR(__xludf.DUMMYFUNCTION("""COMPUTED_VALUE"""),"CPS Core Product Support Escalations (CPSET)")</f>
        <v>CPS Core Product Support Escalations (CPSET)</v>
      </c>
    </row>
    <row r="6865">
      <c r="A6865" s="1" t="str">
        <f>IFERROR(__xludf.DUMMYFUNCTION("""COMPUTED_VALUE"""),"2025 Dec")</f>
        <v>2025 Dec</v>
      </c>
      <c r="B6865" s="2">
        <f>IFERROR(__xludf.DUMMYFUNCTION("""COMPUTED_VALUE"""),45992.0)</f>
        <v>45992</v>
      </c>
      <c r="C6865" s="1" t="str">
        <f>IFERROR(__xludf.DUMMYFUNCTION("""COMPUTED_VALUE"""),"High Sensitivity Support")</f>
        <v>High Sensitivity Support</v>
      </c>
      <c r="D6865" s="1" t="str">
        <f>IFERROR(__xludf.DUMMYFUNCTION("""COMPUTED_VALUE"""),"c7c30477-846d-4f22-bc04-2aab19385d44")</f>
        <v>c7c30477-846d-4f22-bc04-2aab19385d44</v>
      </c>
      <c r="E6865" s="1">
        <f>IFERROR(__xludf.DUMMYFUNCTION("""COMPUTED_VALUE"""),5.359149433359E12)</f>
        <v>5359149433359</v>
      </c>
      <c r="F6865" s="1">
        <f>IFERROR(__xludf.DUMMYFUNCTION("""COMPUTED_VALUE"""),4.0)</f>
        <v>4</v>
      </c>
      <c r="G6865" s="1"/>
      <c r="H6865" s="3">
        <f>IFERROR(__xludf.DUMMYFUNCTION("""COMPUTED_VALUE"""),4.0)</f>
        <v>4</v>
      </c>
      <c r="I6865" s="4">
        <f>IFERROR(__xludf.DUMMYFUNCTION("""COMPUTED_VALUE"""),0.0)</f>
        <v>0</v>
      </c>
      <c r="J6865" s="1" t="str">
        <f>IFERROR(__xludf.DUMMYFUNCTION("""COMPUTED_VALUE"""),"Xandy Azarcon")</f>
        <v>Xandy Azarcon</v>
      </c>
      <c r="K6865" s="1" t="str">
        <f>IFERROR(__xludf.DUMMYFUNCTION("""COMPUTED_VALUE"""),"#N/A")</f>
        <v>#N/A</v>
      </c>
      <c r="L6865" s="1"/>
    </row>
    <row r="6866">
      <c r="A6866" s="1" t="str">
        <f>IFERROR(__xludf.DUMMYFUNCTION("""COMPUTED_VALUE"""),"2025 Dec")</f>
        <v>2025 Dec</v>
      </c>
      <c r="B6866" s="2">
        <f>IFERROR(__xludf.DUMMYFUNCTION("""COMPUTED_VALUE"""),45992.0)</f>
        <v>45992</v>
      </c>
      <c r="C6866" s="1" t="str">
        <f>IFERROR(__xludf.DUMMYFUNCTION("""COMPUTED_VALUE"""),"Core Product Support")</f>
        <v>Core Product Support</v>
      </c>
      <c r="D6866" s="1" t="str">
        <f>IFERROR(__xludf.DUMMYFUNCTION("""COMPUTED_VALUE"""),"1b08e244-a5e3-48ac-9d85-880d42b6e733")</f>
        <v>1b08e244-a5e3-48ac-9d85-880d42b6e733</v>
      </c>
      <c r="E6866" s="1">
        <f>IFERROR(__xludf.DUMMYFUNCTION("""COMPUTED_VALUE"""),3.61744094696E11)</f>
        <v>361744094696</v>
      </c>
      <c r="F6866" s="1">
        <f>IFERROR(__xludf.DUMMYFUNCTION("""COMPUTED_VALUE"""),0.5)</f>
        <v>0.5</v>
      </c>
      <c r="G6866" s="1">
        <f>IFERROR(__xludf.DUMMYFUNCTION("""COMPUTED_VALUE"""),1.0)</f>
        <v>1</v>
      </c>
      <c r="H6866" s="3">
        <f>IFERROR(__xludf.DUMMYFUNCTION("""COMPUTED_VALUE"""),1.5)</f>
        <v>1.5</v>
      </c>
      <c r="I6866" s="4">
        <f>IFERROR(__xludf.DUMMYFUNCTION("""COMPUTED_VALUE"""),0.6666666666666666)</f>
        <v>0.6666666667</v>
      </c>
      <c r="J6866" s="1" t="str">
        <f>IFERROR(__xludf.DUMMYFUNCTION("""COMPUTED_VALUE"""),"Vinz Lazaro")</f>
        <v>Vinz Lazaro</v>
      </c>
      <c r="K6866" s="1" t="str">
        <f>IFERROR(__xludf.DUMMYFUNCTION("""COMPUTED_VALUE"""),"Advanced Product Support")</f>
        <v>Advanced Product Support</v>
      </c>
      <c r="L6866" s="1" t="str">
        <f>IFERROR(__xludf.DUMMYFUNCTION("""COMPUTED_VALUE"""),"CPS Advanced Product Support (APS)")</f>
        <v>CPS Advanced Product Support (APS)</v>
      </c>
    </row>
    <row r="6867">
      <c r="A6867" s="1" t="str">
        <f>IFERROR(__xludf.DUMMYFUNCTION("""COMPUTED_VALUE"""),"2025 Dec")</f>
        <v>2025 Dec</v>
      </c>
      <c r="B6867" s="2">
        <f>IFERROR(__xludf.DUMMYFUNCTION("""COMPUTED_VALUE"""),45992.0)</f>
        <v>45992</v>
      </c>
      <c r="C6867" s="1" t="str">
        <f>IFERROR(__xludf.DUMMYFUNCTION("""COMPUTED_VALUE"""),"Core Product Support")</f>
        <v>Core Product Support</v>
      </c>
      <c r="D6867" s="1" t="str">
        <f>IFERROR(__xludf.DUMMYFUNCTION("""COMPUTED_VALUE"""),"fc9b38e6-bcda-447e-bc09-efbb10174ad9")</f>
        <v>fc9b38e6-bcda-447e-bc09-efbb10174ad9</v>
      </c>
      <c r="E6867" s="1">
        <f>IFERROR(__xludf.DUMMYFUNCTION("""COMPUTED_VALUE"""),3.61733222835E11)</f>
        <v>361733222835</v>
      </c>
      <c r="F6867" s="1"/>
      <c r="G6867" s="1">
        <f>IFERROR(__xludf.DUMMYFUNCTION("""COMPUTED_VALUE"""),3.5)</f>
        <v>3.5</v>
      </c>
      <c r="H6867" s="3">
        <f>IFERROR(__xludf.DUMMYFUNCTION("""COMPUTED_VALUE"""),3.5)</f>
        <v>3.5</v>
      </c>
      <c r="I6867" s="4">
        <f>IFERROR(__xludf.DUMMYFUNCTION("""COMPUTED_VALUE"""),1.0)</f>
        <v>1</v>
      </c>
      <c r="J6867" s="1" t="str">
        <f>IFERROR(__xludf.DUMMYFUNCTION("""COMPUTED_VALUE"""),"Ellaine Estayo")</f>
        <v>Ellaine Estayo</v>
      </c>
      <c r="K6867" s="1" t="str">
        <f>IFERROR(__xludf.DUMMYFUNCTION("""COMPUTED_VALUE"""),"Core Product Support Escalation Team")</f>
        <v>Core Product Support Escalation Team</v>
      </c>
      <c r="L6867" s="1" t="str">
        <f>IFERROR(__xludf.DUMMYFUNCTION("""COMPUTED_VALUE"""),"CPS Core Product Support Escalations (CPSET)")</f>
        <v>CPS Core Product Support Escalations (CPSET)</v>
      </c>
    </row>
    <row r="6868">
      <c r="A6868" s="1" t="str">
        <f>IFERROR(__xludf.DUMMYFUNCTION("""COMPUTED_VALUE"""),"2025 Dec")</f>
        <v>2025 Dec</v>
      </c>
      <c r="B6868" s="2">
        <f>IFERROR(__xludf.DUMMYFUNCTION("""COMPUTED_VALUE"""),45992.0)</f>
        <v>45992</v>
      </c>
      <c r="C6868" s="1" t="str">
        <f>IFERROR(__xludf.DUMMYFUNCTION("""COMPUTED_VALUE"""),"High Sensitivity Support")</f>
        <v>High Sensitivity Support</v>
      </c>
      <c r="D6868" s="1" t="str">
        <f>IFERROR(__xludf.DUMMYFUNCTION("""COMPUTED_VALUE"""),"42147b58-e8e5-4766-a41a-8d98cf8a5872")</f>
        <v>42147b58-e8e5-4766-a41a-8d98cf8a5872</v>
      </c>
      <c r="E6868" s="1">
        <f>IFERROR(__xludf.DUMMYFUNCTION("""COMPUTED_VALUE"""),5.359185373455E12)</f>
        <v>5359185373455</v>
      </c>
      <c r="F6868" s="1">
        <f>IFERROR(__xludf.DUMMYFUNCTION("""COMPUTED_VALUE"""),3.0)</f>
        <v>3</v>
      </c>
      <c r="G6868" s="1"/>
      <c r="H6868" s="3">
        <f>IFERROR(__xludf.DUMMYFUNCTION("""COMPUTED_VALUE"""),3.0)</f>
        <v>3</v>
      </c>
      <c r="I6868" s="4">
        <f>IFERROR(__xludf.DUMMYFUNCTION("""COMPUTED_VALUE"""),0.0)</f>
        <v>0</v>
      </c>
      <c r="J6868" s="1" t="str">
        <f>IFERROR(__xludf.DUMMYFUNCTION("""COMPUTED_VALUE"""),"Rossheen Pura")</f>
        <v>Rossheen Pura</v>
      </c>
      <c r="K6868" s="1" t="str">
        <f>IFERROR(__xludf.DUMMYFUNCTION("""COMPUTED_VALUE"""),"High Sensitivity Support PH")</f>
        <v>High Sensitivity Support PH</v>
      </c>
      <c r="L6868" s="1" t="str">
        <f>IFERROR(__xludf.DUMMYFUNCTION("""COMPUTED_VALUE"""),"HSS High Sensitivity Support PH - CHT")</f>
        <v>HSS High Sensitivity Support PH - CHT</v>
      </c>
    </row>
    <row r="6869">
      <c r="A6869" s="1" t="str">
        <f>IFERROR(__xludf.DUMMYFUNCTION("""COMPUTED_VALUE"""),"2025 Dec")</f>
        <v>2025 Dec</v>
      </c>
      <c r="B6869" s="2">
        <f>IFERROR(__xludf.DUMMYFUNCTION("""COMPUTED_VALUE"""),45992.0)</f>
        <v>45992</v>
      </c>
      <c r="C6869" s="1" t="str">
        <f>IFERROR(__xludf.DUMMYFUNCTION("""COMPUTED_VALUE"""),"Core Product Support")</f>
        <v>Core Product Support</v>
      </c>
      <c r="D6869" s="1" t="str">
        <f>IFERROR(__xludf.DUMMYFUNCTION("""COMPUTED_VALUE"""),"b70eebc6-c7c9-48bc-a876-82736f994fb9")</f>
        <v>b70eebc6-c7c9-48bc-a876-82736f994fb9</v>
      </c>
      <c r="E6869" s="1">
        <f>IFERROR(__xludf.DUMMYFUNCTION("""COMPUTED_VALUE"""),1.1401980902415E13)</f>
        <v>11401980902415</v>
      </c>
      <c r="F6869" s="1">
        <f>IFERROR(__xludf.DUMMYFUNCTION("""COMPUTED_VALUE"""),0.5)</f>
        <v>0.5</v>
      </c>
      <c r="G6869" s="1">
        <f>IFERROR(__xludf.DUMMYFUNCTION("""COMPUTED_VALUE"""),0.48)</f>
        <v>0.48</v>
      </c>
      <c r="H6869" s="3">
        <f>IFERROR(__xludf.DUMMYFUNCTION("""COMPUTED_VALUE"""),0.98)</f>
        <v>0.98</v>
      </c>
      <c r="I6869" s="4">
        <f>IFERROR(__xludf.DUMMYFUNCTION("""COMPUTED_VALUE"""),0.4897959183673469)</f>
        <v>0.4897959184</v>
      </c>
      <c r="J6869" s="1" t="str">
        <f>IFERROR(__xludf.DUMMYFUNCTION("""COMPUTED_VALUE"""),"Ayza Marie Pascual")</f>
        <v>Ayza Marie Pascual</v>
      </c>
      <c r="K6869" s="1" t="str">
        <f>IFERROR(__xludf.DUMMYFUNCTION("""COMPUTED_VALUE"""),"Advanced Billing &amp; Subscriptions")</f>
        <v>Advanced Billing &amp; Subscriptions</v>
      </c>
      <c r="L6869" s="1" t="str">
        <f>IFERROR(__xludf.DUMMYFUNCTION("""COMPUTED_VALUE"""),"CPS Advanced Billing and Subscriptions (ABS)")</f>
        <v>CPS Advanced Billing and Subscriptions (ABS)</v>
      </c>
    </row>
    <row r="6870">
      <c r="A6870" s="1" t="str">
        <f>IFERROR(__xludf.DUMMYFUNCTION("""COMPUTED_VALUE"""),"2025 Dec")</f>
        <v>2025 Dec</v>
      </c>
      <c r="B6870" s="2">
        <f>IFERROR(__xludf.DUMMYFUNCTION("""COMPUTED_VALUE"""),45992.0)</f>
        <v>45992</v>
      </c>
      <c r="C6870" s="1" t="str">
        <f>IFERROR(__xludf.DUMMYFUNCTION("""COMPUTED_VALUE"""),"Core Product Support")</f>
        <v>Core Product Support</v>
      </c>
      <c r="D6870" s="1" t="str">
        <f>IFERROR(__xludf.DUMMYFUNCTION("""COMPUTED_VALUE"""),"9d825d2e-3519-4559-9782-f32e81d2d824")</f>
        <v>9d825d2e-3519-4559-9782-f32e81d2d824</v>
      </c>
      <c r="E6870" s="1">
        <f>IFERROR(__xludf.DUMMYFUNCTION("""COMPUTED_VALUE"""),3.61861297715E11)</f>
        <v>361861297715</v>
      </c>
      <c r="F6870" s="1">
        <f>IFERROR(__xludf.DUMMYFUNCTION("""COMPUTED_VALUE"""),0.5)</f>
        <v>0.5</v>
      </c>
      <c r="G6870" s="1"/>
      <c r="H6870" s="3">
        <f>IFERROR(__xludf.DUMMYFUNCTION("""COMPUTED_VALUE"""),0.5)</f>
        <v>0.5</v>
      </c>
      <c r="I6870" s="4">
        <f>IFERROR(__xludf.DUMMYFUNCTION("""COMPUTED_VALUE"""),0.0)</f>
        <v>0</v>
      </c>
      <c r="J6870" s="1" t="str">
        <f>IFERROR(__xludf.DUMMYFUNCTION("""COMPUTED_VALUE"""),"Jem Mondoñedo")</f>
        <v>Jem Mondoñedo</v>
      </c>
      <c r="K6870" s="1" t="str">
        <f>IFERROR(__xludf.DUMMYFUNCTION("""COMPUTED_VALUE"""),"Advanced Chat Support")</f>
        <v>Advanced Chat Support</v>
      </c>
      <c r="L6870" s="1" t="str">
        <f>IFERROR(__xludf.DUMMYFUNCTION("""COMPUTED_VALUE"""),"CPS Advanced Chat Support (ACS)")</f>
        <v>CPS Advanced Chat Support (ACS)</v>
      </c>
    </row>
    <row r="6871">
      <c r="A6871" s="1" t="str">
        <f>IFERROR(__xludf.DUMMYFUNCTION("""COMPUTED_VALUE"""),"2025 Dec")</f>
        <v>2025 Dec</v>
      </c>
      <c r="B6871" s="2">
        <f>IFERROR(__xludf.DUMMYFUNCTION("""COMPUTED_VALUE"""),45992.0)</f>
        <v>45992</v>
      </c>
      <c r="C6871" s="1" t="str">
        <f>IFERROR(__xludf.DUMMYFUNCTION("""COMPUTED_VALUE"""),"Core Product Support")</f>
        <v>Core Product Support</v>
      </c>
      <c r="D6871" s="1" t="str">
        <f>IFERROR(__xludf.DUMMYFUNCTION("""COMPUTED_VALUE"""),"f05426fa-d3ef-48ef-9506-1b0d003468b9")</f>
        <v>f05426fa-d3ef-48ef-9506-1b0d003468b9</v>
      </c>
      <c r="E6871" s="1">
        <f>IFERROR(__xludf.DUMMYFUNCTION("""COMPUTED_VALUE"""),8.409892191631E12)</f>
        <v>8409892191631</v>
      </c>
      <c r="F6871" s="1"/>
      <c r="G6871" s="1">
        <f>IFERROR(__xludf.DUMMYFUNCTION("""COMPUTED_VALUE"""),1.0)</f>
        <v>1</v>
      </c>
      <c r="H6871" s="3">
        <f>IFERROR(__xludf.DUMMYFUNCTION("""COMPUTED_VALUE"""),1.0)</f>
        <v>1</v>
      </c>
      <c r="I6871" s="4">
        <f>IFERROR(__xludf.DUMMYFUNCTION("""COMPUTED_VALUE"""),1.0)</f>
        <v>1</v>
      </c>
      <c r="J6871" s="1" t="str">
        <f>IFERROR(__xludf.DUMMYFUNCTION("""COMPUTED_VALUE"""),"Jahmie Mae Barrameda")</f>
        <v>Jahmie Mae Barrameda</v>
      </c>
      <c r="K6871" s="1" t="str">
        <f>IFERROR(__xludf.DUMMYFUNCTION("""COMPUTED_VALUE"""),"Advanced Billing &amp; Subscriptions")</f>
        <v>Advanced Billing &amp; Subscriptions</v>
      </c>
      <c r="L6871" s="1" t="str">
        <f>IFERROR(__xludf.DUMMYFUNCTION("""COMPUTED_VALUE"""),"CPS Advanced Billing and Subscriptions (ABS)")</f>
        <v>CPS Advanced Billing and Subscriptions (ABS)</v>
      </c>
    </row>
    <row r="6872">
      <c r="A6872" s="1" t="str">
        <f>IFERROR(__xludf.DUMMYFUNCTION("""COMPUTED_VALUE"""),"2025 Dec")</f>
        <v>2025 Dec</v>
      </c>
      <c r="B6872" s="2">
        <f>IFERROR(__xludf.DUMMYFUNCTION("""COMPUTED_VALUE"""),45992.0)</f>
        <v>45992</v>
      </c>
      <c r="C6872" s="1" t="str">
        <f>IFERROR(__xludf.DUMMYFUNCTION("""COMPUTED_VALUE"""),"Multilingual Support")</f>
        <v>Multilingual Support</v>
      </c>
      <c r="D6872" s="1" t="str">
        <f>IFERROR(__xludf.DUMMYFUNCTION("""COMPUTED_VALUE"""),"ddff770a-8bbb-4a78-9bec-f5c563c6b901")</f>
        <v>ddff770a-8bbb-4a78-9bec-f5c563c6b901</v>
      </c>
      <c r="E6872" s="1">
        <f>IFERROR(__xludf.DUMMYFUNCTION("""COMPUTED_VALUE"""),4.759846838031E12)</f>
        <v>4759846838031</v>
      </c>
      <c r="F6872" s="1"/>
      <c r="G6872" s="1"/>
      <c r="H6872" s="3">
        <f>IFERROR(__xludf.DUMMYFUNCTION("""COMPUTED_VALUE"""),0.0)</f>
        <v>0</v>
      </c>
      <c r="I6872" s="4"/>
      <c r="J6872" s="1" t="str">
        <f>IFERROR(__xludf.DUMMYFUNCTION("""COMPUTED_VALUE"""),"Arlene Maurillo")</f>
        <v>Arlene Maurillo</v>
      </c>
      <c r="K6872" s="1" t="str">
        <f>IFERROR(__xludf.DUMMYFUNCTION("""COMPUTED_VALUE"""),"PHL, Multilingual Support")</f>
        <v>PHL, Multilingual Support</v>
      </c>
      <c r="L6872" s="1" t="str">
        <f>IFERROR(__xludf.DUMMYFUNCTION("""COMPUTED_VALUE"""),"ML Portuguese Support")</f>
        <v>ML Portuguese Support</v>
      </c>
    </row>
    <row r="6873">
      <c r="A6873" s="1" t="str">
        <f>IFERROR(__xludf.DUMMYFUNCTION("""COMPUTED_VALUE"""),"2025 Dec")</f>
        <v>2025 Dec</v>
      </c>
      <c r="B6873" s="2">
        <f>IFERROR(__xludf.DUMMYFUNCTION("""COMPUTED_VALUE"""),45992.0)</f>
        <v>45992</v>
      </c>
      <c r="C6873" s="1" t="str">
        <f>IFERROR(__xludf.DUMMYFUNCTION("""COMPUTED_VALUE"""),"Core Product Support")</f>
        <v>Core Product Support</v>
      </c>
      <c r="D6873" s="1" t="str">
        <f>IFERROR(__xludf.DUMMYFUNCTION("""COMPUTED_VALUE"""),"50370a17-1382-4a9f-8e42-5d34af042f22")</f>
        <v>50370a17-1382-4a9f-8e42-5d34af042f22</v>
      </c>
      <c r="E6873" s="1">
        <f>IFERROR(__xludf.DUMMYFUNCTION("""COMPUTED_VALUE"""),1.1401981770511E13)</f>
        <v>11401981770511</v>
      </c>
      <c r="F6873" s="1">
        <f>IFERROR(__xludf.DUMMYFUNCTION("""COMPUTED_VALUE"""),0.5)</f>
        <v>0.5</v>
      </c>
      <c r="G6873" s="1"/>
      <c r="H6873" s="3">
        <f>IFERROR(__xludf.DUMMYFUNCTION("""COMPUTED_VALUE"""),0.5)</f>
        <v>0.5</v>
      </c>
      <c r="I6873" s="4">
        <f>IFERROR(__xludf.DUMMYFUNCTION("""COMPUTED_VALUE"""),0.0)</f>
        <v>0</v>
      </c>
      <c r="J6873" s="1" t="str">
        <f>IFERROR(__xludf.DUMMYFUNCTION("""COMPUTED_VALUE"""),"Mikhaela Decangchon")</f>
        <v>Mikhaela Decangchon</v>
      </c>
      <c r="K6873" s="1" t="str">
        <f>IFERROR(__xludf.DUMMYFUNCTION("""COMPUTED_VALUE"""),"Advanced Product Support")</f>
        <v>Advanced Product Support</v>
      </c>
      <c r="L6873" s="1" t="str">
        <f>IFERROR(__xludf.DUMMYFUNCTION("""COMPUTED_VALUE"""),"CPS Advanced Product Support (APS)")</f>
        <v>CPS Advanced Product Support (APS)</v>
      </c>
    </row>
    <row r="6874">
      <c r="A6874" s="1" t="str">
        <f>IFERROR(__xludf.DUMMYFUNCTION("""COMPUTED_VALUE"""),"2025 Dec")</f>
        <v>2025 Dec</v>
      </c>
      <c r="B6874" s="2">
        <f>IFERROR(__xludf.DUMMYFUNCTION("""COMPUTED_VALUE"""),45992.0)</f>
        <v>45992</v>
      </c>
      <c r="C6874" s="1" t="str">
        <f>IFERROR(__xludf.DUMMYFUNCTION("""COMPUTED_VALUE"""),"Core Product Support")</f>
        <v>Core Product Support</v>
      </c>
      <c r="D6874" s="1" t="str">
        <f>IFERROR(__xludf.DUMMYFUNCTION("""COMPUTED_VALUE"""),"6472d23f-e427-46f0-a9cb-1e9b17ddfd44")</f>
        <v>6472d23f-e427-46f0-a9cb-1e9b17ddfd44</v>
      </c>
      <c r="E6874" s="1">
        <f>IFERROR(__xludf.DUMMYFUNCTION("""COMPUTED_VALUE"""),1.0548627051023E13)</f>
        <v>10548627051023</v>
      </c>
      <c r="F6874" s="1">
        <f>IFERROR(__xludf.DUMMYFUNCTION("""COMPUTED_VALUE"""),0.25)</f>
        <v>0.25</v>
      </c>
      <c r="G6874" s="1">
        <f>IFERROR(__xludf.DUMMYFUNCTION("""COMPUTED_VALUE"""),0.25)</f>
        <v>0.25</v>
      </c>
      <c r="H6874" s="3">
        <f>IFERROR(__xludf.DUMMYFUNCTION("""COMPUTED_VALUE"""),0.5)</f>
        <v>0.5</v>
      </c>
      <c r="I6874" s="4">
        <f>IFERROR(__xludf.DUMMYFUNCTION("""COMPUTED_VALUE"""),0.5)</f>
        <v>0.5</v>
      </c>
      <c r="J6874" s="1" t="str">
        <f>IFERROR(__xludf.DUMMYFUNCTION("""COMPUTED_VALUE"""),"Belle Bentazal")</f>
        <v>Belle Bentazal</v>
      </c>
      <c r="K6874" s="1" t="str">
        <f>IFERROR(__xludf.DUMMYFUNCTION("""COMPUTED_VALUE"""),"Advanced Product Support")</f>
        <v>Advanced Product Support</v>
      </c>
      <c r="L6874" s="1" t="str">
        <f>IFERROR(__xludf.DUMMYFUNCTION("""COMPUTED_VALUE"""),"CPS Advanced Product Support (APS)")</f>
        <v>CPS Advanced Product Support (APS)</v>
      </c>
    </row>
    <row r="6875">
      <c r="A6875" s="1" t="str">
        <f>IFERROR(__xludf.DUMMYFUNCTION("""COMPUTED_VALUE"""),"2025 Dec")</f>
        <v>2025 Dec</v>
      </c>
      <c r="B6875" s="2">
        <f>IFERROR(__xludf.DUMMYFUNCTION("""COMPUTED_VALUE"""),45992.0)</f>
        <v>45992</v>
      </c>
      <c r="C6875" s="1" t="str">
        <f>IFERROR(__xludf.DUMMYFUNCTION("""COMPUTED_VALUE"""),"Core Product Support")</f>
        <v>Core Product Support</v>
      </c>
      <c r="D6875" s="1" t="str">
        <f>IFERROR(__xludf.DUMMYFUNCTION("""COMPUTED_VALUE"""),"03428ca1-a361-4015-9a9f-9609cb3ad0fe")</f>
        <v>03428ca1-a361-4015-9a9f-9609cb3ad0fe</v>
      </c>
      <c r="E6875" s="1">
        <f>IFERROR(__xludf.DUMMYFUNCTION("""COMPUTED_VALUE"""),5.047314651919E12)</f>
        <v>5047314651919</v>
      </c>
      <c r="F6875" s="1"/>
      <c r="G6875" s="1">
        <f>IFERROR(__xludf.DUMMYFUNCTION("""COMPUTED_VALUE"""),2.5)</f>
        <v>2.5</v>
      </c>
      <c r="H6875" s="3">
        <f>IFERROR(__xludf.DUMMYFUNCTION("""COMPUTED_VALUE"""),2.5)</f>
        <v>2.5</v>
      </c>
      <c r="I6875" s="4">
        <f>IFERROR(__xludf.DUMMYFUNCTION("""COMPUTED_VALUE"""),1.0)</f>
        <v>1</v>
      </c>
      <c r="J6875" s="1" t="str">
        <f>IFERROR(__xludf.DUMMYFUNCTION("""COMPUTED_VALUE"""),"Bem Launte")</f>
        <v>Bem Launte</v>
      </c>
      <c r="K6875" s="1" t="str">
        <f>IFERROR(__xludf.DUMMYFUNCTION("""COMPUTED_VALUE"""),"Core Product Support Escalation Team")</f>
        <v>Core Product Support Escalation Team</v>
      </c>
      <c r="L6875" s="1" t="str">
        <f>IFERROR(__xludf.DUMMYFUNCTION("""COMPUTED_VALUE"""),"CPS Core Product Support Escalations (CPSET)")</f>
        <v>CPS Core Product Support Escalations (CPSET)</v>
      </c>
    </row>
    <row r="6876">
      <c r="A6876" s="1" t="str">
        <f>IFERROR(__xludf.DUMMYFUNCTION("""COMPUTED_VALUE"""),"2025 Dec")</f>
        <v>2025 Dec</v>
      </c>
      <c r="B6876" s="2">
        <f>IFERROR(__xludf.DUMMYFUNCTION("""COMPUTED_VALUE"""),45992.0)</f>
        <v>45992</v>
      </c>
      <c r="C6876" s="1" t="str">
        <f>IFERROR(__xludf.DUMMYFUNCTION("""COMPUTED_VALUE"""),"Core Product Support")</f>
        <v>Core Product Support</v>
      </c>
      <c r="D6876" s="1" t="str">
        <f>IFERROR(__xludf.DUMMYFUNCTION("""COMPUTED_VALUE"""),"eb75942b-e616-42a5-bbc5-1d6cc92843bb")</f>
        <v>eb75942b-e616-42a5-bbc5-1d6cc92843bb</v>
      </c>
      <c r="E6876" s="1">
        <f>IFERROR(__xludf.DUMMYFUNCTION("""COMPUTED_VALUE"""),7.437355919375E12)</f>
        <v>7437355919375</v>
      </c>
      <c r="F6876" s="1">
        <f>IFERROR(__xludf.DUMMYFUNCTION("""COMPUTED_VALUE"""),0.5)</f>
        <v>0.5</v>
      </c>
      <c r="G6876" s="1">
        <f>IFERROR(__xludf.DUMMYFUNCTION("""COMPUTED_VALUE"""),0.75)</f>
        <v>0.75</v>
      </c>
      <c r="H6876" s="3">
        <f>IFERROR(__xludf.DUMMYFUNCTION("""COMPUTED_VALUE"""),1.25)</f>
        <v>1.25</v>
      </c>
      <c r="I6876" s="4">
        <f>IFERROR(__xludf.DUMMYFUNCTION("""COMPUTED_VALUE"""),0.6)</f>
        <v>0.6</v>
      </c>
      <c r="J6876" s="1" t="str">
        <f>IFERROR(__xludf.DUMMYFUNCTION("""COMPUTED_VALUE"""),"Ana Lazaro")</f>
        <v>Ana Lazaro</v>
      </c>
      <c r="K6876" s="1" t="str">
        <f>IFERROR(__xludf.DUMMYFUNCTION("""COMPUTED_VALUE"""),"Advanced Billing &amp; Subscriptions")</f>
        <v>Advanced Billing &amp; Subscriptions</v>
      </c>
      <c r="L6876" s="1" t="str">
        <f>IFERROR(__xludf.DUMMYFUNCTION("""COMPUTED_VALUE"""),"CPS Advanced Billing and Subscriptions (ABS)")</f>
        <v>CPS Advanced Billing and Subscriptions (ABS)</v>
      </c>
    </row>
    <row r="6877">
      <c r="A6877" s="1" t="str">
        <f>IFERROR(__xludf.DUMMYFUNCTION("""COMPUTED_VALUE"""),"2025 Dec")</f>
        <v>2025 Dec</v>
      </c>
      <c r="B6877" s="2">
        <f>IFERROR(__xludf.DUMMYFUNCTION("""COMPUTED_VALUE"""),45992.0)</f>
        <v>45992</v>
      </c>
      <c r="C6877" s="1" t="str">
        <f>IFERROR(__xludf.DUMMYFUNCTION("""COMPUTED_VALUE"""),"Admin Support")</f>
        <v>Admin Support</v>
      </c>
      <c r="D6877" s="1" t="str">
        <f>IFERROR(__xludf.DUMMYFUNCTION("""COMPUTED_VALUE"""),"3f58d026-d7af-4464-8ba2-17fb4976b8ac")</f>
        <v>3f58d026-d7af-4464-8ba2-17fb4976b8ac</v>
      </c>
      <c r="E6877" s="1">
        <f>IFERROR(__xludf.DUMMYFUNCTION("""COMPUTED_VALUE"""),3.61724668516E11)</f>
        <v>361724668516</v>
      </c>
      <c r="F6877" s="1"/>
      <c r="G6877" s="1">
        <f>IFERROR(__xludf.DUMMYFUNCTION("""COMPUTED_VALUE"""),5.42)</f>
        <v>5.42</v>
      </c>
      <c r="H6877" s="3">
        <f>IFERROR(__xludf.DUMMYFUNCTION("""COMPUTED_VALUE"""),5.42)</f>
        <v>5.42</v>
      </c>
      <c r="I6877" s="4">
        <f>IFERROR(__xludf.DUMMYFUNCTION("""COMPUTED_VALUE"""),1.0)</f>
        <v>1</v>
      </c>
      <c r="J6877" s="1" t="str">
        <f>IFERROR(__xludf.DUMMYFUNCTION("""COMPUTED_VALUE"""),"Karla Mananghaya")</f>
        <v>Karla Mananghaya</v>
      </c>
      <c r="K6877" s="1" t="str">
        <f>IFERROR(__xludf.DUMMYFUNCTION("""COMPUTED_VALUE"""),"Admin Support PH SSO")</f>
        <v>Admin Support PH SSO</v>
      </c>
      <c r="L6877" s="1" t="str">
        <f>IFERROR(__xludf.DUMMYFUNCTION("""COMPUTED_VALUE"""),"Admin SSO - CHT")</f>
        <v>Admin SSO - CHT</v>
      </c>
    </row>
    <row r="6878">
      <c r="A6878" s="1" t="str">
        <f>IFERROR(__xludf.DUMMYFUNCTION("""COMPUTED_VALUE"""),"2025 Dec")</f>
        <v>2025 Dec</v>
      </c>
      <c r="B6878" s="2">
        <f>IFERROR(__xludf.DUMMYFUNCTION("""COMPUTED_VALUE"""),45992.0)</f>
        <v>45992</v>
      </c>
      <c r="C6878" s="1" t="str">
        <f>IFERROR(__xludf.DUMMYFUNCTION("""COMPUTED_VALUE"""),"Admin Support")</f>
        <v>Admin Support</v>
      </c>
      <c r="D6878" s="1" t="str">
        <f>IFERROR(__xludf.DUMMYFUNCTION("""COMPUTED_VALUE"""),"021b74ea-5511-4b56-9f2a-6ea9d6443caa")</f>
        <v>021b74ea-5511-4b56-9f2a-6ea9d6443caa</v>
      </c>
      <c r="E6878" s="1">
        <f>IFERROR(__xludf.DUMMYFUNCTION("""COMPUTED_VALUE"""),3.61725374416E11)</f>
        <v>361725374416</v>
      </c>
      <c r="F6878" s="1"/>
      <c r="G6878" s="1"/>
      <c r="H6878" s="3">
        <f>IFERROR(__xludf.DUMMYFUNCTION("""COMPUTED_VALUE"""),0.0)</f>
        <v>0</v>
      </c>
      <c r="I6878" s="4"/>
      <c r="J6878" s="1" t="str">
        <f>IFERROR(__xludf.DUMMYFUNCTION("""COMPUTED_VALUE"""),"Rose Gabilan")</f>
        <v>Rose Gabilan</v>
      </c>
      <c r="K6878" s="1" t="str">
        <f>IFERROR(__xludf.DUMMYFUNCTION("""COMPUTED_VALUE"""),"Admin Support PH SSO")</f>
        <v>Admin Support PH SSO</v>
      </c>
      <c r="L6878" s="1" t="str">
        <f>IFERROR(__xludf.DUMMYFUNCTION("""COMPUTED_VALUE"""),"Admin SSO - CHT")</f>
        <v>Admin SSO - CHT</v>
      </c>
    </row>
    <row r="6879">
      <c r="A6879" s="1" t="str">
        <f>IFERROR(__xludf.DUMMYFUNCTION("""COMPUTED_VALUE"""),"2025 Dec")</f>
        <v>2025 Dec</v>
      </c>
      <c r="B6879" s="2">
        <f>IFERROR(__xludf.DUMMYFUNCTION("""COMPUTED_VALUE"""),45992.0)</f>
        <v>45992</v>
      </c>
      <c r="C6879" s="1" t="str">
        <f>IFERROR(__xludf.DUMMYFUNCTION("""COMPUTED_VALUE"""),"Admin Support")</f>
        <v>Admin Support</v>
      </c>
      <c r="D6879" s="1" t="str">
        <f>IFERROR(__xludf.DUMMYFUNCTION("""COMPUTED_VALUE"""),"328935f7-c639-4b8f-8512-a9641b2cf808")</f>
        <v>328935f7-c639-4b8f-8512-a9641b2cf808</v>
      </c>
      <c r="E6879" s="1">
        <f>IFERROR(__xludf.DUMMYFUNCTION("""COMPUTED_VALUE"""),3.61731648215E11)</f>
        <v>361731648215</v>
      </c>
      <c r="F6879" s="1"/>
      <c r="G6879" s="1">
        <f>IFERROR(__xludf.DUMMYFUNCTION("""COMPUTED_VALUE"""),0.5)</f>
        <v>0.5</v>
      </c>
      <c r="H6879" s="3">
        <f>IFERROR(__xludf.DUMMYFUNCTION("""COMPUTED_VALUE"""),0.5)</f>
        <v>0.5</v>
      </c>
      <c r="I6879" s="4">
        <f>IFERROR(__xludf.DUMMYFUNCTION("""COMPUTED_VALUE"""),1.0)</f>
        <v>1</v>
      </c>
      <c r="J6879" s="1" t="str">
        <f>IFERROR(__xludf.DUMMYFUNCTION("""COMPUTED_VALUE"""),"Rose Gabilan")</f>
        <v>Rose Gabilan</v>
      </c>
      <c r="K6879" s="1" t="str">
        <f>IFERROR(__xludf.DUMMYFUNCTION("""COMPUTED_VALUE"""),"Admin Support PH SSO")</f>
        <v>Admin Support PH SSO</v>
      </c>
      <c r="L6879" s="1" t="str">
        <f>IFERROR(__xludf.DUMMYFUNCTION("""COMPUTED_VALUE"""),"Admin SSO - CHT")</f>
        <v>Admin SSO - CHT</v>
      </c>
    </row>
    <row r="6880">
      <c r="A6880" s="1" t="str">
        <f>IFERROR(__xludf.DUMMYFUNCTION("""COMPUTED_VALUE"""),"2025 Dec")</f>
        <v>2025 Dec</v>
      </c>
      <c r="B6880" s="2">
        <f>IFERROR(__xludf.DUMMYFUNCTION("""COMPUTED_VALUE"""),45992.0)</f>
        <v>45992</v>
      </c>
      <c r="C6880" s="1" t="str">
        <f>IFERROR(__xludf.DUMMYFUNCTION("""COMPUTED_VALUE"""),"Core Product Support")</f>
        <v>Core Product Support</v>
      </c>
      <c r="D6880" s="1" t="str">
        <f>IFERROR(__xludf.DUMMYFUNCTION("""COMPUTED_VALUE"""),"157b66db-b9f4-4a3d-a00a-5cf3eefe9b58")</f>
        <v>157b66db-b9f4-4a3d-a00a-5cf3eefe9b58</v>
      </c>
      <c r="E6880" s="1">
        <f>IFERROR(__xludf.DUMMYFUNCTION("""COMPUTED_VALUE"""),3.61731791835E11)</f>
        <v>361731791835</v>
      </c>
      <c r="F6880" s="1"/>
      <c r="G6880" s="1">
        <f>IFERROR(__xludf.DUMMYFUNCTION("""COMPUTED_VALUE"""),1.0)</f>
        <v>1</v>
      </c>
      <c r="H6880" s="3">
        <f>IFERROR(__xludf.DUMMYFUNCTION("""COMPUTED_VALUE"""),1.0)</f>
        <v>1</v>
      </c>
      <c r="I6880" s="4">
        <f>IFERROR(__xludf.DUMMYFUNCTION("""COMPUTED_VALUE"""),1.0)</f>
        <v>1</v>
      </c>
      <c r="J6880" s="1" t="str">
        <f>IFERROR(__xludf.DUMMYFUNCTION("""COMPUTED_VALUE"""),"Renette Bok")</f>
        <v>Renette Bok</v>
      </c>
      <c r="K6880" s="1" t="str">
        <f>IFERROR(__xludf.DUMMYFUNCTION("""COMPUTED_VALUE"""),"Advanced Billing &amp; Subscriptions")</f>
        <v>Advanced Billing &amp; Subscriptions</v>
      </c>
      <c r="L6880" s="1" t="str">
        <f>IFERROR(__xludf.DUMMYFUNCTION("""COMPUTED_VALUE"""),"CPS Advanced Billing and Subscriptions (ABS)")</f>
        <v>CPS Advanced Billing and Subscriptions (ABS)</v>
      </c>
    </row>
    <row r="6881">
      <c r="A6881" s="1" t="str">
        <f>IFERROR(__xludf.DUMMYFUNCTION("""COMPUTED_VALUE"""),"2025 Dec")</f>
        <v>2025 Dec</v>
      </c>
      <c r="B6881" s="2">
        <f>IFERROR(__xludf.DUMMYFUNCTION("""COMPUTED_VALUE"""),45992.0)</f>
        <v>45992</v>
      </c>
      <c r="C6881" s="1" t="str">
        <f>IFERROR(__xludf.DUMMYFUNCTION("""COMPUTED_VALUE"""),"Core Product Support")</f>
        <v>Core Product Support</v>
      </c>
      <c r="D6881" s="1" t="str">
        <f>IFERROR(__xludf.DUMMYFUNCTION("""COMPUTED_VALUE"""),"9f2b3750-482b-4498-a201-4e32c8fad021")</f>
        <v>9f2b3750-482b-4498-a201-4e32c8fad021</v>
      </c>
      <c r="E6881" s="1">
        <f>IFERROR(__xludf.DUMMYFUNCTION("""COMPUTED_VALUE"""),3.61861298275E11)</f>
        <v>361861298275</v>
      </c>
      <c r="F6881" s="1"/>
      <c r="G6881" s="1">
        <f>IFERROR(__xludf.DUMMYFUNCTION("""COMPUTED_VALUE"""),2.5)</f>
        <v>2.5</v>
      </c>
      <c r="H6881" s="3">
        <f>IFERROR(__xludf.DUMMYFUNCTION("""COMPUTED_VALUE"""),2.5)</f>
        <v>2.5</v>
      </c>
      <c r="I6881" s="4">
        <f>IFERROR(__xludf.DUMMYFUNCTION("""COMPUTED_VALUE"""),1.0)</f>
        <v>1</v>
      </c>
      <c r="J6881" s="1" t="str">
        <f>IFERROR(__xludf.DUMMYFUNCTION("""COMPUTED_VALUE"""),"Bem Launte")</f>
        <v>Bem Launte</v>
      </c>
      <c r="K6881" s="1" t="str">
        <f>IFERROR(__xludf.DUMMYFUNCTION("""COMPUTED_VALUE"""),"Core Product Support Escalation Team")</f>
        <v>Core Product Support Escalation Team</v>
      </c>
      <c r="L6881" s="1" t="str">
        <f>IFERROR(__xludf.DUMMYFUNCTION("""COMPUTED_VALUE"""),"CPS Core Product Support Escalations (CPSET)")</f>
        <v>CPS Core Product Support Escalations (CPSET)</v>
      </c>
    </row>
    <row r="6882">
      <c r="A6882" s="1" t="str">
        <f>IFERROR(__xludf.DUMMYFUNCTION("""COMPUTED_VALUE"""),"2025 Dec")</f>
        <v>2025 Dec</v>
      </c>
      <c r="B6882" s="2">
        <f>IFERROR(__xludf.DUMMYFUNCTION("""COMPUTED_VALUE"""),45992.0)</f>
        <v>45992</v>
      </c>
      <c r="C6882" s="1" t="str">
        <f>IFERROR(__xludf.DUMMYFUNCTION("""COMPUTED_VALUE"""),"High Sensitivity Support")</f>
        <v>High Sensitivity Support</v>
      </c>
      <c r="D6882" s="1" t="str">
        <f>IFERROR(__xludf.DUMMYFUNCTION("""COMPUTED_VALUE"""),"572f7cc4-e4a6-4132-92cf-6f6ba75ee4d7")</f>
        <v>572f7cc4-e4a6-4132-92cf-6f6ba75ee4d7</v>
      </c>
      <c r="E6882" s="1">
        <f>IFERROR(__xludf.DUMMYFUNCTION("""COMPUTED_VALUE"""),5.202419220111E12)</f>
        <v>5202419220111</v>
      </c>
      <c r="F6882" s="1"/>
      <c r="G6882" s="1">
        <f>IFERROR(__xludf.DUMMYFUNCTION("""COMPUTED_VALUE"""),1.05)</f>
        <v>1.05</v>
      </c>
      <c r="H6882" s="3">
        <f>IFERROR(__xludf.DUMMYFUNCTION("""COMPUTED_VALUE"""),1.05)</f>
        <v>1.05</v>
      </c>
      <c r="I6882" s="4">
        <f>IFERROR(__xludf.DUMMYFUNCTION("""COMPUTED_VALUE"""),1.0)</f>
        <v>1</v>
      </c>
      <c r="J6882" s="1" t="str">
        <f>IFERROR(__xludf.DUMMYFUNCTION("""COMPUTED_VALUE"""),"Issi Afable")</f>
        <v>Issi Afable</v>
      </c>
      <c r="K6882" s="1" t="str">
        <f>IFERROR(__xludf.DUMMYFUNCTION("""COMPUTED_VALUE"""),"High Sensitivity Support PH")</f>
        <v>High Sensitivity Support PH</v>
      </c>
      <c r="L6882" s="1" t="str">
        <f>IFERROR(__xludf.DUMMYFUNCTION("""COMPUTED_VALUE"""),"HSS High Sensitivity Support PH - SEE")</f>
        <v>HSS High Sensitivity Support PH - SEE</v>
      </c>
    </row>
    <row r="6883">
      <c r="A6883" s="1" t="str">
        <f>IFERROR(__xludf.DUMMYFUNCTION("""COMPUTED_VALUE"""),"2025 Dec")</f>
        <v>2025 Dec</v>
      </c>
      <c r="B6883" s="2">
        <f>IFERROR(__xludf.DUMMYFUNCTION("""COMPUTED_VALUE"""),45992.0)</f>
        <v>45992</v>
      </c>
      <c r="C6883" s="1" t="str">
        <f>IFERROR(__xludf.DUMMYFUNCTION("""COMPUTED_VALUE"""),"Segment-specific Support")</f>
        <v>Segment-specific Support</v>
      </c>
      <c r="D6883" s="1" t="str">
        <f>IFERROR(__xludf.DUMMYFUNCTION("""COMPUTED_VALUE"""),"78d3efd2-2d00-4986-b5cc-7ca6a1d3542d")</f>
        <v>78d3efd2-2d00-4986-b5cc-7ca6a1d3542d</v>
      </c>
      <c r="E6883" s="1">
        <f>IFERROR(__xludf.DUMMYFUNCTION("""COMPUTED_VALUE"""),5.566867981071E12)</f>
        <v>5566867981071</v>
      </c>
      <c r="F6883" s="1"/>
      <c r="G6883" s="1"/>
      <c r="H6883" s="3">
        <f>IFERROR(__xludf.DUMMYFUNCTION("""COMPUTED_VALUE"""),0.0)</f>
        <v>0</v>
      </c>
      <c r="I6883" s="4"/>
      <c r="J6883" s="1" t="str">
        <f>IFERROR(__xludf.DUMMYFUNCTION("""COMPUTED_VALUE"""),"Tash Kelly")</f>
        <v>Tash Kelly</v>
      </c>
      <c r="K6883" s="1" t="str">
        <f>IFERROR(__xludf.DUMMYFUNCTION("""COMPUTED_VALUE"""),"Affinity Support")</f>
        <v>Affinity Support</v>
      </c>
      <c r="L6883" s="1" t="str">
        <f>IFERROR(__xludf.DUMMYFUNCTION("""COMPUTED_VALUE"""),"SSS Affinity")</f>
        <v>SSS Affinity</v>
      </c>
    </row>
    <row r="6884">
      <c r="A6884" s="1" t="str">
        <f>IFERROR(__xludf.DUMMYFUNCTION("""COMPUTED_VALUE"""),"2025 Dec")</f>
        <v>2025 Dec</v>
      </c>
      <c r="B6884" s="2">
        <f>IFERROR(__xludf.DUMMYFUNCTION("""COMPUTED_VALUE"""),45992.0)</f>
        <v>45992</v>
      </c>
      <c r="C6884" s="1" t="str">
        <f>IFERROR(__xludf.DUMMYFUNCTION("""COMPUTED_VALUE"""),"Print Support")</f>
        <v>Print Support</v>
      </c>
      <c r="D6884" s="1" t="str">
        <f>IFERROR(__xludf.DUMMYFUNCTION("""COMPUTED_VALUE"""),"03738c45-2c9f-44bf-bb4b-58a2fe9fdf5d")</f>
        <v>03738c45-2c9f-44bf-bb4b-58a2fe9fdf5d</v>
      </c>
      <c r="E6884" s="1"/>
      <c r="F6884" s="1"/>
      <c r="G6884" s="1">
        <f>IFERROR(__xludf.DUMMYFUNCTION("""COMPUTED_VALUE"""),1.0)</f>
        <v>1</v>
      </c>
      <c r="H6884" s="3">
        <f>IFERROR(__xludf.DUMMYFUNCTION("""COMPUTED_VALUE"""),1.0)</f>
        <v>1</v>
      </c>
      <c r="I6884" s="4">
        <f>IFERROR(__xludf.DUMMYFUNCTION("""COMPUTED_VALUE"""),1.0)</f>
        <v>1</v>
      </c>
      <c r="J6884" s="1" t="str">
        <f>IFERROR(__xludf.DUMMYFUNCTION("""COMPUTED_VALUE"""),"Aliza Dote")</f>
        <v>Aliza Dote</v>
      </c>
      <c r="K6884" s="1" t="str">
        <f>IFERROR(__xludf.DUMMYFUNCTION("""COMPUTED_VALUE"""),"Print Design Support")</f>
        <v>Print Design Support</v>
      </c>
      <c r="L6884" s="1" t="str">
        <f>IFERROR(__xludf.DUMMYFUNCTION("""COMPUTED_VALUE"""),"Print Print Design")</f>
        <v>Print Print Design</v>
      </c>
    </row>
    <row r="6885">
      <c r="A6885" s="1" t="str">
        <f>IFERROR(__xludf.DUMMYFUNCTION("""COMPUTED_VALUE"""),"2025 Dec")</f>
        <v>2025 Dec</v>
      </c>
      <c r="B6885" s="2">
        <f>IFERROR(__xludf.DUMMYFUNCTION("""COMPUTED_VALUE"""),45992.0)</f>
        <v>45992</v>
      </c>
      <c r="C6885" s="1" t="str">
        <f>IFERROR(__xludf.DUMMYFUNCTION("""COMPUTED_VALUE"""),"Core Product Support")</f>
        <v>Core Product Support</v>
      </c>
      <c r="D6885" s="1" t="str">
        <f>IFERROR(__xludf.DUMMYFUNCTION("""COMPUTED_VALUE"""),"9c934de8-6199-4bb2-bcc9-bd8b70ec7a9c")</f>
        <v>9c934de8-6199-4bb2-bcc9-bd8b70ec7a9c</v>
      </c>
      <c r="E6885" s="1">
        <f>IFERROR(__xludf.DUMMYFUNCTION("""COMPUTED_VALUE"""),9.795939875087E12)</f>
        <v>9795939875087</v>
      </c>
      <c r="F6885" s="1">
        <f>IFERROR(__xludf.DUMMYFUNCTION("""COMPUTED_VALUE"""),0.5)</f>
        <v>0.5</v>
      </c>
      <c r="G6885" s="1"/>
      <c r="H6885" s="3">
        <f>IFERROR(__xludf.DUMMYFUNCTION("""COMPUTED_VALUE"""),0.5)</f>
        <v>0.5</v>
      </c>
      <c r="I6885" s="4">
        <f>IFERROR(__xludf.DUMMYFUNCTION("""COMPUTED_VALUE"""),0.0)</f>
        <v>0</v>
      </c>
      <c r="J6885" s="1" t="str">
        <f>IFERROR(__xludf.DUMMYFUNCTION("""COMPUTED_VALUE"""),"Cate Velasco")</f>
        <v>Cate Velasco</v>
      </c>
      <c r="K6885" s="1" t="str">
        <f>IFERROR(__xludf.DUMMYFUNCTION("""COMPUTED_VALUE"""),"Advanced Product Support")</f>
        <v>Advanced Product Support</v>
      </c>
      <c r="L6885" s="1" t="str">
        <f>IFERROR(__xludf.DUMMYFUNCTION("""COMPUTED_VALUE"""),"CPS Advanced Product Support (APS)")</f>
        <v>CPS Advanced Product Support (APS)</v>
      </c>
    </row>
    <row r="6886">
      <c r="A6886" s="1" t="str">
        <f>IFERROR(__xludf.DUMMYFUNCTION("""COMPUTED_VALUE"""),"2025 Dec")</f>
        <v>2025 Dec</v>
      </c>
      <c r="B6886" s="2">
        <f>IFERROR(__xludf.DUMMYFUNCTION("""COMPUTED_VALUE"""),45992.0)</f>
        <v>45992</v>
      </c>
      <c r="C6886" s="1" t="str">
        <f>IFERROR(__xludf.DUMMYFUNCTION("""COMPUTED_VALUE"""),"Core Product Support")</f>
        <v>Core Product Support</v>
      </c>
      <c r="D6886" s="1" t="str">
        <f>IFERROR(__xludf.DUMMYFUNCTION("""COMPUTED_VALUE"""),"0f8d8927-aad1-40c2-82ac-95b7b823eec0")</f>
        <v>0f8d8927-aad1-40c2-82ac-95b7b823eec0</v>
      </c>
      <c r="E6886" s="1">
        <f>IFERROR(__xludf.DUMMYFUNCTION("""COMPUTED_VALUE"""),5.202441056015E12)</f>
        <v>5202441056015</v>
      </c>
      <c r="F6886" s="1"/>
      <c r="G6886" s="1">
        <f>IFERROR(__xludf.DUMMYFUNCTION("""COMPUTED_VALUE"""),1.0)</f>
        <v>1</v>
      </c>
      <c r="H6886" s="3">
        <f>IFERROR(__xludf.DUMMYFUNCTION("""COMPUTED_VALUE"""),1.0)</f>
        <v>1</v>
      </c>
      <c r="I6886" s="4">
        <f>IFERROR(__xludf.DUMMYFUNCTION("""COMPUTED_VALUE"""),1.0)</f>
        <v>1</v>
      </c>
      <c r="J6886" s="1" t="str">
        <f>IFERROR(__xludf.DUMMYFUNCTION("""COMPUTED_VALUE"""),"Renette Bok")</f>
        <v>Renette Bok</v>
      </c>
      <c r="K6886" s="1" t="str">
        <f>IFERROR(__xludf.DUMMYFUNCTION("""COMPUTED_VALUE"""),"Advanced Billing &amp; Subscriptions")</f>
        <v>Advanced Billing &amp; Subscriptions</v>
      </c>
      <c r="L6886" s="1" t="str">
        <f>IFERROR(__xludf.DUMMYFUNCTION("""COMPUTED_VALUE"""),"CPS Advanced Billing and Subscriptions (ABS)")</f>
        <v>CPS Advanced Billing and Subscriptions (ABS)</v>
      </c>
    </row>
    <row r="6887">
      <c r="A6887" s="1" t="str">
        <f>IFERROR(__xludf.DUMMYFUNCTION("""COMPUTED_VALUE"""),"2025 Dec")</f>
        <v>2025 Dec</v>
      </c>
      <c r="B6887" s="2">
        <f>IFERROR(__xludf.DUMMYFUNCTION("""COMPUTED_VALUE"""),45992.0)</f>
        <v>45992</v>
      </c>
      <c r="C6887" s="1" t="str">
        <f>IFERROR(__xludf.DUMMYFUNCTION("""COMPUTED_VALUE"""),"Core Product Support")</f>
        <v>Core Product Support</v>
      </c>
      <c r="D6887" s="1" t="str">
        <f>IFERROR(__xludf.DUMMYFUNCTION("""COMPUTED_VALUE"""),"e33e46e4-d59d-4c5b-9834-288e99d79b63")</f>
        <v>e33e46e4-d59d-4c5b-9834-288e99d79b63</v>
      </c>
      <c r="E6887" s="1">
        <f>IFERROR(__xludf.DUMMYFUNCTION("""COMPUTED_VALUE"""),1.0333049582991E13)</f>
        <v>10333049582991</v>
      </c>
      <c r="F6887" s="1">
        <f>IFERROR(__xludf.DUMMYFUNCTION("""COMPUTED_VALUE"""),0.5)</f>
        <v>0.5</v>
      </c>
      <c r="G6887" s="1">
        <f>IFERROR(__xludf.DUMMYFUNCTION("""COMPUTED_VALUE"""),0.17)</f>
        <v>0.17</v>
      </c>
      <c r="H6887" s="3">
        <f>IFERROR(__xludf.DUMMYFUNCTION("""COMPUTED_VALUE"""),0.67)</f>
        <v>0.67</v>
      </c>
      <c r="I6887" s="4">
        <f>IFERROR(__xludf.DUMMYFUNCTION("""COMPUTED_VALUE"""),0.2537313432835821)</f>
        <v>0.2537313433</v>
      </c>
      <c r="J6887" s="1" t="str">
        <f>IFERROR(__xludf.DUMMYFUNCTION("""COMPUTED_VALUE"""),"Cate Velasco")</f>
        <v>Cate Velasco</v>
      </c>
      <c r="K6887" s="1" t="str">
        <f>IFERROR(__xludf.DUMMYFUNCTION("""COMPUTED_VALUE"""),"Advanced Product Support")</f>
        <v>Advanced Product Support</v>
      </c>
      <c r="L6887" s="1" t="str">
        <f>IFERROR(__xludf.DUMMYFUNCTION("""COMPUTED_VALUE"""),"CPS Advanced Product Support (APS)")</f>
        <v>CPS Advanced Product Support (APS)</v>
      </c>
    </row>
    <row r="6888">
      <c r="A6888" s="1" t="str">
        <f>IFERROR(__xludf.DUMMYFUNCTION("""COMPUTED_VALUE"""),"2025 Dec")</f>
        <v>2025 Dec</v>
      </c>
      <c r="B6888" s="2">
        <f>IFERROR(__xludf.DUMMYFUNCTION("""COMPUTED_VALUE"""),45992.0)</f>
        <v>45992</v>
      </c>
      <c r="C6888" s="1" t="str">
        <f>IFERROR(__xludf.DUMMYFUNCTION("""COMPUTED_VALUE"""),"Core Product Support")</f>
        <v>Core Product Support</v>
      </c>
      <c r="D6888" s="1" t="str">
        <f>IFERROR(__xludf.DUMMYFUNCTION("""COMPUTED_VALUE"""),"748f7375-5497-4286-b6df-38229b609d09")</f>
        <v>748f7375-5497-4286-b6df-38229b609d09</v>
      </c>
      <c r="E6888" s="1"/>
      <c r="F6888" s="1">
        <f>IFERROR(__xludf.DUMMYFUNCTION("""COMPUTED_VALUE"""),0.5)</f>
        <v>0.5</v>
      </c>
      <c r="G6888" s="1"/>
      <c r="H6888" s="3">
        <f>IFERROR(__xludf.DUMMYFUNCTION("""COMPUTED_VALUE"""),0.5)</f>
        <v>0.5</v>
      </c>
      <c r="I6888" s="4">
        <f>IFERROR(__xludf.DUMMYFUNCTION("""COMPUTED_VALUE"""),0.0)</f>
        <v>0</v>
      </c>
      <c r="J6888" s="1" t="str">
        <f>IFERROR(__xludf.DUMMYFUNCTION("""COMPUTED_VALUE"""),"Mikhaela Decangchon")</f>
        <v>Mikhaela Decangchon</v>
      </c>
      <c r="K6888" s="1" t="str">
        <f>IFERROR(__xludf.DUMMYFUNCTION("""COMPUTED_VALUE"""),"Advanced Product Support")</f>
        <v>Advanced Product Support</v>
      </c>
      <c r="L6888" s="1" t="str">
        <f>IFERROR(__xludf.DUMMYFUNCTION("""COMPUTED_VALUE"""),"CPS Advanced Product Support (APS)")</f>
        <v>CPS Advanced Product Support (APS)</v>
      </c>
    </row>
    <row r="6889">
      <c r="A6889" s="1" t="str">
        <f>IFERROR(__xludf.DUMMYFUNCTION("""COMPUTED_VALUE"""),"2025 Dec")</f>
        <v>2025 Dec</v>
      </c>
      <c r="B6889" s="2">
        <f>IFERROR(__xludf.DUMMYFUNCTION("""COMPUTED_VALUE"""),45992.0)</f>
        <v>45992</v>
      </c>
      <c r="C6889" s="1" t="str">
        <f>IFERROR(__xludf.DUMMYFUNCTION("""COMPUTED_VALUE"""),"Admin Support")</f>
        <v>Admin Support</v>
      </c>
      <c r="D6889" s="1" t="str">
        <f>IFERROR(__xludf.DUMMYFUNCTION("""COMPUTED_VALUE"""),"8d05170b-44c2-4973-963a-14bb293f18ab")</f>
        <v>8d05170b-44c2-4973-963a-14bb293f18ab</v>
      </c>
      <c r="E6889" s="1">
        <f>IFERROR(__xludf.DUMMYFUNCTION("""COMPUTED_VALUE"""),3.61731348415E11)</f>
        <v>361731348415</v>
      </c>
      <c r="F6889" s="1"/>
      <c r="G6889" s="1">
        <f>IFERROR(__xludf.DUMMYFUNCTION("""COMPUTED_VALUE"""),4.25)</f>
        <v>4.25</v>
      </c>
      <c r="H6889" s="3">
        <f>IFERROR(__xludf.DUMMYFUNCTION("""COMPUTED_VALUE"""),4.25)</f>
        <v>4.25</v>
      </c>
      <c r="I6889" s="4">
        <f>IFERROR(__xludf.DUMMYFUNCTION("""COMPUTED_VALUE"""),1.0)</f>
        <v>1</v>
      </c>
      <c r="J6889" s="1" t="str">
        <f>IFERROR(__xludf.DUMMYFUNCTION("""COMPUTED_VALUE"""),"Kelden Laguting")</f>
        <v>Kelden Laguting</v>
      </c>
      <c r="K6889" s="1" t="str">
        <f>IFERROR(__xludf.DUMMYFUNCTION("""COMPUTED_VALUE"""),"Admin Support PH")</f>
        <v>Admin Support PH</v>
      </c>
      <c r="L6889" s="1" t="str">
        <f>IFERROR(__xludf.DUMMYFUNCTION("""COMPUTED_VALUE"""),"Admin PH")</f>
        <v>Admin PH</v>
      </c>
    </row>
    <row r="6890">
      <c r="A6890" s="1" t="str">
        <f>IFERROR(__xludf.DUMMYFUNCTION("""COMPUTED_VALUE"""),"2025 Dec")</f>
        <v>2025 Dec</v>
      </c>
      <c r="B6890" s="2">
        <f>IFERROR(__xludf.DUMMYFUNCTION("""COMPUTED_VALUE"""),45992.0)</f>
        <v>45992</v>
      </c>
      <c r="C6890" s="1" t="str">
        <f>IFERROR(__xludf.DUMMYFUNCTION("""COMPUTED_VALUE"""),"Admin Support")</f>
        <v>Admin Support</v>
      </c>
      <c r="D6890" s="1" t="str">
        <f>IFERROR(__xludf.DUMMYFUNCTION("""COMPUTED_VALUE"""),"c51116f5-04d9-48df-a12a-dbf63eaf9c18")</f>
        <v>c51116f5-04d9-48df-a12a-dbf63eaf9c18</v>
      </c>
      <c r="E6890" s="1">
        <f>IFERROR(__xludf.DUMMYFUNCTION("""COMPUTED_VALUE"""),3.61731647035E11)</f>
        <v>361731647035</v>
      </c>
      <c r="F6890" s="1"/>
      <c r="G6890" s="1">
        <f>IFERROR(__xludf.DUMMYFUNCTION("""COMPUTED_VALUE"""),1.5)</f>
        <v>1.5</v>
      </c>
      <c r="H6890" s="3">
        <f>IFERROR(__xludf.DUMMYFUNCTION("""COMPUTED_VALUE"""),1.5)</f>
        <v>1.5</v>
      </c>
      <c r="I6890" s="4">
        <f>IFERROR(__xludf.DUMMYFUNCTION("""COMPUTED_VALUE"""),1.0)</f>
        <v>1</v>
      </c>
      <c r="J6890" s="1" t="str">
        <f>IFERROR(__xludf.DUMMYFUNCTION("""COMPUTED_VALUE"""),"Rose Gabilan")</f>
        <v>Rose Gabilan</v>
      </c>
      <c r="K6890" s="1" t="str">
        <f>IFERROR(__xludf.DUMMYFUNCTION("""COMPUTED_VALUE"""),"Admin Support PH SSO")</f>
        <v>Admin Support PH SSO</v>
      </c>
      <c r="L6890" s="1" t="str">
        <f>IFERROR(__xludf.DUMMYFUNCTION("""COMPUTED_VALUE"""),"Admin SSO - CHT")</f>
        <v>Admin SSO - CHT</v>
      </c>
    </row>
    <row r="6891">
      <c r="A6891" s="1" t="str">
        <f>IFERROR(__xludf.DUMMYFUNCTION("""COMPUTED_VALUE"""),"2025 Dec")</f>
        <v>2025 Dec</v>
      </c>
      <c r="B6891" s="2">
        <f>IFERROR(__xludf.DUMMYFUNCTION("""COMPUTED_VALUE"""),45992.0)</f>
        <v>45992</v>
      </c>
      <c r="C6891" s="1" t="str">
        <f>IFERROR(__xludf.DUMMYFUNCTION("""COMPUTED_VALUE"""),"Core Product Support")</f>
        <v>Core Product Support</v>
      </c>
      <c r="D6891" s="1" t="str">
        <f>IFERROR(__xludf.DUMMYFUNCTION("""COMPUTED_VALUE"""),"ee26274a-f5bb-4f8f-aa29-94921d6e67a9")</f>
        <v>ee26274a-f5bb-4f8f-aa29-94921d6e67a9</v>
      </c>
      <c r="E6891" s="1">
        <f>IFERROR(__xludf.DUMMYFUNCTION("""COMPUTED_VALUE"""),9.107717956879E12)</f>
        <v>9107717956879</v>
      </c>
      <c r="F6891" s="1">
        <f>IFERROR(__xludf.DUMMYFUNCTION("""COMPUTED_VALUE"""),0.5)</f>
        <v>0.5</v>
      </c>
      <c r="G6891" s="1"/>
      <c r="H6891" s="3">
        <f>IFERROR(__xludf.DUMMYFUNCTION("""COMPUTED_VALUE"""),0.5)</f>
        <v>0.5</v>
      </c>
      <c r="I6891" s="4">
        <f>IFERROR(__xludf.DUMMYFUNCTION("""COMPUTED_VALUE"""),0.0)</f>
        <v>0</v>
      </c>
      <c r="J6891" s="1" t="str">
        <f>IFERROR(__xludf.DUMMYFUNCTION("""COMPUTED_VALUE"""),"Marie Mordeno")</f>
        <v>Marie Mordeno</v>
      </c>
      <c r="K6891" s="1" t="str">
        <f>IFERROR(__xludf.DUMMYFUNCTION("""COMPUTED_VALUE"""),"Advanced Billing &amp; Subscriptions")</f>
        <v>Advanced Billing &amp; Subscriptions</v>
      </c>
      <c r="L6891" s="1" t="str">
        <f>IFERROR(__xludf.DUMMYFUNCTION("""COMPUTED_VALUE"""),"CPS Advanced Billing and Subscriptions (ABS)")</f>
        <v>CPS Advanced Billing and Subscriptions (ABS)</v>
      </c>
    </row>
    <row r="6892">
      <c r="A6892" s="1" t="str">
        <f>IFERROR(__xludf.DUMMYFUNCTION("""COMPUTED_VALUE"""),"2025 Dec")</f>
        <v>2025 Dec</v>
      </c>
      <c r="B6892" s="2">
        <f>IFERROR(__xludf.DUMMYFUNCTION("""COMPUTED_VALUE"""),45992.0)</f>
        <v>45992</v>
      </c>
      <c r="C6892" s="1" t="str">
        <f>IFERROR(__xludf.DUMMYFUNCTION("""COMPUTED_VALUE"""),"Core Product Support")</f>
        <v>Core Product Support</v>
      </c>
      <c r="D6892" s="1" t="str">
        <f>IFERROR(__xludf.DUMMYFUNCTION("""COMPUTED_VALUE"""),"9ec42277-802e-4dea-b288-c3f190cff1eb")</f>
        <v>9ec42277-802e-4dea-b288-c3f190cff1eb</v>
      </c>
      <c r="E6892" s="1">
        <f>IFERROR(__xludf.DUMMYFUNCTION("""COMPUTED_VALUE"""),3.61726427476E11)</f>
        <v>361726427476</v>
      </c>
      <c r="F6892" s="1"/>
      <c r="G6892" s="1">
        <f>IFERROR(__xludf.DUMMYFUNCTION("""COMPUTED_VALUE"""),3.5)</f>
        <v>3.5</v>
      </c>
      <c r="H6892" s="3">
        <f>IFERROR(__xludf.DUMMYFUNCTION("""COMPUTED_VALUE"""),3.5)</f>
        <v>3.5</v>
      </c>
      <c r="I6892" s="4">
        <f>IFERROR(__xludf.DUMMYFUNCTION("""COMPUTED_VALUE"""),1.0)</f>
        <v>1</v>
      </c>
      <c r="J6892" s="1" t="str">
        <f>IFERROR(__xludf.DUMMYFUNCTION("""COMPUTED_VALUE"""),"Ellaine Estayo")</f>
        <v>Ellaine Estayo</v>
      </c>
      <c r="K6892" s="1" t="str">
        <f>IFERROR(__xludf.DUMMYFUNCTION("""COMPUTED_VALUE"""),"Core Product Support Escalation Team")</f>
        <v>Core Product Support Escalation Team</v>
      </c>
      <c r="L6892" s="1" t="str">
        <f>IFERROR(__xludf.DUMMYFUNCTION("""COMPUTED_VALUE"""),"CPS Core Product Support Escalations (CPSET)")</f>
        <v>CPS Core Product Support Escalations (CPSET)</v>
      </c>
    </row>
    <row r="6893">
      <c r="A6893" s="1" t="str">
        <f>IFERROR(__xludf.DUMMYFUNCTION("""COMPUTED_VALUE"""),"2025 Dec")</f>
        <v>2025 Dec</v>
      </c>
      <c r="B6893" s="2">
        <f>IFERROR(__xludf.DUMMYFUNCTION("""COMPUTED_VALUE"""),45992.0)</f>
        <v>45992</v>
      </c>
      <c r="C6893" s="1" t="str">
        <f>IFERROR(__xludf.DUMMYFUNCTION("""COMPUTED_VALUE"""),"Print Support")</f>
        <v>Print Support</v>
      </c>
      <c r="D6893" s="1" t="str">
        <f>IFERROR(__xludf.DUMMYFUNCTION("""COMPUTED_VALUE"""),"9e3b5d29-0e29-4565-a70a-6e7ee3c7be84")</f>
        <v>9e3b5d29-0e29-4565-a70a-6e7ee3c7be84</v>
      </c>
      <c r="E6893" s="1">
        <f>IFERROR(__xludf.DUMMYFUNCTION("""COMPUTED_VALUE"""),1.0548602091791E13)</f>
        <v>10548602091791</v>
      </c>
      <c r="F6893" s="1"/>
      <c r="G6893" s="1"/>
      <c r="H6893" s="3">
        <f>IFERROR(__xludf.DUMMYFUNCTION("""COMPUTED_VALUE"""),0.0)</f>
        <v>0</v>
      </c>
      <c r="I6893" s="4"/>
      <c r="J6893" s="1" t="str">
        <f>IFERROR(__xludf.DUMMYFUNCTION("""COMPUTED_VALUE"""),"Jen Momo")</f>
        <v>Jen Momo</v>
      </c>
      <c r="K6893" s="1" t="str">
        <f>IFERROR(__xludf.DUMMYFUNCTION("""COMPUTED_VALUE"""),"Print Support PH")</f>
        <v>Print Support PH</v>
      </c>
      <c r="L6893" s="1" t="str">
        <f>IFERROR(__xludf.DUMMYFUNCTION("""COMPUTED_VALUE"""),"Print Print - CHT")</f>
        <v>Print Print - CHT</v>
      </c>
    </row>
    <row r="6894">
      <c r="A6894" s="1" t="str">
        <f>IFERROR(__xludf.DUMMYFUNCTION("""COMPUTED_VALUE"""),"2025 Dec")</f>
        <v>2025 Dec</v>
      </c>
      <c r="B6894" s="2">
        <f>IFERROR(__xludf.DUMMYFUNCTION("""COMPUTED_VALUE"""),45992.0)</f>
        <v>45992</v>
      </c>
      <c r="C6894" s="1" t="str">
        <f>IFERROR(__xludf.DUMMYFUNCTION("""COMPUTED_VALUE"""),"Segment-specific Support")</f>
        <v>Segment-specific Support</v>
      </c>
      <c r="D6894" s="1" t="str">
        <f>IFERROR(__xludf.DUMMYFUNCTION("""COMPUTED_VALUE"""),"eda8dc46-d638-4955-b85e-554ac98c41d8")</f>
        <v>eda8dc46-d638-4955-b85e-554ac98c41d8</v>
      </c>
      <c r="E6894" s="1">
        <f>IFERROR(__xludf.DUMMYFUNCTION("""COMPUTED_VALUE"""),3.61731943235E11)</f>
        <v>361731943235</v>
      </c>
      <c r="F6894" s="1"/>
      <c r="G6894" s="1"/>
      <c r="H6894" s="3">
        <f>IFERROR(__xludf.DUMMYFUNCTION("""COMPUTED_VALUE"""),0.0)</f>
        <v>0</v>
      </c>
      <c r="I6894" s="4"/>
      <c r="J6894" s="1" t="str">
        <f>IFERROR(__xludf.DUMMYFUNCTION("""COMPUTED_VALUE"""),"Aileen Dayanghirang")</f>
        <v>Aileen Dayanghirang</v>
      </c>
      <c r="K6894" s="1" t="str">
        <f>IFERROR(__xludf.DUMMYFUNCTION("""COMPUTED_VALUE"""),"Creators Support")</f>
        <v>Creators Support</v>
      </c>
      <c r="L6894" s="1" t="str">
        <f>IFERROR(__xludf.DUMMYFUNCTION("""COMPUTED_VALUE"""),"SSS Creators")</f>
        <v>SSS Creators</v>
      </c>
    </row>
    <row r="6895">
      <c r="A6895" s="1" t="str">
        <f>IFERROR(__xludf.DUMMYFUNCTION("""COMPUTED_VALUE"""),"2025 Dec")</f>
        <v>2025 Dec</v>
      </c>
      <c r="B6895" s="2">
        <f>IFERROR(__xludf.DUMMYFUNCTION("""COMPUTED_VALUE"""),45992.0)</f>
        <v>45992</v>
      </c>
      <c r="C6895" s="1" t="str">
        <f>IFERROR(__xludf.DUMMYFUNCTION("""COMPUTED_VALUE"""),"Admin Support")</f>
        <v>Admin Support</v>
      </c>
      <c r="D6895" s="1" t="str">
        <f>IFERROR(__xludf.DUMMYFUNCTION("""COMPUTED_VALUE"""),"1135d838-4518-48e7-a5b8-f1738f44245c")</f>
        <v>1135d838-4518-48e7-a5b8-f1738f44245c</v>
      </c>
      <c r="E6895" s="1">
        <f>IFERROR(__xludf.DUMMYFUNCTION("""COMPUTED_VALUE"""),9.795666354191E12)</f>
        <v>9795666354191</v>
      </c>
      <c r="F6895" s="1"/>
      <c r="G6895" s="1"/>
      <c r="H6895" s="3">
        <f>IFERROR(__xludf.DUMMYFUNCTION("""COMPUTED_VALUE"""),0.0)</f>
        <v>0</v>
      </c>
      <c r="I6895" s="4"/>
      <c r="J6895" s="1" t="str">
        <f>IFERROR(__xludf.DUMMYFUNCTION("""COMPUTED_VALUE"""),"Elise Cesario Mendes")</f>
        <v>Elise Cesario Mendes</v>
      </c>
      <c r="K6895" s="1" t="str">
        <f>IFERROR(__xludf.DUMMYFUNCTION("""COMPUTED_VALUE"""),"Admin Support APJ")</f>
        <v>Admin Support APJ</v>
      </c>
      <c r="L6895" s="1" t="str">
        <f>IFERROR(__xludf.DUMMYFUNCTION("""COMPUTED_VALUE"""),"Admin APJ")</f>
        <v>Admin APJ</v>
      </c>
    </row>
    <row r="6896">
      <c r="A6896" s="1" t="str">
        <f>IFERROR(__xludf.DUMMYFUNCTION("""COMPUTED_VALUE"""),"2025 Dec")</f>
        <v>2025 Dec</v>
      </c>
      <c r="B6896" s="2">
        <f>IFERROR(__xludf.DUMMYFUNCTION("""COMPUTED_VALUE"""),45992.0)</f>
        <v>45992</v>
      </c>
      <c r="C6896" s="1" t="str">
        <f>IFERROR(__xludf.DUMMYFUNCTION("""COMPUTED_VALUE"""),"High Sensitivity Support")</f>
        <v>High Sensitivity Support</v>
      </c>
      <c r="D6896" s="1" t="str">
        <f>IFERROR(__xludf.DUMMYFUNCTION("""COMPUTED_VALUE"""),"a3bbe934-01ae-4e93-9369-021e3581998d")</f>
        <v>a3bbe934-01ae-4e93-9369-021e3581998d</v>
      </c>
      <c r="E6896" s="1">
        <f>IFERROR(__xludf.DUMMYFUNCTION("""COMPUTED_VALUE"""),8.409869745551E12)</f>
        <v>8409869745551</v>
      </c>
      <c r="F6896" s="1">
        <f>IFERROR(__xludf.DUMMYFUNCTION("""COMPUTED_VALUE"""),4.0)</f>
        <v>4</v>
      </c>
      <c r="G6896" s="1"/>
      <c r="H6896" s="3">
        <f>IFERROR(__xludf.DUMMYFUNCTION("""COMPUTED_VALUE"""),4.0)</f>
        <v>4</v>
      </c>
      <c r="I6896" s="4">
        <f>IFERROR(__xludf.DUMMYFUNCTION("""COMPUTED_VALUE"""),0.0)</f>
        <v>0</v>
      </c>
      <c r="J6896" s="1" t="str">
        <f>IFERROR(__xludf.DUMMYFUNCTION("""COMPUTED_VALUE"""),"Rex Villamor")</f>
        <v>Rex Villamor</v>
      </c>
      <c r="K6896" s="1" t="str">
        <f>IFERROR(__xludf.DUMMYFUNCTION("""COMPUTED_VALUE"""),"High Sensitivity Support PH")</f>
        <v>High Sensitivity Support PH</v>
      </c>
      <c r="L6896" s="1" t="str">
        <f>IFERROR(__xludf.DUMMYFUNCTION("""COMPUTED_VALUE"""),"HSS High Sensitivity Support PH - CHT")</f>
        <v>HSS High Sensitivity Support PH - CHT</v>
      </c>
    </row>
    <row r="6897">
      <c r="A6897" s="1" t="str">
        <f>IFERROR(__xludf.DUMMYFUNCTION("""COMPUTED_VALUE"""),"2025 Dec")</f>
        <v>2025 Dec</v>
      </c>
      <c r="B6897" s="2">
        <f>IFERROR(__xludf.DUMMYFUNCTION("""COMPUTED_VALUE"""),45992.0)</f>
        <v>45992</v>
      </c>
      <c r="C6897" s="1" t="str">
        <f>IFERROR(__xludf.DUMMYFUNCTION("""COMPUTED_VALUE"""),"Core Product Support")</f>
        <v>Core Product Support</v>
      </c>
      <c r="D6897" s="1" t="str">
        <f>IFERROR(__xludf.DUMMYFUNCTION("""COMPUTED_VALUE"""),"3160ea91-bbe8-47f3-b356-db1889bfb947")</f>
        <v>3160ea91-bbe8-47f3-b356-db1889bfb947</v>
      </c>
      <c r="E6897" s="1">
        <f>IFERROR(__xludf.DUMMYFUNCTION("""COMPUTED_VALUE"""),8.904462217231E12)</f>
        <v>8904462217231</v>
      </c>
      <c r="F6897" s="1">
        <f>IFERROR(__xludf.DUMMYFUNCTION("""COMPUTED_VALUE"""),0.5)</f>
        <v>0.5</v>
      </c>
      <c r="G6897" s="1"/>
      <c r="H6897" s="3">
        <f>IFERROR(__xludf.DUMMYFUNCTION("""COMPUTED_VALUE"""),0.5)</f>
        <v>0.5</v>
      </c>
      <c r="I6897" s="4">
        <f>IFERROR(__xludf.DUMMYFUNCTION("""COMPUTED_VALUE"""),0.0)</f>
        <v>0</v>
      </c>
      <c r="J6897" s="1" t="str">
        <f>IFERROR(__xludf.DUMMYFUNCTION("""COMPUTED_VALUE"""),"Ana Lazaro")</f>
        <v>Ana Lazaro</v>
      </c>
      <c r="K6897" s="1" t="str">
        <f>IFERROR(__xludf.DUMMYFUNCTION("""COMPUTED_VALUE"""),"Advanced Billing &amp; Subscriptions")</f>
        <v>Advanced Billing &amp; Subscriptions</v>
      </c>
      <c r="L6897" s="1" t="str">
        <f>IFERROR(__xludf.DUMMYFUNCTION("""COMPUTED_VALUE"""),"CPS Advanced Billing and Subscriptions (ABS)")</f>
        <v>CPS Advanced Billing and Subscriptions (ABS)</v>
      </c>
    </row>
    <row r="6898">
      <c r="A6898" s="1" t="str">
        <f>IFERROR(__xludf.DUMMYFUNCTION("""COMPUTED_VALUE"""),"2025 Dec")</f>
        <v>2025 Dec</v>
      </c>
      <c r="B6898" s="2">
        <f>IFERROR(__xludf.DUMMYFUNCTION("""COMPUTED_VALUE"""),45992.0)</f>
        <v>45992</v>
      </c>
      <c r="C6898" s="1" t="str">
        <f>IFERROR(__xludf.DUMMYFUNCTION("""COMPUTED_VALUE"""),"Admin Support")</f>
        <v>Admin Support</v>
      </c>
      <c r="D6898" s="1" t="str">
        <f>IFERROR(__xludf.DUMMYFUNCTION("""COMPUTED_VALUE"""),"0c4907ba-7b85-4f42-8afb-a62cdeb8fbd3")</f>
        <v>0c4907ba-7b85-4f42-8afb-a62cdeb8fbd3</v>
      </c>
      <c r="E6898" s="1">
        <f>IFERROR(__xludf.DUMMYFUNCTION("""COMPUTED_VALUE"""),3.61731944975E11)</f>
        <v>361731944975</v>
      </c>
      <c r="F6898" s="1"/>
      <c r="G6898" s="1">
        <f>IFERROR(__xludf.DUMMYFUNCTION("""COMPUTED_VALUE"""),8.25)</f>
        <v>8.25</v>
      </c>
      <c r="H6898" s="3">
        <f>IFERROR(__xludf.DUMMYFUNCTION("""COMPUTED_VALUE"""),8.25)</f>
        <v>8.25</v>
      </c>
      <c r="I6898" s="4">
        <f>IFERROR(__xludf.DUMMYFUNCTION("""COMPUTED_VALUE"""),1.0)</f>
        <v>1</v>
      </c>
      <c r="J6898" s="1" t="str">
        <f>IFERROR(__xludf.DUMMYFUNCTION("""COMPUTED_VALUE"""),"Kelden Laguting")</f>
        <v>Kelden Laguting</v>
      </c>
      <c r="K6898" s="1" t="str">
        <f>IFERROR(__xludf.DUMMYFUNCTION("""COMPUTED_VALUE"""),"Admin Support PH")</f>
        <v>Admin Support PH</v>
      </c>
      <c r="L6898" s="1" t="str">
        <f>IFERROR(__xludf.DUMMYFUNCTION("""COMPUTED_VALUE"""),"Admin PH")</f>
        <v>Admin PH</v>
      </c>
    </row>
    <row r="6899">
      <c r="A6899" s="1" t="str">
        <f>IFERROR(__xludf.DUMMYFUNCTION("""COMPUTED_VALUE"""),"2025 Dec")</f>
        <v>2025 Dec</v>
      </c>
      <c r="B6899" s="2">
        <f>IFERROR(__xludf.DUMMYFUNCTION("""COMPUTED_VALUE"""),45992.0)</f>
        <v>45992</v>
      </c>
      <c r="C6899" s="1" t="str">
        <f>IFERROR(__xludf.DUMMYFUNCTION("""COMPUTED_VALUE"""),"Admin Support")</f>
        <v>Admin Support</v>
      </c>
      <c r="D6899" s="1" t="str">
        <f>IFERROR(__xludf.DUMMYFUNCTION("""COMPUTED_VALUE"""),"f3e01c36-ae47-4587-bb42-c4f8b42102e5")</f>
        <v>f3e01c36-ae47-4587-bb42-c4f8b42102e5</v>
      </c>
      <c r="E6899" s="1">
        <f>IFERROR(__xludf.DUMMYFUNCTION("""COMPUTED_VALUE"""),3.61725484056E11)</f>
        <v>361725484056</v>
      </c>
      <c r="F6899" s="1"/>
      <c r="G6899" s="1">
        <f>IFERROR(__xludf.DUMMYFUNCTION("""COMPUTED_VALUE"""),0.5)</f>
        <v>0.5</v>
      </c>
      <c r="H6899" s="3">
        <f>IFERROR(__xludf.DUMMYFUNCTION("""COMPUTED_VALUE"""),0.5)</f>
        <v>0.5</v>
      </c>
      <c r="I6899" s="4">
        <f>IFERROR(__xludf.DUMMYFUNCTION("""COMPUTED_VALUE"""),1.0)</f>
        <v>1</v>
      </c>
      <c r="J6899" s="1" t="str">
        <f>IFERROR(__xludf.DUMMYFUNCTION("""COMPUTED_VALUE"""),"Rose Gabilan")</f>
        <v>Rose Gabilan</v>
      </c>
      <c r="K6899" s="1" t="str">
        <f>IFERROR(__xludf.DUMMYFUNCTION("""COMPUTED_VALUE"""),"Admin Support PH SSO")</f>
        <v>Admin Support PH SSO</v>
      </c>
      <c r="L6899" s="1" t="str">
        <f>IFERROR(__xludf.DUMMYFUNCTION("""COMPUTED_VALUE"""),"Admin SSO - CHT")</f>
        <v>Admin SSO - CHT</v>
      </c>
    </row>
    <row r="6900">
      <c r="A6900" s="1" t="str">
        <f>IFERROR(__xludf.DUMMYFUNCTION("""COMPUTED_VALUE"""),"2025 Dec")</f>
        <v>2025 Dec</v>
      </c>
      <c r="B6900" s="2">
        <f>IFERROR(__xludf.DUMMYFUNCTION("""COMPUTED_VALUE"""),45992.0)</f>
        <v>45992</v>
      </c>
      <c r="C6900" s="1" t="str">
        <f>IFERROR(__xludf.DUMMYFUNCTION("""COMPUTED_VALUE"""),"Segment-specific Support")</f>
        <v>Segment-specific Support</v>
      </c>
      <c r="D6900" s="1" t="str">
        <f>IFERROR(__xludf.DUMMYFUNCTION("""COMPUTED_VALUE"""),"0a760e6d-f69c-4cfc-a59a-917274456550")</f>
        <v>0a760e6d-f69c-4cfc-a59a-917274456550</v>
      </c>
      <c r="E6900" s="1">
        <f>IFERROR(__xludf.DUMMYFUNCTION("""COMPUTED_VALUE"""),5.047314632975E12)</f>
        <v>5047314632975</v>
      </c>
      <c r="F6900" s="1"/>
      <c r="G6900" s="1"/>
      <c r="H6900" s="3">
        <f>IFERROR(__xludf.DUMMYFUNCTION("""COMPUTED_VALUE"""),0.0)</f>
        <v>0</v>
      </c>
      <c r="I6900" s="4"/>
      <c r="J6900" s="1" t="str">
        <f>IFERROR(__xludf.DUMMYFUNCTION("""COMPUTED_VALUE"""),"Tash Kelly")</f>
        <v>Tash Kelly</v>
      </c>
      <c r="K6900" s="1" t="str">
        <f>IFERROR(__xludf.DUMMYFUNCTION("""COMPUTED_VALUE"""),"Affinity Support")</f>
        <v>Affinity Support</v>
      </c>
      <c r="L6900" s="1" t="str">
        <f>IFERROR(__xludf.DUMMYFUNCTION("""COMPUTED_VALUE"""),"SSS Affinity")</f>
        <v>SSS Affinity</v>
      </c>
    </row>
    <row r="6901">
      <c r="A6901" s="1" t="str">
        <f>IFERROR(__xludf.DUMMYFUNCTION("""COMPUTED_VALUE"""),"2025 Dec")</f>
        <v>2025 Dec</v>
      </c>
      <c r="B6901" s="2">
        <f>IFERROR(__xludf.DUMMYFUNCTION("""COMPUTED_VALUE"""),45992.0)</f>
        <v>45992</v>
      </c>
      <c r="C6901" s="1" t="str">
        <f>IFERROR(__xludf.DUMMYFUNCTION("""COMPUTED_VALUE"""),"Admin Support")</f>
        <v>Admin Support</v>
      </c>
      <c r="D6901" s="1" t="str">
        <f>IFERROR(__xludf.DUMMYFUNCTION("""COMPUTED_VALUE"""),"97756389-1733-4bfe-bf0b-b3fe225fe510")</f>
        <v>97756389-1733-4bfe-bf0b-b3fe225fe510</v>
      </c>
      <c r="E6901" s="1">
        <f>IFERROR(__xludf.DUMMYFUNCTION("""COMPUTED_VALUE"""),9.153847235087E12)</f>
        <v>9153847235087</v>
      </c>
      <c r="F6901" s="1"/>
      <c r="G6901" s="1"/>
      <c r="H6901" s="3">
        <f>IFERROR(__xludf.DUMMYFUNCTION("""COMPUTED_VALUE"""),0.0)</f>
        <v>0</v>
      </c>
      <c r="I6901" s="4"/>
      <c r="J6901" s="1" t="str">
        <f>IFERROR(__xludf.DUMMYFUNCTION("""COMPUTED_VALUE"""),"Tash Kelly")</f>
        <v>Tash Kelly</v>
      </c>
      <c r="K6901" s="1" t="str">
        <f>IFERROR(__xludf.DUMMYFUNCTION("""COMPUTED_VALUE"""),"Admin Support EMEA")</f>
        <v>Admin Support EMEA</v>
      </c>
      <c r="L6901" s="1" t="str">
        <f>IFERROR(__xludf.DUMMYFUNCTION("""COMPUTED_VALUE"""),"Admin EMEA")</f>
        <v>Admin EMEA</v>
      </c>
    </row>
    <row r="6902">
      <c r="A6902" s="1" t="str">
        <f>IFERROR(__xludf.DUMMYFUNCTION("""COMPUTED_VALUE"""),"2025 Dec")</f>
        <v>2025 Dec</v>
      </c>
      <c r="B6902" s="2">
        <f>IFERROR(__xludf.DUMMYFUNCTION("""COMPUTED_VALUE"""),45992.0)</f>
        <v>45992</v>
      </c>
      <c r="C6902" s="1" t="str">
        <f>IFERROR(__xludf.DUMMYFUNCTION("""COMPUTED_VALUE"""),"Admin Support")</f>
        <v>Admin Support</v>
      </c>
      <c r="D6902" s="1" t="str">
        <f>IFERROR(__xludf.DUMMYFUNCTION("""COMPUTED_VALUE"""),"b8e64047-ce95-4bd1-ba70-97209dbdd968")</f>
        <v>b8e64047-ce95-4bd1-ba70-97209dbdd968</v>
      </c>
      <c r="E6902" s="1">
        <f>IFERROR(__xludf.DUMMYFUNCTION("""COMPUTED_VALUE"""),5.813415515279E12)</f>
        <v>5813415515279</v>
      </c>
      <c r="F6902" s="1">
        <f>IFERROR(__xludf.DUMMYFUNCTION("""COMPUTED_VALUE"""),0.5)</f>
        <v>0.5</v>
      </c>
      <c r="G6902" s="1"/>
      <c r="H6902" s="3">
        <f>IFERROR(__xludf.DUMMYFUNCTION("""COMPUTED_VALUE"""),0.5)</f>
        <v>0.5</v>
      </c>
      <c r="I6902" s="4">
        <f>IFERROR(__xludf.DUMMYFUNCTION("""COMPUTED_VALUE"""),0.0)</f>
        <v>0</v>
      </c>
      <c r="J6902" s="1" t="str">
        <f>IFERROR(__xludf.DUMMYFUNCTION("""COMPUTED_VALUE"""),"Tash Kelly")</f>
        <v>Tash Kelly</v>
      </c>
      <c r="K6902" s="1" t="str">
        <f>IFERROR(__xludf.DUMMYFUNCTION("""COMPUTED_VALUE"""),"Admin Support NA")</f>
        <v>Admin Support NA</v>
      </c>
      <c r="L6902" s="1" t="str">
        <f>IFERROR(__xludf.DUMMYFUNCTION("""COMPUTED_VALUE"""),"Admin NA")</f>
        <v>Admin NA</v>
      </c>
    </row>
    <row r="6903">
      <c r="A6903" s="1" t="str">
        <f>IFERROR(__xludf.DUMMYFUNCTION("""COMPUTED_VALUE"""),"2025 Dec")</f>
        <v>2025 Dec</v>
      </c>
      <c r="B6903" s="2">
        <f>IFERROR(__xludf.DUMMYFUNCTION("""COMPUTED_VALUE"""),45992.0)</f>
        <v>45992</v>
      </c>
      <c r="C6903" s="1" t="str">
        <f>IFERROR(__xludf.DUMMYFUNCTION("""COMPUTED_VALUE"""),"Print Support")</f>
        <v>Print Support</v>
      </c>
      <c r="D6903" s="1" t="str">
        <f>IFERROR(__xludf.DUMMYFUNCTION("""COMPUTED_VALUE"""),"0a8eade5-f55e-4b55-9dca-c83c736a8818")</f>
        <v>0a8eade5-f55e-4b55-9dca-c83c736a8818</v>
      </c>
      <c r="E6903" s="1">
        <f>IFERROR(__xludf.DUMMYFUNCTION("""COMPUTED_VALUE"""),3.61744044436E11)</f>
        <v>361744044436</v>
      </c>
      <c r="F6903" s="1">
        <f>IFERROR(__xludf.DUMMYFUNCTION("""COMPUTED_VALUE"""),2.0)</f>
        <v>2</v>
      </c>
      <c r="G6903" s="1"/>
      <c r="H6903" s="3">
        <f>IFERROR(__xludf.DUMMYFUNCTION("""COMPUTED_VALUE"""),2.0)</f>
        <v>2</v>
      </c>
      <c r="I6903" s="4">
        <f>IFERROR(__xludf.DUMMYFUNCTION("""COMPUTED_VALUE"""),0.0)</f>
        <v>0</v>
      </c>
      <c r="J6903" s="1" t="str">
        <f>IFERROR(__xludf.DUMMYFUNCTION("""COMPUTED_VALUE"""),"Rae Erlano")</f>
        <v>Rae Erlano</v>
      </c>
      <c r="K6903" s="1" t="str">
        <f>IFERROR(__xludf.DUMMYFUNCTION("""COMPUTED_VALUE"""),"Print Support PH")</f>
        <v>Print Support PH</v>
      </c>
      <c r="L6903" s="1" t="str">
        <f>IFERROR(__xludf.DUMMYFUNCTION("""COMPUTED_VALUE"""),"Print Print - SEE")</f>
        <v>Print Print - SEE</v>
      </c>
    </row>
    <row r="6904">
      <c r="A6904" s="1" t="str">
        <f>IFERROR(__xludf.DUMMYFUNCTION("""COMPUTED_VALUE"""),"2025 Dec")</f>
        <v>2025 Dec</v>
      </c>
      <c r="B6904" s="2">
        <f>IFERROR(__xludf.DUMMYFUNCTION("""COMPUTED_VALUE"""),45992.0)</f>
        <v>45992</v>
      </c>
      <c r="C6904" s="1" t="str">
        <f>IFERROR(__xludf.DUMMYFUNCTION("""COMPUTED_VALUE"""),"Print Support")</f>
        <v>Print Support</v>
      </c>
      <c r="D6904" s="1" t="str">
        <f>IFERROR(__xludf.DUMMYFUNCTION("""COMPUTED_VALUE"""),"7938e720-2f23-4ae8-a8bc-a1aeb68883d0")</f>
        <v>7938e720-2f23-4ae8-a8bc-a1aeb68883d0</v>
      </c>
      <c r="E6904" s="1">
        <f>IFERROR(__xludf.DUMMYFUNCTION("""COMPUTED_VALUE"""),5.359144671119E12)</f>
        <v>5359144671119</v>
      </c>
      <c r="F6904" s="1"/>
      <c r="G6904" s="1"/>
      <c r="H6904" s="3">
        <f>IFERROR(__xludf.DUMMYFUNCTION("""COMPUTED_VALUE"""),0.0)</f>
        <v>0</v>
      </c>
      <c r="I6904" s="4"/>
      <c r="J6904" s="1" t="str">
        <f>IFERROR(__xludf.DUMMYFUNCTION("""COMPUTED_VALUE"""),"Rae Erlano")</f>
        <v>Rae Erlano</v>
      </c>
      <c r="K6904" s="1" t="str">
        <f>IFERROR(__xludf.DUMMYFUNCTION("""COMPUTED_VALUE"""),"Print Support PH")</f>
        <v>Print Support PH</v>
      </c>
      <c r="L6904" s="1" t="str">
        <f>IFERROR(__xludf.DUMMYFUNCTION("""COMPUTED_VALUE"""),"Print Print - CHT")</f>
        <v>Print Print - CHT</v>
      </c>
    </row>
    <row r="6905">
      <c r="A6905" s="1" t="str">
        <f>IFERROR(__xludf.DUMMYFUNCTION("""COMPUTED_VALUE"""),"2025 Dec")</f>
        <v>2025 Dec</v>
      </c>
      <c r="B6905" s="2">
        <f>IFERROR(__xludf.DUMMYFUNCTION("""COMPUTED_VALUE"""),45992.0)</f>
        <v>45992</v>
      </c>
      <c r="C6905" s="1" t="str">
        <f>IFERROR(__xludf.DUMMYFUNCTION("""COMPUTED_VALUE"""),"Core Product Support")</f>
        <v>Core Product Support</v>
      </c>
      <c r="D6905" s="1" t="str">
        <f>IFERROR(__xludf.DUMMYFUNCTION("""COMPUTED_VALUE"""),"7bf5cef1-9473-43c3-9aff-115283ed0e7a")</f>
        <v>7bf5cef1-9473-43c3-9aff-115283ed0e7a</v>
      </c>
      <c r="E6905" s="1">
        <f>IFERROR(__xludf.DUMMYFUNCTION("""COMPUTED_VALUE"""),1.0005707260559E13)</f>
        <v>10005707260559</v>
      </c>
      <c r="F6905" s="1"/>
      <c r="G6905" s="1">
        <f>IFERROR(__xludf.DUMMYFUNCTION("""COMPUTED_VALUE"""),1.0)</f>
        <v>1</v>
      </c>
      <c r="H6905" s="3">
        <f>IFERROR(__xludf.DUMMYFUNCTION("""COMPUTED_VALUE"""),1.0)</f>
        <v>1</v>
      </c>
      <c r="I6905" s="4">
        <f>IFERROR(__xludf.DUMMYFUNCTION("""COMPUTED_VALUE"""),1.0)</f>
        <v>1</v>
      </c>
      <c r="J6905" s="1" t="str">
        <f>IFERROR(__xludf.DUMMYFUNCTION("""COMPUTED_VALUE"""),"Jahmie Mae Barrameda")</f>
        <v>Jahmie Mae Barrameda</v>
      </c>
      <c r="K6905" s="1" t="str">
        <f>IFERROR(__xludf.DUMMYFUNCTION("""COMPUTED_VALUE"""),"Advanced Billing &amp; Subscriptions")</f>
        <v>Advanced Billing &amp; Subscriptions</v>
      </c>
      <c r="L6905" s="1" t="str">
        <f>IFERROR(__xludf.DUMMYFUNCTION("""COMPUTED_VALUE"""),"CPS Advanced Billing and Subscriptions (ABS)")</f>
        <v>CPS Advanced Billing and Subscriptions (ABS)</v>
      </c>
    </row>
    <row r="6906">
      <c r="A6906" s="1" t="str">
        <f>IFERROR(__xludf.DUMMYFUNCTION("""COMPUTED_VALUE"""),"2025 Dec")</f>
        <v>2025 Dec</v>
      </c>
      <c r="B6906" s="2">
        <f>IFERROR(__xludf.DUMMYFUNCTION("""COMPUTED_VALUE"""),45992.0)</f>
        <v>45992</v>
      </c>
      <c r="C6906" s="1" t="str">
        <f>IFERROR(__xludf.DUMMYFUNCTION("""COMPUTED_VALUE"""),"Segment-specific Support")</f>
        <v>Segment-specific Support</v>
      </c>
      <c r="D6906" s="1" t="str">
        <f>IFERROR(__xludf.DUMMYFUNCTION("""COMPUTED_VALUE"""),"ea5d3075-1c56-458e-abc7-f25ded5a9d76")</f>
        <v>ea5d3075-1c56-458e-abc7-f25ded5a9d76</v>
      </c>
      <c r="E6906" s="1">
        <f>IFERROR(__xludf.DUMMYFUNCTION("""COMPUTED_VALUE"""),1.1401961186319E13)</f>
        <v>11401961186319</v>
      </c>
      <c r="F6906" s="1"/>
      <c r="G6906" s="1"/>
      <c r="H6906" s="3">
        <f>IFERROR(__xludf.DUMMYFUNCTION("""COMPUTED_VALUE"""),0.0)</f>
        <v>0</v>
      </c>
      <c r="I6906" s="4"/>
      <c r="J6906" s="1" t="str">
        <f>IFERROR(__xludf.DUMMYFUNCTION("""COMPUTED_VALUE"""),"Aileen Dayanghirang")</f>
        <v>Aileen Dayanghirang</v>
      </c>
      <c r="K6906" s="1" t="str">
        <f>IFERROR(__xludf.DUMMYFUNCTION("""COMPUTED_VALUE"""),"Creators Support")</f>
        <v>Creators Support</v>
      </c>
      <c r="L6906" s="1" t="str">
        <f>IFERROR(__xludf.DUMMYFUNCTION("""COMPUTED_VALUE"""),"SSS Creators")</f>
        <v>SSS Creators</v>
      </c>
    </row>
    <row r="6907">
      <c r="A6907" s="1" t="str">
        <f>IFERROR(__xludf.DUMMYFUNCTION("""COMPUTED_VALUE"""),"2025 Dec")</f>
        <v>2025 Dec</v>
      </c>
      <c r="B6907" s="2">
        <f>IFERROR(__xludf.DUMMYFUNCTION("""COMPUTED_VALUE"""),45992.0)</f>
        <v>45992</v>
      </c>
      <c r="C6907" s="1" t="str">
        <f>IFERROR(__xludf.DUMMYFUNCTION("""COMPUTED_VALUE"""),"Admin Support")</f>
        <v>Admin Support</v>
      </c>
      <c r="D6907" s="1" t="str">
        <f>IFERROR(__xludf.DUMMYFUNCTION("""COMPUTED_VALUE"""),"ac612821-c478-4ed1-8b21-3e20fb1b17d4")</f>
        <v>ac612821-c478-4ed1-8b21-3e20fb1b17d4</v>
      </c>
      <c r="E6907" s="1">
        <f>IFERROR(__xludf.DUMMYFUNCTION("""COMPUTED_VALUE"""),8.409862611087E12)</f>
        <v>8409862611087</v>
      </c>
      <c r="F6907" s="1"/>
      <c r="G6907" s="1">
        <f>IFERROR(__xludf.DUMMYFUNCTION("""COMPUTED_VALUE"""),5.25)</f>
        <v>5.25</v>
      </c>
      <c r="H6907" s="3">
        <f>IFERROR(__xludf.DUMMYFUNCTION("""COMPUTED_VALUE"""),5.25)</f>
        <v>5.25</v>
      </c>
      <c r="I6907" s="4">
        <f>IFERROR(__xludf.DUMMYFUNCTION("""COMPUTED_VALUE"""),1.0)</f>
        <v>1</v>
      </c>
      <c r="J6907" s="1" t="str">
        <f>IFERROR(__xludf.DUMMYFUNCTION("""COMPUTED_VALUE"""),"Kelden Laguting")</f>
        <v>Kelden Laguting</v>
      </c>
      <c r="K6907" s="1" t="str">
        <f>IFERROR(__xludf.DUMMYFUNCTION("""COMPUTED_VALUE"""),"Admin Support PH")</f>
        <v>Admin Support PH</v>
      </c>
      <c r="L6907" s="1" t="str">
        <f>IFERROR(__xludf.DUMMYFUNCTION("""COMPUTED_VALUE"""),"Admin PH")</f>
        <v>Admin PH</v>
      </c>
    </row>
    <row r="6908">
      <c r="A6908" s="1" t="str">
        <f>IFERROR(__xludf.DUMMYFUNCTION("""COMPUTED_VALUE"""),"2025 Dec")</f>
        <v>2025 Dec</v>
      </c>
      <c r="B6908" s="2">
        <f>IFERROR(__xludf.DUMMYFUNCTION("""COMPUTED_VALUE"""),45992.0)</f>
        <v>45992</v>
      </c>
      <c r="C6908" s="1" t="str">
        <f>IFERROR(__xludf.DUMMYFUNCTION("""COMPUTED_VALUE"""),"Multilingual Support")</f>
        <v>Multilingual Support</v>
      </c>
      <c r="D6908" s="1" t="str">
        <f>IFERROR(__xludf.DUMMYFUNCTION("""COMPUTED_VALUE"""),"c643f4d3-31ef-4155-ba4e-a552baeb6f23")</f>
        <v>c643f4d3-31ef-4155-ba4e-a552baeb6f23</v>
      </c>
      <c r="E6908" s="1">
        <f>IFERROR(__xludf.DUMMYFUNCTION("""COMPUTED_VALUE"""),3.61726424916E11)</f>
        <v>361726424916</v>
      </c>
      <c r="F6908" s="1"/>
      <c r="G6908" s="1"/>
      <c r="H6908" s="3">
        <f>IFERROR(__xludf.DUMMYFUNCTION("""COMPUTED_VALUE"""),0.0)</f>
        <v>0</v>
      </c>
      <c r="I6908" s="4"/>
      <c r="J6908" s="1" t="str">
        <f>IFERROR(__xludf.DUMMYFUNCTION("""COMPUTED_VALUE"""),"Arlene Maurillo")</f>
        <v>Arlene Maurillo</v>
      </c>
      <c r="K6908" s="1" t="str">
        <f>IFERROR(__xludf.DUMMYFUNCTION("""COMPUTED_VALUE"""),"PHL, Multilingual Support")</f>
        <v>PHL, Multilingual Support</v>
      </c>
      <c r="L6908" s="1" t="str">
        <f>IFERROR(__xludf.DUMMYFUNCTION("""COMPUTED_VALUE"""),"ML French Support")</f>
        <v>ML French Support</v>
      </c>
    </row>
    <row r="6909">
      <c r="A6909" s="1" t="str">
        <f>IFERROR(__xludf.DUMMYFUNCTION("""COMPUTED_VALUE"""),"2025 Dec")</f>
        <v>2025 Dec</v>
      </c>
      <c r="B6909" s="2">
        <f>IFERROR(__xludf.DUMMYFUNCTION("""COMPUTED_VALUE"""),45992.0)</f>
        <v>45992</v>
      </c>
      <c r="C6909" s="1" t="str">
        <f>IFERROR(__xludf.DUMMYFUNCTION("""COMPUTED_VALUE"""),"High Sensitivity Support")</f>
        <v>High Sensitivity Support</v>
      </c>
      <c r="D6909" s="1" t="str">
        <f>IFERROR(__xludf.DUMMYFUNCTION("""COMPUTED_VALUE"""),"19ca9753-f76b-4593-ad5b-20f0e6bda57d")</f>
        <v>19ca9753-f76b-4593-ad5b-20f0e6bda57d</v>
      </c>
      <c r="E6909" s="1">
        <f>IFERROR(__xludf.DUMMYFUNCTION("""COMPUTED_VALUE"""),3.61694652335E11)</f>
        <v>361694652335</v>
      </c>
      <c r="F6909" s="1">
        <f>IFERROR(__xludf.DUMMYFUNCTION("""COMPUTED_VALUE"""),4.0)</f>
        <v>4</v>
      </c>
      <c r="G6909" s="1"/>
      <c r="H6909" s="3">
        <f>IFERROR(__xludf.DUMMYFUNCTION("""COMPUTED_VALUE"""),4.0)</f>
        <v>4</v>
      </c>
      <c r="I6909" s="4">
        <f>IFERROR(__xludf.DUMMYFUNCTION("""COMPUTED_VALUE"""),0.0)</f>
        <v>0</v>
      </c>
      <c r="J6909" s="1" t="str">
        <f>IFERROR(__xludf.DUMMYFUNCTION("""COMPUTED_VALUE"""),"Xandy Azarcon")</f>
        <v>Xandy Azarcon</v>
      </c>
      <c r="K6909" s="1" t="str">
        <f>IFERROR(__xludf.DUMMYFUNCTION("""COMPUTED_VALUE"""),"High Sensitivity Support PH")</f>
        <v>High Sensitivity Support PH</v>
      </c>
      <c r="L6909" s="1" t="str">
        <f>IFERROR(__xludf.DUMMYFUNCTION("""COMPUTED_VALUE"""),"HSS High Sensitivity Support PH - CHT")</f>
        <v>HSS High Sensitivity Support PH - CHT</v>
      </c>
    </row>
    <row r="6910">
      <c r="A6910" s="1" t="str">
        <f>IFERROR(__xludf.DUMMYFUNCTION("""COMPUTED_VALUE"""),"2025 Dec")</f>
        <v>2025 Dec</v>
      </c>
      <c r="B6910" s="2">
        <f>IFERROR(__xludf.DUMMYFUNCTION("""COMPUTED_VALUE"""),45992.0)</f>
        <v>45992</v>
      </c>
      <c r="C6910" s="1" t="str">
        <f>IFERROR(__xludf.DUMMYFUNCTION("""COMPUTED_VALUE"""),"High Sensitivity Support")</f>
        <v>High Sensitivity Support</v>
      </c>
      <c r="D6910" s="1" t="str">
        <f>IFERROR(__xludf.DUMMYFUNCTION("""COMPUTED_VALUE"""),"9ade6020-1c9b-4fab-b5d6-fa3b2ae1a212")</f>
        <v>9ade6020-1c9b-4fab-b5d6-fa3b2ae1a212</v>
      </c>
      <c r="E6910" s="1">
        <f>IFERROR(__xludf.DUMMYFUNCTION("""COMPUTED_VALUE"""),5.047383497615E12)</f>
        <v>5047383497615</v>
      </c>
      <c r="F6910" s="1"/>
      <c r="G6910" s="1"/>
      <c r="H6910" s="3">
        <f>IFERROR(__xludf.DUMMYFUNCTION("""COMPUTED_VALUE"""),0.0)</f>
        <v>0</v>
      </c>
      <c r="I6910" s="4"/>
      <c r="J6910" s="1" t="str">
        <f>IFERROR(__xludf.DUMMYFUNCTION("""COMPUTED_VALUE"""),"Issi Afable")</f>
        <v>Issi Afable</v>
      </c>
      <c r="K6910" s="1" t="str">
        <f>IFERROR(__xludf.DUMMYFUNCTION("""COMPUTED_VALUE"""),"High Sensitivity Support PH")</f>
        <v>High Sensitivity Support PH</v>
      </c>
      <c r="L6910" s="1" t="str">
        <f>IFERROR(__xludf.DUMMYFUNCTION("""COMPUTED_VALUE"""),"HSS High Sensitivity Support PH - SEE")</f>
        <v>HSS High Sensitivity Support PH - SEE</v>
      </c>
    </row>
    <row r="6911">
      <c r="A6911" s="1" t="str">
        <f>IFERROR(__xludf.DUMMYFUNCTION("""COMPUTED_VALUE"""),"2025 Dec")</f>
        <v>2025 Dec</v>
      </c>
      <c r="B6911" s="2">
        <f>IFERROR(__xludf.DUMMYFUNCTION("""COMPUTED_VALUE"""),45992.0)</f>
        <v>45992</v>
      </c>
      <c r="C6911" s="1" t="str">
        <f>IFERROR(__xludf.DUMMYFUNCTION("""COMPUTED_VALUE"""),"Print Support")</f>
        <v>Print Support</v>
      </c>
      <c r="D6911" s="1" t="str">
        <f>IFERROR(__xludf.DUMMYFUNCTION("""COMPUTED_VALUE"""),"05869263-0d01-4309-8f73-ab6deb080e16")</f>
        <v>05869263-0d01-4309-8f73-ab6deb080e16</v>
      </c>
      <c r="E6911" s="1"/>
      <c r="F6911" s="1"/>
      <c r="G6911" s="1"/>
      <c r="H6911" s="3">
        <f>IFERROR(__xludf.DUMMYFUNCTION("""COMPUTED_VALUE"""),0.0)</f>
        <v>0</v>
      </c>
      <c r="I6911" s="4"/>
      <c r="J6911" s="1" t="str">
        <f>IFERROR(__xludf.DUMMYFUNCTION("""COMPUTED_VALUE"""),"G-Anne Murillo")</f>
        <v>G-Anne Murillo</v>
      </c>
      <c r="K6911" s="1" t="str">
        <f>IFERROR(__xludf.DUMMYFUNCTION("""COMPUTED_VALUE"""),"Print Design Support")</f>
        <v>Print Design Support</v>
      </c>
      <c r="L6911" s="1" t="str">
        <f>IFERROR(__xludf.DUMMYFUNCTION("""COMPUTED_VALUE"""),"Print Print Design")</f>
        <v>Print Print Design</v>
      </c>
    </row>
    <row r="6912">
      <c r="A6912" s="1" t="str">
        <f>IFERROR(__xludf.DUMMYFUNCTION("""COMPUTED_VALUE"""),"2025 Dec")</f>
        <v>2025 Dec</v>
      </c>
      <c r="B6912" s="2">
        <f>IFERROR(__xludf.DUMMYFUNCTION("""COMPUTED_VALUE"""),45992.0)</f>
        <v>45992</v>
      </c>
      <c r="C6912" s="1" t="str">
        <f>IFERROR(__xludf.DUMMYFUNCTION("""COMPUTED_VALUE"""),"Print Support")</f>
        <v>Print Support</v>
      </c>
      <c r="D6912" s="1" t="str">
        <f>IFERROR(__xludf.DUMMYFUNCTION("""COMPUTED_VALUE"""),"5fe68c01-0359-40ab-9a6d-78a5cd050024")</f>
        <v>5fe68c01-0359-40ab-9a6d-78a5cd050024</v>
      </c>
      <c r="E6912" s="1"/>
      <c r="F6912" s="1"/>
      <c r="G6912" s="1"/>
      <c r="H6912" s="3">
        <f>IFERROR(__xludf.DUMMYFUNCTION("""COMPUTED_VALUE"""),0.0)</f>
        <v>0</v>
      </c>
      <c r="I6912" s="4"/>
      <c r="J6912" s="1" t="str">
        <f>IFERROR(__xludf.DUMMYFUNCTION("""COMPUTED_VALUE"""),"Jan Domingo")</f>
        <v>Jan Domingo</v>
      </c>
      <c r="K6912" s="1" t="str">
        <f>IFERROR(__xludf.DUMMYFUNCTION("""COMPUTED_VALUE"""),"Print Design Support")</f>
        <v>Print Design Support</v>
      </c>
      <c r="L6912" s="1" t="str">
        <f>IFERROR(__xludf.DUMMYFUNCTION("""COMPUTED_VALUE"""),"Print Print Design")</f>
        <v>Print Print Design</v>
      </c>
    </row>
    <row r="6913">
      <c r="A6913" s="1" t="str">
        <f>IFERROR(__xludf.DUMMYFUNCTION("""COMPUTED_VALUE"""),"2025 Dec")</f>
        <v>2025 Dec</v>
      </c>
      <c r="B6913" s="2">
        <f>IFERROR(__xludf.DUMMYFUNCTION("""COMPUTED_VALUE"""),45992.0)</f>
        <v>45992</v>
      </c>
      <c r="C6913" s="1" t="str">
        <f>IFERROR(__xludf.DUMMYFUNCTION("""COMPUTED_VALUE"""),"Print Support")</f>
        <v>Print Support</v>
      </c>
      <c r="D6913" s="1" t="str">
        <f>IFERROR(__xludf.DUMMYFUNCTION("""COMPUTED_VALUE"""),"50551296-1c12-4ee1-842f-b3c74e1d0706")</f>
        <v>50551296-1c12-4ee1-842f-b3c74e1d0706</v>
      </c>
      <c r="E6913" s="1">
        <f>IFERROR(__xludf.DUMMYFUNCTION("""COMPUTED_VALUE"""),3.61725486956E11)</f>
        <v>361725486956</v>
      </c>
      <c r="F6913" s="1">
        <f>IFERROR(__xludf.DUMMYFUNCTION("""COMPUTED_VALUE"""),2.0)</f>
        <v>2</v>
      </c>
      <c r="G6913" s="1"/>
      <c r="H6913" s="3">
        <f>IFERROR(__xludf.DUMMYFUNCTION("""COMPUTED_VALUE"""),2.0)</f>
        <v>2</v>
      </c>
      <c r="I6913" s="4">
        <f>IFERROR(__xludf.DUMMYFUNCTION("""COMPUTED_VALUE"""),0.0)</f>
        <v>0</v>
      </c>
      <c r="J6913" s="1" t="str">
        <f>IFERROR(__xludf.DUMMYFUNCTION("""COMPUTED_VALUE"""),"Memae Faustino")</f>
        <v>Memae Faustino</v>
      </c>
      <c r="K6913" s="1" t="str">
        <f>IFERROR(__xludf.DUMMYFUNCTION("""COMPUTED_VALUE"""),"Print Support PH")</f>
        <v>Print Support PH</v>
      </c>
      <c r="L6913" s="1" t="str">
        <f>IFERROR(__xludf.DUMMYFUNCTION("""COMPUTED_VALUE"""),"Print Print - SEE")</f>
        <v>Print Print - SEE</v>
      </c>
    </row>
    <row r="6914">
      <c r="A6914" s="1" t="str">
        <f>IFERROR(__xludf.DUMMYFUNCTION("""COMPUTED_VALUE"""),"2025 Dec")</f>
        <v>2025 Dec</v>
      </c>
      <c r="B6914" s="2">
        <f>IFERROR(__xludf.DUMMYFUNCTION("""COMPUTED_VALUE"""),45992.0)</f>
        <v>45992</v>
      </c>
      <c r="C6914" s="1" t="str">
        <f>IFERROR(__xludf.DUMMYFUNCTION("""COMPUTED_VALUE"""),"Core Product Support")</f>
        <v>Core Product Support</v>
      </c>
      <c r="D6914" s="1" t="str">
        <f>IFERROR(__xludf.DUMMYFUNCTION("""COMPUTED_VALUE"""),"4dbfa916-5ac6-473d-aa13-5812e02f0be2")</f>
        <v>4dbfa916-5ac6-473d-aa13-5812e02f0be2</v>
      </c>
      <c r="E6914" s="1">
        <f>IFERROR(__xludf.DUMMYFUNCTION("""COMPUTED_VALUE"""),9.586394042255E12)</f>
        <v>9586394042255</v>
      </c>
      <c r="F6914" s="1">
        <f>IFERROR(__xludf.DUMMYFUNCTION("""COMPUTED_VALUE"""),0.5)</f>
        <v>0.5</v>
      </c>
      <c r="G6914" s="1">
        <f>IFERROR(__xludf.DUMMYFUNCTION("""COMPUTED_VALUE"""),1.0)</f>
        <v>1</v>
      </c>
      <c r="H6914" s="3">
        <f>IFERROR(__xludf.DUMMYFUNCTION("""COMPUTED_VALUE"""),1.5)</f>
        <v>1.5</v>
      </c>
      <c r="I6914" s="4">
        <f>IFERROR(__xludf.DUMMYFUNCTION("""COMPUTED_VALUE"""),0.6666666666666666)</f>
        <v>0.6666666667</v>
      </c>
      <c r="J6914" s="1" t="str">
        <f>IFERROR(__xludf.DUMMYFUNCTION("""COMPUTED_VALUE"""),"Vinz Lazaro")</f>
        <v>Vinz Lazaro</v>
      </c>
      <c r="K6914" s="1" t="str">
        <f>IFERROR(__xludf.DUMMYFUNCTION("""COMPUTED_VALUE"""),"Advanced Product Support")</f>
        <v>Advanced Product Support</v>
      </c>
      <c r="L6914" s="1" t="str">
        <f>IFERROR(__xludf.DUMMYFUNCTION("""COMPUTED_VALUE"""),"CPS Advanced Product Support (APS)")</f>
        <v>CPS Advanced Product Support (APS)</v>
      </c>
    </row>
    <row r="6915">
      <c r="A6915" s="1" t="str">
        <f>IFERROR(__xludf.DUMMYFUNCTION("""COMPUTED_VALUE"""),"2025 Dec")</f>
        <v>2025 Dec</v>
      </c>
      <c r="B6915" s="2">
        <f>IFERROR(__xludf.DUMMYFUNCTION("""COMPUTED_VALUE"""),45992.0)</f>
        <v>45992</v>
      </c>
      <c r="C6915" s="1" t="str">
        <f>IFERROR(__xludf.DUMMYFUNCTION("""COMPUTED_VALUE"""),"Print Support")</f>
        <v>Print Support</v>
      </c>
      <c r="D6915" s="1" t="str">
        <f>IFERROR(__xludf.DUMMYFUNCTION("""COMPUTED_VALUE"""),"9c6c901c-ce92-460f-9d6d-5ee12b03a1ec")</f>
        <v>9c6c901c-ce92-460f-9d6d-5ee12b03a1ec</v>
      </c>
      <c r="E6915" s="1"/>
      <c r="F6915" s="1"/>
      <c r="G6915" s="1">
        <f>IFERROR(__xludf.DUMMYFUNCTION("""COMPUTED_VALUE"""),0.83)</f>
        <v>0.83</v>
      </c>
      <c r="H6915" s="3">
        <f>IFERROR(__xludf.DUMMYFUNCTION("""COMPUTED_VALUE"""),0.83)</f>
        <v>0.83</v>
      </c>
      <c r="I6915" s="4">
        <f>IFERROR(__xludf.DUMMYFUNCTION("""COMPUTED_VALUE"""),1.0)</f>
        <v>1</v>
      </c>
      <c r="J6915" s="1" t="str">
        <f>IFERROR(__xludf.DUMMYFUNCTION("""COMPUTED_VALUE"""),"Rei De Jesus")</f>
        <v>Rei De Jesus</v>
      </c>
      <c r="K6915" s="1" t="str">
        <f>IFERROR(__xludf.DUMMYFUNCTION("""COMPUTED_VALUE"""),"Print Design Support")</f>
        <v>Print Design Support</v>
      </c>
      <c r="L6915" s="1" t="str">
        <f>IFERROR(__xludf.DUMMYFUNCTION("""COMPUTED_VALUE"""),"Print Print Design")</f>
        <v>Print Print Design</v>
      </c>
    </row>
    <row r="6916">
      <c r="A6916" s="1" t="str">
        <f>IFERROR(__xludf.DUMMYFUNCTION("""COMPUTED_VALUE"""),"2025 Dec")</f>
        <v>2025 Dec</v>
      </c>
      <c r="B6916" s="2">
        <f>IFERROR(__xludf.DUMMYFUNCTION("""COMPUTED_VALUE"""),45992.0)</f>
        <v>45992</v>
      </c>
      <c r="C6916" s="1" t="str">
        <f>IFERROR(__xludf.DUMMYFUNCTION("""COMPUTED_VALUE"""),"Core Product Support")</f>
        <v>Core Product Support</v>
      </c>
      <c r="D6916" s="1" t="str">
        <f>IFERROR(__xludf.DUMMYFUNCTION("""COMPUTED_VALUE"""),"cc817a63-c749-4aa1-ad3c-e3d33f5e04ff")</f>
        <v>cc817a63-c749-4aa1-ad3c-e3d33f5e04ff</v>
      </c>
      <c r="E6916" s="1">
        <f>IFERROR(__xludf.DUMMYFUNCTION("""COMPUTED_VALUE"""),5.566828557583E12)</f>
        <v>5566828557583</v>
      </c>
      <c r="F6916" s="1">
        <f>IFERROR(__xludf.DUMMYFUNCTION("""COMPUTED_VALUE"""),0.5)</f>
        <v>0.5</v>
      </c>
      <c r="G6916" s="1">
        <f>IFERROR(__xludf.DUMMYFUNCTION("""COMPUTED_VALUE"""),1.0)</f>
        <v>1</v>
      </c>
      <c r="H6916" s="3">
        <f>IFERROR(__xludf.DUMMYFUNCTION("""COMPUTED_VALUE"""),1.5)</f>
        <v>1.5</v>
      </c>
      <c r="I6916" s="4">
        <f>IFERROR(__xludf.DUMMYFUNCTION("""COMPUTED_VALUE"""),0.6666666666666666)</f>
        <v>0.6666666667</v>
      </c>
      <c r="J6916" s="1" t="str">
        <f>IFERROR(__xludf.DUMMYFUNCTION("""COMPUTED_VALUE"""),"Renette Bok")</f>
        <v>Renette Bok</v>
      </c>
      <c r="K6916" s="1" t="str">
        <f>IFERROR(__xludf.DUMMYFUNCTION("""COMPUTED_VALUE"""),"Advanced Billing &amp; Subscriptions")</f>
        <v>Advanced Billing &amp; Subscriptions</v>
      </c>
      <c r="L6916" s="1" t="str">
        <f>IFERROR(__xludf.DUMMYFUNCTION("""COMPUTED_VALUE"""),"CPS Advanced Billing and Subscriptions (ABS)")</f>
        <v>CPS Advanced Billing and Subscriptions (ABS)</v>
      </c>
    </row>
    <row r="6917">
      <c r="A6917" s="1" t="str">
        <f>IFERROR(__xludf.DUMMYFUNCTION("""COMPUTED_VALUE"""),"2025 Dec")</f>
        <v>2025 Dec</v>
      </c>
      <c r="B6917" s="2">
        <f>IFERROR(__xludf.DUMMYFUNCTION("""COMPUTED_VALUE"""),45992.0)</f>
        <v>45992</v>
      </c>
      <c r="C6917" s="1" t="str">
        <f>IFERROR(__xludf.DUMMYFUNCTION("""COMPUTED_VALUE"""),"Multilingual Support")</f>
        <v>Multilingual Support</v>
      </c>
      <c r="D6917" s="1" t="str">
        <f>IFERROR(__xludf.DUMMYFUNCTION("""COMPUTED_VALUE"""),"6f52f807-9641-4f21-b34f-312ae3e9b3c9")</f>
        <v>6f52f807-9641-4f21-b34f-312ae3e9b3c9</v>
      </c>
      <c r="E6917" s="1">
        <f>IFERROR(__xludf.DUMMYFUNCTION("""COMPUTED_VALUE"""),3.61724828456E11)</f>
        <v>361724828456</v>
      </c>
      <c r="F6917" s="1"/>
      <c r="G6917" s="1"/>
      <c r="H6917" s="3">
        <f>IFERROR(__xludf.DUMMYFUNCTION("""COMPUTED_VALUE"""),0.0)</f>
        <v>0</v>
      </c>
      <c r="I6917" s="4"/>
      <c r="J6917" s="1" t="str">
        <f>IFERROR(__xludf.DUMMYFUNCTION("""COMPUTED_VALUE"""),"Arlene Maurillo")</f>
        <v>Arlene Maurillo</v>
      </c>
      <c r="K6917" s="1" t="str">
        <f>IFERROR(__xludf.DUMMYFUNCTION("""COMPUTED_VALUE"""),"PHL, Multilingual Support")</f>
        <v>PHL, Multilingual Support</v>
      </c>
      <c r="L6917" s="1" t="str">
        <f>IFERROR(__xludf.DUMMYFUNCTION("""COMPUTED_VALUE"""),"ML Russian Support")</f>
        <v>ML Russian Support</v>
      </c>
    </row>
    <row r="6918">
      <c r="A6918" s="1" t="str">
        <f>IFERROR(__xludf.DUMMYFUNCTION("""COMPUTED_VALUE"""),"2025 Dec")</f>
        <v>2025 Dec</v>
      </c>
      <c r="B6918" s="2">
        <f>IFERROR(__xludf.DUMMYFUNCTION("""COMPUTED_VALUE"""),45992.0)</f>
        <v>45992</v>
      </c>
      <c r="C6918" s="1" t="str">
        <f>IFERROR(__xludf.DUMMYFUNCTION("""COMPUTED_VALUE"""),"Core Product Support")</f>
        <v>Core Product Support</v>
      </c>
      <c r="D6918" s="1" t="str">
        <f>IFERROR(__xludf.DUMMYFUNCTION("""COMPUTED_VALUE"""),"e9348ef0-6be7-4d18-8f01-bbb3181a2030")</f>
        <v>e9348ef0-6be7-4d18-8f01-bbb3181a2030</v>
      </c>
      <c r="E6918" s="1">
        <f>IFERROR(__xludf.DUMMYFUNCTION("""COMPUTED_VALUE"""),8.904451015951E12)</f>
        <v>8904451015951</v>
      </c>
      <c r="F6918" s="1">
        <f>IFERROR(__xludf.DUMMYFUNCTION("""COMPUTED_VALUE"""),1.0)</f>
        <v>1</v>
      </c>
      <c r="G6918" s="1"/>
      <c r="H6918" s="3">
        <f>IFERROR(__xludf.DUMMYFUNCTION("""COMPUTED_VALUE"""),1.0)</f>
        <v>1</v>
      </c>
      <c r="I6918" s="4">
        <f>IFERROR(__xludf.DUMMYFUNCTION("""COMPUTED_VALUE"""),0.0)</f>
        <v>0</v>
      </c>
      <c r="J6918" s="1" t="str">
        <f>IFERROR(__xludf.DUMMYFUNCTION("""COMPUTED_VALUE"""),"Ana Lazaro")</f>
        <v>Ana Lazaro</v>
      </c>
      <c r="K6918" s="1" t="str">
        <f>IFERROR(__xludf.DUMMYFUNCTION("""COMPUTED_VALUE"""),"Advanced Billing &amp; Subscriptions")</f>
        <v>Advanced Billing &amp; Subscriptions</v>
      </c>
      <c r="L6918" s="1" t="str">
        <f>IFERROR(__xludf.DUMMYFUNCTION("""COMPUTED_VALUE"""),"CPS Advanced Billing and Subscriptions (ABS)")</f>
        <v>CPS Advanced Billing and Subscriptions (ABS)</v>
      </c>
    </row>
    <row r="6919">
      <c r="A6919" s="1" t="str">
        <f>IFERROR(__xludf.DUMMYFUNCTION("""COMPUTED_VALUE"""),"2025 Dec")</f>
        <v>2025 Dec</v>
      </c>
      <c r="B6919" s="2">
        <f>IFERROR(__xludf.DUMMYFUNCTION("""COMPUTED_VALUE"""),45992.0)</f>
        <v>45992</v>
      </c>
      <c r="C6919" s="1" t="str">
        <f>IFERROR(__xludf.DUMMYFUNCTION("""COMPUTED_VALUE"""),"Core Product Support")</f>
        <v>Core Product Support</v>
      </c>
      <c r="D6919" s="1" t="str">
        <f>IFERROR(__xludf.DUMMYFUNCTION("""COMPUTED_VALUE"""),"5917755d-94e1-4bcf-b3d5-736f4efd635f")</f>
        <v>5917755d-94e1-4bcf-b3d5-736f4efd635f</v>
      </c>
      <c r="E6919" s="1">
        <f>IFERROR(__xludf.DUMMYFUNCTION("""COMPUTED_VALUE"""),3.61725488916E11)</f>
        <v>361725488916</v>
      </c>
      <c r="F6919" s="1"/>
      <c r="G6919" s="1">
        <f>IFERROR(__xludf.DUMMYFUNCTION("""COMPUTED_VALUE"""),3.0)</f>
        <v>3</v>
      </c>
      <c r="H6919" s="3">
        <f>IFERROR(__xludf.DUMMYFUNCTION("""COMPUTED_VALUE"""),3.0)</f>
        <v>3</v>
      </c>
      <c r="I6919" s="4">
        <f>IFERROR(__xludf.DUMMYFUNCTION("""COMPUTED_VALUE"""),1.0)</f>
        <v>1</v>
      </c>
      <c r="J6919" s="1" t="str">
        <f>IFERROR(__xludf.DUMMYFUNCTION("""COMPUTED_VALUE"""),"Bem Launte")</f>
        <v>Bem Launte</v>
      </c>
      <c r="K6919" s="1" t="str">
        <f>IFERROR(__xludf.DUMMYFUNCTION("""COMPUTED_VALUE"""),"Core Product Support Escalation Team")</f>
        <v>Core Product Support Escalation Team</v>
      </c>
      <c r="L6919" s="1" t="str">
        <f>IFERROR(__xludf.DUMMYFUNCTION("""COMPUTED_VALUE"""),"CPS Core Product Support Escalations (CPSET)")</f>
        <v>CPS Core Product Support Escalations (CPSET)</v>
      </c>
    </row>
    <row r="6920">
      <c r="A6920" s="1" t="str">
        <f>IFERROR(__xludf.DUMMYFUNCTION("""COMPUTED_VALUE"""),"2025 Dec")</f>
        <v>2025 Dec</v>
      </c>
      <c r="B6920" s="2">
        <f>IFERROR(__xludf.DUMMYFUNCTION("""COMPUTED_VALUE"""),45992.0)</f>
        <v>45992</v>
      </c>
      <c r="C6920" s="1" t="str">
        <f>IFERROR(__xludf.DUMMYFUNCTION("""COMPUTED_VALUE"""),"Admin Support")</f>
        <v>Admin Support</v>
      </c>
      <c r="D6920" s="1" t="str">
        <f>IFERROR(__xludf.DUMMYFUNCTION("""COMPUTED_VALUE"""),"869426c4-df7f-4a39-b2f3-8e70e583ed69")</f>
        <v>869426c4-df7f-4a39-b2f3-8e70e583ed69</v>
      </c>
      <c r="E6920" s="1">
        <f>IFERROR(__xludf.DUMMYFUNCTION("""COMPUTED_VALUE"""),3.61725115636E11)</f>
        <v>361725115636</v>
      </c>
      <c r="F6920" s="1"/>
      <c r="G6920" s="1">
        <f>IFERROR(__xludf.DUMMYFUNCTION("""COMPUTED_VALUE"""),3.5)</f>
        <v>3.5</v>
      </c>
      <c r="H6920" s="3">
        <f>IFERROR(__xludf.DUMMYFUNCTION("""COMPUTED_VALUE"""),3.5)</f>
        <v>3.5</v>
      </c>
      <c r="I6920" s="4">
        <f>IFERROR(__xludf.DUMMYFUNCTION("""COMPUTED_VALUE"""),1.0)</f>
        <v>1</v>
      </c>
      <c r="J6920" s="1" t="str">
        <f>IFERROR(__xludf.DUMMYFUNCTION("""COMPUTED_VALUE"""),"Camille Alvarez")</f>
        <v>Camille Alvarez</v>
      </c>
      <c r="K6920" s="1" t="str">
        <f>IFERROR(__xludf.DUMMYFUNCTION("""COMPUTED_VALUE"""),"Admin Support PH SSO")</f>
        <v>Admin Support PH SSO</v>
      </c>
      <c r="L6920" s="1" t="str">
        <f>IFERROR(__xludf.DUMMYFUNCTION("""COMPUTED_VALUE"""),"Admin SSO - SEE")</f>
        <v>Admin SSO - SEE</v>
      </c>
    </row>
    <row r="6921">
      <c r="A6921" s="1" t="str">
        <f>IFERROR(__xludf.DUMMYFUNCTION("""COMPUTED_VALUE"""),"2025 Dec")</f>
        <v>2025 Dec</v>
      </c>
      <c r="B6921" s="2">
        <f>IFERROR(__xludf.DUMMYFUNCTION("""COMPUTED_VALUE"""),45992.0)</f>
        <v>45992</v>
      </c>
      <c r="C6921" s="1" t="str">
        <f>IFERROR(__xludf.DUMMYFUNCTION("""COMPUTED_VALUE"""),"Print Support")</f>
        <v>Print Support</v>
      </c>
      <c r="D6921" s="1" t="str">
        <f>IFERROR(__xludf.DUMMYFUNCTION("""COMPUTED_VALUE"""),"cb7f900d-e2ff-4ff8-b74f-c2db90bdfb62")</f>
        <v>cb7f900d-e2ff-4ff8-b74f-c2db90bdfb62</v>
      </c>
      <c r="E6921" s="1">
        <f>IFERROR(__xludf.DUMMYFUNCTION("""COMPUTED_VALUE"""),3.61750052875E11)</f>
        <v>361750052875</v>
      </c>
      <c r="F6921" s="1">
        <f>IFERROR(__xludf.DUMMYFUNCTION("""COMPUTED_VALUE"""),2.0)</f>
        <v>2</v>
      </c>
      <c r="G6921" s="1"/>
      <c r="H6921" s="3">
        <f>IFERROR(__xludf.DUMMYFUNCTION("""COMPUTED_VALUE"""),2.0)</f>
        <v>2</v>
      </c>
      <c r="I6921" s="4">
        <f>IFERROR(__xludf.DUMMYFUNCTION("""COMPUTED_VALUE"""),0.0)</f>
        <v>0</v>
      </c>
      <c r="J6921" s="1" t="str">
        <f>IFERROR(__xludf.DUMMYFUNCTION("""COMPUTED_VALUE"""),"Memae Faustino")</f>
        <v>Memae Faustino</v>
      </c>
      <c r="K6921" s="1" t="str">
        <f>IFERROR(__xludf.DUMMYFUNCTION("""COMPUTED_VALUE"""),"Print Support PH")</f>
        <v>Print Support PH</v>
      </c>
      <c r="L6921" s="1" t="str">
        <f>IFERROR(__xludf.DUMMYFUNCTION("""COMPUTED_VALUE"""),"Print Print - SEE")</f>
        <v>Print Print - SEE</v>
      </c>
    </row>
    <row r="6922">
      <c r="A6922" s="1" t="str">
        <f>IFERROR(__xludf.DUMMYFUNCTION("""COMPUTED_VALUE"""),"2025 Dec")</f>
        <v>2025 Dec</v>
      </c>
      <c r="B6922" s="2">
        <f>IFERROR(__xludf.DUMMYFUNCTION("""COMPUTED_VALUE"""),45999.0)</f>
        <v>45999</v>
      </c>
      <c r="C6922" s="1" t="str">
        <f>IFERROR(__xludf.DUMMYFUNCTION("""COMPUTED_VALUE"""),"Segment-specific Support")</f>
        <v>Segment-specific Support</v>
      </c>
      <c r="D6922" s="1" t="str">
        <f>IFERROR(__xludf.DUMMYFUNCTION("""COMPUTED_VALUE"""),"71cc12d6-81ad-4480-9557-ff6a318e3277")</f>
        <v>71cc12d6-81ad-4480-9557-ff6a318e3277</v>
      </c>
      <c r="E6922" s="1">
        <f>IFERROR(__xludf.DUMMYFUNCTION("""COMPUTED_VALUE"""),3.61726424776E11)</f>
        <v>361726424776</v>
      </c>
      <c r="F6922" s="1">
        <f>IFERROR(__xludf.DUMMYFUNCTION("""COMPUTED_VALUE"""),0.5)</f>
        <v>0.5</v>
      </c>
      <c r="G6922" s="1"/>
      <c r="H6922" s="3">
        <f>IFERROR(__xludf.DUMMYFUNCTION("""COMPUTED_VALUE"""),0.5)</f>
        <v>0.5</v>
      </c>
      <c r="I6922" s="4">
        <f>IFERROR(__xludf.DUMMYFUNCTION("""COMPUTED_VALUE"""),0.0)</f>
        <v>0</v>
      </c>
      <c r="J6922" s="1" t="str">
        <f>IFERROR(__xludf.DUMMYFUNCTION("""COMPUTED_VALUE"""),"Jonathan Dimaculangan")</f>
        <v>Jonathan Dimaculangan</v>
      </c>
      <c r="K6922" s="1" t="str">
        <f>IFERROR(__xludf.DUMMYFUNCTION("""COMPUTED_VALUE"""),"Flourish Support")</f>
        <v>Flourish Support</v>
      </c>
      <c r="L6922" s="1" t="str">
        <f>IFERROR(__xludf.DUMMYFUNCTION("""COMPUTED_VALUE"""),"SSS Flourish")</f>
        <v>SSS Flourish</v>
      </c>
    </row>
    <row r="6923">
      <c r="A6923" s="1" t="str">
        <f>IFERROR(__xludf.DUMMYFUNCTION("""COMPUTED_VALUE"""),"2025 Dec")</f>
        <v>2025 Dec</v>
      </c>
      <c r="B6923" s="2">
        <f>IFERROR(__xludf.DUMMYFUNCTION("""COMPUTED_VALUE"""),45999.0)</f>
        <v>45999</v>
      </c>
      <c r="C6923" s="1" t="str">
        <f>IFERROR(__xludf.DUMMYFUNCTION("""COMPUTED_VALUE"""),"Core Product Support")</f>
        <v>Core Product Support</v>
      </c>
      <c r="D6923" s="1" t="str">
        <f>IFERROR(__xludf.DUMMYFUNCTION("""COMPUTED_VALUE"""),"ed8e075f-7119-4833-8af3-4c353a3fdda1")</f>
        <v>ed8e075f-7119-4833-8af3-4c353a3fdda1</v>
      </c>
      <c r="E6923" s="1">
        <f>IFERROR(__xludf.DUMMYFUNCTION("""COMPUTED_VALUE"""),4.502516921487E12)</f>
        <v>4502516921487</v>
      </c>
      <c r="F6923" s="1">
        <f>IFERROR(__xludf.DUMMYFUNCTION("""COMPUTED_VALUE"""),0.5)</f>
        <v>0.5</v>
      </c>
      <c r="G6923" s="1"/>
      <c r="H6923" s="3">
        <f>IFERROR(__xludf.DUMMYFUNCTION("""COMPUTED_VALUE"""),0.5)</f>
        <v>0.5</v>
      </c>
      <c r="I6923" s="4">
        <f>IFERROR(__xludf.DUMMYFUNCTION("""COMPUTED_VALUE"""),0.0)</f>
        <v>0</v>
      </c>
      <c r="J6923" s="1" t="str">
        <f>IFERROR(__xludf.DUMMYFUNCTION("""COMPUTED_VALUE"""),"Jem Mondoñedo")</f>
        <v>Jem Mondoñedo</v>
      </c>
      <c r="K6923" s="1" t="str">
        <f>IFERROR(__xludf.DUMMYFUNCTION("""COMPUTED_VALUE"""),"Advanced Chat Support")</f>
        <v>Advanced Chat Support</v>
      </c>
      <c r="L6923" s="1" t="str">
        <f>IFERROR(__xludf.DUMMYFUNCTION("""COMPUTED_VALUE"""),"CPS Advanced Chat Support (ACS)")</f>
        <v>CPS Advanced Chat Support (ACS)</v>
      </c>
    </row>
    <row r="6924">
      <c r="A6924" s="1" t="str">
        <f>IFERROR(__xludf.DUMMYFUNCTION("""COMPUTED_VALUE"""),"2025 Dec")</f>
        <v>2025 Dec</v>
      </c>
      <c r="B6924" s="2">
        <f>IFERROR(__xludf.DUMMYFUNCTION("""COMPUTED_VALUE"""),45999.0)</f>
        <v>45999</v>
      </c>
      <c r="C6924" s="1" t="str">
        <f>IFERROR(__xludf.DUMMYFUNCTION("""COMPUTED_VALUE"""),"Core Product Support")</f>
        <v>Core Product Support</v>
      </c>
      <c r="D6924" s="1" t="str">
        <f>IFERROR(__xludf.DUMMYFUNCTION("""COMPUTED_VALUE"""),"000279e3-fb19-4b90-a95c-080adc98c9aa")</f>
        <v>000279e3-fb19-4b90-a95c-080adc98c9aa</v>
      </c>
      <c r="E6924" s="1">
        <f>IFERROR(__xludf.DUMMYFUNCTION("""COMPUTED_VALUE"""),3.61861297935E11)</f>
        <v>361861297935</v>
      </c>
      <c r="F6924" s="1"/>
      <c r="G6924" s="1">
        <f>IFERROR(__xludf.DUMMYFUNCTION("""COMPUTED_VALUE"""),1.5)</f>
        <v>1.5</v>
      </c>
      <c r="H6924" s="3">
        <f>IFERROR(__xludf.DUMMYFUNCTION("""COMPUTED_VALUE"""),1.5)</f>
        <v>1.5</v>
      </c>
      <c r="I6924" s="4">
        <f>IFERROR(__xludf.DUMMYFUNCTION("""COMPUTED_VALUE"""),1.0)</f>
        <v>1</v>
      </c>
      <c r="J6924" s="1" t="str">
        <f>IFERROR(__xludf.DUMMYFUNCTION("""COMPUTED_VALUE"""),"Jahmie Mae Barrameda")</f>
        <v>Jahmie Mae Barrameda</v>
      </c>
      <c r="K6924" s="1" t="str">
        <f>IFERROR(__xludf.DUMMYFUNCTION("""COMPUTED_VALUE"""),"Advanced Billing &amp; Subscriptions")</f>
        <v>Advanced Billing &amp; Subscriptions</v>
      </c>
      <c r="L6924" s="1" t="str">
        <f>IFERROR(__xludf.DUMMYFUNCTION("""COMPUTED_VALUE"""),"CPS Advanced Billing and Subscriptions (ABS)")</f>
        <v>CPS Advanced Billing and Subscriptions (ABS)</v>
      </c>
    </row>
    <row r="6925">
      <c r="A6925" s="1" t="str">
        <f>IFERROR(__xludf.DUMMYFUNCTION("""COMPUTED_VALUE"""),"2025 Dec")</f>
        <v>2025 Dec</v>
      </c>
      <c r="B6925" s="2">
        <f>IFERROR(__xludf.DUMMYFUNCTION("""COMPUTED_VALUE"""),45999.0)</f>
        <v>45999</v>
      </c>
      <c r="C6925" s="1" t="str">
        <f>IFERROR(__xludf.DUMMYFUNCTION("""COMPUTED_VALUE"""),"Print Support")</f>
        <v>Print Support</v>
      </c>
      <c r="D6925" s="1" t="str">
        <f>IFERROR(__xludf.DUMMYFUNCTION("""COMPUTED_VALUE"""),"61035b18-fc2e-492c-ae7d-227048511bcf")</f>
        <v>61035b18-fc2e-492c-ae7d-227048511bcf</v>
      </c>
      <c r="E6925" s="1"/>
      <c r="F6925" s="1"/>
      <c r="G6925" s="1"/>
      <c r="H6925" s="3">
        <f>IFERROR(__xludf.DUMMYFUNCTION("""COMPUTED_VALUE"""),0.0)</f>
        <v>0</v>
      </c>
      <c r="I6925" s="4"/>
      <c r="J6925" s="1" t="str">
        <f>IFERROR(__xludf.DUMMYFUNCTION("""COMPUTED_VALUE"""),"Gem Agoncillo")</f>
        <v>Gem Agoncillo</v>
      </c>
      <c r="K6925" s="1" t="str">
        <f>IFERROR(__xludf.DUMMYFUNCTION("""COMPUTED_VALUE"""),"Print Design Support")</f>
        <v>Print Design Support</v>
      </c>
      <c r="L6925" s="1" t="str">
        <f>IFERROR(__xludf.DUMMYFUNCTION("""COMPUTED_VALUE"""),"Print Print Design")</f>
        <v>Print Print Design</v>
      </c>
    </row>
    <row r="6926">
      <c r="A6926" s="1" t="str">
        <f>IFERROR(__xludf.DUMMYFUNCTION("""COMPUTED_VALUE"""),"2025 Dec")</f>
        <v>2025 Dec</v>
      </c>
      <c r="B6926" s="2">
        <f>IFERROR(__xludf.DUMMYFUNCTION("""COMPUTED_VALUE"""),45999.0)</f>
        <v>45999</v>
      </c>
      <c r="C6926" s="1" t="str">
        <f>IFERROR(__xludf.DUMMYFUNCTION("""COMPUTED_VALUE"""),"Core Product Support")</f>
        <v>Core Product Support</v>
      </c>
      <c r="D6926" s="1" t="str">
        <f>IFERROR(__xludf.DUMMYFUNCTION("""COMPUTED_VALUE"""),"7f6e3175-f6cd-4a70-93aa-118856f83921")</f>
        <v>7f6e3175-f6cd-4a70-93aa-118856f83921</v>
      </c>
      <c r="E6926" s="1">
        <f>IFERROR(__xludf.DUMMYFUNCTION("""COMPUTED_VALUE"""),1.0333019153039E13)</f>
        <v>10333019153039</v>
      </c>
      <c r="F6926" s="1">
        <f>IFERROR(__xludf.DUMMYFUNCTION("""COMPUTED_VALUE"""),0.5)</f>
        <v>0.5</v>
      </c>
      <c r="G6926" s="1"/>
      <c r="H6926" s="3">
        <f>IFERROR(__xludf.DUMMYFUNCTION("""COMPUTED_VALUE"""),0.5)</f>
        <v>0.5</v>
      </c>
      <c r="I6926" s="4">
        <f>IFERROR(__xludf.DUMMYFUNCTION("""COMPUTED_VALUE"""),0.0)</f>
        <v>0</v>
      </c>
      <c r="J6926" s="1" t="str">
        <f>IFERROR(__xludf.DUMMYFUNCTION("""COMPUTED_VALUE"""),"Belle Bentazal")</f>
        <v>Belle Bentazal</v>
      </c>
      <c r="K6926" s="1" t="str">
        <f>IFERROR(__xludf.DUMMYFUNCTION("""COMPUTED_VALUE"""),"Advanced Product Support")</f>
        <v>Advanced Product Support</v>
      </c>
      <c r="L6926" s="1" t="str">
        <f>IFERROR(__xludf.DUMMYFUNCTION("""COMPUTED_VALUE"""),"CPS Advanced Product Support (APS)")</f>
        <v>CPS Advanced Product Support (APS)</v>
      </c>
    </row>
    <row r="6927">
      <c r="A6927" s="1" t="str">
        <f>IFERROR(__xludf.DUMMYFUNCTION("""COMPUTED_VALUE"""),"2025 Dec")</f>
        <v>2025 Dec</v>
      </c>
      <c r="B6927" s="2">
        <f>IFERROR(__xludf.DUMMYFUNCTION("""COMPUTED_VALUE"""),45999.0)</f>
        <v>45999</v>
      </c>
      <c r="C6927" s="1" t="str">
        <f>IFERROR(__xludf.DUMMYFUNCTION("""COMPUTED_VALUE"""),"Segment-specific Support")</f>
        <v>Segment-specific Support</v>
      </c>
      <c r="D6927" s="1" t="str">
        <f>IFERROR(__xludf.DUMMYFUNCTION("""COMPUTED_VALUE"""),"8941a42e-630f-4e32-ac1a-aa9495a2b319")</f>
        <v>8941a42e-630f-4e32-ac1a-aa9495a2b319</v>
      </c>
      <c r="E6927" s="1">
        <f>IFERROR(__xludf.DUMMYFUNCTION("""COMPUTED_VALUE"""),3.61731514775E11)</f>
        <v>361731514775</v>
      </c>
      <c r="F6927" s="1"/>
      <c r="G6927" s="1"/>
      <c r="H6927" s="3">
        <f>IFERROR(__xludf.DUMMYFUNCTION("""COMPUTED_VALUE"""),0.0)</f>
        <v>0</v>
      </c>
      <c r="I6927" s="4"/>
      <c r="J6927" s="1" t="str">
        <f>IFERROR(__xludf.DUMMYFUNCTION("""COMPUTED_VALUE"""),"Aileen Dayanghirang")</f>
        <v>Aileen Dayanghirang</v>
      </c>
      <c r="K6927" s="1" t="str">
        <f>IFERROR(__xludf.DUMMYFUNCTION("""COMPUTED_VALUE"""),"Creators Support")</f>
        <v>Creators Support</v>
      </c>
      <c r="L6927" s="1" t="str">
        <f>IFERROR(__xludf.DUMMYFUNCTION("""COMPUTED_VALUE"""),"SSS Creators")</f>
        <v>SSS Creators</v>
      </c>
    </row>
    <row r="6928">
      <c r="A6928" s="1" t="str">
        <f>IFERROR(__xludf.DUMMYFUNCTION("""COMPUTED_VALUE"""),"2025 Dec")</f>
        <v>2025 Dec</v>
      </c>
      <c r="B6928" s="2">
        <f>IFERROR(__xludf.DUMMYFUNCTION("""COMPUTED_VALUE"""),45999.0)</f>
        <v>45999</v>
      </c>
      <c r="C6928" s="1" t="str">
        <f>IFERROR(__xludf.DUMMYFUNCTION("""COMPUTED_VALUE"""),"Segment-specific Support")</f>
        <v>Segment-specific Support</v>
      </c>
      <c r="D6928" s="1" t="str">
        <f>IFERROR(__xludf.DUMMYFUNCTION("""COMPUTED_VALUE"""),"dfd09cbc-1248-47f6-96ff-bb4b2c38ce63")</f>
        <v>dfd09cbc-1248-47f6-96ff-bb4b2c38ce63</v>
      </c>
      <c r="E6928" s="1">
        <f>IFERROR(__xludf.DUMMYFUNCTION("""COMPUTED_VALUE"""),3.61725262736E11)</f>
        <v>361725262736</v>
      </c>
      <c r="F6928" s="1"/>
      <c r="G6928" s="1"/>
      <c r="H6928" s="3">
        <f>IFERROR(__xludf.DUMMYFUNCTION("""COMPUTED_VALUE"""),0.0)</f>
        <v>0</v>
      </c>
      <c r="I6928" s="4"/>
      <c r="J6928" s="1" t="str">
        <f>IFERROR(__xludf.DUMMYFUNCTION("""COMPUTED_VALUE"""),"Tash Kelly")</f>
        <v>Tash Kelly</v>
      </c>
      <c r="K6928" s="1" t="str">
        <f>IFERROR(__xludf.DUMMYFUNCTION("""COMPUTED_VALUE"""),"Affinity Support")</f>
        <v>Affinity Support</v>
      </c>
      <c r="L6928" s="1" t="str">
        <f>IFERROR(__xludf.DUMMYFUNCTION("""COMPUTED_VALUE"""),"SSS Affinity")</f>
        <v>SSS Affinity</v>
      </c>
    </row>
    <row r="6929">
      <c r="A6929" s="1" t="str">
        <f>IFERROR(__xludf.DUMMYFUNCTION("""COMPUTED_VALUE"""),"2025 Dec")</f>
        <v>2025 Dec</v>
      </c>
      <c r="B6929" s="2">
        <f>IFERROR(__xludf.DUMMYFUNCTION("""COMPUTED_VALUE"""),45999.0)</f>
        <v>45999</v>
      </c>
      <c r="C6929" s="1" t="str">
        <f>IFERROR(__xludf.DUMMYFUNCTION("""COMPUTED_VALUE"""),"Segment-specific Support")</f>
        <v>Segment-specific Support</v>
      </c>
      <c r="D6929" s="1" t="str">
        <f>IFERROR(__xludf.DUMMYFUNCTION("""COMPUTED_VALUE"""),"14ab0e6b-ba36-4083-a4df-79ae04c36179")</f>
        <v>14ab0e6b-ba36-4083-a4df-79ae04c36179</v>
      </c>
      <c r="E6929" s="1">
        <f>IFERROR(__xludf.DUMMYFUNCTION("""COMPUTED_VALUE"""),1.0548580059023E13)</f>
        <v>10548580059023</v>
      </c>
      <c r="F6929" s="1">
        <f>IFERROR(__xludf.DUMMYFUNCTION("""COMPUTED_VALUE"""),0.5)</f>
        <v>0.5</v>
      </c>
      <c r="G6929" s="1"/>
      <c r="H6929" s="3">
        <f>IFERROR(__xludf.DUMMYFUNCTION("""COMPUTED_VALUE"""),0.5)</f>
        <v>0.5</v>
      </c>
      <c r="I6929" s="4">
        <f>IFERROR(__xludf.DUMMYFUNCTION("""COMPUTED_VALUE"""),0.0)</f>
        <v>0</v>
      </c>
      <c r="J6929" s="1" t="str">
        <f>IFERROR(__xludf.DUMMYFUNCTION("""COMPUTED_VALUE"""),"Jonathan Dimaculangan")</f>
        <v>Jonathan Dimaculangan</v>
      </c>
      <c r="K6929" s="1" t="str">
        <f>IFERROR(__xludf.DUMMYFUNCTION("""COMPUTED_VALUE"""),"Flourish Support")</f>
        <v>Flourish Support</v>
      </c>
      <c r="L6929" s="1" t="str">
        <f>IFERROR(__xludf.DUMMYFUNCTION("""COMPUTED_VALUE"""),"SSS Flourish")</f>
        <v>SSS Flourish</v>
      </c>
    </row>
    <row r="6930">
      <c r="A6930" s="1" t="str">
        <f>IFERROR(__xludf.DUMMYFUNCTION("""COMPUTED_VALUE"""),"2025 Dec")</f>
        <v>2025 Dec</v>
      </c>
      <c r="B6930" s="2">
        <f>IFERROR(__xludf.DUMMYFUNCTION("""COMPUTED_VALUE"""),45999.0)</f>
        <v>45999</v>
      </c>
      <c r="C6930" s="1" t="str">
        <f>IFERROR(__xludf.DUMMYFUNCTION("""COMPUTED_VALUE"""),"Admin Support")</f>
        <v>Admin Support</v>
      </c>
      <c r="D6930" s="1" t="str">
        <f>IFERROR(__xludf.DUMMYFUNCTION("""COMPUTED_VALUE"""),"37c57b4f-487c-4c75-8926-0d22cc125dcf")</f>
        <v>37c57b4f-487c-4c75-8926-0d22cc125dcf</v>
      </c>
      <c r="E6930" s="1">
        <f>IFERROR(__xludf.DUMMYFUNCTION("""COMPUTED_VALUE"""),9.153765932815E12)</f>
        <v>9153765932815</v>
      </c>
      <c r="F6930" s="1"/>
      <c r="G6930" s="1">
        <f>IFERROR(__xludf.DUMMYFUNCTION("""COMPUTED_VALUE"""),2.75)</f>
        <v>2.75</v>
      </c>
      <c r="H6930" s="3">
        <f>IFERROR(__xludf.DUMMYFUNCTION("""COMPUTED_VALUE"""),2.75)</f>
        <v>2.75</v>
      </c>
      <c r="I6930" s="4">
        <f>IFERROR(__xludf.DUMMYFUNCTION("""COMPUTED_VALUE"""),1.0)</f>
        <v>1</v>
      </c>
      <c r="J6930" s="1" t="str">
        <f>IFERROR(__xludf.DUMMYFUNCTION("""COMPUTED_VALUE"""),"Tash Kelly")</f>
        <v>Tash Kelly</v>
      </c>
      <c r="K6930" s="1" t="str">
        <f>IFERROR(__xludf.DUMMYFUNCTION("""COMPUTED_VALUE"""),"Admin Support EMEA")</f>
        <v>Admin Support EMEA</v>
      </c>
      <c r="L6930" s="1" t="str">
        <f>IFERROR(__xludf.DUMMYFUNCTION("""COMPUTED_VALUE"""),"Admin EMEA")</f>
        <v>Admin EMEA</v>
      </c>
    </row>
    <row r="6931">
      <c r="A6931" s="1" t="str">
        <f>IFERROR(__xludf.DUMMYFUNCTION("""COMPUTED_VALUE"""),"2025 Dec")</f>
        <v>2025 Dec</v>
      </c>
      <c r="B6931" s="2">
        <f>IFERROR(__xludf.DUMMYFUNCTION("""COMPUTED_VALUE"""),45999.0)</f>
        <v>45999</v>
      </c>
      <c r="C6931" s="1" t="str">
        <f>IFERROR(__xludf.DUMMYFUNCTION("""COMPUTED_VALUE"""),"Print Support")</f>
        <v>Print Support</v>
      </c>
      <c r="D6931" s="1" t="str">
        <f>IFERROR(__xludf.DUMMYFUNCTION("""COMPUTED_VALUE"""),"745adc44-2fda-43ea-bdcd-39c28e369ddc")</f>
        <v>745adc44-2fda-43ea-bdcd-39c28e369ddc</v>
      </c>
      <c r="E6931" s="1">
        <f>IFERROR(__xludf.DUMMYFUNCTION("""COMPUTED_VALUE"""),3.61731943495E11)</f>
        <v>361731943495</v>
      </c>
      <c r="F6931" s="1"/>
      <c r="G6931" s="1"/>
      <c r="H6931" s="3">
        <f>IFERROR(__xludf.DUMMYFUNCTION("""COMPUTED_VALUE"""),0.0)</f>
        <v>0</v>
      </c>
      <c r="I6931" s="4"/>
      <c r="J6931" s="1" t="str">
        <f>IFERROR(__xludf.DUMMYFUNCTION("""COMPUTED_VALUE"""),"Ann Dumlao")</f>
        <v>Ann Dumlao</v>
      </c>
      <c r="K6931" s="1" t="str">
        <f>IFERROR(__xludf.DUMMYFUNCTION("""COMPUTED_VALUE"""),"Print Support PH")</f>
        <v>Print Support PH</v>
      </c>
      <c r="L6931" s="1" t="str">
        <f>IFERROR(__xludf.DUMMYFUNCTION("""COMPUTED_VALUE"""),"Print Print - CHT")</f>
        <v>Print Print - CHT</v>
      </c>
    </row>
    <row r="6932">
      <c r="A6932" s="1" t="str">
        <f>IFERROR(__xludf.DUMMYFUNCTION("""COMPUTED_VALUE"""),"2025 Dec")</f>
        <v>2025 Dec</v>
      </c>
      <c r="B6932" s="2">
        <f>IFERROR(__xludf.DUMMYFUNCTION("""COMPUTED_VALUE"""),45999.0)</f>
        <v>45999</v>
      </c>
      <c r="C6932" s="1" t="str">
        <f>IFERROR(__xludf.DUMMYFUNCTION("""COMPUTED_VALUE"""),"Core Product Support")</f>
        <v>Core Product Support</v>
      </c>
      <c r="D6932" s="1" t="str">
        <f>IFERROR(__xludf.DUMMYFUNCTION("""COMPUTED_VALUE"""),"927a5402-ae70-4b86-aaa9-53819fb46700")</f>
        <v>927a5402-ae70-4b86-aaa9-53819fb46700</v>
      </c>
      <c r="E6932" s="1">
        <f>IFERROR(__xludf.DUMMYFUNCTION("""COMPUTED_VALUE"""),3.61725260756E11)</f>
        <v>361725260756</v>
      </c>
      <c r="F6932" s="1"/>
      <c r="G6932" s="1">
        <f>IFERROR(__xludf.DUMMYFUNCTION("""COMPUTED_VALUE"""),2.5)</f>
        <v>2.5</v>
      </c>
      <c r="H6932" s="3">
        <f>IFERROR(__xludf.DUMMYFUNCTION("""COMPUTED_VALUE"""),2.5)</f>
        <v>2.5</v>
      </c>
      <c r="I6932" s="4">
        <f>IFERROR(__xludf.DUMMYFUNCTION("""COMPUTED_VALUE"""),1.0)</f>
        <v>1</v>
      </c>
      <c r="J6932" s="1" t="str">
        <f>IFERROR(__xludf.DUMMYFUNCTION("""COMPUTED_VALUE"""),"Ellaine Estayo")</f>
        <v>Ellaine Estayo</v>
      </c>
      <c r="K6932" s="1" t="str">
        <f>IFERROR(__xludf.DUMMYFUNCTION("""COMPUTED_VALUE"""),"Core Product Support Escalation Team")</f>
        <v>Core Product Support Escalation Team</v>
      </c>
      <c r="L6932" s="1" t="str">
        <f>IFERROR(__xludf.DUMMYFUNCTION("""COMPUTED_VALUE"""),"CPS Core Product Support Escalations (CPSET)")</f>
        <v>CPS Core Product Support Escalations (CPSET)</v>
      </c>
    </row>
    <row r="6933">
      <c r="A6933" s="1" t="str">
        <f>IFERROR(__xludf.DUMMYFUNCTION("""COMPUTED_VALUE"""),"2025 Dec")</f>
        <v>2025 Dec</v>
      </c>
      <c r="B6933" s="2">
        <f>IFERROR(__xludf.DUMMYFUNCTION("""COMPUTED_VALUE"""),45999.0)</f>
        <v>45999</v>
      </c>
      <c r="C6933" s="1" t="str">
        <f>IFERROR(__xludf.DUMMYFUNCTION("""COMPUTED_VALUE"""),"Print Support")</f>
        <v>Print Support</v>
      </c>
      <c r="D6933" s="1" t="str">
        <f>IFERROR(__xludf.DUMMYFUNCTION("""COMPUTED_VALUE"""),"98326c76-87c9-4e59-a377-8cc144d863d0")</f>
        <v>98326c76-87c9-4e59-a377-8cc144d863d0</v>
      </c>
      <c r="E6933" s="1">
        <f>IFERROR(__xludf.DUMMYFUNCTION("""COMPUTED_VALUE"""),5.902016055567E12)</f>
        <v>5902016055567</v>
      </c>
      <c r="F6933" s="1">
        <f>IFERROR(__xludf.DUMMYFUNCTION("""COMPUTED_VALUE"""),2.0)</f>
        <v>2</v>
      </c>
      <c r="G6933" s="1"/>
      <c r="H6933" s="3">
        <f>IFERROR(__xludf.DUMMYFUNCTION("""COMPUTED_VALUE"""),2.0)</f>
        <v>2</v>
      </c>
      <c r="I6933" s="4">
        <f>IFERROR(__xludf.DUMMYFUNCTION("""COMPUTED_VALUE"""),0.0)</f>
        <v>0</v>
      </c>
      <c r="J6933" s="1" t="str">
        <f>IFERROR(__xludf.DUMMYFUNCTION("""COMPUTED_VALUE"""),"Rae Erlano")</f>
        <v>Rae Erlano</v>
      </c>
      <c r="K6933" s="1" t="str">
        <f>IFERROR(__xludf.DUMMYFUNCTION("""COMPUTED_VALUE"""),"Print Support PH")</f>
        <v>Print Support PH</v>
      </c>
      <c r="L6933" s="1" t="str">
        <f>IFERROR(__xludf.DUMMYFUNCTION("""COMPUTED_VALUE"""),"Print Print - SEE")</f>
        <v>Print Print - SEE</v>
      </c>
    </row>
    <row r="6934">
      <c r="A6934" s="1" t="str">
        <f>IFERROR(__xludf.DUMMYFUNCTION("""COMPUTED_VALUE"""),"2025 Dec")</f>
        <v>2025 Dec</v>
      </c>
      <c r="B6934" s="2">
        <f>IFERROR(__xludf.DUMMYFUNCTION("""COMPUTED_VALUE"""),45999.0)</f>
        <v>45999</v>
      </c>
      <c r="C6934" s="1" t="str">
        <f>IFERROR(__xludf.DUMMYFUNCTION("""COMPUTED_VALUE"""),"Print Support")</f>
        <v>Print Support</v>
      </c>
      <c r="D6934" s="1" t="str">
        <f>IFERROR(__xludf.DUMMYFUNCTION("""COMPUTED_VALUE"""),"233133e3-a3d0-492d-bb55-8a7c4ffc4966")</f>
        <v>233133e3-a3d0-492d-bb55-8a7c4ffc4966</v>
      </c>
      <c r="E6934" s="1">
        <f>IFERROR(__xludf.DUMMYFUNCTION("""COMPUTED_VALUE"""),5.902016026895E12)</f>
        <v>5902016026895</v>
      </c>
      <c r="F6934" s="1"/>
      <c r="G6934" s="1"/>
      <c r="H6934" s="3">
        <f>IFERROR(__xludf.DUMMYFUNCTION("""COMPUTED_VALUE"""),0.0)</f>
        <v>0</v>
      </c>
      <c r="I6934" s="4"/>
      <c r="J6934" s="1" t="str">
        <f>IFERROR(__xludf.DUMMYFUNCTION("""COMPUTED_VALUE"""),"Althea Mercado")</f>
        <v>Althea Mercado</v>
      </c>
      <c r="K6934" s="1" t="str">
        <f>IFERROR(__xludf.DUMMYFUNCTION("""COMPUTED_VALUE"""),"Print Support PH")</f>
        <v>Print Support PH</v>
      </c>
      <c r="L6934" s="1" t="str">
        <f>IFERROR(__xludf.DUMMYFUNCTION("""COMPUTED_VALUE"""),"Print Print - CHT")</f>
        <v>Print Print - CHT</v>
      </c>
    </row>
    <row r="6935">
      <c r="A6935" s="1" t="str">
        <f>IFERROR(__xludf.DUMMYFUNCTION("""COMPUTED_VALUE"""),"2025 Dec")</f>
        <v>2025 Dec</v>
      </c>
      <c r="B6935" s="2">
        <f>IFERROR(__xludf.DUMMYFUNCTION("""COMPUTED_VALUE"""),45999.0)</f>
        <v>45999</v>
      </c>
      <c r="C6935" s="1" t="str">
        <f>IFERROR(__xludf.DUMMYFUNCTION("""COMPUTED_VALUE"""),"Print Support")</f>
        <v>Print Support</v>
      </c>
      <c r="D6935" s="1" t="str">
        <f>IFERROR(__xludf.DUMMYFUNCTION("""COMPUTED_VALUE"""),"0dc0eea0-be83-425b-9b40-b42bc444972b")</f>
        <v>0dc0eea0-be83-425b-9b40-b42bc444972b</v>
      </c>
      <c r="E6935" s="1"/>
      <c r="F6935" s="1"/>
      <c r="G6935" s="1"/>
      <c r="H6935" s="3">
        <f>IFERROR(__xludf.DUMMYFUNCTION("""COMPUTED_VALUE"""),0.0)</f>
        <v>0</v>
      </c>
      <c r="I6935" s="4"/>
      <c r="J6935" s="1" t="str">
        <f>IFERROR(__xludf.DUMMYFUNCTION("""COMPUTED_VALUE"""),"G-Anne Murillo")</f>
        <v>G-Anne Murillo</v>
      </c>
      <c r="K6935" s="1" t="str">
        <f>IFERROR(__xludf.DUMMYFUNCTION("""COMPUTED_VALUE"""),"Print Design Support")</f>
        <v>Print Design Support</v>
      </c>
      <c r="L6935" s="1" t="str">
        <f>IFERROR(__xludf.DUMMYFUNCTION("""COMPUTED_VALUE"""),"Print Print Design")</f>
        <v>Print Print Design</v>
      </c>
    </row>
    <row r="6936">
      <c r="A6936" s="1" t="str">
        <f>IFERROR(__xludf.DUMMYFUNCTION("""COMPUTED_VALUE"""),"2025 Dec")</f>
        <v>2025 Dec</v>
      </c>
      <c r="B6936" s="2">
        <f>IFERROR(__xludf.DUMMYFUNCTION("""COMPUTED_VALUE"""),45999.0)</f>
        <v>45999</v>
      </c>
      <c r="C6936" s="1" t="str">
        <f>IFERROR(__xludf.DUMMYFUNCTION("""COMPUTED_VALUE"""),"Print Support")</f>
        <v>Print Support</v>
      </c>
      <c r="D6936" s="1" t="str">
        <f>IFERROR(__xludf.DUMMYFUNCTION("""COMPUTED_VALUE"""),"9721fddb-68a3-4642-ad70-9c123debd6c5")</f>
        <v>9721fddb-68a3-4642-ad70-9c123debd6c5</v>
      </c>
      <c r="E6936" s="1">
        <f>IFERROR(__xludf.DUMMYFUNCTION("""COMPUTED_VALUE"""),5.202379069967E12)</f>
        <v>5202379069967</v>
      </c>
      <c r="F6936" s="1"/>
      <c r="G6936" s="1"/>
      <c r="H6936" s="3">
        <f>IFERROR(__xludf.DUMMYFUNCTION("""COMPUTED_VALUE"""),0.0)</f>
        <v>0</v>
      </c>
      <c r="I6936" s="4"/>
      <c r="J6936" s="1" t="str">
        <f>IFERROR(__xludf.DUMMYFUNCTION("""COMPUTED_VALUE"""),"Jen Momo")</f>
        <v>Jen Momo</v>
      </c>
      <c r="K6936" s="1" t="str">
        <f>IFERROR(__xludf.DUMMYFUNCTION("""COMPUTED_VALUE"""),"Print Support PH")</f>
        <v>Print Support PH</v>
      </c>
      <c r="L6936" s="1" t="str">
        <f>IFERROR(__xludf.DUMMYFUNCTION("""COMPUTED_VALUE"""),"Print Print - CHT")</f>
        <v>Print Print - CHT</v>
      </c>
    </row>
    <row r="6937">
      <c r="A6937" s="1" t="str">
        <f>IFERROR(__xludf.DUMMYFUNCTION("""COMPUTED_VALUE"""),"2025 Dec")</f>
        <v>2025 Dec</v>
      </c>
      <c r="B6937" s="2">
        <f>IFERROR(__xludf.DUMMYFUNCTION("""COMPUTED_VALUE"""),45999.0)</f>
        <v>45999</v>
      </c>
      <c r="C6937" s="1" t="str">
        <f>IFERROR(__xludf.DUMMYFUNCTION("""COMPUTED_VALUE"""),"Core Product Support")</f>
        <v>Core Product Support</v>
      </c>
      <c r="D6937" s="1" t="str">
        <f>IFERROR(__xludf.DUMMYFUNCTION("""COMPUTED_VALUE"""),"63913765-f42c-45e4-8f9a-eb96d52c2d61")</f>
        <v>63913765-f42c-45e4-8f9a-eb96d52c2d61</v>
      </c>
      <c r="E6937" s="1">
        <f>IFERROR(__xludf.DUMMYFUNCTION("""COMPUTED_VALUE"""),1.0333018822031E13)</f>
        <v>10333018822031</v>
      </c>
      <c r="F6937" s="1">
        <f>IFERROR(__xludf.DUMMYFUNCTION("""COMPUTED_VALUE"""),2.0)</f>
        <v>2</v>
      </c>
      <c r="G6937" s="1"/>
      <c r="H6937" s="3">
        <f>IFERROR(__xludf.DUMMYFUNCTION("""COMPUTED_VALUE"""),2.0)</f>
        <v>2</v>
      </c>
      <c r="I6937" s="4">
        <f>IFERROR(__xludf.DUMMYFUNCTION("""COMPUTED_VALUE"""),0.0)</f>
        <v>0</v>
      </c>
      <c r="J6937" s="1" t="str">
        <f>IFERROR(__xludf.DUMMYFUNCTION("""COMPUTED_VALUE"""),"Vinz Lazaro")</f>
        <v>Vinz Lazaro</v>
      </c>
      <c r="K6937" s="1" t="str">
        <f>IFERROR(__xludf.DUMMYFUNCTION("""COMPUTED_VALUE"""),"Advanced Product Support")</f>
        <v>Advanced Product Support</v>
      </c>
      <c r="L6937" s="1" t="str">
        <f>IFERROR(__xludf.DUMMYFUNCTION("""COMPUTED_VALUE"""),"CPS Advanced Product Support (APS)")</f>
        <v>CPS Advanced Product Support (APS)</v>
      </c>
    </row>
    <row r="6938">
      <c r="A6938" s="1" t="str">
        <f>IFERROR(__xludf.DUMMYFUNCTION("""COMPUTED_VALUE"""),"2025 Dec")</f>
        <v>2025 Dec</v>
      </c>
      <c r="B6938" s="2">
        <f>IFERROR(__xludf.DUMMYFUNCTION("""COMPUTED_VALUE"""),45999.0)</f>
        <v>45999</v>
      </c>
      <c r="C6938" s="1" t="str">
        <f>IFERROR(__xludf.DUMMYFUNCTION("""COMPUTED_VALUE"""),"Core Product Support")</f>
        <v>Core Product Support</v>
      </c>
      <c r="D6938" s="1" t="str">
        <f>IFERROR(__xludf.DUMMYFUNCTION("""COMPUTED_VALUE"""),"ab157f99-7ffd-4d9d-9c79-c3cf66911088")</f>
        <v>ab157f99-7ffd-4d9d-9c79-c3cf66911088</v>
      </c>
      <c r="E6938" s="1">
        <f>IFERROR(__xludf.DUMMYFUNCTION("""COMPUTED_VALUE"""),3.61731646775E11)</f>
        <v>361731646775</v>
      </c>
      <c r="F6938" s="1"/>
      <c r="G6938" s="1">
        <f>IFERROR(__xludf.DUMMYFUNCTION("""COMPUTED_VALUE"""),2.5)</f>
        <v>2.5</v>
      </c>
      <c r="H6938" s="3">
        <f>IFERROR(__xludf.DUMMYFUNCTION("""COMPUTED_VALUE"""),2.5)</f>
        <v>2.5</v>
      </c>
      <c r="I6938" s="4">
        <f>IFERROR(__xludf.DUMMYFUNCTION("""COMPUTED_VALUE"""),1.0)</f>
        <v>1</v>
      </c>
      <c r="J6938" s="1" t="str">
        <f>IFERROR(__xludf.DUMMYFUNCTION("""COMPUTED_VALUE"""),"Sieg Ballelos")</f>
        <v>Sieg Ballelos</v>
      </c>
      <c r="K6938" s="1" t="str">
        <f>IFERROR(__xludf.DUMMYFUNCTION("""COMPUTED_VALUE"""),"Core Product Support Escalation Team")</f>
        <v>Core Product Support Escalation Team</v>
      </c>
      <c r="L6938" s="1" t="str">
        <f>IFERROR(__xludf.DUMMYFUNCTION("""COMPUTED_VALUE"""),"CPS Core Product Support Escalations (CPSET)")</f>
        <v>CPS Core Product Support Escalations (CPSET)</v>
      </c>
    </row>
    <row r="6939">
      <c r="A6939" s="1" t="str">
        <f>IFERROR(__xludf.DUMMYFUNCTION("""COMPUTED_VALUE"""),"2025 Dec")</f>
        <v>2025 Dec</v>
      </c>
      <c r="B6939" s="2">
        <f>IFERROR(__xludf.DUMMYFUNCTION("""COMPUTED_VALUE"""),45999.0)</f>
        <v>45999</v>
      </c>
      <c r="C6939" s="1" t="str">
        <f>IFERROR(__xludf.DUMMYFUNCTION("""COMPUTED_VALUE"""),"Admin Support")</f>
        <v>Admin Support</v>
      </c>
      <c r="D6939" s="1" t="str">
        <f>IFERROR(__xludf.DUMMYFUNCTION("""COMPUTED_VALUE"""),"eb8376ed-4cf6-4826-b5fb-2b6844150189")</f>
        <v>eb8376ed-4cf6-4826-b5fb-2b6844150189</v>
      </c>
      <c r="E6939" s="1">
        <f>IFERROR(__xludf.DUMMYFUNCTION("""COMPUTED_VALUE"""),3.61731516535E11)</f>
        <v>361731516535</v>
      </c>
      <c r="F6939" s="1"/>
      <c r="G6939" s="1">
        <f>IFERROR(__xludf.DUMMYFUNCTION("""COMPUTED_VALUE"""),4.0)</f>
        <v>4</v>
      </c>
      <c r="H6939" s="3">
        <f>IFERROR(__xludf.DUMMYFUNCTION("""COMPUTED_VALUE"""),4.0)</f>
        <v>4</v>
      </c>
      <c r="I6939" s="4">
        <f>IFERROR(__xludf.DUMMYFUNCTION("""COMPUTED_VALUE"""),1.0)</f>
        <v>1</v>
      </c>
      <c r="J6939" s="1" t="str">
        <f>IFERROR(__xludf.DUMMYFUNCTION("""COMPUTED_VALUE"""),"Pau Palmero")</f>
        <v>Pau Palmero</v>
      </c>
      <c r="K6939" s="1" t="str">
        <f>IFERROR(__xludf.DUMMYFUNCTION("""COMPUTED_VALUE"""),"Admin Support PH CEDD")</f>
        <v>Admin Support PH CEDD</v>
      </c>
      <c r="L6939" s="1" t="str">
        <f>IFERROR(__xludf.DUMMYFUNCTION("""COMPUTED_VALUE"""),"Admin CEDD Apps,Admin CEDD Inbox Mgt")</f>
        <v>Admin CEDD Apps,Admin CEDD Inbox Mgt</v>
      </c>
    </row>
    <row r="6940">
      <c r="A6940" s="1" t="str">
        <f>IFERROR(__xludf.DUMMYFUNCTION("""COMPUTED_VALUE"""),"2025 Dec")</f>
        <v>2025 Dec</v>
      </c>
      <c r="B6940" s="2">
        <f>IFERROR(__xludf.DUMMYFUNCTION("""COMPUTED_VALUE"""),45999.0)</f>
        <v>45999</v>
      </c>
      <c r="C6940" s="1" t="str">
        <f>IFERROR(__xludf.DUMMYFUNCTION("""COMPUTED_VALUE"""),"Segment-specific Support")</f>
        <v>Segment-specific Support</v>
      </c>
      <c r="D6940" s="1" t="str">
        <f>IFERROR(__xludf.DUMMYFUNCTION("""COMPUTED_VALUE"""),"5f0cce5a-c29c-416c-a9e9-e7e3fa282c8a")</f>
        <v>5f0cce5a-c29c-416c-a9e9-e7e3fa282c8a</v>
      </c>
      <c r="E6940" s="1">
        <f>IFERROR(__xludf.DUMMYFUNCTION("""COMPUTED_VALUE"""),9.903289405711E12)</f>
        <v>9903289405711</v>
      </c>
      <c r="F6940" s="1">
        <f>IFERROR(__xludf.DUMMYFUNCTION("""COMPUTED_VALUE"""),0.5)</f>
        <v>0.5</v>
      </c>
      <c r="G6940" s="1"/>
      <c r="H6940" s="3">
        <f>IFERROR(__xludf.DUMMYFUNCTION("""COMPUTED_VALUE"""),0.5)</f>
        <v>0.5</v>
      </c>
      <c r="I6940" s="4">
        <f>IFERROR(__xludf.DUMMYFUNCTION("""COMPUTED_VALUE"""),0.0)</f>
        <v>0</v>
      </c>
      <c r="J6940" s="1" t="str">
        <f>IFERROR(__xludf.DUMMYFUNCTION("""COMPUTED_VALUE"""),"Jonathan Dimaculangan")</f>
        <v>Jonathan Dimaculangan</v>
      </c>
      <c r="K6940" s="1" t="str">
        <f>IFERROR(__xludf.DUMMYFUNCTION("""COMPUTED_VALUE"""),"Flourish Support")</f>
        <v>Flourish Support</v>
      </c>
      <c r="L6940" s="1" t="str">
        <f>IFERROR(__xludf.DUMMYFUNCTION("""COMPUTED_VALUE"""),"SSS Flourish")</f>
        <v>SSS Flourish</v>
      </c>
    </row>
    <row r="6941">
      <c r="A6941" s="1" t="str">
        <f>IFERROR(__xludf.DUMMYFUNCTION("""COMPUTED_VALUE"""),"2025 Dec")</f>
        <v>2025 Dec</v>
      </c>
      <c r="B6941" s="2">
        <f>IFERROR(__xludf.DUMMYFUNCTION("""COMPUTED_VALUE"""),45999.0)</f>
        <v>45999</v>
      </c>
      <c r="C6941" s="1" t="str">
        <f>IFERROR(__xludf.DUMMYFUNCTION("""COMPUTED_VALUE"""),"Core Product Support")</f>
        <v>Core Product Support</v>
      </c>
      <c r="D6941" s="1" t="str">
        <f>IFERROR(__xludf.DUMMYFUNCTION("""COMPUTED_VALUE"""),"618f1bf8-5458-45df-85f7-93c4f29332f8")</f>
        <v>618f1bf8-5458-45df-85f7-93c4f29332f8</v>
      </c>
      <c r="E6941" s="1">
        <f>IFERROR(__xludf.DUMMYFUNCTION("""COMPUTED_VALUE"""),3.61724667256E11)</f>
        <v>361724667256</v>
      </c>
      <c r="F6941" s="1"/>
      <c r="G6941" s="1">
        <f>IFERROR(__xludf.DUMMYFUNCTION("""COMPUTED_VALUE"""),2.0)</f>
        <v>2</v>
      </c>
      <c r="H6941" s="3">
        <f>IFERROR(__xludf.DUMMYFUNCTION("""COMPUTED_VALUE"""),2.0)</f>
        <v>2</v>
      </c>
      <c r="I6941" s="4">
        <f>IFERROR(__xludf.DUMMYFUNCTION("""COMPUTED_VALUE"""),1.0)</f>
        <v>1</v>
      </c>
      <c r="J6941" s="1" t="str">
        <f>IFERROR(__xludf.DUMMYFUNCTION("""COMPUTED_VALUE"""),"Ellaine Estayo")</f>
        <v>Ellaine Estayo</v>
      </c>
      <c r="K6941" s="1" t="str">
        <f>IFERROR(__xludf.DUMMYFUNCTION("""COMPUTED_VALUE"""),"Core Product Support Escalation Team")</f>
        <v>Core Product Support Escalation Team</v>
      </c>
      <c r="L6941" s="1" t="str">
        <f>IFERROR(__xludf.DUMMYFUNCTION("""COMPUTED_VALUE"""),"CPS Core Product Support Escalations (CPSET)")</f>
        <v>CPS Core Product Support Escalations (CPSET)</v>
      </c>
    </row>
    <row r="6942">
      <c r="A6942" s="1" t="str">
        <f>IFERROR(__xludf.DUMMYFUNCTION("""COMPUTED_VALUE"""),"2025 Dec")</f>
        <v>2025 Dec</v>
      </c>
      <c r="B6942" s="2">
        <f>IFERROR(__xludf.DUMMYFUNCTION("""COMPUTED_VALUE"""),45999.0)</f>
        <v>45999</v>
      </c>
      <c r="C6942" s="1" t="str">
        <f>IFERROR(__xludf.DUMMYFUNCTION("""COMPUTED_VALUE"""),"Print Support")</f>
        <v>Print Support</v>
      </c>
      <c r="D6942" s="1" t="str">
        <f>IFERROR(__xludf.DUMMYFUNCTION("""COMPUTED_VALUE"""),"9e452879-93e7-461c-b1a1-1bd079930eb2")</f>
        <v>9e452879-93e7-461c-b1a1-1bd079930eb2</v>
      </c>
      <c r="E6942" s="1">
        <f>IFERROR(__xludf.DUMMYFUNCTION("""COMPUTED_VALUE"""),1.0548609842831E13)</f>
        <v>10548609842831</v>
      </c>
      <c r="F6942" s="1"/>
      <c r="G6942" s="1"/>
      <c r="H6942" s="3">
        <f>IFERROR(__xludf.DUMMYFUNCTION("""COMPUTED_VALUE"""),0.0)</f>
        <v>0</v>
      </c>
      <c r="I6942" s="4"/>
      <c r="J6942" s="1" t="str">
        <f>IFERROR(__xludf.DUMMYFUNCTION("""COMPUTED_VALUE"""),"Rae Erlano")</f>
        <v>Rae Erlano</v>
      </c>
      <c r="K6942" s="1" t="str">
        <f>IFERROR(__xludf.DUMMYFUNCTION("""COMPUTED_VALUE"""),"Print Support PH")</f>
        <v>Print Support PH</v>
      </c>
      <c r="L6942" s="1" t="str">
        <f>IFERROR(__xludf.DUMMYFUNCTION("""COMPUTED_VALUE"""),"Print Print - CHT")</f>
        <v>Print Print - CHT</v>
      </c>
    </row>
    <row r="6943">
      <c r="A6943" s="1" t="str">
        <f>IFERROR(__xludf.DUMMYFUNCTION("""COMPUTED_VALUE"""),"2025 Dec")</f>
        <v>2025 Dec</v>
      </c>
      <c r="B6943" s="2">
        <f>IFERROR(__xludf.DUMMYFUNCTION("""COMPUTED_VALUE"""),45999.0)</f>
        <v>45999</v>
      </c>
      <c r="C6943" s="1" t="str">
        <f>IFERROR(__xludf.DUMMYFUNCTION("""COMPUTED_VALUE"""),"Core Product Support")</f>
        <v>Core Product Support</v>
      </c>
      <c r="D6943" s="1" t="str">
        <f>IFERROR(__xludf.DUMMYFUNCTION("""COMPUTED_VALUE"""),"2a3cbb81-c61e-4e7d-8a9e-ed241403cd4d")</f>
        <v>2a3cbb81-c61e-4e7d-8a9e-ed241403cd4d</v>
      </c>
      <c r="E6943" s="1">
        <f>IFERROR(__xludf.DUMMYFUNCTION("""COMPUTED_VALUE"""),1.0333033832463E13)</f>
        <v>10333033832463</v>
      </c>
      <c r="F6943" s="1">
        <f>IFERROR(__xludf.DUMMYFUNCTION("""COMPUTED_VALUE"""),0.5)</f>
        <v>0.5</v>
      </c>
      <c r="G6943" s="1"/>
      <c r="H6943" s="3">
        <f>IFERROR(__xludf.DUMMYFUNCTION("""COMPUTED_VALUE"""),0.5)</f>
        <v>0.5</v>
      </c>
      <c r="I6943" s="4">
        <f>IFERROR(__xludf.DUMMYFUNCTION("""COMPUTED_VALUE"""),0.0)</f>
        <v>0</v>
      </c>
      <c r="J6943" s="1" t="str">
        <f>IFERROR(__xludf.DUMMYFUNCTION("""COMPUTED_VALUE"""),"Marie Mordeno")</f>
        <v>Marie Mordeno</v>
      </c>
      <c r="K6943" s="1" t="str">
        <f>IFERROR(__xludf.DUMMYFUNCTION("""COMPUTED_VALUE"""),"Advanced Billing &amp; Subscriptions")</f>
        <v>Advanced Billing &amp; Subscriptions</v>
      </c>
      <c r="L6943" s="1" t="str">
        <f>IFERROR(__xludf.DUMMYFUNCTION("""COMPUTED_VALUE"""),"CPS Advanced Billing and Subscriptions (ABS)")</f>
        <v>CPS Advanced Billing and Subscriptions (ABS)</v>
      </c>
    </row>
    <row r="6944">
      <c r="A6944" s="1" t="str">
        <f>IFERROR(__xludf.DUMMYFUNCTION("""COMPUTED_VALUE"""),"2025 Dec")</f>
        <v>2025 Dec</v>
      </c>
      <c r="B6944" s="2">
        <f>IFERROR(__xludf.DUMMYFUNCTION("""COMPUTED_VALUE"""),45999.0)</f>
        <v>45999</v>
      </c>
      <c r="C6944" s="1" t="str">
        <f>IFERROR(__xludf.DUMMYFUNCTION("""COMPUTED_VALUE"""),"Print Support")</f>
        <v>Print Support</v>
      </c>
      <c r="D6944" s="1" t="str">
        <f>IFERROR(__xludf.DUMMYFUNCTION("""COMPUTED_VALUE"""),"b9ec9518-1035-4039-9e89-56312867ff3e")</f>
        <v>b9ec9518-1035-4039-9e89-56312867ff3e</v>
      </c>
      <c r="E6944" s="1">
        <f>IFERROR(__xludf.DUMMYFUNCTION("""COMPUTED_VALUE"""),1.0548609971215E13)</f>
        <v>10548609971215</v>
      </c>
      <c r="F6944" s="1"/>
      <c r="G6944" s="1"/>
      <c r="H6944" s="3">
        <f>IFERROR(__xludf.DUMMYFUNCTION("""COMPUTED_VALUE"""),0.0)</f>
        <v>0</v>
      </c>
      <c r="I6944" s="4"/>
      <c r="J6944" s="1" t="str">
        <f>IFERROR(__xludf.DUMMYFUNCTION("""COMPUTED_VALUE"""),"Ann Dumlao")</f>
        <v>Ann Dumlao</v>
      </c>
      <c r="K6944" s="1" t="str">
        <f>IFERROR(__xludf.DUMMYFUNCTION("""COMPUTED_VALUE"""),"Print Support PH")</f>
        <v>Print Support PH</v>
      </c>
      <c r="L6944" s="1" t="str">
        <f>IFERROR(__xludf.DUMMYFUNCTION("""COMPUTED_VALUE"""),"Print Print - CHT")</f>
        <v>Print Print - CHT</v>
      </c>
    </row>
    <row r="6945">
      <c r="A6945" s="1" t="str">
        <f>IFERROR(__xludf.DUMMYFUNCTION("""COMPUTED_VALUE"""),"2025 Dec")</f>
        <v>2025 Dec</v>
      </c>
      <c r="B6945" s="2">
        <f>IFERROR(__xludf.DUMMYFUNCTION("""COMPUTED_VALUE"""),45999.0)</f>
        <v>45999</v>
      </c>
      <c r="C6945" s="1" t="str">
        <f>IFERROR(__xludf.DUMMYFUNCTION("""COMPUTED_VALUE"""),"Core Product Support")</f>
        <v>Core Product Support</v>
      </c>
      <c r="D6945" s="1" t="str">
        <f>IFERROR(__xludf.DUMMYFUNCTION("""COMPUTED_VALUE"""),"b80ae9d0-5920-40ea-8338-5b197b10c2ea")</f>
        <v>b80ae9d0-5920-40ea-8338-5b197b10c2ea</v>
      </c>
      <c r="E6945" s="1">
        <f>IFERROR(__xludf.DUMMYFUNCTION("""COMPUTED_VALUE"""),3.61857411916E11)</f>
        <v>361857411916</v>
      </c>
      <c r="F6945" s="1">
        <f>IFERROR(__xludf.DUMMYFUNCTION("""COMPUTED_VALUE"""),0.5)</f>
        <v>0.5</v>
      </c>
      <c r="G6945" s="1"/>
      <c r="H6945" s="3">
        <f>IFERROR(__xludf.DUMMYFUNCTION("""COMPUTED_VALUE"""),0.5)</f>
        <v>0.5</v>
      </c>
      <c r="I6945" s="4">
        <f>IFERROR(__xludf.DUMMYFUNCTION("""COMPUTED_VALUE"""),0.0)</f>
        <v>0</v>
      </c>
      <c r="J6945" s="1" t="str">
        <f>IFERROR(__xludf.DUMMYFUNCTION("""COMPUTED_VALUE"""),"Vianca De Jesus")</f>
        <v>Vianca De Jesus</v>
      </c>
      <c r="K6945" s="1" t="str">
        <f>IFERROR(__xludf.DUMMYFUNCTION("""COMPUTED_VALUE"""),"Advanced Chat Support")</f>
        <v>Advanced Chat Support</v>
      </c>
      <c r="L6945" s="1" t="str">
        <f>IFERROR(__xludf.DUMMYFUNCTION("""COMPUTED_VALUE"""),"CPS Advanced Chat Support (ACS)")</f>
        <v>CPS Advanced Chat Support (ACS)</v>
      </c>
    </row>
    <row r="6946">
      <c r="A6946" s="1" t="str">
        <f>IFERROR(__xludf.DUMMYFUNCTION("""COMPUTED_VALUE"""),"2025 Dec")</f>
        <v>2025 Dec</v>
      </c>
      <c r="B6946" s="2">
        <f>IFERROR(__xludf.DUMMYFUNCTION("""COMPUTED_VALUE"""),45999.0)</f>
        <v>45999</v>
      </c>
      <c r="C6946" s="1" t="str">
        <f>IFERROR(__xludf.DUMMYFUNCTION("""COMPUTED_VALUE"""),"Print Support")</f>
        <v>Print Support</v>
      </c>
      <c r="D6946" s="1" t="str">
        <f>IFERROR(__xludf.DUMMYFUNCTION("""COMPUTED_VALUE"""),"96960398-b413-404a-acdf-c9c07c7a947d")</f>
        <v>96960398-b413-404a-acdf-c9c07c7a947d</v>
      </c>
      <c r="E6946" s="1">
        <f>IFERROR(__xludf.DUMMYFUNCTION("""COMPUTED_VALUE"""),3.61744077956E11)</f>
        <v>361744077956</v>
      </c>
      <c r="F6946" s="1">
        <f>IFERROR(__xludf.DUMMYFUNCTION("""COMPUTED_VALUE"""),2.0)</f>
        <v>2</v>
      </c>
      <c r="G6946" s="1"/>
      <c r="H6946" s="3">
        <f>IFERROR(__xludf.DUMMYFUNCTION("""COMPUTED_VALUE"""),2.0)</f>
        <v>2</v>
      </c>
      <c r="I6946" s="4">
        <f>IFERROR(__xludf.DUMMYFUNCTION("""COMPUTED_VALUE"""),0.0)</f>
        <v>0</v>
      </c>
      <c r="J6946" s="1" t="str">
        <f>IFERROR(__xludf.DUMMYFUNCTION("""COMPUTED_VALUE"""),"Rae Erlano")</f>
        <v>Rae Erlano</v>
      </c>
      <c r="K6946" s="1" t="str">
        <f>IFERROR(__xludf.DUMMYFUNCTION("""COMPUTED_VALUE"""),"Print Support PH")</f>
        <v>Print Support PH</v>
      </c>
      <c r="L6946" s="1" t="str">
        <f>IFERROR(__xludf.DUMMYFUNCTION("""COMPUTED_VALUE"""),"Print Print - SEE")</f>
        <v>Print Print - SEE</v>
      </c>
    </row>
    <row r="6947">
      <c r="A6947" s="1" t="str">
        <f>IFERROR(__xludf.DUMMYFUNCTION("""COMPUTED_VALUE"""),"2025 Dec")</f>
        <v>2025 Dec</v>
      </c>
      <c r="B6947" s="2">
        <f>IFERROR(__xludf.DUMMYFUNCTION("""COMPUTED_VALUE"""),45999.0)</f>
        <v>45999</v>
      </c>
      <c r="C6947" s="1" t="str">
        <f>IFERROR(__xludf.DUMMYFUNCTION("""COMPUTED_VALUE"""),"Print Support")</f>
        <v>Print Support</v>
      </c>
      <c r="D6947" s="1" t="str">
        <f>IFERROR(__xludf.DUMMYFUNCTION("""COMPUTED_VALUE"""),"b85e88a5-e05e-4b99-8314-1a4152e7f993")</f>
        <v>b85e88a5-e05e-4b99-8314-1a4152e7f993</v>
      </c>
      <c r="E6947" s="1"/>
      <c r="F6947" s="1"/>
      <c r="G6947" s="1"/>
      <c r="H6947" s="3">
        <f>IFERROR(__xludf.DUMMYFUNCTION("""COMPUTED_VALUE"""),0.0)</f>
        <v>0</v>
      </c>
      <c r="I6947" s="4"/>
      <c r="J6947" s="1" t="str">
        <f>IFERROR(__xludf.DUMMYFUNCTION("""COMPUTED_VALUE"""),"Rei De Jesus")</f>
        <v>Rei De Jesus</v>
      </c>
      <c r="K6947" s="1" t="str">
        <f>IFERROR(__xludf.DUMMYFUNCTION("""COMPUTED_VALUE"""),"Print Design Support")</f>
        <v>Print Design Support</v>
      </c>
      <c r="L6947" s="1" t="str">
        <f>IFERROR(__xludf.DUMMYFUNCTION("""COMPUTED_VALUE"""),"Print Print Design")</f>
        <v>Print Print Design</v>
      </c>
    </row>
    <row r="6948">
      <c r="A6948" s="1" t="str">
        <f>IFERROR(__xludf.DUMMYFUNCTION("""COMPUTED_VALUE"""),"2025 Dec")</f>
        <v>2025 Dec</v>
      </c>
      <c r="B6948" s="2">
        <f>IFERROR(__xludf.DUMMYFUNCTION("""COMPUTED_VALUE"""),45999.0)</f>
        <v>45999</v>
      </c>
      <c r="C6948" s="1" t="str">
        <f>IFERROR(__xludf.DUMMYFUNCTION("""COMPUTED_VALUE"""),"High Sensitivity Support")</f>
        <v>High Sensitivity Support</v>
      </c>
      <c r="D6948" s="1" t="str">
        <f>IFERROR(__xludf.DUMMYFUNCTION("""COMPUTED_VALUE"""),"f734e8ae-d81c-444b-8238-0989a571ddfc")</f>
        <v>f734e8ae-d81c-444b-8238-0989a571ddfc</v>
      </c>
      <c r="E6948" s="1">
        <f>IFERROR(__xludf.DUMMYFUNCTION("""COMPUTED_VALUE"""),1.0548626331023E13)</f>
        <v>10548626331023</v>
      </c>
      <c r="F6948" s="1"/>
      <c r="G6948" s="1"/>
      <c r="H6948" s="3">
        <f>IFERROR(__xludf.DUMMYFUNCTION("""COMPUTED_VALUE"""),0.0)</f>
        <v>0</v>
      </c>
      <c r="I6948" s="4"/>
      <c r="J6948" s="1" t="str">
        <f>IFERROR(__xludf.DUMMYFUNCTION("""COMPUTED_VALUE"""),"Xandy Azarcon")</f>
        <v>Xandy Azarcon</v>
      </c>
      <c r="K6948" s="1" t="str">
        <f>IFERROR(__xludf.DUMMYFUNCTION("""COMPUTED_VALUE"""),"High Sensitivity Support PH")</f>
        <v>High Sensitivity Support PH</v>
      </c>
      <c r="L6948" s="1" t="str">
        <f>IFERROR(__xludf.DUMMYFUNCTION("""COMPUTED_VALUE"""),"HSS High Sensitivity Support PH - CHT")</f>
        <v>HSS High Sensitivity Support PH - CHT</v>
      </c>
    </row>
    <row r="6949">
      <c r="A6949" s="1" t="str">
        <f>IFERROR(__xludf.DUMMYFUNCTION("""COMPUTED_VALUE"""),"2025 Dec")</f>
        <v>2025 Dec</v>
      </c>
      <c r="B6949" s="2">
        <f>IFERROR(__xludf.DUMMYFUNCTION("""COMPUTED_VALUE"""),45999.0)</f>
        <v>45999</v>
      </c>
      <c r="C6949" s="1" t="str">
        <f>IFERROR(__xludf.DUMMYFUNCTION("""COMPUTED_VALUE"""),"Admin Support")</f>
        <v>Admin Support</v>
      </c>
      <c r="D6949" s="1" t="str">
        <f>IFERROR(__xludf.DUMMYFUNCTION("""COMPUTED_VALUE"""),"325d8c4b-104e-45b5-8c24-46aee9a25b01")</f>
        <v>325d8c4b-104e-45b5-8c24-46aee9a25b01</v>
      </c>
      <c r="E6949" s="1">
        <f>IFERROR(__xludf.DUMMYFUNCTION("""COMPUTED_VALUE"""),9.582702695695E12)</f>
        <v>9582702695695</v>
      </c>
      <c r="F6949" s="1">
        <f>IFERROR(__xludf.DUMMYFUNCTION("""COMPUTED_VALUE"""),0.5)</f>
        <v>0.5</v>
      </c>
      <c r="G6949" s="1"/>
      <c r="H6949" s="3">
        <f>IFERROR(__xludf.DUMMYFUNCTION("""COMPUTED_VALUE"""),0.5)</f>
        <v>0.5</v>
      </c>
      <c r="I6949" s="4">
        <f>IFERROR(__xludf.DUMMYFUNCTION("""COMPUTED_VALUE"""),0.0)</f>
        <v>0</v>
      </c>
      <c r="J6949" s="1" t="str">
        <f>IFERROR(__xludf.DUMMYFUNCTION("""COMPUTED_VALUE"""),"Tash Kelly")</f>
        <v>Tash Kelly</v>
      </c>
      <c r="K6949" s="1" t="str">
        <f>IFERROR(__xludf.DUMMYFUNCTION("""COMPUTED_VALUE"""),"Admin Support NA")</f>
        <v>Admin Support NA</v>
      </c>
      <c r="L6949" s="1" t="str">
        <f>IFERROR(__xludf.DUMMYFUNCTION("""COMPUTED_VALUE"""),"Admin NA")</f>
        <v>Admin NA</v>
      </c>
    </row>
    <row r="6950">
      <c r="A6950" s="1" t="str">
        <f>IFERROR(__xludf.DUMMYFUNCTION("""COMPUTED_VALUE"""),"2025 Dec")</f>
        <v>2025 Dec</v>
      </c>
      <c r="B6950" s="2">
        <f>IFERROR(__xludf.DUMMYFUNCTION("""COMPUTED_VALUE"""),45999.0)</f>
        <v>45999</v>
      </c>
      <c r="C6950" s="1" t="str">
        <f>IFERROR(__xludf.DUMMYFUNCTION("""COMPUTED_VALUE"""),"High Sensitivity Support")</f>
        <v>High Sensitivity Support</v>
      </c>
      <c r="D6950" s="1" t="str">
        <f>IFERROR(__xludf.DUMMYFUNCTION("""COMPUTED_VALUE"""),"fb99a0f5-9812-4401-a668-2a1e7f339b55")</f>
        <v>fb99a0f5-9812-4401-a668-2a1e7f339b55</v>
      </c>
      <c r="E6950" s="1">
        <f>IFERROR(__xludf.DUMMYFUNCTION("""COMPUTED_VALUE"""),7.235417198991E12)</f>
        <v>7235417198991</v>
      </c>
      <c r="F6950" s="1"/>
      <c r="G6950" s="1"/>
      <c r="H6950" s="3">
        <f>IFERROR(__xludf.DUMMYFUNCTION("""COMPUTED_VALUE"""),0.0)</f>
        <v>0</v>
      </c>
      <c r="I6950" s="4"/>
      <c r="J6950" s="1" t="str">
        <f>IFERROR(__xludf.DUMMYFUNCTION("""COMPUTED_VALUE"""),"Rex Villamor")</f>
        <v>Rex Villamor</v>
      </c>
      <c r="K6950" s="1" t="str">
        <f>IFERROR(__xludf.DUMMYFUNCTION("""COMPUTED_VALUE"""),"High Sensitivity Support PH")</f>
        <v>High Sensitivity Support PH</v>
      </c>
      <c r="L6950" s="1" t="str">
        <f>IFERROR(__xludf.DUMMYFUNCTION("""COMPUTED_VALUE"""),"HSS High Sensitivity Support PH - CHT")</f>
        <v>HSS High Sensitivity Support PH - CHT</v>
      </c>
    </row>
    <row r="6951">
      <c r="A6951" s="1" t="str">
        <f>IFERROR(__xludf.DUMMYFUNCTION("""COMPUTED_VALUE"""),"2025 Dec")</f>
        <v>2025 Dec</v>
      </c>
      <c r="B6951" s="2">
        <f>IFERROR(__xludf.DUMMYFUNCTION("""COMPUTED_VALUE"""),45999.0)</f>
        <v>45999</v>
      </c>
      <c r="C6951" s="1" t="str">
        <f>IFERROR(__xludf.DUMMYFUNCTION("""COMPUTED_VALUE"""),"Core Product Support")</f>
        <v>Core Product Support</v>
      </c>
      <c r="D6951" s="1" t="str">
        <f>IFERROR(__xludf.DUMMYFUNCTION("""COMPUTED_VALUE"""),"04f92121-45c6-497f-b19a-2be8f0398769")</f>
        <v>04f92121-45c6-497f-b19a-2be8f0398769</v>
      </c>
      <c r="E6951" s="1">
        <f>IFERROR(__xludf.DUMMYFUNCTION("""COMPUTED_VALUE"""),3.61725261016E11)</f>
        <v>361725261016</v>
      </c>
      <c r="F6951" s="1"/>
      <c r="G6951" s="1">
        <f>IFERROR(__xludf.DUMMYFUNCTION("""COMPUTED_VALUE"""),3.0)</f>
        <v>3</v>
      </c>
      <c r="H6951" s="3">
        <f>IFERROR(__xludf.DUMMYFUNCTION("""COMPUTED_VALUE"""),3.0)</f>
        <v>3</v>
      </c>
      <c r="I6951" s="4">
        <f>IFERROR(__xludf.DUMMYFUNCTION("""COMPUTED_VALUE"""),1.0)</f>
        <v>1</v>
      </c>
      <c r="J6951" s="1" t="str">
        <f>IFERROR(__xludf.DUMMYFUNCTION("""COMPUTED_VALUE"""),"Bem Launte")</f>
        <v>Bem Launte</v>
      </c>
      <c r="K6951" s="1" t="str">
        <f>IFERROR(__xludf.DUMMYFUNCTION("""COMPUTED_VALUE"""),"Core Product Support Escalation Team")</f>
        <v>Core Product Support Escalation Team</v>
      </c>
      <c r="L6951" s="1" t="str">
        <f>IFERROR(__xludf.DUMMYFUNCTION("""COMPUTED_VALUE"""),"CPS Core Product Support Escalations (CPSET)")</f>
        <v>CPS Core Product Support Escalations (CPSET)</v>
      </c>
    </row>
    <row r="6952">
      <c r="A6952" s="1" t="str">
        <f>IFERROR(__xludf.DUMMYFUNCTION("""COMPUTED_VALUE"""),"2025 Dec")</f>
        <v>2025 Dec</v>
      </c>
      <c r="B6952" s="2">
        <f>IFERROR(__xludf.DUMMYFUNCTION("""COMPUTED_VALUE"""),45999.0)</f>
        <v>45999</v>
      </c>
      <c r="C6952" s="1" t="str">
        <f>IFERROR(__xludf.DUMMYFUNCTION("""COMPUTED_VALUE"""),"Print Support")</f>
        <v>Print Support</v>
      </c>
      <c r="D6952" s="1" t="str">
        <f>IFERROR(__xludf.DUMMYFUNCTION("""COMPUTED_VALUE"""),"afe991ce-72f0-4a1b-ae15-865b9a416d53")</f>
        <v>afe991ce-72f0-4a1b-ae15-865b9a416d53</v>
      </c>
      <c r="E6952" s="1">
        <f>IFERROR(__xludf.DUMMYFUNCTION("""COMPUTED_VALUE"""),3.61694632195E11)</f>
        <v>361694632195</v>
      </c>
      <c r="F6952" s="1">
        <f>IFERROR(__xludf.DUMMYFUNCTION("""COMPUTED_VALUE"""),2.0)</f>
        <v>2</v>
      </c>
      <c r="G6952" s="1"/>
      <c r="H6952" s="3">
        <f>IFERROR(__xludf.DUMMYFUNCTION("""COMPUTED_VALUE"""),2.0)</f>
        <v>2</v>
      </c>
      <c r="I6952" s="4">
        <f>IFERROR(__xludf.DUMMYFUNCTION("""COMPUTED_VALUE"""),0.0)</f>
        <v>0</v>
      </c>
      <c r="J6952" s="1" t="str">
        <f>IFERROR(__xludf.DUMMYFUNCTION("""COMPUTED_VALUE"""),"Memae Faustino")</f>
        <v>Memae Faustino</v>
      </c>
      <c r="K6952" s="1" t="str">
        <f>IFERROR(__xludf.DUMMYFUNCTION("""COMPUTED_VALUE"""),"Print Support PH")</f>
        <v>Print Support PH</v>
      </c>
      <c r="L6952" s="1" t="str">
        <f>IFERROR(__xludf.DUMMYFUNCTION("""COMPUTED_VALUE"""),"Print Print - SEE")</f>
        <v>Print Print - SEE</v>
      </c>
    </row>
    <row r="6953">
      <c r="A6953" s="1" t="str">
        <f>IFERROR(__xludf.DUMMYFUNCTION("""COMPUTED_VALUE"""),"2025 Dec")</f>
        <v>2025 Dec</v>
      </c>
      <c r="B6953" s="2">
        <f>IFERROR(__xludf.DUMMYFUNCTION("""COMPUTED_VALUE"""),45999.0)</f>
        <v>45999</v>
      </c>
      <c r="C6953" s="1" t="str">
        <f>IFERROR(__xludf.DUMMYFUNCTION("""COMPUTED_VALUE"""),"Print Support")</f>
        <v>Print Support</v>
      </c>
      <c r="D6953" s="1" t="str">
        <f>IFERROR(__xludf.DUMMYFUNCTION("""COMPUTED_VALUE"""),"b0701057-db2b-4208-bb14-e0c4e8b8f1ee")</f>
        <v>b0701057-db2b-4208-bb14-e0c4e8b8f1ee</v>
      </c>
      <c r="E6953" s="1"/>
      <c r="F6953" s="1"/>
      <c r="G6953" s="1"/>
      <c r="H6953" s="3">
        <f>IFERROR(__xludf.DUMMYFUNCTION("""COMPUTED_VALUE"""),0.0)</f>
        <v>0</v>
      </c>
      <c r="I6953" s="4"/>
      <c r="J6953" s="1" t="str">
        <f>IFERROR(__xludf.DUMMYFUNCTION("""COMPUTED_VALUE"""),"Aliza Dote")</f>
        <v>Aliza Dote</v>
      </c>
      <c r="K6953" s="1" t="str">
        <f>IFERROR(__xludf.DUMMYFUNCTION("""COMPUTED_VALUE"""),"Print Design Support")</f>
        <v>Print Design Support</v>
      </c>
      <c r="L6953" s="1" t="str">
        <f>IFERROR(__xludf.DUMMYFUNCTION("""COMPUTED_VALUE"""),"Print Print Design")</f>
        <v>Print Print Design</v>
      </c>
    </row>
    <row r="6954">
      <c r="A6954" s="1" t="str">
        <f>IFERROR(__xludf.DUMMYFUNCTION("""COMPUTED_VALUE"""),"2025 Dec")</f>
        <v>2025 Dec</v>
      </c>
      <c r="B6954" s="2">
        <f>IFERROR(__xludf.DUMMYFUNCTION("""COMPUTED_VALUE"""),45999.0)</f>
        <v>45999</v>
      </c>
      <c r="C6954" s="1" t="str">
        <f>IFERROR(__xludf.DUMMYFUNCTION("""COMPUTED_VALUE"""),"Core Product Support")</f>
        <v>Core Product Support</v>
      </c>
      <c r="D6954" s="1" t="str">
        <f>IFERROR(__xludf.DUMMYFUNCTION("""COMPUTED_VALUE"""),"e49eb420-7bd7-4503-a1d0-35028e015e43")</f>
        <v>e49eb420-7bd7-4503-a1d0-35028e015e43</v>
      </c>
      <c r="E6954" s="1">
        <f>IFERROR(__xludf.DUMMYFUNCTION("""COMPUTED_VALUE"""),5.047314693263E12)</f>
        <v>5047314693263</v>
      </c>
      <c r="F6954" s="1">
        <f>IFERROR(__xludf.DUMMYFUNCTION("""COMPUTED_VALUE"""),0.5)</f>
        <v>0.5</v>
      </c>
      <c r="G6954" s="1"/>
      <c r="H6954" s="3">
        <f>IFERROR(__xludf.DUMMYFUNCTION("""COMPUTED_VALUE"""),0.5)</f>
        <v>0.5</v>
      </c>
      <c r="I6954" s="4">
        <f>IFERROR(__xludf.DUMMYFUNCTION("""COMPUTED_VALUE"""),0.0)</f>
        <v>0</v>
      </c>
      <c r="J6954" s="1" t="str">
        <f>IFERROR(__xludf.DUMMYFUNCTION("""COMPUTED_VALUE"""),"Cate Velasco")</f>
        <v>Cate Velasco</v>
      </c>
      <c r="K6954" s="1" t="str">
        <f>IFERROR(__xludf.DUMMYFUNCTION("""COMPUTED_VALUE"""),"Advanced Product Support")</f>
        <v>Advanced Product Support</v>
      </c>
      <c r="L6954" s="1" t="str">
        <f>IFERROR(__xludf.DUMMYFUNCTION("""COMPUTED_VALUE"""),"CPS Advanced Product Support (APS)")</f>
        <v>CPS Advanced Product Support (APS)</v>
      </c>
    </row>
    <row r="6955">
      <c r="A6955" s="1" t="str">
        <f>IFERROR(__xludf.DUMMYFUNCTION("""COMPUTED_VALUE"""),"2025 Dec")</f>
        <v>2025 Dec</v>
      </c>
      <c r="B6955" s="2">
        <f>IFERROR(__xludf.DUMMYFUNCTION("""COMPUTED_VALUE"""),45999.0)</f>
        <v>45999</v>
      </c>
      <c r="C6955" s="1" t="str">
        <f>IFERROR(__xludf.DUMMYFUNCTION("""COMPUTED_VALUE"""),"Print Support")</f>
        <v>Print Support</v>
      </c>
      <c r="D6955" s="1" t="str">
        <f>IFERROR(__xludf.DUMMYFUNCTION("""COMPUTED_VALUE"""),"03a2ac9e-65a5-409e-851b-a4c93a003187")</f>
        <v>03a2ac9e-65a5-409e-851b-a4c93a003187</v>
      </c>
      <c r="E6955" s="1">
        <f>IFERROR(__xludf.DUMMYFUNCTION("""COMPUTED_VALUE"""),5.202378807439E12)</f>
        <v>5202378807439</v>
      </c>
      <c r="F6955" s="1"/>
      <c r="G6955" s="1"/>
      <c r="H6955" s="3">
        <f>IFERROR(__xludf.DUMMYFUNCTION("""COMPUTED_VALUE"""),0.0)</f>
        <v>0</v>
      </c>
      <c r="I6955" s="4"/>
      <c r="J6955" s="1" t="str">
        <f>IFERROR(__xludf.DUMMYFUNCTION("""COMPUTED_VALUE"""),"Louise Dianne Estrella")</f>
        <v>Louise Dianne Estrella</v>
      </c>
      <c r="K6955" s="1" t="str">
        <f>IFERROR(__xludf.DUMMYFUNCTION("""COMPUTED_VALUE"""),"Print Support PH")</f>
        <v>Print Support PH</v>
      </c>
      <c r="L6955" s="1" t="str">
        <f>IFERROR(__xludf.DUMMYFUNCTION("""COMPUTED_VALUE"""),"Print Print - CHT")</f>
        <v>Print Print - CHT</v>
      </c>
    </row>
    <row r="6956">
      <c r="A6956" s="1" t="str">
        <f>IFERROR(__xludf.DUMMYFUNCTION("""COMPUTED_VALUE"""),"2025 Dec")</f>
        <v>2025 Dec</v>
      </c>
      <c r="B6956" s="2">
        <f>IFERROR(__xludf.DUMMYFUNCTION("""COMPUTED_VALUE"""),45999.0)</f>
        <v>45999</v>
      </c>
      <c r="C6956" s="1" t="str">
        <f>IFERROR(__xludf.DUMMYFUNCTION("""COMPUTED_VALUE"""),"Print Support")</f>
        <v>Print Support</v>
      </c>
      <c r="D6956" s="1" t="str">
        <f>IFERROR(__xludf.DUMMYFUNCTION("""COMPUTED_VALUE"""),"f7d8f8dd-7764-471d-8254-300956d0e1c6")</f>
        <v>f7d8f8dd-7764-471d-8254-300956d0e1c6</v>
      </c>
      <c r="E6956" s="1">
        <f>IFERROR(__xludf.DUMMYFUNCTION("""COMPUTED_VALUE"""),3.61750003915E11)</f>
        <v>361750003915</v>
      </c>
      <c r="F6956" s="1"/>
      <c r="G6956" s="1"/>
      <c r="H6956" s="3">
        <f>IFERROR(__xludf.DUMMYFUNCTION("""COMPUTED_VALUE"""),0.0)</f>
        <v>0</v>
      </c>
      <c r="I6956" s="4"/>
      <c r="J6956" s="1" t="str">
        <f>IFERROR(__xludf.DUMMYFUNCTION("""COMPUTED_VALUE"""),"Ann Dumlao")</f>
        <v>Ann Dumlao</v>
      </c>
      <c r="K6956" s="1" t="str">
        <f>IFERROR(__xludf.DUMMYFUNCTION("""COMPUTED_VALUE"""),"Print Support PH")</f>
        <v>Print Support PH</v>
      </c>
      <c r="L6956" s="1" t="str">
        <f>IFERROR(__xludf.DUMMYFUNCTION("""COMPUTED_VALUE"""),"Print Print - CHT")</f>
        <v>Print Print - CHT</v>
      </c>
    </row>
    <row r="6957">
      <c r="A6957" s="1" t="str">
        <f>IFERROR(__xludf.DUMMYFUNCTION("""COMPUTED_VALUE"""),"2025 Dec")</f>
        <v>2025 Dec</v>
      </c>
      <c r="B6957" s="2">
        <f>IFERROR(__xludf.DUMMYFUNCTION("""COMPUTED_VALUE"""),45999.0)</f>
        <v>45999</v>
      </c>
      <c r="C6957" s="1" t="str">
        <f>IFERROR(__xludf.DUMMYFUNCTION("""COMPUTED_VALUE"""),"Core Product Support")</f>
        <v>Core Product Support</v>
      </c>
      <c r="D6957" s="1" t="str">
        <f>IFERROR(__xludf.DUMMYFUNCTION("""COMPUTED_VALUE"""),"1309ddc0-c081-4df4-b17d-ed2c31b14169")</f>
        <v>1309ddc0-c081-4df4-b17d-ed2c31b14169</v>
      </c>
      <c r="E6957" s="1">
        <f>IFERROR(__xludf.DUMMYFUNCTION("""COMPUTED_VALUE"""),3.61964324516E11)</f>
        <v>361964324516</v>
      </c>
      <c r="F6957" s="1">
        <f>IFERROR(__xludf.DUMMYFUNCTION("""COMPUTED_VALUE"""),0.5)</f>
        <v>0.5</v>
      </c>
      <c r="G6957" s="1"/>
      <c r="H6957" s="3">
        <f>IFERROR(__xludf.DUMMYFUNCTION("""COMPUTED_VALUE"""),0.5)</f>
        <v>0.5</v>
      </c>
      <c r="I6957" s="4">
        <f>IFERROR(__xludf.DUMMYFUNCTION("""COMPUTED_VALUE"""),0.0)</f>
        <v>0</v>
      </c>
      <c r="J6957" s="1" t="str">
        <f>IFERROR(__xludf.DUMMYFUNCTION("""COMPUTED_VALUE"""),"Ayza Marie Pascual")</f>
        <v>Ayza Marie Pascual</v>
      </c>
      <c r="K6957" s="1" t="str">
        <f>IFERROR(__xludf.DUMMYFUNCTION("""COMPUTED_VALUE"""),"Advanced Billing &amp; Subscriptions")</f>
        <v>Advanced Billing &amp; Subscriptions</v>
      </c>
      <c r="L6957" s="1" t="str">
        <f>IFERROR(__xludf.DUMMYFUNCTION("""COMPUTED_VALUE"""),"CPS Advanced Billing and Subscriptions (ABS)")</f>
        <v>CPS Advanced Billing and Subscriptions (ABS)</v>
      </c>
    </row>
    <row r="6958">
      <c r="A6958" s="1" t="str">
        <f>IFERROR(__xludf.DUMMYFUNCTION("""COMPUTED_VALUE"""),"2025 Dec")</f>
        <v>2025 Dec</v>
      </c>
      <c r="B6958" s="2">
        <f>IFERROR(__xludf.DUMMYFUNCTION("""COMPUTED_VALUE"""),45999.0)</f>
        <v>45999</v>
      </c>
      <c r="C6958" s="1" t="str">
        <f>IFERROR(__xludf.DUMMYFUNCTION("""COMPUTED_VALUE"""),"Admin Support")</f>
        <v>Admin Support</v>
      </c>
      <c r="D6958" s="1" t="str">
        <f>IFERROR(__xludf.DUMMYFUNCTION("""COMPUTED_VALUE"""),"7cdd4051-dd81-4e04-a905-67a7a6826826")</f>
        <v>7cdd4051-dd81-4e04-a905-67a7a6826826</v>
      </c>
      <c r="E6958" s="1">
        <f>IFERROR(__xludf.DUMMYFUNCTION("""COMPUTED_VALUE"""),9.795895003151E12)</f>
        <v>9795895003151</v>
      </c>
      <c r="F6958" s="1"/>
      <c r="G6958" s="1"/>
      <c r="H6958" s="3">
        <f>IFERROR(__xludf.DUMMYFUNCTION("""COMPUTED_VALUE"""),0.0)</f>
        <v>0</v>
      </c>
      <c r="I6958" s="4"/>
      <c r="J6958" s="1" t="str">
        <f>IFERROR(__xludf.DUMMYFUNCTION("""COMPUTED_VALUE"""),"Kelden Laguting")</f>
        <v>Kelden Laguting</v>
      </c>
      <c r="K6958" s="1" t="str">
        <f>IFERROR(__xludf.DUMMYFUNCTION("""COMPUTED_VALUE"""),"Admin Support PH")</f>
        <v>Admin Support PH</v>
      </c>
      <c r="L6958" s="1" t="str">
        <f>IFERROR(__xludf.DUMMYFUNCTION("""COMPUTED_VALUE"""),"Admin PH")</f>
        <v>Admin PH</v>
      </c>
    </row>
    <row r="6959">
      <c r="A6959" s="1" t="str">
        <f>IFERROR(__xludf.DUMMYFUNCTION("""COMPUTED_VALUE"""),"2025 Dec")</f>
        <v>2025 Dec</v>
      </c>
      <c r="B6959" s="2">
        <f>IFERROR(__xludf.DUMMYFUNCTION("""COMPUTED_VALUE"""),45999.0)</f>
        <v>45999</v>
      </c>
      <c r="C6959" s="1" t="str">
        <f>IFERROR(__xludf.DUMMYFUNCTION("""COMPUTED_VALUE"""),"Core Product Support")</f>
        <v>Core Product Support</v>
      </c>
      <c r="D6959" s="1" t="str">
        <f>IFERROR(__xludf.DUMMYFUNCTION("""COMPUTED_VALUE"""),"4829712e-df33-4828-83e5-b005d53d0ece")</f>
        <v>4829712e-df33-4828-83e5-b005d53d0ece</v>
      </c>
      <c r="E6959" s="1">
        <f>IFERROR(__xludf.DUMMYFUNCTION("""COMPUTED_VALUE"""),3.61861297795E11)</f>
        <v>361861297795</v>
      </c>
      <c r="F6959" s="1"/>
      <c r="G6959" s="1">
        <f>IFERROR(__xludf.DUMMYFUNCTION("""COMPUTED_VALUE"""),1.5)</f>
        <v>1.5</v>
      </c>
      <c r="H6959" s="3">
        <f>IFERROR(__xludf.DUMMYFUNCTION("""COMPUTED_VALUE"""),1.5)</f>
        <v>1.5</v>
      </c>
      <c r="I6959" s="4">
        <f>IFERROR(__xludf.DUMMYFUNCTION("""COMPUTED_VALUE"""),1.0)</f>
        <v>1</v>
      </c>
      <c r="J6959" s="1" t="str">
        <f>IFERROR(__xludf.DUMMYFUNCTION("""COMPUTED_VALUE"""),"Jahmie Mae Barrameda")</f>
        <v>Jahmie Mae Barrameda</v>
      </c>
      <c r="K6959" s="1" t="str">
        <f>IFERROR(__xludf.DUMMYFUNCTION("""COMPUTED_VALUE"""),"Advanced Billing &amp; Subscriptions")</f>
        <v>Advanced Billing &amp; Subscriptions</v>
      </c>
      <c r="L6959" s="1" t="str">
        <f>IFERROR(__xludf.DUMMYFUNCTION("""COMPUTED_VALUE"""),"CPS Advanced Billing and Subscriptions (ABS)")</f>
        <v>CPS Advanced Billing and Subscriptions (ABS)</v>
      </c>
    </row>
    <row r="6960">
      <c r="A6960" s="1" t="str">
        <f>IFERROR(__xludf.DUMMYFUNCTION("""COMPUTED_VALUE"""),"2025 Dec")</f>
        <v>2025 Dec</v>
      </c>
      <c r="B6960" s="2">
        <f>IFERROR(__xludf.DUMMYFUNCTION("""COMPUTED_VALUE"""),45999.0)</f>
        <v>45999</v>
      </c>
      <c r="C6960" s="1" t="str">
        <f>IFERROR(__xludf.DUMMYFUNCTION("""COMPUTED_VALUE"""),"Print Support")</f>
        <v>Print Support</v>
      </c>
      <c r="D6960" s="1" t="str">
        <f>IFERROR(__xludf.DUMMYFUNCTION("""COMPUTED_VALUE"""),"4bb09346-5fba-40f0-ac06-0b644e9a6f20")</f>
        <v>4bb09346-5fba-40f0-ac06-0b644e9a6f20</v>
      </c>
      <c r="E6960" s="1"/>
      <c r="F6960" s="1"/>
      <c r="G6960" s="1"/>
      <c r="H6960" s="3">
        <f>IFERROR(__xludf.DUMMYFUNCTION("""COMPUTED_VALUE"""),0.0)</f>
        <v>0</v>
      </c>
      <c r="I6960" s="4"/>
      <c r="J6960" s="1" t="str">
        <f>IFERROR(__xludf.DUMMYFUNCTION("""COMPUTED_VALUE"""),"G-Anne Murillo")</f>
        <v>G-Anne Murillo</v>
      </c>
      <c r="K6960" s="1" t="str">
        <f>IFERROR(__xludf.DUMMYFUNCTION("""COMPUTED_VALUE"""),"Print Design Support")</f>
        <v>Print Design Support</v>
      </c>
      <c r="L6960" s="1" t="str">
        <f>IFERROR(__xludf.DUMMYFUNCTION("""COMPUTED_VALUE"""),"Print Print Design")</f>
        <v>Print Print Design</v>
      </c>
    </row>
    <row r="6961">
      <c r="A6961" s="1" t="str">
        <f>IFERROR(__xludf.DUMMYFUNCTION("""COMPUTED_VALUE"""),"2025 Dec")</f>
        <v>2025 Dec</v>
      </c>
      <c r="B6961" s="2">
        <f>IFERROR(__xludf.DUMMYFUNCTION("""COMPUTED_VALUE"""),45999.0)</f>
        <v>45999</v>
      </c>
      <c r="C6961" s="1" t="str">
        <f>IFERROR(__xludf.DUMMYFUNCTION("""COMPUTED_VALUE"""),"Core Product Support")</f>
        <v>Core Product Support</v>
      </c>
      <c r="D6961" s="1" t="str">
        <f>IFERROR(__xludf.DUMMYFUNCTION("""COMPUTED_VALUE"""),"1eb2b14b-89e0-4d0c-8dba-b1677f4e689a")</f>
        <v>1eb2b14b-89e0-4d0c-8dba-b1677f4e689a</v>
      </c>
      <c r="E6961" s="1">
        <f>IFERROR(__xludf.DUMMYFUNCTION("""COMPUTED_VALUE"""),1.0548589296399E13)</f>
        <v>10548589296399</v>
      </c>
      <c r="F6961" s="1"/>
      <c r="G6961" s="1">
        <f>IFERROR(__xludf.DUMMYFUNCTION("""COMPUTED_VALUE"""),1.5)</f>
        <v>1.5</v>
      </c>
      <c r="H6961" s="3">
        <f>IFERROR(__xludf.DUMMYFUNCTION("""COMPUTED_VALUE"""),1.5)</f>
        <v>1.5</v>
      </c>
      <c r="I6961" s="4">
        <f>IFERROR(__xludf.DUMMYFUNCTION("""COMPUTED_VALUE"""),1.0)</f>
        <v>1</v>
      </c>
      <c r="J6961" s="1" t="str">
        <f>IFERROR(__xludf.DUMMYFUNCTION("""COMPUTED_VALUE"""),"Jahmie Mae Barrameda")</f>
        <v>Jahmie Mae Barrameda</v>
      </c>
      <c r="K6961" s="1" t="str">
        <f>IFERROR(__xludf.DUMMYFUNCTION("""COMPUTED_VALUE"""),"Advanced Billing &amp; Subscriptions")</f>
        <v>Advanced Billing &amp; Subscriptions</v>
      </c>
      <c r="L6961" s="1" t="str">
        <f>IFERROR(__xludf.DUMMYFUNCTION("""COMPUTED_VALUE"""),"CPS Advanced Billing and Subscriptions (ABS)")</f>
        <v>CPS Advanced Billing and Subscriptions (ABS)</v>
      </c>
    </row>
    <row r="6962">
      <c r="A6962" s="1" t="str">
        <f>IFERROR(__xludf.DUMMYFUNCTION("""COMPUTED_VALUE"""),"2025 Dec")</f>
        <v>2025 Dec</v>
      </c>
      <c r="B6962" s="2">
        <f>IFERROR(__xludf.DUMMYFUNCTION("""COMPUTED_VALUE"""),45999.0)</f>
        <v>45999</v>
      </c>
      <c r="C6962" s="1" t="str">
        <f>IFERROR(__xludf.DUMMYFUNCTION("""COMPUTED_VALUE"""),"Print Support")</f>
        <v>Print Support</v>
      </c>
      <c r="D6962" s="1" t="str">
        <f>IFERROR(__xludf.DUMMYFUNCTION("""COMPUTED_VALUE"""),"02cee4cb-14b3-4217-8b7d-887c2209a7df")</f>
        <v>02cee4cb-14b3-4217-8b7d-887c2209a7df</v>
      </c>
      <c r="E6962" s="1"/>
      <c r="F6962" s="1"/>
      <c r="G6962" s="1"/>
      <c r="H6962" s="3">
        <f>IFERROR(__xludf.DUMMYFUNCTION("""COMPUTED_VALUE"""),0.0)</f>
        <v>0</v>
      </c>
      <c r="I6962" s="4"/>
      <c r="J6962" s="1" t="str">
        <f>IFERROR(__xludf.DUMMYFUNCTION("""COMPUTED_VALUE"""),"Jan Domingo")</f>
        <v>Jan Domingo</v>
      </c>
      <c r="K6962" s="1" t="str">
        <f>IFERROR(__xludf.DUMMYFUNCTION("""COMPUTED_VALUE"""),"Print Design Support")</f>
        <v>Print Design Support</v>
      </c>
      <c r="L6962" s="1" t="str">
        <f>IFERROR(__xludf.DUMMYFUNCTION("""COMPUTED_VALUE"""),"Print Print Design")</f>
        <v>Print Print Design</v>
      </c>
    </row>
    <row r="6963">
      <c r="A6963" s="1" t="str">
        <f>IFERROR(__xludf.DUMMYFUNCTION("""COMPUTED_VALUE"""),"2025 Dec")</f>
        <v>2025 Dec</v>
      </c>
      <c r="B6963" s="2">
        <f>IFERROR(__xludf.DUMMYFUNCTION("""COMPUTED_VALUE"""),45999.0)</f>
        <v>45999</v>
      </c>
      <c r="C6963" s="1" t="str">
        <f>IFERROR(__xludf.DUMMYFUNCTION("""COMPUTED_VALUE"""),"Admin Support")</f>
        <v>Admin Support</v>
      </c>
      <c r="D6963" s="1" t="str">
        <f>IFERROR(__xludf.DUMMYFUNCTION("""COMPUTED_VALUE"""),"7b0ced0a-55fc-49e4-b47c-ffbf2567dce1")</f>
        <v>7b0ced0a-55fc-49e4-b47c-ffbf2567dce1</v>
      </c>
      <c r="E6963" s="1">
        <f>IFERROR(__xludf.DUMMYFUNCTION("""COMPUTED_VALUE"""),3.61725486916E11)</f>
        <v>361725486916</v>
      </c>
      <c r="F6963" s="1"/>
      <c r="G6963" s="1"/>
      <c r="H6963" s="3">
        <f>IFERROR(__xludf.DUMMYFUNCTION("""COMPUTED_VALUE"""),0.0)</f>
        <v>0</v>
      </c>
      <c r="I6963" s="4"/>
      <c r="J6963" s="1" t="str">
        <f>IFERROR(__xludf.DUMMYFUNCTION("""COMPUTED_VALUE"""),"Rose Gabilan")</f>
        <v>Rose Gabilan</v>
      </c>
      <c r="K6963" s="1" t="str">
        <f>IFERROR(__xludf.DUMMYFUNCTION("""COMPUTED_VALUE"""),"Admin Support PH SSO")</f>
        <v>Admin Support PH SSO</v>
      </c>
      <c r="L6963" s="1" t="str">
        <f>IFERROR(__xludf.DUMMYFUNCTION("""COMPUTED_VALUE"""),"Admin SSO - CHT")</f>
        <v>Admin SSO - CHT</v>
      </c>
    </row>
    <row r="6964">
      <c r="A6964" s="1" t="str">
        <f>IFERROR(__xludf.DUMMYFUNCTION("""COMPUTED_VALUE"""),"2025 Dec")</f>
        <v>2025 Dec</v>
      </c>
      <c r="B6964" s="2">
        <f>IFERROR(__xludf.DUMMYFUNCTION("""COMPUTED_VALUE"""),45999.0)</f>
        <v>45999</v>
      </c>
      <c r="C6964" s="1" t="str">
        <f>IFERROR(__xludf.DUMMYFUNCTION("""COMPUTED_VALUE"""),"Core Product Support")</f>
        <v>Core Product Support</v>
      </c>
      <c r="D6964" s="1" t="str">
        <f>IFERROR(__xludf.DUMMYFUNCTION("""COMPUTED_VALUE"""),"3d997536-cb7f-49c5-af3e-e19fdf30bffc")</f>
        <v>3d997536-cb7f-49c5-af3e-e19fdf30bffc</v>
      </c>
      <c r="E6964" s="1">
        <f>IFERROR(__xludf.DUMMYFUNCTION("""COMPUTED_VALUE"""),5.047288728079E12)</f>
        <v>5047288728079</v>
      </c>
      <c r="F6964" s="1"/>
      <c r="G6964" s="1">
        <f>IFERROR(__xludf.DUMMYFUNCTION("""COMPUTED_VALUE"""),2.5)</f>
        <v>2.5</v>
      </c>
      <c r="H6964" s="3">
        <f>IFERROR(__xludf.DUMMYFUNCTION("""COMPUTED_VALUE"""),2.5)</f>
        <v>2.5</v>
      </c>
      <c r="I6964" s="4">
        <f>IFERROR(__xludf.DUMMYFUNCTION("""COMPUTED_VALUE"""),1.0)</f>
        <v>1</v>
      </c>
      <c r="J6964" s="1" t="str">
        <f>IFERROR(__xludf.DUMMYFUNCTION("""COMPUTED_VALUE"""),"Ellaine Estayo")</f>
        <v>Ellaine Estayo</v>
      </c>
      <c r="K6964" s="1" t="str">
        <f>IFERROR(__xludf.DUMMYFUNCTION("""COMPUTED_VALUE"""),"Core Product Support Escalation Team")</f>
        <v>Core Product Support Escalation Team</v>
      </c>
      <c r="L6964" s="1" t="str">
        <f>IFERROR(__xludf.DUMMYFUNCTION("""COMPUTED_VALUE"""),"CPS Core Product Support Escalations (CPSET)")</f>
        <v>CPS Core Product Support Escalations (CPSET)</v>
      </c>
    </row>
    <row r="6965">
      <c r="A6965" s="1" t="str">
        <f>IFERROR(__xludf.DUMMYFUNCTION("""COMPUTED_VALUE"""),"2025 Dec")</f>
        <v>2025 Dec</v>
      </c>
      <c r="B6965" s="2">
        <f>IFERROR(__xludf.DUMMYFUNCTION("""COMPUTED_VALUE"""),45999.0)</f>
        <v>45999</v>
      </c>
      <c r="C6965" s="1" t="str">
        <f>IFERROR(__xludf.DUMMYFUNCTION("""COMPUTED_VALUE"""),"Admin Support")</f>
        <v>Admin Support</v>
      </c>
      <c r="D6965" s="1" t="str">
        <f>IFERROR(__xludf.DUMMYFUNCTION("""COMPUTED_VALUE"""),"c7dd845d-4621-4bea-affd-b79e038f7157")</f>
        <v>c7dd845d-4621-4bea-affd-b79e038f7157</v>
      </c>
      <c r="E6965" s="1">
        <f>IFERROR(__xludf.DUMMYFUNCTION("""COMPUTED_VALUE"""),3.61733077235E11)</f>
        <v>361733077235</v>
      </c>
      <c r="F6965" s="1"/>
      <c r="G6965" s="1">
        <f>IFERROR(__xludf.DUMMYFUNCTION("""COMPUTED_VALUE"""),5.5)</f>
        <v>5.5</v>
      </c>
      <c r="H6965" s="3">
        <f>IFERROR(__xludf.DUMMYFUNCTION("""COMPUTED_VALUE"""),5.5)</f>
        <v>5.5</v>
      </c>
      <c r="I6965" s="4">
        <f>IFERROR(__xludf.DUMMYFUNCTION("""COMPUTED_VALUE"""),1.0)</f>
        <v>1</v>
      </c>
      <c r="J6965" s="1" t="str">
        <f>IFERROR(__xludf.DUMMYFUNCTION("""COMPUTED_VALUE"""),"Kelden Laguting")</f>
        <v>Kelden Laguting</v>
      </c>
      <c r="K6965" s="1" t="str">
        <f>IFERROR(__xludf.DUMMYFUNCTION("""COMPUTED_VALUE"""),"Admin Support PH")</f>
        <v>Admin Support PH</v>
      </c>
      <c r="L6965" s="1" t="str">
        <f>IFERROR(__xludf.DUMMYFUNCTION("""COMPUTED_VALUE"""),"Admin PH")</f>
        <v>Admin PH</v>
      </c>
    </row>
    <row r="6966">
      <c r="A6966" s="1" t="str">
        <f>IFERROR(__xludf.DUMMYFUNCTION("""COMPUTED_VALUE"""),"2025 Dec")</f>
        <v>2025 Dec</v>
      </c>
      <c r="B6966" s="2">
        <f>IFERROR(__xludf.DUMMYFUNCTION("""COMPUTED_VALUE"""),45999.0)</f>
        <v>45999</v>
      </c>
      <c r="C6966" s="1" t="str">
        <f>IFERROR(__xludf.DUMMYFUNCTION("""COMPUTED_VALUE"""),"Print Support")</f>
        <v>Print Support</v>
      </c>
      <c r="D6966" s="1" t="str">
        <f>IFERROR(__xludf.DUMMYFUNCTION("""COMPUTED_VALUE"""),"2f47c76e-714d-4a76-a0f8-309c2f542347")</f>
        <v>2f47c76e-714d-4a76-a0f8-309c2f542347</v>
      </c>
      <c r="E6966" s="1">
        <f>IFERROR(__xludf.DUMMYFUNCTION("""COMPUTED_VALUE"""),9.795981813775E12)</f>
        <v>9795981813775</v>
      </c>
      <c r="F6966" s="1"/>
      <c r="G6966" s="1"/>
      <c r="H6966" s="3">
        <f>IFERROR(__xludf.DUMMYFUNCTION("""COMPUTED_VALUE"""),0.0)</f>
        <v>0</v>
      </c>
      <c r="I6966" s="4"/>
      <c r="J6966" s="1" t="str">
        <f>IFERROR(__xludf.DUMMYFUNCTION("""COMPUTED_VALUE"""),"Ann Dumlao")</f>
        <v>Ann Dumlao</v>
      </c>
      <c r="K6966" s="1" t="str">
        <f>IFERROR(__xludf.DUMMYFUNCTION("""COMPUTED_VALUE"""),"Print Support PH")</f>
        <v>Print Support PH</v>
      </c>
      <c r="L6966" s="1" t="str">
        <f>IFERROR(__xludf.DUMMYFUNCTION("""COMPUTED_VALUE"""),"Print Print - CHT")</f>
        <v>Print Print - CHT</v>
      </c>
    </row>
    <row r="6967">
      <c r="A6967" s="1" t="str">
        <f>IFERROR(__xludf.DUMMYFUNCTION("""COMPUTED_VALUE"""),"2025 Dec")</f>
        <v>2025 Dec</v>
      </c>
      <c r="B6967" s="2">
        <f>IFERROR(__xludf.DUMMYFUNCTION("""COMPUTED_VALUE"""),45999.0)</f>
        <v>45999</v>
      </c>
      <c r="C6967" s="1" t="str">
        <f>IFERROR(__xludf.DUMMYFUNCTION("""COMPUTED_VALUE"""),"Admin Support")</f>
        <v>Admin Support</v>
      </c>
      <c r="D6967" s="1" t="str">
        <f>IFERROR(__xludf.DUMMYFUNCTION("""COMPUTED_VALUE"""),"7e09e164-9198-4707-9738-44a04cc51b7c")</f>
        <v>7e09e164-9198-4707-9738-44a04cc51b7c</v>
      </c>
      <c r="E6967" s="1">
        <f>IFERROR(__xludf.DUMMYFUNCTION("""COMPUTED_VALUE"""),3.61724965056E11)</f>
        <v>361724965056</v>
      </c>
      <c r="F6967" s="1"/>
      <c r="G6967" s="1"/>
      <c r="H6967" s="3">
        <f>IFERROR(__xludf.DUMMYFUNCTION("""COMPUTED_VALUE"""),0.0)</f>
        <v>0</v>
      </c>
      <c r="I6967" s="4"/>
      <c r="J6967" s="1" t="str">
        <f>IFERROR(__xludf.DUMMYFUNCTION("""COMPUTED_VALUE"""),"Rose Gabilan")</f>
        <v>Rose Gabilan</v>
      </c>
      <c r="K6967" s="1" t="str">
        <f>IFERROR(__xludf.DUMMYFUNCTION("""COMPUTED_VALUE"""),"Admin Support PH SSO")</f>
        <v>Admin Support PH SSO</v>
      </c>
      <c r="L6967" s="1" t="str">
        <f>IFERROR(__xludf.DUMMYFUNCTION("""COMPUTED_VALUE"""),"Admin SSO - CHT")</f>
        <v>Admin SSO - CHT</v>
      </c>
    </row>
    <row r="6968">
      <c r="A6968" s="1" t="str">
        <f>IFERROR(__xludf.DUMMYFUNCTION("""COMPUTED_VALUE"""),"2025 Dec")</f>
        <v>2025 Dec</v>
      </c>
      <c r="B6968" s="2">
        <f>IFERROR(__xludf.DUMMYFUNCTION("""COMPUTED_VALUE"""),45999.0)</f>
        <v>45999</v>
      </c>
      <c r="C6968" s="1" t="str">
        <f>IFERROR(__xludf.DUMMYFUNCTION("""COMPUTED_VALUE"""),"Core Product Support")</f>
        <v>Core Product Support</v>
      </c>
      <c r="D6968" s="1" t="str">
        <f>IFERROR(__xludf.DUMMYFUNCTION("""COMPUTED_VALUE"""),"a75c3ed6-de83-40cb-ad3d-ac0eaa323ceb")</f>
        <v>a75c3ed6-de83-40cb-ad3d-ac0eaa323ceb</v>
      </c>
      <c r="E6968" s="1">
        <f>IFERROR(__xludf.DUMMYFUNCTION("""COMPUTED_VALUE"""),7.631065796495E12)</f>
        <v>7631065796495</v>
      </c>
      <c r="F6968" s="1">
        <f>IFERROR(__xludf.DUMMYFUNCTION("""COMPUTED_VALUE"""),0.5)</f>
        <v>0.5</v>
      </c>
      <c r="G6968" s="1"/>
      <c r="H6968" s="3">
        <f>IFERROR(__xludf.DUMMYFUNCTION("""COMPUTED_VALUE"""),0.5)</f>
        <v>0.5</v>
      </c>
      <c r="I6968" s="4">
        <f>IFERROR(__xludf.DUMMYFUNCTION("""COMPUTED_VALUE"""),0.0)</f>
        <v>0</v>
      </c>
      <c r="J6968" s="1" t="str">
        <f>IFERROR(__xludf.DUMMYFUNCTION("""COMPUTED_VALUE"""),"Marie Mordeno")</f>
        <v>Marie Mordeno</v>
      </c>
      <c r="K6968" s="1" t="str">
        <f>IFERROR(__xludf.DUMMYFUNCTION("""COMPUTED_VALUE"""),"Advanced Billing &amp; Subscriptions")</f>
        <v>Advanced Billing &amp; Subscriptions</v>
      </c>
      <c r="L6968" s="1" t="str">
        <f>IFERROR(__xludf.DUMMYFUNCTION("""COMPUTED_VALUE"""),"CPS Advanced Billing and Subscriptions (ABS)")</f>
        <v>CPS Advanced Billing and Subscriptions (ABS)</v>
      </c>
    </row>
    <row r="6969">
      <c r="A6969" s="1" t="str">
        <f>IFERROR(__xludf.DUMMYFUNCTION("""COMPUTED_VALUE"""),"2025 Dec")</f>
        <v>2025 Dec</v>
      </c>
      <c r="B6969" s="2">
        <f>IFERROR(__xludf.DUMMYFUNCTION("""COMPUTED_VALUE"""),45999.0)</f>
        <v>45999</v>
      </c>
      <c r="C6969" s="1" t="str">
        <f>IFERROR(__xludf.DUMMYFUNCTION("""COMPUTED_VALUE"""),"Print Support")</f>
        <v>Print Support</v>
      </c>
      <c r="D6969" s="1" t="str">
        <f>IFERROR(__xludf.DUMMYFUNCTION("""COMPUTED_VALUE"""),"5edc36fa-9df2-47e0-bbda-2c0b5a323efc")</f>
        <v>5edc36fa-9df2-47e0-bbda-2c0b5a323efc</v>
      </c>
      <c r="E6969" s="1"/>
      <c r="F6969" s="1"/>
      <c r="G6969" s="1"/>
      <c r="H6969" s="3">
        <f>IFERROR(__xludf.DUMMYFUNCTION("""COMPUTED_VALUE"""),0.0)</f>
        <v>0</v>
      </c>
      <c r="I6969" s="4"/>
      <c r="J6969" s="1" t="str">
        <f>IFERROR(__xludf.DUMMYFUNCTION("""COMPUTED_VALUE"""),"Gem Agoncillo")</f>
        <v>Gem Agoncillo</v>
      </c>
      <c r="K6969" s="1" t="str">
        <f>IFERROR(__xludf.DUMMYFUNCTION("""COMPUTED_VALUE"""),"Print Design Support")</f>
        <v>Print Design Support</v>
      </c>
      <c r="L6969" s="1" t="str">
        <f>IFERROR(__xludf.DUMMYFUNCTION("""COMPUTED_VALUE"""),"Print Print Design")</f>
        <v>Print Print Design</v>
      </c>
    </row>
    <row r="6970">
      <c r="A6970" s="1" t="str">
        <f>IFERROR(__xludf.DUMMYFUNCTION("""COMPUTED_VALUE"""),"2025 Dec")</f>
        <v>2025 Dec</v>
      </c>
      <c r="B6970" s="2">
        <f>IFERROR(__xludf.DUMMYFUNCTION("""COMPUTED_VALUE"""),45999.0)</f>
        <v>45999</v>
      </c>
      <c r="C6970" s="1" t="str">
        <f>IFERROR(__xludf.DUMMYFUNCTION("""COMPUTED_VALUE"""),"High Sensitivity Support")</f>
        <v>High Sensitivity Support</v>
      </c>
      <c r="D6970" s="1" t="str">
        <f>IFERROR(__xludf.DUMMYFUNCTION("""COMPUTED_VALUE"""),"19c32062-e149-4a3e-82ea-708be4d86c06")</f>
        <v>19c32062-e149-4a3e-82ea-708be4d86c06</v>
      </c>
      <c r="E6970" s="1">
        <f>IFERROR(__xludf.DUMMYFUNCTION("""COMPUTED_VALUE"""),8.904494969999E12)</f>
        <v>8904494969999</v>
      </c>
      <c r="F6970" s="1"/>
      <c r="G6970" s="1"/>
      <c r="H6970" s="3">
        <f>IFERROR(__xludf.DUMMYFUNCTION("""COMPUTED_VALUE"""),0.0)</f>
        <v>0</v>
      </c>
      <c r="I6970" s="4"/>
      <c r="J6970" s="1" t="str">
        <f>IFERROR(__xludf.DUMMYFUNCTION("""COMPUTED_VALUE"""),"Issi Afable")</f>
        <v>Issi Afable</v>
      </c>
      <c r="K6970" s="1" t="str">
        <f>IFERROR(__xludf.DUMMYFUNCTION("""COMPUTED_VALUE"""),"High Sensitivity Support PH")</f>
        <v>High Sensitivity Support PH</v>
      </c>
      <c r="L6970" s="1" t="str">
        <f>IFERROR(__xludf.DUMMYFUNCTION("""COMPUTED_VALUE"""),"HSS High Sensitivity Support PH - SEE")</f>
        <v>HSS High Sensitivity Support PH - SEE</v>
      </c>
    </row>
    <row r="6971">
      <c r="A6971" s="1" t="str">
        <f>IFERROR(__xludf.DUMMYFUNCTION("""COMPUTED_VALUE"""),"2025 Dec")</f>
        <v>2025 Dec</v>
      </c>
      <c r="B6971" s="2">
        <f>IFERROR(__xludf.DUMMYFUNCTION("""COMPUTED_VALUE"""),45999.0)</f>
        <v>45999</v>
      </c>
      <c r="C6971" s="1" t="str">
        <f>IFERROR(__xludf.DUMMYFUNCTION("""COMPUTED_VALUE"""),"Print Support")</f>
        <v>Print Support</v>
      </c>
      <c r="D6971" s="1" t="str">
        <f>IFERROR(__xludf.DUMMYFUNCTION("""COMPUTED_VALUE"""),"5efa61d3-4fd2-4d01-a492-e08cab6832f9")</f>
        <v>5efa61d3-4fd2-4d01-a492-e08cab6832f9</v>
      </c>
      <c r="E6971" s="1">
        <f>IFERROR(__xludf.DUMMYFUNCTION("""COMPUTED_VALUE"""),5.902015961999E12)</f>
        <v>5902015961999</v>
      </c>
      <c r="F6971" s="1"/>
      <c r="G6971" s="1"/>
      <c r="H6971" s="3">
        <f>IFERROR(__xludf.DUMMYFUNCTION("""COMPUTED_VALUE"""),0.0)</f>
        <v>0</v>
      </c>
      <c r="I6971" s="4"/>
      <c r="J6971" s="1" t="str">
        <f>IFERROR(__xludf.DUMMYFUNCTION("""COMPUTED_VALUE"""),"Jen Momo")</f>
        <v>Jen Momo</v>
      </c>
      <c r="K6971" s="1" t="str">
        <f>IFERROR(__xludf.DUMMYFUNCTION("""COMPUTED_VALUE"""),"Print Support PH")</f>
        <v>Print Support PH</v>
      </c>
      <c r="L6971" s="1" t="str">
        <f>IFERROR(__xludf.DUMMYFUNCTION("""COMPUTED_VALUE"""),"Print Print - CHT")</f>
        <v>Print Print - CHT</v>
      </c>
    </row>
    <row r="6972">
      <c r="A6972" s="1" t="str">
        <f>IFERROR(__xludf.DUMMYFUNCTION("""COMPUTED_VALUE"""),"2025 Dec")</f>
        <v>2025 Dec</v>
      </c>
      <c r="B6972" s="2">
        <f>IFERROR(__xludf.DUMMYFUNCTION("""COMPUTED_VALUE"""),45999.0)</f>
        <v>45999</v>
      </c>
      <c r="C6972" s="1" t="str">
        <f>IFERROR(__xludf.DUMMYFUNCTION("""COMPUTED_VALUE"""),"Core Product Support")</f>
        <v>Core Product Support</v>
      </c>
      <c r="D6972" s="1" t="str">
        <f>IFERROR(__xludf.DUMMYFUNCTION("""COMPUTED_VALUE"""),"1990c5cb-0154-48ce-9bac-f303f8b99ef1")</f>
        <v>1990c5cb-0154-48ce-9bac-f303f8b99ef1</v>
      </c>
      <c r="E6972" s="1">
        <f>IFERROR(__xludf.DUMMYFUNCTION("""COMPUTED_VALUE"""),1.0333018682383E13)</f>
        <v>10333018682383</v>
      </c>
      <c r="F6972" s="1">
        <f>IFERROR(__xludf.DUMMYFUNCTION("""COMPUTED_VALUE"""),0.5)</f>
        <v>0.5</v>
      </c>
      <c r="G6972" s="1"/>
      <c r="H6972" s="3">
        <f>IFERROR(__xludf.DUMMYFUNCTION("""COMPUTED_VALUE"""),0.5)</f>
        <v>0.5</v>
      </c>
      <c r="I6972" s="4">
        <f>IFERROR(__xludf.DUMMYFUNCTION("""COMPUTED_VALUE"""),0.0)</f>
        <v>0</v>
      </c>
      <c r="J6972" s="1" t="str">
        <f>IFERROR(__xludf.DUMMYFUNCTION("""COMPUTED_VALUE"""),"Cate Velasco")</f>
        <v>Cate Velasco</v>
      </c>
      <c r="K6972" s="1" t="str">
        <f>IFERROR(__xludf.DUMMYFUNCTION("""COMPUTED_VALUE"""),"Advanced Product Support")</f>
        <v>Advanced Product Support</v>
      </c>
      <c r="L6972" s="1" t="str">
        <f>IFERROR(__xludf.DUMMYFUNCTION("""COMPUTED_VALUE"""),"CPS Advanced Product Support (APS)")</f>
        <v>CPS Advanced Product Support (APS)</v>
      </c>
    </row>
    <row r="6973">
      <c r="A6973" s="1" t="str">
        <f>IFERROR(__xludf.DUMMYFUNCTION("""COMPUTED_VALUE"""),"2025 Dec")</f>
        <v>2025 Dec</v>
      </c>
      <c r="B6973" s="2">
        <f>IFERROR(__xludf.DUMMYFUNCTION("""COMPUTED_VALUE"""),45999.0)</f>
        <v>45999</v>
      </c>
      <c r="C6973" s="1" t="str">
        <f>IFERROR(__xludf.DUMMYFUNCTION("""COMPUTED_VALUE"""),"Core Product Support")</f>
        <v>Core Product Support</v>
      </c>
      <c r="D6973" s="1" t="str">
        <f>IFERROR(__xludf.DUMMYFUNCTION("""COMPUTED_VALUE"""),"1ee13beb-f5ac-4c80-bcfb-9f0dc190fe68")</f>
        <v>1ee13beb-f5ac-4c80-bcfb-9f0dc190fe68</v>
      </c>
      <c r="E6973" s="1">
        <f>IFERROR(__xludf.DUMMYFUNCTION("""COMPUTED_VALUE"""),3.61725115656E11)</f>
        <v>361725115656</v>
      </c>
      <c r="F6973" s="1"/>
      <c r="G6973" s="1">
        <f>IFERROR(__xludf.DUMMYFUNCTION("""COMPUTED_VALUE"""),2.5)</f>
        <v>2.5</v>
      </c>
      <c r="H6973" s="3">
        <f>IFERROR(__xludf.DUMMYFUNCTION("""COMPUTED_VALUE"""),2.5)</f>
        <v>2.5</v>
      </c>
      <c r="I6973" s="4">
        <f>IFERROR(__xludf.DUMMYFUNCTION("""COMPUTED_VALUE"""),1.0)</f>
        <v>1</v>
      </c>
      <c r="J6973" s="1" t="str">
        <f>IFERROR(__xludf.DUMMYFUNCTION("""COMPUTED_VALUE"""),"Ellaine Estayo")</f>
        <v>Ellaine Estayo</v>
      </c>
      <c r="K6973" s="1" t="str">
        <f>IFERROR(__xludf.DUMMYFUNCTION("""COMPUTED_VALUE"""),"Core Product Support Escalation Team")</f>
        <v>Core Product Support Escalation Team</v>
      </c>
      <c r="L6973" s="1" t="str">
        <f>IFERROR(__xludf.DUMMYFUNCTION("""COMPUTED_VALUE"""),"CPS Core Product Support Escalations (CPSET)")</f>
        <v>CPS Core Product Support Escalations (CPSET)</v>
      </c>
    </row>
    <row r="6974">
      <c r="A6974" s="1" t="str">
        <f>IFERROR(__xludf.DUMMYFUNCTION("""COMPUTED_VALUE"""),"2025 Dec")</f>
        <v>2025 Dec</v>
      </c>
      <c r="B6974" s="2">
        <f>IFERROR(__xludf.DUMMYFUNCTION("""COMPUTED_VALUE"""),45999.0)</f>
        <v>45999</v>
      </c>
      <c r="C6974" s="1" t="str">
        <f>IFERROR(__xludf.DUMMYFUNCTION("""COMPUTED_VALUE"""),"Core Product Support")</f>
        <v>Core Product Support</v>
      </c>
      <c r="D6974" s="1" t="str">
        <f>IFERROR(__xludf.DUMMYFUNCTION("""COMPUTED_VALUE"""),"d625e596-8198-45f9-94ea-d04d6f6a8b27")</f>
        <v>d625e596-8198-45f9-94ea-d04d6f6a8b27</v>
      </c>
      <c r="E6974" s="1">
        <f>IFERROR(__xludf.DUMMYFUNCTION("""COMPUTED_VALUE"""),1.0333049701519E13)</f>
        <v>10333049701519</v>
      </c>
      <c r="F6974" s="1">
        <f>IFERROR(__xludf.DUMMYFUNCTION("""COMPUTED_VALUE"""),0.5)</f>
        <v>0.5</v>
      </c>
      <c r="G6974" s="1"/>
      <c r="H6974" s="3">
        <f>IFERROR(__xludf.DUMMYFUNCTION("""COMPUTED_VALUE"""),0.5)</f>
        <v>0.5</v>
      </c>
      <c r="I6974" s="4">
        <f>IFERROR(__xludf.DUMMYFUNCTION("""COMPUTED_VALUE"""),0.0)</f>
        <v>0</v>
      </c>
      <c r="J6974" s="1" t="str">
        <f>IFERROR(__xludf.DUMMYFUNCTION("""COMPUTED_VALUE"""),"Jelyn Elmido")</f>
        <v>Jelyn Elmido</v>
      </c>
      <c r="K6974" s="1" t="str">
        <f>IFERROR(__xludf.DUMMYFUNCTION("""COMPUTED_VALUE"""),"Advanced Product Support")</f>
        <v>Advanced Product Support</v>
      </c>
      <c r="L6974" s="1" t="str">
        <f>IFERROR(__xludf.DUMMYFUNCTION("""COMPUTED_VALUE"""),"CPS Advanced Product Support (APS)")</f>
        <v>CPS Advanced Product Support (APS)</v>
      </c>
    </row>
    <row r="6975">
      <c r="A6975" s="1" t="str">
        <f>IFERROR(__xludf.DUMMYFUNCTION("""COMPUTED_VALUE"""),"2025 Dec")</f>
        <v>2025 Dec</v>
      </c>
      <c r="B6975" s="2">
        <f>IFERROR(__xludf.DUMMYFUNCTION("""COMPUTED_VALUE"""),45999.0)</f>
        <v>45999</v>
      </c>
      <c r="C6975" s="1" t="str">
        <f>IFERROR(__xludf.DUMMYFUNCTION("""COMPUTED_VALUE"""),"Segment-specific Support")</f>
        <v>Segment-specific Support</v>
      </c>
      <c r="D6975" s="1" t="str">
        <f>IFERROR(__xludf.DUMMYFUNCTION("""COMPUTED_VALUE"""),"c9fa58e5-ccb3-4c72-a2e7-5a6fc2210b69")</f>
        <v>c9fa58e5-ccb3-4c72-a2e7-5a6fc2210b69</v>
      </c>
      <c r="E6975" s="1">
        <f>IFERROR(__xludf.DUMMYFUNCTION("""COMPUTED_VALUE"""),1.1401981299343E13)</f>
        <v>11401981299343</v>
      </c>
      <c r="F6975" s="1"/>
      <c r="G6975" s="1"/>
      <c r="H6975" s="3">
        <f>IFERROR(__xludf.DUMMYFUNCTION("""COMPUTED_VALUE"""),0.0)</f>
        <v>0</v>
      </c>
      <c r="I6975" s="4"/>
      <c r="J6975" s="1" t="str">
        <f>IFERROR(__xludf.DUMMYFUNCTION("""COMPUTED_VALUE"""),"Aileen Dayanghirang")</f>
        <v>Aileen Dayanghirang</v>
      </c>
      <c r="K6975" s="1" t="str">
        <f>IFERROR(__xludf.DUMMYFUNCTION("""COMPUTED_VALUE"""),"Creators Support")</f>
        <v>Creators Support</v>
      </c>
      <c r="L6975" s="1" t="str">
        <f>IFERROR(__xludf.DUMMYFUNCTION("""COMPUTED_VALUE"""),"SSS Creators")</f>
        <v>SSS Creators</v>
      </c>
    </row>
    <row r="6976">
      <c r="A6976" s="1" t="str">
        <f>IFERROR(__xludf.DUMMYFUNCTION("""COMPUTED_VALUE"""),"2025 Dec")</f>
        <v>2025 Dec</v>
      </c>
      <c r="B6976" s="2">
        <f>IFERROR(__xludf.DUMMYFUNCTION("""COMPUTED_VALUE"""),45999.0)</f>
        <v>45999</v>
      </c>
      <c r="C6976" s="1" t="str">
        <f>IFERROR(__xludf.DUMMYFUNCTION("""COMPUTED_VALUE"""),"Admin Support")</f>
        <v>Admin Support</v>
      </c>
      <c r="D6976" s="1" t="str">
        <f>IFERROR(__xludf.DUMMYFUNCTION("""COMPUTED_VALUE"""),"6695b35c-7a53-4eb2-bcfc-9808f8e07dd8")</f>
        <v>6695b35c-7a53-4eb2-bcfc-9808f8e07dd8</v>
      </c>
      <c r="E6976" s="1">
        <f>IFERROR(__xludf.DUMMYFUNCTION("""COMPUTED_VALUE"""),3.61732164295E11)</f>
        <v>361732164295</v>
      </c>
      <c r="F6976" s="1"/>
      <c r="G6976" s="1"/>
      <c r="H6976" s="3">
        <f>IFERROR(__xludf.DUMMYFUNCTION("""COMPUTED_VALUE"""),0.0)</f>
        <v>0</v>
      </c>
      <c r="I6976" s="4"/>
      <c r="J6976" s="1" t="str">
        <f>IFERROR(__xludf.DUMMYFUNCTION("""COMPUTED_VALUE"""),"Kelden Laguting")</f>
        <v>Kelden Laguting</v>
      </c>
      <c r="K6976" s="1" t="str">
        <f>IFERROR(__xludf.DUMMYFUNCTION("""COMPUTED_VALUE"""),"Admin Support PH")</f>
        <v>Admin Support PH</v>
      </c>
      <c r="L6976" s="1" t="str">
        <f>IFERROR(__xludf.DUMMYFUNCTION("""COMPUTED_VALUE"""),"Admin PH")</f>
        <v>Admin PH</v>
      </c>
    </row>
    <row r="6977">
      <c r="A6977" s="1" t="str">
        <f>IFERROR(__xludf.DUMMYFUNCTION("""COMPUTED_VALUE"""),"2025 Dec")</f>
        <v>2025 Dec</v>
      </c>
      <c r="B6977" s="2">
        <f>IFERROR(__xludf.DUMMYFUNCTION("""COMPUTED_VALUE"""),45999.0)</f>
        <v>45999</v>
      </c>
      <c r="C6977" s="1" t="str">
        <f>IFERROR(__xludf.DUMMYFUNCTION("""COMPUTED_VALUE"""),"Core Product Support")</f>
        <v>Core Product Support</v>
      </c>
      <c r="D6977" s="1" t="str">
        <f>IFERROR(__xludf.DUMMYFUNCTION("""COMPUTED_VALUE"""),"a460fd1a-1ef6-4034-a4ca-14a4c4765f42")</f>
        <v>a460fd1a-1ef6-4034-a4ca-14a4c4765f42</v>
      </c>
      <c r="E6977" s="1">
        <f>IFERROR(__xludf.DUMMYFUNCTION("""COMPUTED_VALUE"""),9.107766464399E12)</f>
        <v>9107766464399</v>
      </c>
      <c r="F6977" s="1">
        <f>IFERROR(__xludf.DUMMYFUNCTION("""COMPUTED_VALUE"""),0.5)</f>
        <v>0.5</v>
      </c>
      <c r="G6977" s="1"/>
      <c r="H6977" s="3">
        <f>IFERROR(__xludf.DUMMYFUNCTION("""COMPUTED_VALUE"""),0.5)</f>
        <v>0.5</v>
      </c>
      <c r="I6977" s="4">
        <f>IFERROR(__xludf.DUMMYFUNCTION("""COMPUTED_VALUE"""),0.0)</f>
        <v>0</v>
      </c>
      <c r="J6977" s="1" t="str">
        <f>IFERROR(__xludf.DUMMYFUNCTION("""COMPUTED_VALUE"""),"Ana Lazaro")</f>
        <v>Ana Lazaro</v>
      </c>
      <c r="K6977" s="1" t="str">
        <f>IFERROR(__xludf.DUMMYFUNCTION("""COMPUTED_VALUE"""),"Advanced Billing &amp; Subscriptions")</f>
        <v>Advanced Billing &amp; Subscriptions</v>
      </c>
      <c r="L6977" s="1" t="str">
        <f>IFERROR(__xludf.DUMMYFUNCTION("""COMPUTED_VALUE"""),"CPS Advanced Billing and Subscriptions (ABS)")</f>
        <v>CPS Advanced Billing and Subscriptions (ABS)</v>
      </c>
    </row>
    <row r="6978">
      <c r="A6978" s="1" t="str">
        <f>IFERROR(__xludf.DUMMYFUNCTION("""COMPUTED_VALUE"""),"2025 Dec")</f>
        <v>2025 Dec</v>
      </c>
      <c r="B6978" s="2">
        <f>IFERROR(__xludf.DUMMYFUNCTION("""COMPUTED_VALUE"""),45999.0)</f>
        <v>45999</v>
      </c>
      <c r="C6978" s="1" t="str">
        <f>IFERROR(__xludf.DUMMYFUNCTION("""COMPUTED_VALUE"""),"Print Support")</f>
        <v>Print Support</v>
      </c>
      <c r="D6978" s="1" t="str">
        <f>IFERROR(__xludf.DUMMYFUNCTION("""COMPUTED_VALUE"""),"2ffdab50-ba8e-4ff1-a8d9-e609f47d6cbd")</f>
        <v>2ffdab50-ba8e-4ff1-a8d9-e609f47d6cbd</v>
      </c>
      <c r="E6978" s="1">
        <f>IFERROR(__xludf.DUMMYFUNCTION("""COMPUTED_VALUE"""),3.61731515115E11)</f>
        <v>361731515115</v>
      </c>
      <c r="F6978" s="1"/>
      <c r="G6978" s="1"/>
      <c r="H6978" s="3">
        <f>IFERROR(__xludf.DUMMYFUNCTION("""COMPUTED_VALUE"""),0.0)</f>
        <v>0</v>
      </c>
      <c r="I6978" s="4"/>
      <c r="J6978" s="1" t="str">
        <f>IFERROR(__xludf.DUMMYFUNCTION("""COMPUTED_VALUE"""),"Louise Dianne Estrella")</f>
        <v>Louise Dianne Estrella</v>
      </c>
      <c r="K6978" s="1" t="str">
        <f>IFERROR(__xludf.DUMMYFUNCTION("""COMPUTED_VALUE"""),"Print Support PH")</f>
        <v>Print Support PH</v>
      </c>
      <c r="L6978" s="1" t="str">
        <f>IFERROR(__xludf.DUMMYFUNCTION("""COMPUTED_VALUE"""),"Print Print - CHT")</f>
        <v>Print Print - CHT</v>
      </c>
    </row>
    <row r="6979">
      <c r="A6979" s="1" t="str">
        <f>IFERROR(__xludf.DUMMYFUNCTION("""COMPUTED_VALUE"""),"2025 Dec")</f>
        <v>2025 Dec</v>
      </c>
      <c r="B6979" s="2">
        <f>IFERROR(__xludf.DUMMYFUNCTION("""COMPUTED_VALUE"""),45999.0)</f>
        <v>45999</v>
      </c>
      <c r="C6979" s="1" t="str">
        <f>IFERROR(__xludf.DUMMYFUNCTION("""COMPUTED_VALUE"""),"Core Product Support")</f>
        <v>Core Product Support</v>
      </c>
      <c r="D6979" s="1" t="str">
        <f>IFERROR(__xludf.DUMMYFUNCTION("""COMPUTED_VALUE"""),"53c72618-3bf9-4bcf-adf4-39677fd20e1f")</f>
        <v>53c72618-3bf9-4bcf-adf4-39677fd20e1f</v>
      </c>
      <c r="E6979" s="1">
        <f>IFERROR(__xludf.DUMMYFUNCTION("""COMPUTED_VALUE"""),1.1035324543247E13)</f>
        <v>11035324543247</v>
      </c>
      <c r="F6979" s="1">
        <f>IFERROR(__xludf.DUMMYFUNCTION("""COMPUTED_VALUE"""),0.5)</f>
        <v>0.5</v>
      </c>
      <c r="G6979" s="1"/>
      <c r="H6979" s="3">
        <f>IFERROR(__xludf.DUMMYFUNCTION("""COMPUTED_VALUE"""),0.5)</f>
        <v>0.5</v>
      </c>
      <c r="I6979" s="4">
        <f>IFERROR(__xludf.DUMMYFUNCTION("""COMPUTED_VALUE"""),0.0)</f>
        <v>0</v>
      </c>
      <c r="J6979" s="1" t="str">
        <f>IFERROR(__xludf.DUMMYFUNCTION("""COMPUTED_VALUE"""),"Ayza Marie Pascual")</f>
        <v>Ayza Marie Pascual</v>
      </c>
      <c r="K6979" s="1" t="str">
        <f>IFERROR(__xludf.DUMMYFUNCTION("""COMPUTED_VALUE"""),"Advanced Billing &amp; Subscriptions")</f>
        <v>Advanced Billing &amp; Subscriptions</v>
      </c>
      <c r="L6979" s="1" t="str">
        <f>IFERROR(__xludf.DUMMYFUNCTION("""COMPUTED_VALUE"""),"CPS Advanced Billing and Subscriptions (ABS)")</f>
        <v>CPS Advanced Billing and Subscriptions (ABS)</v>
      </c>
    </row>
    <row r="6980">
      <c r="A6980" s="1" t="str">
        <f>IFERROR(__xludf.DUMMYFUNCTION("""COMPUTED_VALUE"""),"2025 Dec")</f>
        <v>2025 Dec</v>
      </c>
      <c r="B6980" s="2">
        <f>IFERROR(__xludf.DUMMYFUNCTION("""COMPUTED_VALUE"""),45999.0)</f>
        <v>45999</v>
      </c>
      <c r="C6980" s="1" t="str">
        <f>IFERROR(__xludf.DUMMYFUNCTION("""COMPUTED_VALUE"""),"Core Product Support")</f>
        <v>Core Product Support</v>
      </c>
      <c r="D6980" s="1" t="str">
        <f>IFERROR(__xludf.DUMMYFUNCTION("""COMPUTED_VALUE"""),"08e80e21-5eab-4b4f-bd2a-c3d833caa4fc")</f>
        <v>08e80e21-5eab-4b4f-bd2a-c3d833caa4fc</v>
      </c>
      <c r="E6980" s="1">
        <f>IFERROR(__xludf.DUMMYFUNCTION("""COMPUTED_VALUE"""),8.409877156495E12)</f>
        <v>8409877156495</v>
      </c>
      <c r="F6980" s="1"/>
      <c r="G6980" s="1">
        <f>IFERROR(__xludf.DUMMYFUNCTION("""COMPUTED_VALUE"""),1.5)</f>
        <v>1.5</v>
      </c>
      <c r="H6980" s="3">
        <f>IFERROR(__xludf.DUMMYFUNCTION("""COMPUTED_VALUE"""),1.5)</f>
        <v>1.5</v>
      </c>
      <c r="I6980" s="4">
        <f>IFERROR(__xludf.DUMMYFUNCTION("""COMPUTED_VALUE"""),1.0)</f>
        <v>1</v>
      </c>
      <c r="J6980" s="1" t="str">
        <f>IFERROR(__xludf.DUMMYFUNCTION("""COMPUTED_VALUE"""),"Jahmie Mae Barrameda")</f>
        <v>Jahmie Mae Barrameda</v>
      </c>
      <c r="K6980" s="1" t="str">
        <f>IFERROR(__xludf.DUMMYFUNCTION("""COMPUTED_VALUE"""),"Advanced Billing &amp; Subscriptions")</f>
        <v>Advanced Billing &amp; Subscriptions</v>
      </c>
      <c r="L6980" s="1" t="str">
        <f>IFERROR(__xludf.DUMMYFUNCTION("""COMPUTED_VALUE"""),"CPS Advanced Billing and Subscriptions (ABS)")</f>
        <v>CPS Advanced Billing and Subscriptions (ABS)</v>
      </c>
    </row>
    <row r="6981">
      <c r="A6981" s="1" t="str">
        <f>IFERROR(__xludf.DUMMYFUNCTION("""COMPUTED_VALUE"""),"2025 Dec")</f>
        <v>2025 Dec</v>
      </c>
      <c r="B6981" s="2">
        <f>IFERROR(__xludf.DUMMYFUNCTION("""COMPUTED_VALUE"""),45999.0)</f>
        <v>45999</v>
      </c>
      <c r="C6981" s="1" t="str">
        <f>IFERROR(__xludf.DUMMYFUNCTION("""COMPUTED_VALUE"""),"Core Product Support")</f>
        <v>Core Product Support</v>
      </c>
      <c r="D6981" s="1" t="str">
        <f>IFERROR(__xludf.DUMMYFUNCTION("""COMPUTED_VALUE"""),"41e73ce2-bda5-4412-b2d5-381b4a0a0fdd")</f>
        <v>41e73ce2-bda5-4412-b2d5-381b4a0a0fdd</v>
      </c>
      <c r="E6981" s="1">
        <f>IFERROR(__xludf.DUMMYFUNCTION("""COMPUTED_VALUE"""),3.61750008275E11)</f>
        <v>361750008275</v>
      </c>
      <c r="F6981" s="1"/>
      <c r="G6981" s="1">
        <f>IFERROR(__xludf.DUMMYFUNCTION("""COMPUTED_VALUE"""),2.5)</f>
        <v>2.5</v>
      </c>
      <c r="H6981" s="3">
        <f>IFERROR(__xludf.DUMMYFUNCTION("""COMPUTED_VALUE"""),2.5)</f>
        <v>2.5</v>
      </c>
      <c r="I6981" s="4">
        <f>IFERROR(__xludf.DUMMYFUNCTION("""COMPUTED_VALUE"""),1.0)</f>
        <v>1</v>
      </c>
      <c r="J6981" s="1" t="str">
        <f>IFERROR(__xludf.DUMMYFUNCTION("""COMPUTED_VALUE"""),"Bem Launte")</f>
        <v>Bem Launte</v>
      </c>
      <c r="K6981" s="1" t="str">
        <f>IFERROR(__xludf.DUMMYFUNCTION("""COMPUTED_VALUE"""),"Core Product Support Escalation Team")</f>
        <v>Core Product Support Escalation Team</v>
      </c>
      <c r="L6981" s="1" t="str">
        <f>IFERROR(__xludf.DUMMYFUNCTION("""COMPUTED_VALUE"""),"CPS Core Product Support Escalations (CPSET)")</f>
        <v>CPS Core Product Support Escalations (CPSET)</v>
      </c>
    </row>
    <row r="6982">
      <c r="A6982" s="1" t="str">
        <f>IFERROR(__xludf.DUMMYFUNCTION("""COMPUTED_VALUE"""),"2025 Dec")</f>
        <v>2025 Dec</v>
      </c>
      <c r="B6982" s="2">
        <f>IFERROR(__xludf.DUMMYFUNCTION("""COMPUTED_VALUE"""),45999.0)</f>
        <v>45999</v>
      </c>
      <c r="C6982" s="1" t="str">
        <f>IFERROR(__xludf.DUMMYFUNCTION("""COMPUTED_VALUE"""),"Print Support")</f>
        <v>Print Support</v>
      </c>
      <c r="D6982" s="1" t="str">
        <f>IFERROR(__xludf.DUMMYFUNCTION("""COMPUTED_VALUE"""),"a8e62322-b2dc-4c8a-842a-2a259dac6528")</f>
        <v>a8e62322-b2dc-4c8a-842a-2a259dac6528</v>
      </c>
      <c r="E6982" s="1">
        <f>IFERROR(__xludf.DUMMYFUNCTION("""COMPUTED_VALUE"""),9.285106592655E12)</f>
        <v>9285106592655</v>
      </c>
      <c r="F6982" s="1"/>
      <c r="G6982" s="1"/>
      <c r="H6982" s="3">
        <f>IFERROR(__xludf.DUMMYFUNCTION("""COMPUTED_VALUE"""),0.0)</f>
        <v>0</v>
      </c>
      <c r="I6982" s="4"/>
      <c r="J6982" s="1" t="str">
        <f>IFERROR(__xludf.DUMMYFUNCTION("""COMPUTED_VALUE"""),"Althea Mercado")</f>
        <v>Althea Mercado</v>
      </c>
      <c r="K6982" s="1" t="str">
        <f>IFERROR(__xludf.DUMMYFUNCTION("""COMPUTED_VALUE"""),"Print Support PH")</f>
        <v>Print Support PH</v>
      </c>
      <c r="L6982" s="1" t="str">
        <f>IFERROR(__xludf.DUMMYFUNCTION("""COMPUTED_VALUE"""),"Print Print - CHT")</f>
        <v>Print Print - CHT</v>
      </c>
    </row>
    <row r="6983">
      <c r="A6983" s="1" t="str">
        <f>IFERROR(__xludf.DUMMYFUNCTION("""COMPUTED_VALUE"""),"2025 Dec")</f>
        <v>2025 Dec</v>
      </c>
      <c r="B6983" s="2">
        <f>IFERROR(__xludf.DUMMYFUNCTION("""COMPUTED_VALUE"""),45999.0)</f>
        <v>45999</v>
      </c>
      <c r="C6983" s="1" t="str">
        <f>IFERROR(__xludf.DUMMYFUNCTION("""COMPUTED_VALUE"""),"Admin Support")</f>
        <v>Admin Support</v>
      </c>
      <c r="D6983" s="1" t="str">
        <f>IFERROR(__xludf.DUMMYFUNCTION("""COMPUTED_VALUE"""),"ab14ac10-6fdd-4acd-92a0-afc53948f957")</f>
        <v>ab14ac10-6fdd-4acd-92a0-afc53948f957</v>
      </c>
      <c r="E6983" s="1">
        <f>IFERROR(__xludf.DUMMYFUNCTION("""COMPUTED_VALUE"""),3.61731791675E11)</f>
        <v>361731791675</v>
      </c>
      <c r="F6983" s="1"/>
      <c r="G6983" s="1"/>
      <c r="H6983" s="3">
        <f>IFERROR(__xludf.DUMMYFUNCTION("""COMPUTED_VALUE"""),0.0)</f>
        <v>0</v>
      </c>
      <c r="I6983" s="4"/>
      <c r="J6983" s="1" t="str">
        <f>IFERROR(__xludf.DUMMYFUNCTION("""COMPUTED_VALUE"""),"Camille Alvarez")</f>
        <v>Camille Alvarez</v>
      </c>
      <c r="K6983" s="1" t="str">
        <f>IFERROR(__xludf.DUMMYFUNCTION("""COMPUTED_VALUE"""),"Admin Support PH SSO")</f>
        <v>Admin Support PH SSO</v>
      </c>
      <c r="L6983" s="1" t="str">
        <f>IFERROR(__xludf.DUMMYFUNCTION("""COMPUTED_VALUE"""),"Admin SSO - SEE")</f>
        <v>Admin SSO - SEE</v>
      </c>
    </row>
    <row r="6984">
      <c r="A6984" s="1" t="str">
        <f>IFERROR(__xludf.DUMMYFUNCTION("""COMPUTED_VALUE"""),"2025 Dec")</f>
        <v>2025 Dec</v>
      </c>
      <c r="B6984" s="2">
        <f>IFERROR(__xludf.DUMMYFUNCTION("""COMPUTED_VALUE"""),45999.0)</f>
        <v>45999</v>
      </c>
      <c r="C6984" s="1" t="str">
        <f>IFERROR(__xludf.DUMMYFUNCTION("""COMPUTED_VALUE"""),"Segment-specific Support")</f>
        <v>Segment-specific Support</v>
      </c>
      <c r="D6984" s="1" t="str">
        <f>IFERROR(__xludf.DUMMYFUNCTION("""COMPUTED_VALUE"""),"b3a312bb-80a6-4404-a83b-85b5d7be9789")</f>
        <v>b3a312bb-80a6-4404-a83b-85b5d7be9789</v>
      </c>
      <c r="E6984" s="1">
        <f>IFERROR(__xludf.DUMMYFUNCTION("""COMPUTED_VALUE"""),9.903274706831E12)</f>
        <v>9903274706831</v>
      </c>
      <c r="F6984" s="1">
        <f>IFERROR(__xludf.DUMMYFUNCTION("""COMPUTED_VALUE"""),0.5)</f>
        <v>0.5</v>
      </c>
      <c r="G6984" s="1"/>
      <c r="H6984" s="3">
        <f>IFERROR(__xludf.DUMMYFUNCTION("""COMPUTED_VALUE"""),0.5)</f>
        <v>0.5</v>
      </c>
      <c r="I6984" s="4">
        <f>IFERROR(__xludf.DUMMYFUNCTION("""COMPUTED_VALUE"""),0.0)</f>
        <v>0</v>
      </c>
      <c r="J6984" s="1" t="str">
        <f>IFERROR(__xludf.DUMMYFUNCTION("""COMPUTED_VALUE"""),"Jonathan Dimaculangan")</f>
        <v>Jonathan Dimaculangan</v>
      </c>
      <c r="K6984" s="1" t="str">
        <f>IFERROR(__xludf.DUMMYFUNCTION("""COMPUTED_VALUE"""),"Flourish Support")</f>
        <v>Flourish Support</v>
      </c>
      <c r="L6984" s="1" t="str">
        <f>IFERROR(__xludf.DUMMYFUNCTION("""COMPUTED_VALUE"""),"SSS Flourish")</f>
        <v>SSS Flourish</v>
      </c>
    </row>
    <row r="6985">
      <c r="A6985" s="1" t="str">
        <f>IFERROR(__xludf.DUMMYFUNCTION("""COMPUTED_VALUE"""),"2025 Dec")</f>
        <v>2025 Dec</v>
      </c>
      <c r="B6985" s="2">
        <f>IFERROR(__xludf.DUMMYFUNCTION("""COMPUTED_VALUE"""),45999.0)</f>
        <v>45999</v>
      </c>
      <c r="C6985" s="1" t="str">
        <f>IFERROR(__xludf.DUMMYFUNCTION("""COMPUTED_VALUE"""),"Core Product Support")</f>
        <v>Core Product Support</v>
      </c>
      <c r="D6985" s="1" t="str">
        <f>IFERROR(__xludf.DUMMYFUNCTION("""COMPUTED_VALUE"""),"c820bf34-a16a-4ab5-afca-78d6c71226e3")</f>
        <v>c820bf34-a16a-4ab5-afca-78d6c71226e3</v>
      </c>
      <c r="E6985" s="1">
        <f>IFERROR(__xludf.DUMMYFUNCTION("""COMPUTED_VALUE"""),3.61731943295E11)</f>
        <v>361731943295</v>
      </c>
      <c r="F6985" s="1"/>
      <c r="G6985" s="1">
        <f>IFERROR(__xludf.DUMMYFUNCTION("""COMPUTED_VALUE"""),2.5)</f>
        <v>2.5</v>
      </c>
      <c r="H6985" s="3">
        <f>IFERROR(__xludf.DUMMYFUNCTION("""COMPUTED_VALUE"""),2.5)</f>
        <v>2.5</v>
      </c>
      <c r="I6985" s="4">
        <f>IFERROR(__xludf.DUMMYFUNCTION("""COMPUTED_VALUE"""),1.0)</f>
        <v>1</v>
      </c>
      <c r="J6985" s="1" t="str">
        <f>IFERROR(__xludf.DUMMYFUNCTION("""COMPUTED_VALUE"""),"Bem Launte")</f>
        <v>Bem Launte</v>
      </c>
      <c r="K6985" s="1" t="str">
        <f>IFERROR(__xludf.DUMMYFUNCTION("""COMPUTED_VALUE"""),"Core Product Support Escalation Team")</f>
        <v>Core Product Support Escalation Team</v>
      </c>
      <c r="L6985" s="1" t="str">
        <f>IFERROR(__xludf.DUMMYFUNCTION("""COMPUTED_VALUE"""),"CPS Core Product Support Escalations (CPSET)")</f>
        <v>CPS Core Product Support Escalations (CPSET)</v>
      </c>
    </row>
    <row r="6986">
      <c r="A6986" s="1" t="str">
        <f>IFERROR(__xludf.DUMMYFUNCTION("""COMPUTED_VALUE"""),"2025 Dec")</f>
        <v>2025 Dec</v>
      </c>
      <c r="B6986" s="2">
        <f>IFERROR(__xludf.DUMMYFUNCTION("""COMPUTED_VALUE"""),45999.0)</f>
        <v>45999</v>
      </c>
      <c r="C6986" s="1" t="str">
        <f>IFERROR(__xludf.DUMMYFUNCTION("""COMPUTED_VALUE"""),"Multilingual Support")</f>
        <v>Multilingual Support</v>
      </c>
      <c r="D6986" s="1" t="str">
        <f>IFERROR(__xludf.DUMMYFUNCTION("""COMPUTED_VALUE"""),"283e2e77-f88a-4efa-b94d-fff3a66e663f")</f>
        <v>283e2e77-f88a-4efa-b94d-fff3a66e663f</v>
      </c>
      <c r="E6986" s="1">
        <f>IFERROR(__xludf.DUMMYFUNCTION("""COMPUTED_VALUE"""),3.61731791575E11)</f>
        <v>361731791575</v>
      </c>
      <c r="F6986" s="1"/>
      <c r="G6986" s="1"/>
      <c r="H6986" s="3">
        <f>IFERROR(__xludf.DUMMYFUNCTION("""COMPUTED_VALUE"""),0.0)</f>
        <v>0</v>
      </c>
      <c r="I6986" s="4"/>
      <c r="J6986" s="1" t="str">
        <f>IFERROR(__xludf.DUMMYFUNCTION("""COMPUTED_VALUE"""),"Arlene Maurillo")</f>
        <v>Arlene Maurillo</v>
      </c>
      <c r="K6986" s="1" t="str">
        <f>IFERROR(__xludf.DUMMYFUNCTION("""COMPUTED_VALUE"""),"PHL, Multilingual Support")</f>
        <v>PHL, Multilingual Support</v>
      </c>
      <c r="L6986" s="1" t="str">
        <f>IFERROR(__xludf.DUMMYFUNCTION("""COMPUTED_VALUE"""),"ML French Support")</f>
        <v>ML French Support</v>
      </c>
    </row>
    <row r="6987">
      <c r="A6987" s="1" t="str">
        <f>IFERROR(__xludf.DUMMYFUNCTION("""COMPUTED_VALUE"""),"2025 Dec")</f>
        <v>2025 Dec</v>
      </c>
      <c r="B6987" s="2">
        <f>IFERROR(__xludf.DUMMYFUNCTION("""COMPUTED_VALUE"""),45999.0)</f>
        <v>45999</v>
      </c>
      <c r="C6987" s="1" t="str">
        <f>IFERROR(__xludf.DUMMYFUNCTION("""COMPUTED_VALUE"""),"Print Support")</f>
        <v>Print Support</v>
      </c>
      <c r="D6987" s="1" t="str">
        <f>IFERROR(__xludf.DUMMYFUNCTION("""COMPUTED_VALUE"""),"759bff0c-8571-44a6-ac6a-7e74510a6a62")</f>
        <v>759bff0c-8571-44a6-ac6a-7e74510a6a62</v>
      </c>
      <c r="E6987" s="1">
        <f>IFERROR(__xludf.DUMMYFUNCTION("""COMPUTED_VALUE"""),6.839686960271E12)</f>
        <v>6839686960271</v>
      </c>
      <c r="F6987" s="1"/>
      <c r="G6987" s="1"/>
      <c r="H6987" s="3">
        <f>IFERROR(__xludf.DUMMYFUNCTION("""COMPUTED_VALUE"""),0.0)</f>
        <v>0</v>
      </c>
      <c r="I6987" s="4"/>
      <c r="J6987" s="1" t="str">
        <f>IFERROR(__xludf.DUMMYFUNCTION("""COMPUTED_VALUE"""),"Althea Mercado")</f>
        <v>Althea Mercado</v>
      </c>
      <c r="K6987" s="1" t="str">
        <f>IFERROR(__xludf.DUMMYFUNCTION("""COMPUTED_VALUE"""),"Print Support PH")</f>
        <v>Print Support PH</v>
      </c>
      <c r="L6987" s="1" t="str">
        <f>IFERROR(__xludf.DUMMYFUNCTION("""COMPUTED_VALUE"""),"Print Print - CHT")</f>
        <v>Print Print - CHT</v>
      </c>
    </row>
    <row r="6988">
      <c r="A6988" s="1" t="str">
        <f>IFERROR(__xludf.DUMMYFUNCTION("""COMPUTED_VALUE"""),"2025 Dec")</f>
        <v>2025 Dec</v>
      </c>
      <c r="B6988" s="2">
        <f>IFERROR(__xludf.DUMMYFUNCTION("""COMPUTED_VALUE"""),45999.0)</f>
        <v>45999</v>
      </c>
      <c r="C6988" s="1" t="str">
        <f>IFERROR(__xludf.DUMMYFUNCTION("""COMPUTED_VALUE"""),"Print Support")</f>
        <v>Print Support</v>
      </c>
      <c r="D6988" s="1" t="str">
        <f>IFERROR(__xludf.DUMMYFUNCTION("""COMPUTED_VALUE"""),"435dbe60-cec1-4cb2-b1d3-b030b9d41646")</f>
        <v>435dbe60-cec1-4cb2-b1d3-b030b9d41646</v>
      </c>
      <c r="E6988" s="1">
        <f>IFERROR(__xludf.DUMMYFUNCTION("""COMPUTED_VALUE"""),3.61724666876E11)</f>
        <v>361724666876</v>
      </c>
      <c r="F6988" s="1">
        <f>IFERROR(__xludf.DUMMYFUNCTION("""COMPUTED_VALUE"""),2.0)</f>
        <v>2</v>
      </c>
      <c r="G6988" s="1"/>
      <c r="H6988" s="3">
        <f>IFERROR(__xludf.DUMMYFUNCTION("""COMPUTED_VALUE"""),2.0)</f>
        <v>2</v>
      </c>
      <c r="I6988" s="4">
        <f>IFERROR(__xludf.DUMMYFUNCTION("""COMPUTED_VALUE"""),0.0)</f>
        <v>0</v>
      </c>
      <c r="J6988" s="1" t="str">
        <f>IFERROR(__xludf.DUMMYFUNCTION("""COMPUTED_VALUE"""),"Rae Erlano")</f>
        <v>Rae Erlano</v>
      </c>
      <c r="K6988" s="1" t="str">
        <f>IFERROR(__xludf.DUMMYFUNCTION("""COMPUTED_VALUE"""),"Print Support PH")</f>
        <v>Print Support PH</v>
      </c>
      <c r="L6988" s="1" t="str">
        <f>IFERROR(__xludf.DUMMYFUNCTION("""COMPUTED_VALUE"""),"Print Print - SEE")</f>
        <v>Print Print - SEE</v>
      </c>
    </row>
    <row r="6989">
      <c r="A6989" s="1" t="str">
        <f>IFERROR(__xludf.DUMMYFUNCTION("""COMPUTED_VALUE"""),"2025 Dec")</f>
        <v>2025 Dec</v>
      </c>
      <c r="B6989" s="2">
        <f>IFERROR(__xludf.DUMMYFUNCTION("""COMPUTED_VALUE"""),45999.0)</f>
        <v>45999</v>
      </c>
      <c r="C6989" s="1" t="str">
        <f>IFERROR(__xludf.DUMMYFUNCTION("""COMPUTED_VALUE"""),"Core Product Support")</f>
        <v>Core Product Support</v>
      </c>
      <c r="D6989" s="1" t="str">
        <f>IFERROR(__xludf.DUMMYFUNCTION("""COMPUTED_VALUE"""),"d49e1c15-2cd1-4e35-9b3a-8acda7c42425")</f>
        <v>d49e1c15-2cd1-4e35-9b3a-8acda7c42425</v>
      </c>
      <c r="E6989" s="1">
        <f>IFERROR(__xludf.DUMMYFUNCTION("""COMPUTED_VALUE"""),1.1401961091343E13)</f>
        <v>11401961091343</v>
      </c>
      <c r="F6989" s="1">
        <f>IFERROR(__xludf.DUMMYFUNCTION("""COMPUTED_VALUE"""),0.5)</f>
        <v>0.5</v>
      </c>
      <c r="G6989" s="1"/>
      <c r="H6989" s="3">
        <f>IFERROR(__xludf.DUMMYFUNCTION("""COMPUTED_VALUE"""),0.5)</f>
        <v>0.5</v>
      </c>
      <c r="I6989" s="4">
        <f>IFERROR(__xludf.DUMMYFUNCTION("""COMPUTED_VALUE"""),0.0)</f>
        <v>0</v>
      </c>
      <c r="J6989" s="1" t="str">
        <f>IFERROR(__xludf.DUMMYFUNCTION("""COMPUTED_VALUE"""),"Cate Velasco")</f>
        <v>Cate Velasco</v>
      </c>
      <c r="K6989" s="1" t="str">
        <f>IFERROR(__xludf.DUMMYFUNCTION("""COMPUTED_VALUE"""),"Advanced Product Support")</f>
        <v>Advanced Product Support</v>
      </c>
      <c r="L6989" s="1" t="str">
        <f>IFERROR(__xludf.DUMMYFUNCTION("""COMPUTED_VALUE"""),"CPS Advanced Product Support (APS)")</f>
        <v>CPS Advanced Product Support (APS)</v>
      </c>
    </row>
    <row r="6990">
      <c r="A6990" s="1" t="str">
        <f>IFERROR(__xludf.DUMMYFUNCTION("""COMPUTED_VALUE"""),"2025 Dec")</f>
        <v>2025 Dec</v>
      </c>
      <c r="B6990" s="2">
        <f>IFERROR(__xludf.DUMMYFUNCTION("""COMPUTED_VALUE"""),45999.0)</f>
        <v>45999</v>
      </c>
      <c r="C6990" s="1" t="str">
        <f>IFERROR(__xludf.DUMMYFUNCTION("""COMPUTED_VALUE"""),"Segment-specific Support")</f>
        <v>Segment-specific Support</v>
      </c>
      <c r="D6990" s="1" t="str">
        <f>IFERROR(__xludf.DUMMYFUNCTION("""COMPUTED_VALUE"""),"273af0e8-ae9e-4171-b68c-6f2448bbd29f")</f>
        <v>273af0e8-ae9e-4171-b68c-6f2448bbd29f</v>
      </c>
      <c r="E6990" s="1">
        <f>IFERROR(__xludf.DUMMYFUNCTION("""COMPUTED_VALUE"""),1.1401981037583E13)</f>
        <v>11401981037583</v>
      </c>
      <c r="F6990" s="1"/>
      <c r="G6990" s="1"/>
      <c r="H6990" s="3">
        <f>IFERROR(__xludf.DUMMYFUNCTION("""COMPUTED_VALUE"""),0.0)</f>
        <v>0</v>
      </c>
      <c r="I6990" s="4"/>
      <c r="J6990" s="1" t="str">
        <f>IFERROR(__xludf.DUMMYFUNCTION("""COMPUTED_VALUE"""),"Aileen Dayanghirang")</f>
        <v>Aileen Dayanghirang</v>
      </c>
      <c r="K6990" s="1" t="str">
        <f>IFERROR(__xludf.DUMMYFUNCTION("""COMPUTED_VALUE"""),"Creators Support")</f>
        <v>Creators Support</v>
      </c>
      <c r="L6990" s="1" t="str">
        <f>IFERROR(__xludf.DUMMYFUNCTION("""COMPUTED_VALUE"""),"SSS Creators")</f>
        <v>SSS Creators</v>
      </c>
    </row>
    <row r="6991">
      <c r="A6991" s="1" t="str">
        <f>IFERROR(__xludf.DUMMYFUNCTION("""COMPUTED_VALUE"""),"2025 Dec")</f>
        <v>2025 Dec</v>
      </c>
      <c r="B6991" s="2">
        <f>IFERROR(__xludf.DUMMYFUNCTION("""COMPUTED_VALUE"""),45999.0)</f>
        <v>45999</v>
      </c>
      <c r="C6991" s="1" t="str">
        <f>IFERROR(__xludf.DUMMYFUNCTION("""COMPUTED_VALUE"""),"Admin Support")</f>
        <v>Admin Support</v>
      </c>
      <c r="D6991" s="1" t="str">
        <f>IFERROR(__xludf.DUMMYFUNCTION("""COMPUTED_VALUE"""),"d497a055-f2f2-4063-8890-6c9684355e4c")</f>
        <v>d497a055-f2f2-4063-8890-6c9684355e4c</v>
      </c>
      <c r="E6991" s="1">
        <f>IFERROR(__xludf.DUMMYFUNCTION("""COMPUTED_VALUE"""),3.61731515255E11)</f>
        <v>361731515255</v>
      </c>
      <c r="F6991" s="1"/>
      <c r="G6991" s="1"/>
      <c r="H6991" s="3">
        <f>IFERROR(__xludf.DUMMYFUNCTION("""COMPUTED_VALUE"""),0.0)</f>
        <v>0</v>
      </c>
      <c r="I6991" s="4"/>
      <c r="J6991" s="1" t="str">
        <f>IFERROR(__xludf.DUMMYFUNCTION("""COMPUTED_VALUE"""),"Camille Alvarez")</f>
        <v>Camille Alvarez</v>
      </c>
      <c r="K6991" s="1" t="str">
        <f>IFERROR(__xludf.DUMMYFUNCTION("""COMPUTED_VALUE"""),"Admin Support PH SSO")</f>
        <v>Admin Support PH SSO</v>
      </c>
      <c r="L6991" s="1" t="str">
        <f>IFERROR(__xludf.DUMMYFUNCTION("""COMPUTED_VALUE"""),"Admin SSO - SEE")</f>
        <v>Admin SSO - SEE</v>
      </c>
    </row>
    <row r="6992">
      <c r="A6992" s="1" t="str">
        <f>IFERROR(__xludf.DUMMYFUNCTION("""COMPUTED_VALUE"""),"2025 Dec")</f>
        <v>2025 Dec</v>
      </c>
      <c r="B6992" s="2">
        <f>IFERROR(__xludf.DUMMYFUNCTION("""COMPUTED_VALUE"""),45999.0)</f>
        <v>45999</v>
      </c>
      <c r="C6992" s="1" t="str">
        <f>IFERROR(__xludf.DUMMYFUNCTION("""COMPUTED_VALUE"""),"High Sensitivity Support")</f>
        <v>High Sensitivity Support</v>
      </c>
      <c r="D6992" s="1" t="str">
        <f>IFERROR(__xludf.DUMMYFUNCTION("""COMPUTED_VALUE"""),"725213c8-63bc-41f4-927e-adac2805ced0")</f>
        <v>725213c8-63bc-41f4-927e-adac2805ced0</v>
      </c>
      <c r="E6992" s="1">
        <f>IFERROR(__xludf.DUMMYFUNCTION("""COMPUTED_VALUE"""),3.61688633916E11)</f>
        <v>361688633916</v>
      </c>
      <c r="F6992" s="1">
        <f>IFERROR(__xludf.DUMMYFUNCTION("""COMPUTED_VALUE"""),4.0)</f>
        <v>4</v>
      </c>
      <c r="G6992" s="1"/>
      <c r="H6992" s="3">
        <f>IFERROR(__xludf.DUMMYFUNCTION("""COMPUTED_VALUE"""),4.0)</f>
        <v>4</v>
      </c>
      <c r="I6992" s="4">
        <f>IFERROR(__xludf.DUMMYFUNCTION("""COMPUTED_VALUE"""),0.0)</f>
        <v>0</v>
      </c>
      <c r="J6992" s="1" t="str">
        <f>IFERROR(__xludf.DUMMYFUNCTION("""COMPUTED_VALUE"""),"Xandy Azarcon")</f>
        <v>Xandy Azarcon</v>
      </c>
      <c r="K6992" s="1" t="str">
        <f>IFERROR(__xludf.DUMMYFUNCTION("""COMPUTED_VALUE"""),"High Sensitivity Support PH")</f>
        <v>High Sensitivity Support PH</v>
      </c>
      <c r="L6992" s="1" t="str">
        <f>IFERROR(__xludf.DUMMYFUNCTION("""COMPUTED_VALUE"""),"HSS High Sensitivity Support PH - CHT")</f>
        <v>HSS High Sensitivity Support PH - CHT</v>
      </c>
    </row>
    <row r="6993">
      <c r="A6993" s="1" t="str">
        <f>IFERROR(__xludf.DUMMYFUNCTION("""COMPUTED_VALUE"""),"2025 Dec")</f>
        <v>2025 Dec</v>
      </c>
      <c r="B6993" s="2">
        <f>IFERROR(__xludf.DUMMYFUNCTION("""COMPUTED_VALUE"""),45999.0)</f>
        <v>45999</v>
      </c>
      <c r="C6993" s="1" t="str">
        <f>IFERROR(__xludf.DUMMYFUNCTION("""COMPUTED_VALUE"""),"Print Support")</f>
        <v>Print Support</v>
      </c>
      <c r="D6993" s="1" t="str">
        <f>IFERROR(__xludf.DUMMYFUNCTION("""COMPUTED_VALUE"""),"adc14770-23af-4d9e-965d-0e955af819e0")</f>
        <v>adc14770-23af-4d9e-965d-0e955af819e0</v>
      </c>
      <c r="E6993" s="1">
        <f>IFERROR(__xludf.DUMMYFUNCTION("""COMPUTED_VALUE"""),3.61734092356E11)</f>
        <v>361734092356</v>
      </c>
      <c r="F6993" s="1">
        <f>IFERROR(__xludf.DUMMYFUNCTION("""COMPUTED_VALUE"""),2.0)</f>
        <v>2</v>
      </c>
      <c r="G6993" s="1"/>
      <c r="H6993" s="3">
        <f>IFERROR(__xludf.DUMMYFUNCTION("""COMPUTED_VALUE"""),2.0)</f>
        <v>2</v>
      </c>
      <c r="I6993" s="4">
        <f>IFERROR(__xludf.DUMMYFUNCTION("""COMPUTED_VALUE"""),0.0)</f>
        <v>0</v>
      </c>
      <c r="J6993" s="1" t="str">
        <f>IFERROR(__xludf.DUMMYFUNCTION("""COMPUTED_VALUE"""),"Memae Faustino")</f>
        <v>Memae Faustino</v>
      </c>
      <c r="K6993" s="1" t="str">
        <f>IFERROR(__xludf.DUMMYFUNCTION("""COMPUTED_VALUE"""),"Print Support PH")</f>
        <v>Print Support PH</v>
      </c>
      <c r="L6993" s="1" t="str">
        <f>IFERROR(__xludf.DUMMYFUNCTION("""COMPUTED_VALUE"""),"Print Print - SEE")</f>
        <v>Print Print - SEE</v>
      </c>
    </row>
    <row r="6994">
      <c r="A6994" s="1" t="str">
        <f>IFERROR(__xludf.DUMMYFUNCTION("""COMPUTED_VALUE"""),"2025 Dec")</f>
        <v>2025 Dec</v>
      </c>
      <c r="B6994" s="2">
        <f>IFERROR(__xludf.DUMMYFUNCTION("""COMPUTED_VALUE"""),45999.0)</f>
        <v>45999</v>
      </c>
      <c r="C6994" s="1" t="str">
        <f>IFERROR(__xludf.DUMMYFUNCTION("""COMPUTED_VALUE"""),"High Sensitivity Support")</f>
        <v>High Sensitivity Support</v>
      </c>
      <c r="D6994" s="1" t="str">
        <f>IFERROR(__xludf.DUMMYFUNCTION("""COMPUTED_VALUE"""),"d9cfc12e-6b04-430c-bb3b-22b9d67ee77c")</f>
        <v>d9cfc12e-6b04-430c-bb3b-22b9d67ee77c</v>
      </c>
      <c r="E6994" s="1">
        <f>IFERROR(__xludf.DUMMYFUNCTION("""COMPUTED_VALUE"""),9.795905277839E12)</f>
        <v>9795905277839</v>
      </c>
      <c r="F6994" s="1"/>
      <c r="G6994" s="1"/>
      <c r="H6994" s="3">
        <f>IFERROR(__xludf.DUMMYFUNCTION("""COMPUTED_VALUE"""),0.0)</f>
        <v>0</v>
      </c>
      <c r="I6994" s="4"/>
      <c r="J6994" s="1" t="str">
        <f>IFERROR(__xludf.DUMMYFUNCTION("""COMPUTED_VALUE"""),"Issi Afable")</f>
        <v>Issi Afable</v>
      </c>
      <c r="K6994" s="1" t="str">
        <f>IFERROR(__xludf.DUMMYFUNCTION("""COMPUTED_VALUE"""),"High Sensitivity Support PH")</f>
        <v>High Sensitivity Support PH</v>
      </c>
      <c r="L6994" s="1" t="str">
        <f>IFERROR(__xludf.DUMMYFUNCTION("""COMPUTED_VALUE"""),"HSS High Sensitivity Support PH - SEE")</f>
        <v>HSS High Sensitivity Support PH - SEE</v>
      </c>
    </row>
    <row r="6995">
      <c r="A6995" s="1" t="str">
        <f>IFERROR(__xludf.DUMMYFUNCTION("""COMPUTED_VALUE"""),"2025 Dec")</f>
        <v>2025 Dec</v>
      </c>
      <c r="B6995" s="2">
        <f>IFERROR(__xludf.DUMMYFUNCTION("""COMPUTED_VALUE"""),45999.0)</f>
        <v>45999</v>
      </c>
      <c r="C6995" s="1" t="str">
        <f>IFERROR(__xludf.DUMMYFUNCTION("""COMPUTED_VALUE"""),"Core Product Support")</f>
        <v>Core Product Support</v>
      </c>
      <c r="D6995" s="1" t="str">
        <f>IFERROR(__xludf.DUMMYFUNCTION("""COMPUTED_VALUE"""),"d5b38678-ef33-449e-a4d3-7a7a69f2f5cb")</f>
        <v>d5b38678-ef33-449e-a4d3-7a7a69f2f5cb</v>
      </c>
      <c r="E6995" s="1">
        <f>IFERROR(__xludf.DUMMYFUNCTION("""COMPUTED_VALUE"""),3.61857411736E11)</f>
        <v>361857411736</v>
      </c>
      <c r="F6995" s="1">
        <f>IFERROR(__xludf.DUMMYFUNCTION("""COMPUTED_VALUE"""),0.5)</f>
        <v>0.5</v>
      </c>
      <c r="G6995" s="1"/>
      <c r="H6995" s="3">
        <f>IFERROR(__xludf.DUMMYFUNCTION("""COMPUTED_VALUE"""),0.5)</f>
        <v>0.5</v>
      </c>
      <c r="I6995" s="4">
        <f>IFERROR(__xludf.DUMMYFUNCTION("""COMPUTED_VALUE"""),0.0)</f>
        <v>0</v>
      </c>
      <c r="J6995" s="1" t="str">
        <f>IFERROR(__xludf.DUMMYFUNCTION("""COMPUTED_VALUE"""),"Vianca De Jesus")</f>
        <v>Vianca De Jesus</v>
      </c>
      <c r="K6995" s="1" t="str">
        <f>IFERROR(__xludf.DUMMYFUNCTION("""COMPUTED_VALUE"""),"Advanced Chat Support")</f>
        <v>Advanced Chat Support</v>
      </c>
      <c r="L6995" s="1" t="str">
        <f>IFERROR(__xludf.DUMMYFUNCTION("""COMPUTED_VALUE"""),"CPS Advanced Chat Support (ACS)")</f>
        <v>CPS Advanced Chat Support (ACS)</v>
      </c>
    </row>
    <row r="6996">
      <c r="A6996" s="1" t="str">
        <f>IFERROR(__xludf.DUMMYFUNCTION("""COMPUTED_VALUE"""),"2025 Dec")</f>
        <v>2025 Dec</v>
      </c>
      <c r="B6996" s="2">
        <f>IFERROR(__xludf.DUMMYFUNCTION("""COMPUTED_VALUE"""),45999.0)</f>
        <v>45999</v>
      </c>
      <c r="C6996" s="1" t="str">
        <f>IFERROR(__xludf.DUMMYFUNCTION("""COMPUTED_VALUE"""),"Admin Support")</f>
        <v>Admin Support</v>
      </c>
      <c r="D6996" s="1" t="str">
        <f>IFERROR(__xludf.DUMMYFUNCTION("""COMPUTED_VALUE"""),"65280774-7b68-4e6a-9312-4389148cbc01")</f>
        <v>65280774-7b68-4e6a-9312-4389148cbc01</v>
      </c>
      <c r="E6996" s="1">
        <f>IFERROR(__xludf.DUMMYFUNCTION("""COMPUTED_VALUE"""),1.0548588461839E13)</f>
        <v>10548588461839</v>
      </c>
      <c r="F6996" s="1"/>
      <c r="G6996" s="1">
        <f>IFERROR(__xludf.DUMMYFUNCTION("""COMPUTED_VALUE"""),4.0)</f>
        <v>4</v>
      </c>
      <c r="H6996" s="3">
        <f>IFERROR(__xludf.DUMMYFUNCTION("""COMPUTED_VALUE"""),4.0)</f>
        <v>4</v>
      </c>
      <c r="I6996" s="4">
        <f>IFERROR(__xludf.DUMMYFUNCTION("""COMPUTED_VALUE"""),1.0)</f>
        <v>1</v>
      </c>
      <c r="J6996" s="1" t="str">
        <f>IFERROR(__xludf.DUMMYFUNCTION("""COMPUTED_VALUE"""),"Pau Palmero")</f>
        <v>Pau Palmero</v>
      </c>
      <c r="K6996" s="1" t="str">
        <f>IFERROR(__xludf.DUMMYFUNCTION("""COMPUTED_VALUE"""),"Admin Support PH CEDD")</f>
        <v>Admin Support PH CEDD</v>
      </c>
      <c r="L6996" s="1" t="str">
        <f>IFERROR(__xludf.DUMMYFUNCTION("""COMPUTED_VALUE"""),"Admin CEDD Apps,Admin CEDD Inbox Mgt")</f>
        <v>Admin CEDD Apps,Admin CEDD Inbox Mgt</v>
      </c>
    </row>
    <row r="6997">
      <c r="A6997" s="1" t="str">
        <f>IFERROR(__xludf.DUMMYFUNCTION("""COMPUTED_VALUE"""),"2025 Dec")</f>
        <v>2025 Dec</v>
      </c>
      <c r="B6997" s="2">
        <f>IFERROR(__xludf.DUMMYFUNCTION("""COMPUTED_VALUE"""),45999.0)</f>
        <v>45999</v>
      </c>
      <c r="C6997" s="1" t="str">
        <f>IFERROR(__xludf.DUMMYFUNCTION("""COMPUTED_VALUE"""),"Core Product Support")</f>
        <v>Core Product Support</v>
      </c>
      <c r="D6997" s="1" t="str">
        <f>IFERROR(__xludf.DUMMYFUNCTION("""COMPUTED_VALUE"""),"0a5a8f36-7865-4df1-a7d1-fdbafdddd3eb")</f>
        <v>0a5a8f36-7865-4df1-a7d1-fdbafdddd3eb</v>
      </c>
      <c r="E6997" s="1">
        <f>IFERROR(__xludf.DUMMYFUNCTION("""COMPUTED_VALUE"""),3.61731792395E11)</f>
        <v>361731792395</v>
      </c>
      <c r="F6997" s="1"/>
      <c r="G6997" s="1">
        <f>IFERROR(__xludf.DUMMYFUNCTION("""COMPUTED_VALUE"""),3.0)</f>
        <v>3</v>
      </c>
      <c r="H6997" s="3">
        <f>IFERROR(__xludf.DUMMYFUNCTION("""COMPUTED_VALUE"""),3.0)</f>
        <v>3</v>
      </c>
      <c r="I6997" s="4">
        <f>IFERROR(__xludf.DUMMYFUNCTION("""COMPUTED_VALUE"""),1.0)</f>
        <v>1</v>
      </c>
      <c r="J6997" s="1" t="str">
        <f>IFERROR(__xludf.DUMMYFUNCTION("""COMPUTED_VALUE"""),"Sieg Ballelos")</f>
        <v>Sieg Ballelos</v>
      </c>
      <c r="K6997" s="1" t="str">
        <f>IFERROR(__xludf.DUMMYFUNCTION("""COMPUTED_VALUE"""),"Core Product Support Escalation Team")</f>
        <v>Core Product Support Escalation Team</v>
      </c>
      <c r="L6997" s="1" t="str">
        <f>IFERROR(__xludf.DUMMYFUNCTION("""COMPUTED_VALUE"""),"CPS Core Product Support Escalations (CPSET)")</f>
        <v>CPS Core Product Support Escalations (CPSET)</v>
      </c>
    </row>
    <row r="6998">
      <c r="A6998" s="1" t="str">
        <f>IFERROR(__xludf.DUMMYFUNCTION("""COMPUTED_VALUE"""),"2025 Dec")</f>
        <v>2025 Dec</v>
      </c>
      <c r="B6998" s="2">
        <f>IFERROR(__xludf.DUMMYFUNCTION("""COMPUTED_VALUE"""),45999.0)</f>
        <v>45999</v>
      </c>
      <c r="C6998" s="1" t="str">
        <f>IFERROR(__xludf.DUMMYFUNCTION("""COMPUTED_VALUE"""),"Core Product Support")</f>
        <v>Core Product Support</v>
      </c>
      <c r="D6998" s="1" t="str">
        <f>IFERROR(__xludf.DUMMYFUNCTION("""COMPUTED_VALUE"""),"626e971a-a1f2-466b-b3f0-fd32790eb440")</f>
        <v>626e971a-a1f2-466b-b3f0-fd32790eb440</v>
      </c>
      <c r="E6998" s="1">
        <f>IFERROR(__xludf.DUMMYFUNCTION("""COMPUTED_VALUE"""),8.904494781967E12)</f>
        <v>8904494781967</v>
      </c>
      <c r="F6998" s="1">
        <f>IFERROR(__xludf.DUMMYFUNCTION("""COMPUTED_VALUE"""),0.5)</f>
        <v>0.5</v>
      </c>
      <c r="G6998" s="1"/>
      <c r="H6998" s="3">
        <f>IFERROR(__xludf.DUMMYFUNCTION("""COMPUTED_VALUE"""),0.5)</f>
        <v>0.5</v>
      </c>
      <c r="I6998" s="4">
        <f>IFERROR(__xludf.DUMMYFUNCTION("""COMPUTED_VALUE"""),0.0)</f>
        <v>0</v>
      </c>
      <c r="J6998" s="1" t="str">
        <f>IFERROR(__xludf.DUMMYFUNCTION("""COMPUTED_VALUE"""),"Ana Lazaro")</f>
        <v>Ana Lazaro</v>
      </c>
      <c r="K6998" s="1" t="str">
        <f>IFERROR(__xludf.DUMMYFUNCTION("""COMPUTED_VALUE"""),"Advanced Billing &amp; Subscriptions")</f>
        <v>Advanced Billing &amp; Subscriptions</v>
      </c>
      <c r="L6998" s="1" t="str">
        <f>IFERROR(__xludf.DUMMYFUNCTION("""COMPUTED_VALUE"""),"CPS Advanced Billing and Subscriptions (ABS)")</f>
        <v>CPS Advanced Billing and Subscriptions (ABS)</v>
      </c>
    </row>
    <row r="6999">
      <c r="A6999" s="1" t="str">
        <f>IFERROR(__xludf.DUMMYFUNCTION("""COMPUTED_VALUE"""),"2025 Dec")</f>
        <v>2025 Dec</v>
      </c>
      <c r="B6999" s="2">
        <f>IFERROR(__xludf.DUMMYFUNCTION("""COMPUTED_VALUE"""),45999.0)</f>
        <v>45999</v>
      </c>
      <c r="C6999" s="1" t="str">
        <f>IFERROR(__xludf.DUMMYFUNCTION("""COMPUTED_VALUE"""),"Core Product Support")</f>
        <v>Core Product Support</v>
      </c>
      <c r="D6999" s="1" t="str">
        <f>IFERROR(__xludf.DUMMYFUNCTION("""COMPUTED_VALUE"""),"238df195-1311-420b-9bfc-80204048a0d0")</f>
        <v>238df195-1311-420b-9bfc-80204048a0d0</v>
      </c>
      <c r="E6999" s="1">
        <f>IFERROR(__xludf.DUMMYFUNCTION("""COMPUTED_VALUE"""),1.0548626062351E13)</f>
        <v>10548626062351</v>
      </c>
      <c r="F6999" s="1">
        <f>IFERROR(__xludf.DUMMYFUNCTION("""COMPUTED_VALUE"""),0.5)</f>
        <v>0.5</v>
      </c>
      <c r="G6999" s="1"/>
      <c r="H6999" s="3">
        <f>IFERROR(__xludf.DUMMYFUNCTION("""COMPUTED_VALUE"""),0.5)</f>
        <v>0.5</v>
      </c>
      <c r="I6999" s="4">
        <f>IFERROR(__xludf.DUMMYFUNCTION("""COMPUTED_VALUE"""),0.0)</f>
        <v>0</v>
      </c>
      <c r="J6999" s="1" t="str">
        <f>IFERROR(__xludf.DUMMYFUNCTION("""COMPUTED_VALUE"""),"Belle Bentazal")</f>
        <v>Belle Bentazal</v>
      </c>
      <c r="K6999" s="1" t="str">
        <f>IFERROR(__xludf.DUMMYFUNCTION("""COMPUTED_VALUE"""),"Advanced Product Support")</f>
        <v>Advanced Product Support</v>
      </c>
      <c r="L6999" s="1" t="str">
        <f>IFERROR(__xludf.DUMMYFUNCTION("""COMPUTED_VALUE"""),"CPS Advanced Product Support (APS)")</f>
        <v>CPS Advanced Product Support (APS)</v>
      </c>
    </row>
    <row r="7000">
      <c r="A7000" s="1" t="str">
        <f>IFERROR(__xludf.DUMMYFUNCTION("""COMPUTED_VALUE"""),"2025 Dec")</f>
        <v>2025 Dec</v>
      </c>
      <c r="B7000" s="2">
        <f>IFERROR(__xludf.DUMMYFUNCTION("""COMPUTED_VALUE"""),45999.0)</f>
        <v>45999</v>
      </c>
      <c r="C7000" s="1" t="str">
        <f>IFERROR(__xludf.DUMMYFUNCTION("""COMPUTED_VALUE"""),"Admin Support")</f>
        <v>Admin Support</v>
      </c>
      <c r="D7000" s="1" t="str">
        <f>IFERROR(__xludf.DUMMYFUNCTION("""COMPUTED_VALUE"""),"4790af32-fa25-48b3-bdc4-76770b6ef929")</f>
        <v>4790af32-fa25-48b3-bdc4-76770b6ef929</v>
      </c>
      <c r="E7000" s="1">
        <f>IFERROR(__xludf.DUMMYFUNCTION("""COMPUTED_VALUE"""),9.107735174799E12)</f>
        <v>9107735174799</v>
      </c>
      <c r="F7000" s="1"/>
      <c r="G7000" s="1">
        <f>IFERROR(__xludf.DUMMYFUNCTION("""COMPUTED_VALUE"""),4.75)</f>
        <v>4.75</v>
      </c>
      <c r="H7000" s="3">
        <f>IFERROR(__xludf.DUMMYFUNCTION("""COMPUTED_VALUE"""),4.75)</f>
        <v>4.75</v>
      </c>
      <c r="I7000" s="4">
        <f>IFERROR(__xludf.DUMMYFUNCTION("""COMPUTED_VALUE"""),1.0)</f>
        <v>1</v>
      </c>
      <c r="J7000" s="1" t="str">
        <f>IFERROR(__xludf.DUMMYFUNCTION("""COMPUTED_VALUE"""),"Pau Palmero")</f>
        <v>Pau Palmero</v>
      </c>
      <c r="K7000" s="1" t="str">
        <f>IFERROR(__xludf.DUMMYFUNCTION("""COMPUTED_VALUE"""),"Admin Support PH CEDD")</f>
        <v>Admin Support PH CEDD</v>
      </c>
      <c r="L7000" s="1" t="str">
        <f>IFERROR(__xludf.DUMMYFUNCTION("""COMPUTED_VALUE"""),"Admin CEDD Apps,Admin CEDD Inbox Mgt,Admin Rostering")</f>
        <v>Admin CEDD Apps,Admin CEDD Inbox Mgt,Admin Rostering</v>
      </c>
    </row>
    <row r="7001">
      <c r="A7001" s="1" t="str">
        <f>IFERROR(__xludf.DUMMYFUNCTION("""COMPUTED_VALUE"""),"2025 Dec")</f>
        <v>2025 Dec</v>
      </c>
      <c r="B7001" s="2">
        <f>IFERROR(__xludf.DUMMYFUNCTION("""COMPUTED_VALUE"""),45999.0)</f>
        <v>45999</v>
      </c>
      <c r="C7001" s="1" t="str">
        <f>IFERROR(__xludf.DUMMYFUNCTION("""COMPUTED_VALUE"""),"Multilingual Support")</f>
        <v>Multilingual Support</v>
      </c>
      <c r="D7001" s="1" t="str">
        <f>IFERROR(__xludf.DUMMYFUNCTION("""COMPUTED_VALUE"""),"c4abd336-8a5c-43a4-942f-2d3f5b2e85fd")</f>
        <v>c4abd336-8a5c-43a4-942f-2d3f5b2e85fd</v>
      </c>
      <c r="E7001" s="1">
        <f>IFERROR(__xludf.DUMMYFUNCTION("""COMPUTED_VALUE"""),6.936778850319E12)</f>
        <v>6936778850319</v>
      </c>
      <c r="F7001" s="1"/>
      <c r="G7001" s="1"/>
      <c r="H7001" s="3">
        <f>IFERROR(__xludf.DUMMYFUNCTION("""COMPUTED_VALUE"""),0.0)</f>
        <v>0</v>
      </c>
      <c r="I7001" s="4"/>
      <c r="J7001" s="1" t="str">
        <f>IFERROR(__xludf.DUMMYFUNCTION("""COMPUTED_VALUE"""),"Arlene Maurillo")</f>
        <v>Arlene Maurillo</v>
      </c>
      <c r="K7001" s="1" t="str">
        <f>IFERROR(__xludf.DUMMYFUNCTION("""COMPUTED_VALUE"""),"PHL, Multilingual Support")</f>
        <v>PHL, Multilingual Support</v>
      </c>
      <c r="L7001" s="1" t="str">
        <f>IFERROR(__xludf.DUMMYFUNCTION("""COMPUTED_VALUE"""),"ML Japanese Support")</f>
        <v>ML Japanese Support</v>
      </c>
    </row>
    <row r="7002">
      <c r="A7002" s="1" t="str">
        <f>IFERROR(__xludf.DUMMYFUNCTION("""COMPUTED_VALUE"""),"2025 Dec")</f>
        <v>2025 Dec</v>
      </c>
      <c r="B7002" s="2">
        <f>IFERROR(__xludf.DUMMYFUNCTION("""COMPUTED_VALUE"""),45999.0)</f>
        <v>45999</v>
      </c>
      <c r="C7002" s="1" t="str">
        <f>IFERROR(__xludf.DUMMYFUNCTION("""COMPUTED_VALUE"""),"Core Product Support")</f>
        <v>Core Product Support</v>
      </c>
      <c r="D7002" s="1" t="str">
        <f>IFERROR(__xludf.DUMMYFUNCTION("""COMPUTED_VALUE"""),"99085273-2cc4-4932-aad9-eac22f3b9709")</f>
        <v>99085273-2cc4-4932-aad9-eac22f3b9709</v>
      </c>
      <c r="E7002" s="1">
        <f>IFERROR(__xludf.DUMMYFUNCTION("""COMPUTED_VALUE"""),3.61732054935E11)</f>
        <v>361732054935</v>
      </c>
      <c r="F7002" s="1">
        <f>IFERROR(__xludf.DUMMYFUNCTION("""COMPUTED_VALUE"""),0.5)</f>
        <v>0.5</v>
      </c>
      <c r="G7002" s="1"/>
      <c r="H7002" s="3">
        <f>IFERROR(__xludf.DUMMYFUNCTION("""COMPUTED_VALUE"""),0.5)</f>
        <v>0.5</v>
      </c>
      <c r="I7002" s="4">
        <f>IFERROR(__xludf.DUMMYFUNCTION("""COMPUTED_VALUE"""),0.0)</f>
        <v>0</v>
      </c>
      <c r="J7002" s="1" t="str">
        <f>IFERROR(__xludf.DUMMYFUNCTION("""COMPUTED_VALUE"""),"Jem Mondoñedo")</f>
        <v>Jem Mondoñedo</v>
      </c>
      <c r="K7002" s="1" t="str">
        <f>IFERROR(__xludf.DUMMYFUNCTION("""COMPUTED_VALUE"""),"Advanced Chat Support")</f>
        <v>Advanced Chat Support</v>
      </c>
      <c r="L7002" s="1" t="str">
        <f>IFERROR(__xludf.DUMMYFUNCTION("""COMPUTED_VALUE"""),"CPS Advanced Chat Support (ACS)")</f>
        <v>CPS Advanced Chat Support (ACS)</v>
      </c>
    </row>
    <row r="7003">
      <c r="A7003" s="1" t="str">
        <f>IFERROR(__xludf.DUMMYFUNCTION("""COMPUTED_VALUE"""),"2025 Dec")</f>
        <v>2025 Dec</v>
      </c>
      <c r="B7003" s="2">
        <f>IFERROR(__xludf.DUMMYFUNCTION("""COMPUTED_VALUE"""),45999.0)</f>
        <v>45999</v>
      </c>
      <c r="C7003" s="1" t="str">
        <f>IFERROR(__xludf.DUMMYFUNCTION("""COMPUTED_VALUE"""),"Admin Support")</f>
        <v>Admin Support</v>
      </c>
      <c r="D7003" s="1" t="str">
        <f>IFERROR(__xludf.DUMMYFUNCTION("""COMPUTED_VALUE"""),"c4296942-0752-4ab1-a016-50f83ec4677d")</f>
        <v>c4296942-0752-4ab1-a016-50f83ec4677d</v>
      </c>
      <c r="E7003" s="1">
        <f>IFERROR(__xludf.DUMMYFUNCTION("""COMPUTED_VALUE"""),3.61732055015E11)</f>
        <v>361732055015</v>
      </c>
      <c r="F7003" s="1"/>
      <c r="G7003" s="1">
        <f>IFERROR(__xludf.DUMMYFUNCTION("""COMPUTED_VALUE"""),0.75)</f>
        <v>0.75</v>
      </c>
      <c r="H7003" s="3">
        <f>IFERROR(__xludf.DUMMYFUNCTION("""COMPUTED_VALUE"""),0.75)</f>
        <v>0.75</v>
      </c>
      <c r="I7003" s="4">
        <f>IFERROR(__xludf.DUMMYFUNCTION("""COMPUTED_VALUE"""),1.0)</f>
        <v>1</v>
      </c>
      <c r="J7003" s="1" t="str">
        <f>IFERROR(__xludf.DUMMYFUNCTION("""COMPUTED_VALUE"""),"AL Suarez")</f>
        <v>AL Suarez</v>
      </c>
      <c r="K7003" s="1" t="str">
        <f>IFERROR(__xludf.DUMMYFUNCTION("""COMPUTED_VALUE"""),"Admin Support PH")</f>
        <v>Admin Support PH</v>
      </c>
      <c r="L7003" s="1" t="str">
        <f>IFERROR(__xludf.DUMMYFUNCTION("""COMPUTED_VALUE"""),"Admin PH")</f>
        <v>Admin PH</v>
      </c>
    </row>
    <row r="7004">
      <c r="A7004" s="1" t="str">
        <f>IFERROR(__xludf.DUMMYFUNCTION("""COMPUTED_VALUE"""),"2025 Dec")</f>
        <v>2025 Dec</v>
      </c>
      <c r="B7004" s="2">
        <f>IFERROR(__xludf.DUMMYFUNCTION("""COMPUTED_VALUE"""),45999.0)</f>
        <v>45999</v>
      </c>
      <c r="C7004" s="1" t="str">
        <f>IFERROR(__xludf.DUMMYFUNCTION("""COMPUTED_VALUE"""),"Print Support")</f>
        <v>Print Support</v>
      </c>
      <c r="D7004" s="1" t="str">
        <f>IFERROR(__xludf.DUMMYFUNCTION("""COMPUTED_VALUE"""),"e612249c-8f64-415b-befe-bb7e6027b43c")</f>
        <v>e612249c-8f64-415b-befe-bb7e6027b43c</v>
      </c>
      <c r="E7004" s="1">
        <f>IFERROR(__xludf.DUMMYFUNCTION("""COMPUTED_VALUE"""),1.3475806334735E13)</f>
        <v>13475806334735</v>
      </c>
      <c r="F7004" s="1"/>
      <c r="G7004" s="1"/>
      <c r="H7004" s="3">
        <f>IFERROR(__xludf.DUMMYFUNCTION("""COMPUTED_VALUE"""),0.0)</f>
        <v>0</v>
      </c>
      <c r="I7004" s="4"/>
      <c r="J7004" s="1" t="str">
        <f>IFERROR(__xludf.DUMMYFUNCTION("""COMPUTED_VALUE"""),"Rei De Jesus")</f>
        <v>Rei De Jesus</v>
      </c>
      <c r="K7004" s="1" t="str">
        <f>IFERROR(__xludf.DUMMYFUNCTION("""COMPUTED_VALUE"""),"Print Design Support")</f>
        <v>Print Design Support</v>
      </c>
      <c r="L7004" s="1" t="str">
        <f>IFERROR(__xludf.DUMMYFUNCTION("""COMPUTED_VALUE"""),"Print Print Design")</f>
        <v>Print Print Design</v>
      </c>
    </row>
    <row r="7005">
      <c r="A7005" s="1" t="str">
        <f>IFERROR(__xludf.DUMMYFUNCTION("""COMPUTED_VALUE"""),"2025 Dec")</f>
        <v>2025 Dec</v>
      </c>
      <c r="B7005" s="2">
        <f>IFERROR(__xludf.DUMMYFUNCTION("""COMPUTED_VALUE"""),45999.0)</f>
        <v>45999</v>
      </c>
      <c r="C7005" s="1" t="str">
        <f>IFERROR(__xludf.DUMMYFUNCTION("""COMPUTED_VALUE"""),"Core Product Support")</f>
        <v>Core Product Support</v>
      </c>
      <c r="D7005" s="1" t="str">
        <f>IFERROR(__xludf.DUMMYFUNCTION("""COMPUTED_VALUE"""),"3623161b-ff5b-4aee-8826-3d6522587a06")</f>
        <v>3623161b-ff5b-4aee-8826-3d6522587a06</v>
      </c>
      <c r="E7005" s="1"/>
      <c r="F7005" s="1">
        <f>IFERROR(__xludf.DUMMYFUNCTION("""COMPUTED_VALUE"""),0.5)</f>
        <v>0.5</v>
      </c>
      <c r="G7005" s="1"/>
      <c r="H7005" s="3">
        <f>IFERROR(__xludf.DUMMYFUNCTION("""COMPUTED_VALUE"""),0.5)</f>
        <v>0.5</v>
      </c>
      <c r="I7005" s="4">
        <f>IFERROR(__xludf.DUMMYFUNCTION("""COMPUTED_VALUE"""),0.0)</f>
        <v>0</v>
      </c>
      <c r="J7005" s="1" t="str">
        <f>IFERROR(__xludf.DUMMYFUNCTION("""COMPUTED_VALUE"""),"Marie Mordeno")</f>
        <v>Marie Mordeno</v>
      </c>
      <c r="K7005" s="1" t="str">
        <f>IFERROR(__xludf.DUMMYFUNCTION("""COMPUTED_VALUE"""),"Advanced Billing &amp; Subscriptions")</f>
        <v>Advanced Billing &amp; Subscriptions</v>
      </c>
      <c r="L7005" s="1" t="str">
        <f>IFERROR(__xludf.DUMMYFUNCTION("""COMPUTED_VALUE"""),"CPS Advanced Billing and Subscriptions (ABS)")</f>
        <v>CPS Advanced Billing and Subscriptions (ABS)</v>
      </c>
    </row>
    <row r="7006">
      <c r="A7006" s="1" t="str">
        <f>IFERROR(__xludf.DUMMYFUNCTION("""COMPUTED_VALUE"""),"2025 Dec")</f>
        <v>2025 Dec</v>
      </c>
      <c r="B7006" s="2">
        <f>IFERROR(__xludf.DUMMYFUNCTION("""COMPUTED_VALUE"""),45999.0)</f>
        <v>45999</v>
      </c>
      <c r="C7006" s="1" t="str">
        <f>IFERROR(__xludf.DUMMYFUNCTION("""COMPUTED_VALUE"""),"Admin Support")</f>
        <v>Admin Support</v>
      </c>
      <c r="D7006" s="1" t="str">
        <f>IFERROR(__xludf.DUMMYFUNCTION("""COMPUTED_VALUE"""),"ae4ace4e-6cd8-4a8d-bb18-10768406ce5b")</f>
        <v>ae4ace4e-6cd8-4a8d-bb18-10768406ce5b</v>
      </c>
      <c r="E7006" s="1">
        <f>IFERROR(__xludf.DUMMYFUNCTION("""COMPUTED_VALUE"""),3.61725374736E11)</f>
        <v>361725374736</v>
      </c>
      <c r="F7006" s="1"/>
      <c r="G7006" s="1">
        <f>IFERROR(__xludf.DUMMYFUNCTION("""COMPUTED_VALUE"""),0.25)</f>
        <v>0.25</v>
      </c>
      <c r="H7006" s="3">
        <f>IFERROR(__xludf.DUMMYFUNCTION("""COMPUTED_VALUE"""),0.25)</f>
        <v>0.25</v>
      </c>
      <c r="I7006" s="4">
        <f>IFERROR(__xludf.DUMMYFUNCTION("""COMPUTED_VALUE"""),1.0)</f>
        <v>1</v>
      </c>
      <c r="J7006" s="1" t="str">
        <f>IFERROR(__xludf.DUMMYFUNCTION("""COMPUTED_VALUE"""),"AL Suarez")</f>
        <v>AL Suarez</v>
      </c>
      <c r="K7006" s="1" t="str">
        <f>IFERROR(__xludf.DUMMYFUNCTION("""COMPUTED_VALUE"""),"Admin Support PH")</f>
        <v>Admin Support PH</v>
      </c>
      <c r="L7006" s="1" t="str">
        <f>IFERROR(__xludf.DUMMYFUNCTION("""COMPUTED_VALUE"""),"Admin PH")</f>
        <v>Admin PH</v>
      </c>
    </row>
    <row r="7007">
      <c r="A7007" s="1" t="str">
        <f>IFERROR(__xludf.DUMMYFUNCTION("""COMPUTED_VALUE"""),"2025 Dec")</f>
        <v>2025 Dec</v>
      </c>
      <c r="B7007" s="2">
        <f>IFERROR(__xludf.DUMMYFUNCTION("""COMPUTED_VALUE"""),45999.0)</f>
        <v>45999</v>
      </c>
      <c r="C7007" s="1" t="str">
        <f>IFERROR(__xludf.DUMMYFUNCTION("""COMPUTED_VALUE"""),"Print Support")</f>
        <v>Print Support</v>
      </c>
      <c r="D7007" s="1" t="str">
        <f>IFERROR(__xludf.DUMMYFUNCTION("""COMPUTED_VALUE"""),"099dd243-b724-478e-9692-79686402a18c")</f>
        <v>099dd243-b724-478e-9692-79686402a18c</v>
      </c>
      <c r="E7007" s="1">
        <f>IFERROR(__xludf.DUMMYFUNCTION("""COMPUTED_VALUE"""),3.61731348935E11)</f>
        <v>361731348935</v>
      </c>
      <c r="F7007" s="1">
        <f>IFERROR(__xludf.DUMMYFUNCTION("""COMPUTED_VALUE"""),2.0)</f>
        <v>2</v>
      </c>
      <c r="G7007" s="1"/>
      <c r="H7007" s="3">
        <f>IFERROR(__xludf.DUMMYFUNCTION("""COMPUTED_VALUE"""),2.0)</f>
        <v>2</v>
      </c>
      <c r="I7007" s="4">
        <f>IFERROR(__xludf.DUMMYFUNCTION("""COMPUTED_VALUE"""),0.0)</f>
        <v>0</v>
      </c>
      <c r="J7007" s="1" t="str">
        <f>IFERROR(__xludf.DUMMYFUNCTION("""COMPUTED_VALUE"""),"Memae Faustino")</f>
        <v>Memae Faustino</v>
      </c>
      <c r="K7007" s="1" t="str">
        <f>IFERROR(__xludf.DUMMYFUNCTION("""COMPUTED_VALUE"""),"Print Support PH")</f>
        <v>Print Support PH</v>
      </c>
      <c r="L7007" s="1" t="str">
        <f>IFERROR(__xludf.DUMMYFUNCTION("""COMPUTED_VALUE"""),"Print Print - SEE")</f>
        <v>Print Print - SEE</v>
      </c>
    </row>
    <row r="7008">
      <c r="A7008" s="1" t="str">
        <f>IFERROR(__xludf.DUMMYFUNCTION("""COMPUTED_VALUE"""),"2025 Dec")</f>
        <v>2025 Dec</v>
      </c>
      <c r="B7008" s="2">
        <f>IFERROR(__xludf.DUMMYFUNCTION("""COMPUTED_VALUE"""),45999.0)</f>
        <v>45999</v>
      </c>
      <c r="C7008" s="1" t="str">
        <f>IFERROR(__xludf.DUMMYFUNCTION("""COMPUTED_VALUE"""),"Multilingual Support")</f>
        <v>Multilingual Support</v>
      </c>
      <c r="D7008" s="1" t="str">
        <f>IFERROR(__xludf.DUMMYFUNCTION("""COMPUTED_VALUE"""),"65e111e9-ab12-453f-afa3-155200027cc6")</f>
        <v>65e111e9-ab12-453f-afa3-155200027cc6</v>
      </c>
      <c r="E7008" s="1">
        <f>IFERROR(__xludf.DUMMYFUNCTION("""COMPUTED_VALUE"""),6.392444639375E12)</f>
        <v>6392444639375</v>
      </c>
      <c r="F7008" s="1"/>
      <c r="G7008" s="1"/>
      <c r="H7008" s="3">
        <f>IFERROR(__xludf.DUMMYFUNCTION("""COMPUTED_VALUE"""),0.0)</f>
        <v>0</v>
      </c>
      <c r="I7008" s="4"/>
      <c r="J7008" s="1" t="str">
        <f>IFERROR(__xludf.DUMMYFUNCTION("""COMPUTED_VALUE"""),"Arlene Maurillo")</f>
        <v>Arlene Maurillo</v>
      </c>
      <c r="K7008" s="1" t="str">
        <f>IFERROR(__xludf.DUMMYFUNCTION("""COMPUTED_VALUE"""),"PHL, Multilingual Support")</f>
        <v>PHL, Multilingual Support</v>
      </c>
      <c r="L7008" s="1" t="str">
        <f>IFERROR(__xludf.DUMMYFUNCTION("""COMPUTED_VALUE"""),"ML Portuguese Support")</f>
        <v>ML Portuguese Support</v>
      </c>
    </row>
    <row r="7009">
      <c r="A7009" s="1" t="str">
        <f>IFERROR(__xludf.DUMMYFUNCTION("""COMPUTED_VALUE"""),"2025 Dec")</f>
        <v>2025 Dec</v>
      </c>
      <c r="B7009" s="2">
        <f>IFERROR(__xludf.DUMMYFUNCTION("""COMPUTED_VALUE"""),45999.0)</f>
        <v>45999</v>
      </c>
      <c r="C7009" s="1" t="str">
        <f>IFERROR(__xludf.DUMMYFUNCTION("""COMPUTED_VALUE"""),"Core Product Support")</f>
        <v>Core Product Support</v>
      </c>
      <c r="D7009" s="1" t="str">
        <f>IFERROR(__xludf.DUMMYFUNCTION("""COMPUTED_VALUE"""),"5cc46a1e-c49d-4562-acbb-742a43deb5f7")</f>
        <v>5cc46a1e-c49d-4562-acbb-742a43deb5f7</v>
      </c>
      <c r="E7009" s="1">
        <f>IFERROR(__xludf.DUMMYFUNCTION("""COMPUTED_VALUE"""),1.0548581777679E13)</f>
        <v>10548581777679</v>
      </c>
      <c r="F7009" s="1">
        <f>IFERROR(__xludf.DUMMYFUNCTION("""COMPUTED_VALUE"""),0.5)</f>
        <v>0.5</v>
      </c>
      <c r="G7009" s="1"/>
      <c r="H7009" s="3">
        <f>IFERROR(__xludf.DUMMYFUNCTION("""COMPUTED_VALUE"""),0.5)</f>
        <v>0.5</v>
      </c>
      <c r="I7009" s="4">
        <f>IFERROR(__xludf.DUMMYFUNCTION("""COMPUTED_VALUE"""),0.0)</f>
        <v>0</v>
      </c>
      <c r="J7009" s="1" t="str">
        <f>IFERROR(__xludf.DUMMYFUNCTION("""COMPUTED_VALUE"""),"Jem Mondoñedo")</f>
        <v>Jem Mondoñedo</v>
      </c>
      <c r="K7009" s="1" t="str">
        <f>IFERROR(__xludf.DUMMYFUNCTION("""COMPUTED_VALUE"""),"Advanced Billing &amp; Subscriptions")</f>
        <v>Advanced Billing &amp; Subscriptions</v>
      </c>
      <c r="L7009" s="1" t="str">
        <f>IFERROR(__xludf.DUMMYFUNCTION("""COMPUTED_VALUE"""),"CPS Advanced Billing and Subscriptions (ABS)")</f>
        <v>CPS Advanced Billing and Subscriptions (ABS)</v>
      </c>
    </row>
    <row r="7010">
      <c r="A7010" s="1" t="str">
        <f>IFERROR(__xludf.DUMMYFUNCTION("""COMPUTED_VALUE"""),"2025 Dec")</f>
        <v>2025 Dec</v>
      </c>
      <c r="B7010" s="2">
        <f>IFERROR(__xludf.DUMMYFUNCTION("""COMPUTED_VALUE"""),45999.0)</f>
        <v>45999</v>
      </c>
      <c r="C7010" s="1" t="str">
        <f>IFERROR(__xludf.DUMMYFUNCTION("""COMPUTED_VALUE"""),"Print Support")</f>
        <v>Print Support</v>
      </c>
      <c r="D7010" s="1" t="str">
        <f>IFERROR(__xludf.DUMMYFUNCTION("""COMPUTED_VALUE"""),"1d59ca6e-6219-4532-99a2-f499de8a1287")</f>
        <v>1d59ca6e-6219-4532-99a2-f499de8a1287</v>
      </c>
      <c r="E7010" s="1"/>
      <c r="F7010" s="1"/>
      <c r="G7010" s="1"/>
      <c r="H7010" s="3">
        <f>IFERROR(__xludf.DUMMYFUNCTION("""COMPUTED_VALUE"""),0.0)</f>
        <v>0</v>
      </c>
      <c r="I7010" s="4"/>
      <c r="J7010" s="1" t="str">
        <f>IFERROR(__xludf.DUMMYFUNCTION("""COMPUTED_VALUE"""),"Aliza Dote")</f>
        <v>Aliza Dote</v>
      </c>
      <c r="K7010" s="1" t="str">
        <f>IFERROR(__xludf.DUMMYFUNCTION("""COMPUTED_VALUE"""),"Print Design Support")</f>
        <v>Print Design Support</v>
      </c>
      <c r="L7010" s="1" t="str">
        <f>IFERROR(__xludf.DUMMYFUNCTION("""COMPUTED_VALUE"""),"Print Print Design")</f>
        <v>Print Print Design</v>
      </c>
    </row>
    <row r="7011">
      <c r="A7011" s="1" t="str">
        <f>IFERROR(__xludf.DUMMYFUNCTION("""COMPUTED_VALUE"""),"2025 Dec")</f>
        <v>2025 Dec</v>
      </c>
      <c r="B7011" s="2">
        <f>IFERROR(__xludf.DUMMYFUNCTION("""COMPUTED_VALUE"""),45999.0)</f>
        <v>45999</v>
      </c>
      <c r="C7011" s="1" t="str">
        <f>IFERROR(__xludf.DUMMYFUNCTION("""COMPUTED_VALUE"""),"Print Support")</f>
        <v>Print Support</v>
      </c>
      <c r="D7011" s="1" t="str">
        <f>IFERROR(__xludf.DUMMYFUNCTION("""COMPUTED_VALUE"""),"3eea6a70-1d1f-4def-93fa-d9de190c7fd7")</f>
        <v>3eea6a70-1d1f-4def-93fa-d9de190c7fd7</v>
      </c>
      <c r="E7011" s="1">
        <f>IFERROR(__xludf.DUMMYFUNCTION("""COMPUTED_VALUE"""),3.61726424736E11)</f>
        <v>361726424736</v>
      </c>
      <c r="F7011" s="1">
        <f>IFERROR(__xludf.DUMMYFUNCTION("""COMPUTED_VALUE"""),2.0)</f>
        <v>2</v>
      </c>
      <c r="G7011" s="1"/>
      <c r="H7011" s="3">
        <f>IFERROR(__xludf.DUMMYFUNCTION("""COMPUTED_VALUE"""),2.0)</f>
        <v>2</v>
      </c>
      <c r="I7011" s="4">
        <f>IFERROR(__xludf.DUMMYFUNCTION("""COMPUTED_VALUE"""),0.0)</f>
        <v>0</v>
      </c>
      <c r="J7011" s="1" t="str">
        <f>IFERROR(__xludf.DUMMYFUNCTION("""COMPUTED_VALUE"""),"Memae Faustino")</f>
        <v>Memae Faustino</v>
      </c>
      <c r="K7011" s="1" t="str">
        <f>IFERROR(__xludf.DUMMYFUNCTION("""COMPUTED_VALUE"""),"Print Support PH")</f>
        <v>Print Support PH</v>
      </c>
      <c r="L7011" s="1" t="str">
        <f>IFERROR(__xludf.DUMMYFUNCTION("""COMPUTED_VALUE"""),"Print Print - SEE")</f>
        <v>Print Print - SEE</v>
      </c>
    </row>
    <row r="7012">
      <c r="A7012" s="1" t="str">
        <f>IFERROR(__xludf.DUMMYFUNCTION("""COMPUTED_VALUE"""),"2025 Dec")</f>
        <v>2025 Dec</v>
      </c>
      <c r="B7012" s="2">
        <f>IFERROR(__xludf.DUMMYFUNCTION("""COMPUTED_VALUE"""),45999.0)</f>
        <v>45999</v>
      </c>
      <c r="C7012" s="1" t="str">
        <f>IFERROR(__xludf.DUMMYFUNCTION("""COMPUTED_VALUE"""),"High Sensitivity Support")</f>
        <v>High Sensitivity Support</v>
      </c>
      <c r="D7012" s="1" t="str">
        <f>IFERROR(__xludf.DUMMYFUNCTION("""COMPUTED_VALUE"""),"10c46fa3-c076-41b6-9aad-4ec7c4a07294")</f>
        <v>10c46fa3-c076-41b6-9aad-4ec7c4a07294</v>
      </c>
      <c r="E7012" s="1">
        <f>IFERROR(__xludf.DUMMYFUNCTION("""COMPUTED_VALUE"""),7.235815910671E12)</f>
        <v>7235815910671</v>
      </c>
      <c r="F7012" s="1">
        <f>IFERROR(__xludf.DUMMYFUNCTION("""COMPUTED_VALUE"""),4.0)</f>
        <v>4</v>
      </c>
      <c r="G7012" s="1"/>
      <c r="H7012" s="3">
        <f>IFERROR(__xludf.DUMMYFUNCTION("""COMPUTED_VALUE"""),4.0)</f>
        <v>4</v>
      </c>
      <c r="I7012" s="4">
        <f>IFERROR(__xludf.DUMMYFUNCTION("""COMPUTED_VALUE"""),0.0)</f>
        <v>0</v>
      </c>
      <c r="J7012" s="1" t="str">
        <f>IFERROR(__xludf.DUMMYFUNCTION("""COMPUTED_VALUE"""),"Xandy Azarcon")</f>
        <v>Xandy Azarcon</v>
      </c>
      <c r="K7012" s="1" t="str">
        <f>IFERROR(__xludf.DUMMYFUNCTION("""COMPUTED_VALUE"""),"High Sensitivity Support PH")</f>
        <v>High Sensitivity Support PH</v>
      </c>
      <c r="L7012" s="1" t="str">
        <f>IFERROR(__xludf.DUMMYFUNCTION("""COMPUTED_VALUE"""),"HSS High Sensitivity Support PH - CHT")</f>
        <v>HSS High Sensitivity Support PH - CHT</v>
      </c>
    </row>
    <row r="7013">
      <c r="A7013" s="1" t="str">
        <f>IFERROR(__xludf.DUMMYFUNCTION("""COMPUTED_VALUE"""),"2025 Dec")</f>
        <v>2025 Dec</v>
      </c>
      <c r="B7013" s="2">
        <f>IFERROR(__xludf.DUMMYFUNCTION("""COMPUTED_VALUE"""),45999.0)</f>
        <v>45999</v>
      </c>
      <c r="C7013" s="1" t="str">
        <f>IFERROR(__xludf.DUMMYFUNCTION("""COMPUTED_VALUE"""),"Core Product Support")</f>
        <v>Core Product Support</v>
      </c>
      <c r="D7013" s="1" t="str">
        <f>IFERROR(__xludf.DUMMYFUNCTION("""COMPUTED_VALUE"""),"cf4102e5-f522-43ac-bf51-15cc96666fde")</f>
        <v>cf4102e5-f522-43ac-bf51-15cc96666fde</v>
      </c>
      <c r="E7013" s="1"/>
      <c r="F7013" s="1">
        <f>IFERROR(__xludf.DUMMYFUNCTION("""COMPUTED_VALUE"""),0.5)</f>
        <v>0.5</v>
      </c>
      <c r="G7013" s="1"/>
      <c r="H7013" s="3">
        <f>IFERROR(__xludf.DUMMYFUNCTION("""COMPUTED_VALUE"""),0.5)</f>
        <v>0.5</v>
      </c>
      <c r="I7013" s="4">
        <f>IFERROR(__xludf.DUMMYFUNCTION("""COMPUTED_VALUE"""),0.0)</f>
        <v>0</v>
      </c>
      <c r="J7013" s="1" t="str">
        <f>IFERROR(__xludf.DUMMYFUNCTION("""COMPUTED_VALUE"""),"Mikhaela Decangchon")</f>
        <v>Mikhaela Decangchon</v>
      </c>
      <c r="K7013" s="1" t="str">
        <f>IFERROR(__xludf.DUMMYFUNCTION("""COMPUTED_VALUE"""),"Advanced Product Support")</f>
        <v>Advanced Product Support</v>
      </c>
      <c r="L7013" s="1" t="str">
        <f>IFERROR(__xludf.DUMMYFUNCTION("""COMPUTED_VALUE"""),"CPS Advanced Product Support (APS)")</f>
        <v>CPS Advanced Product Support (APS)</v>
      </c>
    </row>
    <row r="7014">
      <c r="A7014" s="1" t="str">
        <f>IFERROR(__xludf.DUMMYFUNCTION("""COMPUTED_VALUE"""),"2025 Dec")</f>
        <v>2025 Dec</v>
      </c>
      <c r="B7014" s="2">
        <f>IFERROR(__xludf.DUMMYFUNCTION("""COMPUTED_VALUE"""),45999.0)</f>
        <v>45999</v>
      </c>
      <c r="C7014" s="1" t="str">
        <f>IFERROR(__xludf.DUMMYFUNCTION("""COMPUTED_VALUE"""),"Core Product Support")</f>
        <v>Core Product Support</v>
      </c>
      <c r="D7014" s="1" t="str">
        <f>IFERROR(__xludf.DUMMYFUNCTION("""COMPUTED_VALUE"""),"b0e1557c-d0d9-4265-a67b-f94aae240d24")</f>
        <v>b0e1557c-d0d9-4265-a67b-f94aae240d24</v>
      </c>
      <c r="E7014" s="1">
        <f>IFERROR(__xludf.DUMMYFUNCTION("""COMPUTED_VALUE"""),8.519267619343E12)</f>
        <v>8519267619343</v>
      </c>
      <c r="F7014" s="1"/>
      <c r="G7014" s="1">
        <f>IFERROR(__xludf.DUMMYFUNCTION("""COMPUTED_VALUE"""),1.5)</f>
        <v>1.5</v>
      </c>
      <c r="H7014" s="3">
        <f>IFERROR(__xludf.DUMMYFUNCTION("""COMPUTED_VALUE"""),1.5)</f>
        <v>1.5</v>
      </c>
      <c r="I7014" s="4">
        <f>IFERROR(__xludf.DUMMYFUNCTION("""COMPUTED_VALUE"""),1.0)</f>
        <v>1</v>
      </c>
      <c r="J7014" s="1" t="str">
        <f>IFERROR(__xludf.DUMMYFUNCTION("""COMPUTED_VALUE"""),"Jahmie Mae Barrameda")</f>
        <v>Jahmie Mae Barrameda</v>
      </c>
      <c r="K7014" s="1" t="str">
        <f>IFERROR(__xludf.DUMMYFUNCTION("""COMPUTED_VALUE"""),"Advanced Billing &amp; Subscriptions")</f>
        <v>Advanced Billing &amp; Subscriptions</v>
      </c>
      <c r="L7014" s="1" t="str">
        <f>IFERROR(__xludf.DUMMYFUNCTION("""COMPUTED_VALUE"""),"CPS Advanced Billing and Subscriptions (ABS)")</f>
        <v>CPS Advanced Billing and Subscriptions (ABS)</v>
      </c>
    </row>
    <row r="7015">
      <c r="A7015" s="1" t="str">
        <f>IFERROR(__xludf.DUMMYFUNCTION("""COMPUTED_VALUE"""),"2025 Dec")</f>
        <v>2025 Dec</v>
      </c>
      <c r="B7015" s="2">
        <f>IFERROR(__xludf.DUMMYFUNCTION("""COMPUTED_VALUE"""),45999.0)</f>
        <v>45999</v>
      </c>
      <c r="C7015" s="1" t="str">
        <f>IFERROR(__xludf.DUMMYFUNCTION("""COMPUTED_VALUE"""),"Core Product Support")</f>
        <v>Core Product Support</v>
      </c>
      <c r="D7015" s="1" t="str">
        <f>IFERROR(__xludf.DUMMYFUNCTION("""COMPUTED_VALUE"""),"042e5ee4-7da0-42f9-92d0-d66496630cb9")</f>
        <v>042e5ee4-7da0-42f9-92d0-d66496630cb9</v>
      </c>
      <c r="E7015" s="1">
        <f>IFERROR(__xludf.DUMMYFUNCTION("""COMPUTED_VALUE"""),3.61861298335E11)</f>
        <v>361861298335</v>
      </c>
      <c r="F7015" s="1"/>
      <c r="G7015" s="1">
        <f>IFERROR(__xludf.DUMMYFUNCTION("""COMPUTED_VALUE"""),1.5)</f>
        <v>1.5</v>
      </c>
      <c r="H7015" s="3">
        <f>IFERROR(__xludf.DUMMYFUNCTION("""COMPUTED_VALUE"""),1.5)</f>
        <v>1.5</v>
      </c>
      <c r="I7015" s="4">
        <f>IFERROR(__xludf.DUMMYFUNCTION("""COMPUTED_VALUE"""),1.0)</f>
        <v>1</v>
      </c>
      <c r="J7015" s="1" t="str">
        <f>IFERROR(__xludf.DUMMYFUNCTION("""COMPUTED_VALUE"""),"Renette Bok")</f>
        <v>Renette Bok</v>
      </c>
      <c r="K7015" s="1" t="str">
        <f>IFERROR(__xludf.DUMMYFUNCTION("""COMPUTED_VALUE"""),"Advanced Billing &amp; Subscriptions")</f>
        <v>Advanced Billing &amp; Subscriptions</v>
      </c>
      <c r="L7015" s="1" t="str">
        <f>IFERROR(__xludf.DUMMYFUNCTION("""COMPUTED_VALUE"""),"CPS Advanced Billing and Subscriptions (ABS)")</f>
        <v>CPS Advanced Billing and Subscriptions (ABS)</v>
      </c>
    </row>
    <row r="7016">
      <c r="A7016" s="1" t="str">
        <f>IFERROR(__xludf.DUMMYFUNCTION("""COMPUTED_VALUE"""),"2025 Dec")</f>
        <v>2025 Dec</v>
      </c>
      <c r="B7016" s="2">
        <f>IFERROR(__xludf.DUMMYFUNCTION("""COMPUTED_VALUE"""),45999.0)</f>
        <v>45999</v>
      </c>
      <c r="C7016" s="1" t="str">
        <f>IFERROR(__xludf.DUMMYFUNCTION("""COMPUTED_VALUE"""),"Core Product Support")</f>
        <v>Core Product Support</v>
      </c>
      <c r="D7016" s="1" t="str">
        <f>IFERROR(__xludf.DUMMYFUNCTION("""COMPUTED_VALUE"""),"0cc61976-099e-4704-9248-c0d612333122")</f>
        <v>0cc61976-099e-4704-9248-c0d612333122</v>
      </c>
      <c r="E7016" s="1">
        <f>IFERROR(__xludf.DUMMYFUNCTION("""COMPUTED_VALUE"""),4.502607605263E12)</f>
        <v>4502607605263</v>
      </c>
      <c r="F7016" s="1"/>
      <c r="G7016" s="1">
        <f>IFERROR(__xludf.DUMMYFUNCTION("""COMPUTED_VALUE"""),3.0)</f>
        <v>3</v>
      </c>
      <c r="H7016" s="3">
        <f>IFERROR(__xludf.DUMMYFUNCTION("""COMPUTED_VALUE"""),3.0)</f>
        <v>3</v>
      </c>
      <c r="I7016" s="4">
        <f>IFERROR(__xludf.DUMMYFUNCTION("""COMPUTED_VALUE"""),1.0)</f>
        <v>1</v>
      </c>
      <c r="J7016" s="1" t="str">
        <f>IFERROR(__xludf.DUMMYFUNCTION("""COMPUTED_VALUE"""),"Ellaine Estayo")</f>
        <v>Ellaine Estayo</v>
      </c>
      <c r="K7016" s="1" t="str">
        <f>IFERROR(__xludf.DUMMYFUNCTION("""COMPUTED_VALUE"""),"Core Product Support Escalation Team")</f>
        <v>Core Product Support Escalation Team</v>
      </c>
      <c r="L7016" s="1" t="str">
        <f>IFERROR(__xludf.DUMMYFUNCTION("""COMPUTED_VALUE"""),"CPS Core Product Support Escalations (CPSET)")</f>
        <v>CPS Core Product Support Escalations (CPSET)</v>
      </c>
    </row>
    <row r="7017">
      <c r="A7017" s="1" t="str">
        <f>IFERROR(__xludf.DUMMYFUNCTION("""COMPUTED_VALUE"""),"2025 Dec")</f>
        <v>2025 Dec</v>
      </c>
      <c r="B7017" s="2">
        <f>IFERROR(__xludf.DUMMYFUNCTION("""COMPUTED_VALUE"""),45999.0)</f>
        <v>45999</v>
      </c>
      <c r="C7017" s="1" t="str">
        <f>IFERROR(__xludf.DUMMYFUNCTION("""COMPUTED_VALUE"""),"Print Support")</f>
        <v>Print Support</v>
      </c>
      <c r="D7017" s="1" t="str">
        <f>IFERROR(__xludf.DUMMYFUNCTION("""COMPUTED_VALUE"""),"1eb6d900-9254-4ad7-b5e2-1f27f00e2077")</f>
        <v>1eb6d900-9254-4ad7-b5e2-1f27f00e2077</v>
      </c>
      <c r="E7017" s="1">
        <f>IFERROR(__xludf.DUMMYFUNCTION("""COMPUTED_VALUE"""),1.3477715168271E13)</f>
        <v>13477715168271</v>
      </c>
      <c r="F7017" s="1"/>
      <c r="G7017" s="1"/>
      <c r="H7017" s="3">
        <f>IFERROR(__xludf.DUMMYFUNCTION("""COMPUTED_VALUE"""),0.0)</f>
        <v>0</v>
      </c>
      <c r="I7017" s="4"/>
      <c r="J7017" s="1" t="str">
        <f>IFERROR(__xludf.DUMMYFUNCTION("""COMPUTED_VALUE"""),"Jan Domingo")</f>
        <v>Jan Domingo</v>
      </c>
      <c r="K7017" s="1" t="str">
        <f>IFERROR(__xludf.DUMMYFUNCTION("""COMPUTED_VALUE"""),"Print Design Support")</f>
        <v>Print Design Support</v>
      </c>
      <c r="L7017" s="1" t="str">
        <f>IFERROR(__xludf.DUMMYFUNCTION("""COMPUTED_VALUE"""),"Print Print Design")</f>
        <v>Print Print Design</v>
      </c>
    </row>
    <row r="7018">
      <c r="A7018" s="1" t="str">
        <f>IFERROR(__xludf.DUMMYFUNCTION("""COMPUTED_VALUE"""),"2025 Dec")</f>
        <v>2025 Dec</v>
      </c>
      <c r="B7018" s="2">
        <f>IFERROR(__xludf.DUMMYFUNCTION("""COMPUTED_VALUE"""),45999.0)</f>
        <v>45999</v>
      </c>
      <c r="C7018" s="1" t="str">
        <f>IFERROR(__xludf.DUMMYFUNCTION("""COMPUTED_VALUE"""),"Core Product Support")</f>
        <v>Core Product Support</v>
      </c>
      <c r="D7018" s="1" t="str">
        <f>IFERROR(__xludf.DUMMYFUNCTION("""COMPUTED_VALUE"""),"fb4299a4-0e59-4c64-8fbb-5fd3f6a3cb3e")</f>
        <v>fb4299a4-0e59-4c64-8fbb-5fd3f6a3cb3e</v>
      </c>
      <c r="E7018" s="1">
        <f>IFERROR(__xludf.DUMMYFUNCTION("""COMPUTED_VALUE"""),3.61964324536E11)</f>
        <v>361964324536</v>
      </c>
      <c r="F7018" s="1"/>
      <c r="G7018" s="1">
        <f>IFERROR(__xludf.DUMMYFUNCTION("""COMPUTED_VALUE"""),2.5)</f>
        <v>2.5</v>
      </c>
      <c r="H7018" s="3">
        <f>IFERROR(__xludf.DUMMYFUNCTION("""COMPUTED_VALUE"""),2.5)</f>
        <v>2.5</v>
      </c>
      <c r="I7018" s="4">
        <f>IFERROR(__xludf.DUMMYFUNCTION("""COMPUTED_VALUE"""),1.0)</f>
        <v>1</v>
      </c>
      <c r="J7018" s="1" t="str">
        <f>IFERROR(__xludf.DUMMYFUNCTION("""COMPUTED_VALUE"""),"Sieg Ballelos")</f>
        <v>Sieg Ballelos</v>
      </c>
      <c r="K7018" s="1" t="str">
        <f>IFERROR(__xludf.DUMMYFUNCTION("""COMPUTED_VALUE"""),"Core Product Support Escalation Team")</f>
        <v>Core Product Support Escalation Team</v>
      </c>
      <c r="L7018" s="1" t="str">
        <f>IFERROR(__xludf.DUMMYFUNCTION("""COMPUTED_VALUE"""),"CPS Core Product Support Escalations (CPSET)")</f>
        <v>CPS Core Product Support Escalations (CPSET)</v>
      </c>
    </row>
    <row r="7019">
      <c r="A7019" s="1" t="str">
        <f>IFERROR(__xludf.DUMMYFUNCTION("""COMPUTED_VALUE"""),"2025 Dec")</f>
        <v>2025 Dec</v>
      </c>
      <c r="B7019" s="2">
        <f>IFERROR(__xludf.DUMMYFUNCTION("""COMPUTED_VALUE"""),45999.0)</f>
        <v>45999</v>
      </c>
      <c r="C7019" s="1" t="str">
        <f>IFERROR(__xludf.DUMMYFUNCTION("""COMPUTED_VALUE"""),"Admin Support")</f>
        <v>Admin Support</v>
      </c>
      <c r="D7019" s="1" t="str">
        <f>IFERROR(__xludf.DUMMYFUNCTION("""COMPUTED_VALUE"""),"b9737663-79f8-4cad-a8f9-6db9a37d36bf")</f>
        <v>b9737663-79f8-4cad-a8f9-6db9a37d36bf</v>
      </c>
      <c r="E7019" s="1">
        <f>IFERROR(__xludf.DUMMYFUNCTION("""COMPUTED_VALUE"""),3.61726427416E11)</f>
        <v>361726427416</v>
      </c>
      <c r="F7019" s="1"/>
      <c r="G7019" s="1"/>
      <c r="H7019" s="3">
        <f>IFERROR(__xludf.DUMMYFUNCTION("""COMPUTED_VALUE"""),0.0)</f>
        <v>0</v>
      </c>
      <c r="I7019" s="4"/>
      <c r="J7019" s="1" t="str">
        <f>IFERROR(__xludf.DUMMYFUNCTION("""COMPUTED_VALUE"""),"Camille Alvarez")</f>
        <v>Camille Alvarez</v>
      </c>
      <c r="K7019" s="1" t="str">
        <f>IFERROR(__xludf.DUMMYFUNCTION("""COMPUTED_VALUE"""),"Admin Support PH SSO")</f>
        <v>Admin Support PH SSO</v>
      </c>
      <c r="L7019" s="1" t="str">
        <f>IFERROR(__xludf.DUMMYFUNCTION("""COMPUTED_VALUE"""),"Admin SSO - SEE")</f>
        <v>Admin SSO - SEE</v>
      </c>
    </row>
    <row r="7020">
      <c r="A7020" s="1" t="str">
        <f>IFERROR(__xludf.DUMMYFUNCTION("""COMPUTED_VALUE"""),"2025 Dec")</f>
        <v>2025 Dec</v>
      </c>
      <c r="B7020" s="2">
        <f>IFERROR(__xludf.DUMMYFUNCTION("""COMPUTED_VALUE"""),45999.0)</f>
        <v>45999</v>
      </c>
      <c r="C7020" s="1" t="str">
        <f>IFERROR(__xludf.DUMMYFUNCTION("""COMPUTED_VALUE"""),"Core Product Support")</f>
        <v>Core Product Support</v>
      </c>
      <c r="D7020" s="1" t="str">
        <f>IFERROR(__xludf.DUMMYFUNCTION("""COMPUTED_VALUE"""),"253d67a9-d468-454b-b17c-b16b05cc6794")</f>
        <v>253d67a9-d468-454b-b17c-b16b05cc6794</v>
      </c>
      <c r="E7020" s="1">
        <f>IFERROR(__xludf.DUMMYFUNCTION("""COMPUTED_VALUE"""),1.0333034131599E13)</f>
        <v>10333034131599</v>
      </c>
      <c r="F7020" s="1">
        <f>IFERROR(__xludf.DUMMYFUNCTION("""COMPUTED_VALUE"""),0.5)</f>
        <v>0.5</v>
      </c>
      <c r="G7020" s="1"/>
      <c r="H7020" s="3">
        <f>IFERROR(__xludf.DUMMYFUNCTION("""COMPUTED_VALUE"""),0.5)</f>
        <v>0.5</v>
      </c>
      <c r="I7020" s="4">
        <f>IFERROR(__xludf.DUMMYFUNCTION("""COMPUTED_VALUE"""),0.0)</f>
        <v>0</v>
      </c>
      <c r="J7020" s="1" t="str">
        <f>IFERROR(__xludf.DUMMYFUNCTION("""COMPUTED_VALUE"""),"Marie Mordeno")</f>
        <v>Marie Mordeno</v>
      </c>
      <c r="K7020" s="1" t="str">
        <f>IFERROR(__xludf.DUMMYFUNCTION("""COMPUTED_VALUE"""),"Advanced Billing &amp; Subscriptions")</f>
        <v>Advanced Billing &amp; Subscriptions</v>
      </c>
      <c r="L7020" s="1" t="str">
        <f>IFERROR(__xludf.DUMMYFUNCTION("""COMPUTED_VALUE"""),"CPS Advanced Billing and Subscriptions (ABS)")</f>
        <v>CPS Advanced Billing and Subscriptions (ABS)</v>
      </c>
    </row>
    <row r="7021">
      <c r="A7021" s="1" t="str">
        <f>IFERROR(__xludf.DUMMYFUNCTION("""COMPUTED_VALUE"""),"2025 Dec")</f>
        <v>2025 Dec</v>
      </c>
      <c r="B7021" s="2">
        <f>IFERROR(__xludf.DUMMYFUNCTION("""COMPUTED_VALUE"""),45999.0)</f>
        <v>45999</v>
      </c>
      <c r="C7021" s="1" t="str">
        <f>IFERROR(__xludf.DUMMYFUNCTION("""COMPUTED_VALUE"""),"Core Product Support")</f>
        <v>Core Product Support</v>
      </c>
      <c r="D7021" s="1" t="str">
        <f>IFERROR(__xludf.DUMMYFUNCTION("""COMPUTED_VALUE"""),"e2ffb663-8d10-4463-8bb8-3bd130fdce1c")</f>
        <v>e2ffb663-8d10-4463-8bb8-3bd130fdce1c</v>
      </c>
      <c r="E7021" s="1">
        <f>IFERROR(__xludf.DUMMYFUNCTION("""COMPUTED_VALUE"""),1.1279730843407E13)</f>
        <v>11279730843407</v>
      </c>
      <c r="F7021" s="1">
        <f>IFERROR(__xludf.DUMMYFUNCTION("""COMPUTED_VALUE"""),0.5)</f>
        <v>0.5</v>
      </c>
      <c r="G7021" s="1"/>
      <c r="H7021" s="3">
        <f>IFERROR(__xludf.DUMMYFUNCTION("""COMPUTED_VALUE"""),0.5)</f>
        <v>0.5</v>
      </c>
      <c r="I7021" s="4">
        <f>IFERROR(__xludf.DUMMYFUNCTION("""COMPUTED_VALUE"""),0.0)</f>
        <v>0</v>
      </c>
      <c r="J7021" s="1" t="str">
        <f>IFERROR(__xludf.DUMMYFUNCTION("""COMPUTED_VALUE"""),"Ayza Marie Pascual")</f>
        <v>Ayza Marie Pascual</v>
      </c>
      <c r="K7021" s="1" t="str">
        <f>IFERROR(__xludf.DUMMYFUNCTION("""COMPUTED_VALUE"""),"Advanced Billing &amp; Subscriptions")</f>
        <v>Advanced Billing &amp; Subscriptions</v>
      </c>
      <c r="L7021" s="1" t="str">
        <f>IFERROR(__xludf.DUMMYFUNCTION("""COMPUTED_VALUE"""),"CPS Advanced Billing and Subscriptions (ABS)")</f>
        <v>CPS Advanced Billing and Subscriptions (ABS)</v>
      </c>
    </row>
    <row r="7022">
      <c r="A7022" s="1" t="str">
        <f>IFERROR(__xludf.DUMMYFUNCTION("""COMPUTED_VALUE"""),"2025 Dec")</f>
        <v>2025 Dec</v>
      </c>
      <c r="B7022" s="2">
        <f>IFERROR(__xludf.DUMMYFUNCTION("""COMPUTED_VALUE"""),45999.0)</f>
        <v>45999</v>
      </c>
      <c r="C7022" s="1" t="str">
        <f>IFERROR(__xludf.DUMMYFUNCTION("""COMPUTED_VALUE"""),"Core Product Support")</f>
        <v>Core Product Support</v>
      </c>
      <c r="D7022" s="1" t="str">
        <f>IFERROR(__xludf.DUMMYFUNCTION("""COMPUTED_VALUE"""),"1a6492df-fa9a-416f-b1d1-da6edc22036f")</f>
        <v>1a6492df-fa9a-416f-b1d1-da6edc22036f</v>
      </c>
      <c r="E7022" s="1">
        <f>IFERROR(__xludf.DUMMYFUNCTION("""COMPUTED_VALUE"""),7.874569114383E12)</f>
        <v>7874569114383</v>
      </c>
      <c r="F7022" s="1">
        <f>IFERROR(__xludf.DUMMYFUNCTION("""COMPUTED_VALUE"""),0.5)</f>
        <v>0.5</v>
      </c>
      <c r="G7022" s="1"/>
      <c r="H7022" s="3">
        <f>IFERROR(__xludf.DUMMYFUNCTION("""COMPUTED_VALUE"""),0.5)</f>
        <v>0.5</v>
      </c>
      <c r="I7022" s="4">
        <f>IFERROR(__xludf.DUMMYFUNCTION("""COMPUTED_VALUE"""),0.0)</f>
        <v>0</v>
      </c>
      <c r="J7022" s="1" t="str">
        <f>IFERROR(__xludf.DUMMYFUNCTION("""COMPUTED_VALUE"""),"Ana Lazaro")</f>
        <v>Ana Lazaro</v>
      </c>
      <c r="K7022" s="1" t="str">
        <f>IFERROR(__xludf.DUMMYFUNCTION("""COMPUTED_VALUE"""),"Advanced Billing &amp; Subscriptions")</f>
        <v>Advanced Billing &amp; Subscriptions</v>
      </c>
      <c r="L7022" s="1" t="str">
        <f>IFERROR(__xludf.DUMMYFUNCTION("""COMPUTED_VALUE"""),"CPS Advanced Billing and Subscriptions (ABS)")</f>
        <v>CPS Advanced Billing and Subscriptions (ABS)</v>
      </c>
    </row>
    <row r="7023">
      <c r="A7023" s="1" t="str">
        <f>IFERROR(__xludf.DUMMYFUNCTION("""COMPUTED_VALUE"""),"2025 Dec")</f>
        <v>2025 Dec</v>
      </c>
      <c r="B7023" s="2">
        <f>IFERROR(__xludf.DUMMYFUNCTION("""COMPUTED_VALUE"""),45999.0)</f>
        <v>45999</v>
      </c>
      <c r="C7023" s="1" t="str">
        <f>IFERROR(__xludf.DUMMYFUNCTION("""COMPUTED_VALUE"""),"High Sensitivity Support")</f>
        <v>High Sensitivity Support</v>
      </c>
      <c r="D7023" s="1" t="str">
        <f>IFERROR(__xludf.DUMMYFUNCTION("""COMPUTED_VALUE"""),"8b075f45-27b1-469e-bbc3-e97261e6934d")</f>
        <v>8b075f45-27b1-469e-bbc3-e97261e6934d</v>
      </c>
      <c r="E7023" s="1">
        <f>IFERROR(__xludf.DUMMYFUNCTION("""COMPUTED_VALUE"""),5.202423769487E12)</f>
        <v>5202423769487</v>
      </c>
      <c r="F7023" s="1">
        <f>IFERROR(__xludf.DUMMYFUNCTION("""COMPUTED_VALUE"""),4.0)</f>
        <v>4</v>
      </c>
      <c r="G7023" s="1"/>
      <c r="H7023" s="3">
        <f>IFERROR(__xludf.DUMMYFUNCTION("""COMPUTED_VALUE"""),4.0)</f>
        <v>4</v>
      </c>
      <c r="I7023" s="4">
        <f>IFERROR(__xludf.DUMMYFUNCTION("""COMPUTED_VALUE"""),0.0)</f>
        <v>0</v>
      </c>
      <c r="J7023" s="1" t="str">
        <f>IFERROR(__xludf.DUMMYFUNCTION("""COMPUTED_VALUE"""),"Rex Villamor")</f>
        <v>Rex Villamor</v>
      </c>
      <c r="K7023" s="1" t="str">
        <f>IFERROR(__xludf.DUMMYFUNCTION("""COMPUTED_VALUE"""),"High Sensitivity Support PH")</f>
        <v>High Sensitivity Support PH</v>
      </c>
      <c r="L7023" s="1" t="str">
        <f>IFERROR(__xludf.DUMMYFUNCTION("""COMPUTED_VALUE"""),"HSS High Sensitivity Support PH - CHT")</f>
        <v>HSS High Sensitivity Support PH - CHT</v>
      </c>
    </row>
    <row r="7024">
      <c r="A7024" s="1" t="str">
        <f>IFERROR(__xludf.DUMMYFUNCTION("""COMPUTED_VALUE"""),"2025 Dec")</f>
        <v>2025 Dec</v>
      </c>
      <c r="B7024" s="2">
        <f>IFERROR(__xludf.DUMMYFUNCTION("""COMPUTED_VALUE"""),45999.0)</f>
        <v>45999</v>
      </c>
      <c r="C7024" s="1" t="str">
        <f>IFERROR(__xludf.DUMMYFUNCTION("""COMPUTED_VALUE"""),"Core Product Support")</f>
        <v>Core Product Support</v>
      </c>
      <c r="D7024" s="1" t="str">
        <f>IFERROR(__xludf.DUMMYFUNCTION("""COMPUTED_VALUE"""),"50f6ee84-cef1-4ed8-84ed-42a64211811d")</f>
        <v>50f6ee84-cef1-4ed8-84ed-42a64211811d</v>
      </c>
      <c r="E7024" s="1">
        <f>IFERROR(__xludf.DUMMYFUNCTION("""COMPUTED_VALUE"""),3.61688608636E11)</f>
        <v>361688608636</v>
      </c>
      <c r="F7024" s="1"/>
      <c r="G7024" s="1">
        <f>IFERROR(__xludf.DUMMYFUNCTION("""COMPUTED_VALUE"""),2.0)</f>
        <v>2</v>
      </c>
      <c r="H7024" s="3">
        <f>IFERROR(__xludf.DUMMYFUNCTION("""COMPUTED_VALUE"""),2.0)</f>
        <v>2</v>
      </c>
      <c r="I7024" s="4">
        <f>IFERROR(__xludf.DUMMYFUNCTION("""COMPUTED_VALUE"""),1.0)</f>
        <v>1</v>
      </c>
      <c r="J7024" s="1" t="str">
        <f>IFERROR(__xludf.DUMMYFUNCTION("""COMPUTED_VALUE"""),"Sieg Ballelos")</f>
        <v>Sieg Ballelos</v>
      </c>
      <c r="K7024" s="1" t="str">
        <f>IFERROR(__xludf.DUMMYFUNCTION("""COMPUTED_VALUE"""),"Core Product Support Escalation Team")</f>
        <v>Core Product Support Escalation Team</v>
      </c>
      <c r="L7024" s="1" t="str">
        <f>IFERROR(__xludf.DUMMYFUNCTION("""COMPUTED_VALUE"""),"CPS Core Product Support Escalations (CPSET)")</f>
        <v>CPS Core Product Support Escalations (CPSET)</v>
      </c>
    </row>
    <row r="7025">
      <c r="A7025" s="1" t="str">
        <f>IFERROR(__xludf.DUMMYFUNCTION("""COMPUTED_VALUE"""),"2025 Dec")</f>
        <v>2025 Dec</v>
      </c>
      <c r="B7025" s="2">
        <f>IFERROR(__xludf.DUMMYFUNCTION("""COMPUTED_VALUE"""),45999.0)</f>
        <v>45999</v>
      </c>
      <c r="C7025" s="1" t="str">
        <f>IFERROR(__xludf.DUMMYFUNCTION("""COMPUTED_VALUE"""),"Segment-specific Support")</f>
        <v>Segment-specific Support</v>
      </c>
      <c r="D7025" s="1" t="str">
        <f>IFERROR(__xludf.DUMMYFUNCTION("""COMPUTED_VALUE"""),"68027150-37ee-48bc-8dee-e459591aca37")</f>
        <v>68027150-37ee-48bc-8dee-e459591aca37</v>
      </c>
      <c r="E7025" s="1">
        <f>IFERROR(__xludf.DUMMYFUNCTION("""COMPUTED_VALUE"""),9.586408606607E12)</f>
        <v>9586408606607</v>
      </c>
      <c r="F7025" s="1"/>
      <c r="G7025" s="1"/>
      <c r="H7025" s="3">
        <f>IFERROR(__xludf.DUMMYFUNCTION("""COMPUTED_VALUE"""),0.0)</f>
        <v>0</v>
      </c>
      <c r="I7025" s="4"/>
      <c r="J7025" s="1" t="str">
        <f>IFERROR(__xludf.DUMMYFUNCTION("""COMPUTED_VALUE"""),"Tash Kelly")</f>
        <v>Tash Kelly</v>
      </c>
      <c r="K7025" s="1" t="str">
        <f>IFERROR(__xludf.DUMMYFUNCTION("""COMPUTED_VALUE"""),"Affinity Support")</f>
        <v>Affinity Support</v>
      </c>
      <c r="L7025" s="1" t="str">
        <f>IFERROR(__xludf.DUMMYFUNCTION("""COMPUTED_VALUE"""),"SSS Affinity")</f>
        <v>SSS Affinity</v>
      </c>
    </row>
    <row r="7026">
      <c r="A7026" s="1" t="str">
        <f>IFERROR(__xludf.DUMMYFUNCTION("""COMPUTED_VALUE"""),"2025 Dec")</f>
        <v>2025 Dec</v>
      </c>
      <c r="B7026" s="2">
        <f>IFERROR(__xludf.DUMMYFUNCTION("""COMPUTED_VALUE"""),45999.0)</f>
        <v>45999</v>
      </c>
      <c r="C7026" s="1" t="str">
        <f>IFERROR(__xludf.DUMMYFUNCTION("""COMPUTED_VALUE"""),"Core Product Support")</f>
        <v>Core Product Support</v>
      </c>
      <c r="D7026" s="1" t="str">
        <f>IFERROR(__xludf.DUMMYFUNCTION("""COMPUTED_VALUE"""),"2417322d-d75a-4184-9e3c-95ae48393a05")</f>
        <v>2417322d-d75a-4184-9e3c-95ae48393a05</v>
      </c>
      <c r="E7026" s="1">
        <f>IFERROR(__xludf.DUMMYFUNCTION("""COMPUTED_VALUE"""),3.61861297995E11)</f>
        <v>361861297995</v>
      </c>
      <c r="F7026" s="1">
        <f>IFERROR(__xludf.DUMMYFUNCTION("""COMPUTED_VALUE"""),0.5)</f>
        <v>0.5</v>
      </c>
      <c r="G7026" s="1"/>
      <c r="H7026" s="3">
        <f>IFERROR(__xludf.DUMMYFUNCTION("""COMPUTED_VALUE"""),0.5)</f>
        <v>0.5</v>
      </c>
      <c r="I7026" s="4">
        <f>IFERROR(__xludf.DUMMYFUNCTION("""COMPUTED_VALUE"""),0.0)</f>
        <v>0</v>
      </c>
      <c r="J7026" s="1" t="str">
        <f>IFERROR(__xludf.DUMMYFUNCTION("""COMPUTED_VALUE"""),"Jem Mondoñedo")</f>
        <v>Jem Mondoñedo</v>
      </c>
      <c r="K7026" s="1" t="str">
        <f>IFERROR(__xludf.DUMMYFUNCTION("""COMPUTED_VALUE"""),"Advanced Chat Support")</f>
        <v>Advanced Chat Support</v>
      </c>
      <c r="L7026" s="1" t="str">
        <f>IFERROR(__xludf.DUMMYFUNCTION("""COMPUTED_VALUE"""),"CPS Advanced Chat Support (ACS)")</f>
        <v>CPS Advanced Chat Support (ACS)</v>
      </c>
    </row>
    <row r="7027">
      <c r="A7027" s="1" t="str">
        <f>IFERROR(__xludf.DUMMYFUNCTION("""COMPUTED_VALUE"""),"2025 Dec")</f>
        <v>2025 Dec</v>
      </c>
      <c r="B7027" s="2">
        <f>IFERROR(__xludf.DUMMYFUNCTION("""COMPUTED_VALUE"""),45999.0)</f>
        <v>45999</v>
      </c>
      <c r="C7027" s="1" t="str">
        <f>IFERROR(__xludf.DUMMYFUNCTION("""COMPUTED_VALUE"""),"Segment-specific Support")</f>
        <v>Segment-specific Support</v>
      </c>
      <c r="D7027" s="1" t="str">
        <f>IFERROR(__xludf.DUMMYFUNCTION("""COMPUTED_VALUE"""),"4cae5e1d-2159-4afc-b9cd-a826e7f3982e")</f>
        <v>4cae5e1d-2159-4afc-b9cd-a826e7f3982e</v>
      </c>
      <c r="E7027" s="1">
        <f>IFERROR(__xludf.DUMMYFUNCTION("""COMPUTED_VALUE"""),3.61726424816E11)</f>
        <v>361726424816</v>
      </c>
      <c r="F7027" s="1"/>
      <c r="G7027" s="1"/>
      <c r="H7027" s="3">
        <f>IFERROR(__xludf.DUMMYFUNCTION("""COMPUTED_VALUE"""),0.0)</f>
        <v>0</v>
      </c>
      <c r="I7027" s="4"/>
      <c r="J7027" s="1" t="str">
        <f>IFERROR(__xludf.DUMMYFUNCTION("""COMPUTED_VALUE"""),"Aileen Dayanghirang")</f>
        <v>Aileen Dayanghirang</v>
      </c>
      <c r="K7027" s="1" t="str">
        <f>IFERROR(__xludf.DUMMYFUNCTION("""COMPUTED_VALUE"""),"Creators Support")</f>
        <v>Creators Support</v>
      </c>
      <c r="L7027" s="1" t="str">
        <f>IFERROR(__xludf.DUMMYFUNCTION("""COMPUTED_VALUE"""),"SSS Creators")</f>
        <v>SSS Creators</v>
      </c>
    </row>
    <row r="7028">
      <c r="A7028" s="1" t="str">
        <f>IFERROR(__xludf.DUMMYFUNCTION("""COMPUTED_VALUE"""),"2025 Dec")</f>
        <v>2025 Dec</v>
      </c>
      <c r="B7028" s="2">
        <f>IFERROR(__xludf.DUMMYFUNCTION("""COMPUTED_VALUE"""),45999.0)</f>
        <v>45999</v>
      </c>
      <c r="C7028" s="1" t="str">
        <f>IFERROR(__xludf.DUMMYFUNCTION("""COMPUTED_VALUE"""),"Core Product Support")</f>
        <v>Core Product Support</v>
      </c>
      <c r="D7028" s="1" t="str">
        <f>IFERROR(__xludf.DUMMYFUNCTION("""COMPUTED_VALUE"""),"ecc3a54c-2b13-4ea5-ad1e-96b8b278e7da")</f>
        <v>ecc3a54c-2b13-4ea5-ad1e-96b8b278e7da</v>
      </c>
      <c r="E7028" s="1">
        <f>IFERROR(__xludf.DUMMYFUNCTION("""COMPUTED_VALUE"""),1.0333050571535E13)</f>
        <v>10333050571535</v>
      </c>
      <c r="F7028" s="1">
        <f>IFERROR(__xludf.DUMMYFUNCTION("""COMPUTED_VALUE"""),0.5)</f>
        <v>0.5</v>
      </c>
      <c r="G7028" s="1"/>
      <c r="H7028" s="3">
        <f>IFERROR(__xludf.DUMMYFUNCTION("""COMPUTED_VALUE"""),0.5)</f>
        <v>0.5</v>
      </c>
      <c r="I7028" s="4">
        <f>IFERROR(__xludf.DUMMYFUNCTION("""COMPUTED_VALUE"""),0.0)</f>
        <v>0</v>
      </c>
      <c r="J7028" s="1" t="str">
        <f>IFERROR(__xludf.DUMMYFUNCTION("""COMPUTED_VALUE"""),"Mikhaela Decangchon")</f>
        <v>Mikhaela Decangchon</v>
      </c>
      <c r="K7028" s="1" t="str">
        <f>IFERROR(__xludf.DUMMYFUNCTION("""COMPUTED_VALUE"""),"Advanced Product Support")</f>
        <v>Advanced Product Support</v>
      </c>
      <c r="L7028" s="1" t="str">
        <f>IFERROR(__xludf.DUMMYFUNCTION("""COMPUTED_VALUE"""),"CPS Advanced Product Support (APS)")</f>
        <v>CPS Advanced Product Support (APS)</v>
      </c>
    </row>
    <row r="7029">
      <c r="A7029" s="1" t="str">
        <f>IFERROR(__xludf.DUMMYFUNCTION("""COMPUTED_VALUE"""),"2025 Dec")</f>
        <v>2025 Dec</v>
      </c>
      <c r="B7029" s="2">
        <f>IFERROR(__xludf.DUMMYFUNCTION("""COMPUTED_VALUE"""),45999.0)</f>
        <v>45999</v>
      </c>
      <c r="C7029" s="1" t="str">
        <f>IFERROR(__xludf.DUMMYFUNCTION("""COMPUTED_VALUE"""),"Print Support")</f>
        <v>Print Support</v>
      </c>
      <c r="D7029" s="1" t="str">
        <f>IFERROR(__xludf.DUMMYFUNCTION("""COMPUTED_VALUE"""),"c6cec3c3-9fe7-48ea-b63e-7658cdee4747")</f>
        <v>c6cec3c3-9fe7-48ea-b63e-7658cdee4747</v>
      </c>
      <c r="E7029" s="1">
        <f>IFERROR(__xludf.DUMMYFUNCTION("""COMPUTED_VALUE"""),5.901960272783E12)</f>
        <v>5901960272783</v>
      </c>
      <c r="F7029" s="1"/>
      <c r="G7029" s="1"/>
      <c r="H7029" s="3">
        <f>IFERROR(__xludf.DUMMYFUNCTION("""COMPUTED_VALUE"""),0.0)</f>
        <v>0</v>
      </c>
      <c r="I7029" s="4"/>
      <c r="J7029" s="1" t="str">
        <f>IFERROR(__xludf.DUMMYFUNCTION("""COMPUTED_VALUE"""),"Aliza Dote")</f>
        <v>Aliza Dote</v>
      </c>
      <c r="K7029" s="1" t="str">
        <f>IFERROR(__xludf.DUMMYFUNCTION("""COMPUTED_VALUE"""),"Print Design Support")</f>
        <v>Print Design Support</v>
      </c>
      <c r="L7029" s="1" t="str">
        <f>IFERROR(__xludf.DUMMYFUNCTION("""COMPUTED_VALUE"""),"Print Print Design")</f>
        <v>Print Print Design</v>
      </c>
    </row>
    <row r="7030">
      <c r="A7030" s="1" t="str">
        <f>IFERROR(__xludf.DUMMYFUNCTION("""COMPUTED_VALUE"""),"2025 Dec")</f>
        <v>2025 Dec</v>
      </c>
      <c r="B7030" s="2">
        <f>IFERROR(__xludf.DUMMYFUNCTION("""COMPUTED_VALUE"""),45999.0)</f>
        <v>45999</v>
      </c>
      <c r="C7030" s="1" t="str">
        <f>IFERROR(__xludf.DUMMYFUNCTION("""COMPUTED_VALUE"""),"Admin Support")</f>
        <v>Admin Support</v>
      </c>
      <c r="D7030" s="1" t="str">
        <f>IFERROR(__xludf.DUMMYFUNCTION("""COMPUTED_VALUE"""),"f1bbdd3e-ea42-496f-87a0-14d656a67a92")</f>
        <v>f1bbdd3e-ea42-496f-87a0-14d656a67a92</v>
      </c>
      <c r="E7030" s="1">
        <f>IFERROR(__xludf.DUMMYFUNCTION("""COMPUTED_VALUE"""),5.563904587279E12)</f>
        <v>5563904587279</v>
      </c>
      <c r="F7030" s="1">
        <f>IFERROR(__xludf.DUMMYFUNCTION("""COMPUTED_VALUE"""),1.5)</f>
        <v>1.5</v>
      </c>
      <c r="G7030" s="1"/>
      <c r="H7030" s="3">
        <f>IFERROR(__xludf.DUMMYFUNCTION("""COMPUTED_VALUE"""),1.5)</f>
        <v>1.5</v>
      </c>
      <c r="I7030" s="4">
        <f>IFERROR(__xludf.DUMMYFUNCTION("""COMPUTED_VALUE"""),0.0)</f>
        <v>0</v>
      </c>
      <c r="J7030" s="1" t="str">
        <f>IFERROR(__xludf.DUMMYFUNCTION("""COMPUTED_VALUE"""),"Tash Kelly")</f>
        <v>Tash Kelly</v>
      </c>
      <c r="K7030" s="1" t="str">
        <f>IFERROR(__xludf.DUMMYFUNCTION("""COMPUTED_VALUE"""),"Admin Support NA")</f>
        <v>Admin Support NA</v>
      </c>
      <c r="L7030" s="1" t="str">
        <f>IFERROR(__xludf.DUMMYFUNCTION("""COMPUTED_VALUE"""),"Admin NA")</f>
        <v>Admin NA</v>
      </c>
    </row>
    <row r="7031">
      <c r="A7031" s="1" t="str">
        <f>IFERROR(__xludf.DUMMYFUNCTION("""COMPUTED_VALUE"""),"2025 Dec")</f>
        <v>2025 Dec</v>
      </c>
      <c r="B7031" s="2">
        <f>IFERROR(__xludf.DUMMYFUNCTION("""COMPUTED_VALUE"""),45999.0)</f>
        <v>45999</v>
      </c>
      <c r="C7031" s="1" t="str">
        <f>IFERROR(__xludf.DUMMYFUNCTION("""COMPUTED_VALUE"""),"Core Product Support")</f>
        <v>Core Product Support</v>
      </c>
      <c r="D7031" s="1" t="str">
        <f>IFERROR(__xludf.DUMMYFUNCTION("""COMPUTED_VALUE"""),"3146744a-956c-4560-bc5a-70bcebe20785")</f>
        <v>3146744a-956c-4560-bc5a-70bcebe20785</v>
      </c>
      <c r="E7031" s="1">
        <f>IFERROR(__xludf.DUMMYFUNCTION("""COMPUTED_VALUE"""),3.61861297835E11)</f>
        <v>361861297835</v>
      </c>
      <c r="F7031" s="1">
        <f>IFERROR(__xludf.DUMMYFUNCTION("""COMPUTED_VALUE"""),0.5)</f>
        <v>0.5</v>
      </c>
      <c r="G7031" s="1"/>
      <c r="H7031" s="3">
        <f>IFERROR(__xludf.DUMMYFUNCTION("""COMPUTED_VALUE"""),0.5)</f>
        <v>0.5</v>
      </c>
      <c r="I7031" s="4">
        <f>IFERROR(__xludf.DUMMYFUNCTION("""COMPUTED_VALUE"""),0.0)</f>
        <v>0</v>
      </c>
      <c r="J7031" s="1" t="str">
        <f>IFERROR(__xludf.DUMMYFUNCTION("""COMPUTED_VALUE"""),"Jem Mondoñedo")</f>
        <v>Jem Mondoñedo</v>
      </c>
      <c r="K7031" s="1" t="str">
        <f>IFERROR(__xludf.DUMMYFUNCTION("""COMPUTED_VALUE"""),"Advanced Chat Support")</f>
        <v>Advanced Chat Support</v>
      </c>
      <c r="L7031" s="1" t="str">
        <f>IFERROR(__xludf.DUMMYFUNCTION("""COMPUTED_VALUE"""),"CPS Advanced Chat Support (ACS)")</f>
        <v>CPS Advanced Chat Support (ACS)</v>
      </c>
    </row>
    <row r="7032">
      <c r="A7032" s="1" t="str">
        <f>IFERROR(__xludf.DUMMYFUNCTION("""COMPUTED_VALUE"""),"2025 Dec")</f>
        <v>2025 Dec</v>
      </c>
      <c r="B7032" s="2">
        <f>IFERROR(__xludf.DUMMYFUNCTION("""COMPUTED_VALUE"""),45999.0)</f>
        <v>45999</v>
      </c>
      <c r="C7032" s="1" t="str">
        <f>IFERROR(__xludf.DUMMYFUNCTION("""COMPUTED_VALUE"""),"Print Support")</f>
        <v>Print Support</v>
      </c>
      <c r="D7032" s="1" t="str">
        <f>IFERROR(__xludf.DUMMYFUNCTION("""COMPUTED_VALUE"""),"30527ca4-aa21-4ba1-bf53-3e00c15dfada")</f>
        <v>30527ca4-aa21-4ba1-bf53-3e00c15dfada</v>
      </c>
      <c r="E7032" s="1">
        <f>IFERROR(__xludf.DUMMYFUNCTION("""COMPUTED_VALUE"""),5.359149526287E12)</f>
        <v>5359149526287</v>
      </c>
      <c r="F7032" s="1"/>
      <c r="G7032" s="1"/>
      <c r="H7032" s="3">
        <f>IFERROR(__xludf.DUMMYFUNCTION("""COMPUTED_VALUE"""),0.0)</f>
        <v>0</v>
      </c>
      <c r="I7032" s="4"/>
      <c r="J7032" s="1" t="str">
        <f>IFERROR(__xludf.DUMMYFUNCTION("""COMPUTED_VALUE"""),"Rae Erlano")</f>
        <v>Rae Erlano</v>
      </c>
      <c r="K7032" s="1" t="str">
        <f>IFERROR(__xludf.DUMMYFUNCTION("""COMPUTED_VALUE"""),"Print Support PH")</f>
        <v>Print Support PH</v>
      </c>
      <c r="L7032" s="1" t="str">
        <f>IFERROR(__xludf.DUMMYFUNCTION("""COMPUTED_VALUE"""),"Print Print - CHT")</f>
        <v>Print Print - CHT</v>
      </c>
    </row>
    <row r="7033">
      <c r="A7033" s="1" t="str">
        <f>IFERROR(__xludf.DUMMYFUNCTION("""COMPUTED_VALUE"""),"2025 Dec")</f>
        <v>2025 Dec</v>
      </c>
      <c r="B7033" s="2">
        <f>IFERROR(__xludf.DUMMYFUNCTION("""COMPUTED_VALUE"""),45999.0)</f>
        <v>45999</v>
      </c>
      <c r="C7033" s="1" t="str">
        <f>IFERROR(__xludf.DUMMYFUNCTION("""COMPUTED_VALUE"""),"High Sensitivity Support")</f>
        <v>High Sensitivity Support</v>
      </c>
      <c r="D7033" s="1" t="str">
        <f>IFERROR(__xludf.DUMMYFUNCTION("""COMPUTED_VALUE"""),"ed28aa1c-230f-414c-b415-191d703a8bac")</f>
        <v>ed28aa1c-230f-414c-b415-191d703a8bac</v>
      </c>
      <c r="E7033" s="1">
        <f>IFERROR(__xludf.DUMMYFUNCTION("""COMPUTED_VALUE"""),8.409870322319E12)</f>
        <v>8409870322319</v>
      </c>
      <c r="F7033" s="1"/>
      <c r="G7033" s="1"/>
      <c r="H7033" s="3">
        <f>IFERROR(__xludf.DUMMYFUNCTION("""COMPUTED_VALUE"""),0.0)</f>
        <v>0</v>
      </c>
      <c r="I7033" s="4"/>
      <c r="J7033" s="1" t="str">
        <f>IFERROR(__xludf.DUMMYFUNCTION("""COMPUTED_VALUE"""),"Rossheen Pura")</f>
        <v>Rossheen Pura</v>
      </c>
      <c r="K7033" s="1" t="str">
        <f>IFERROR(__xludf.DUMMYFUNCTION("""COMPUTED_VALUE"""),"High Sensitivity Support PH")</f>
        <v>High Sensitivity Support PH</v>
      </c>
      <c r="L7033" s="1" t="str">
        <f>IFERROR(__xludf.DUMMYFUNCTION("""COMPUTED_VALUE"""),"HSS High Sensitivity Support PH - CHT")</f>
        <v>HSS High Sensitivity Support PH - CHT</v>
      </c>
    </row>
    <row r="7034">
      <c r="A7034" s="1" t="str">
        <f>IFERROR(__xludf.DUMMYFUNCTION("""COMPUTED_VALUE"""),"2025 Dec")</f>
        <v>2025 Dec</v>
      </c>
      <c r="B7034" s="2">
        <f>IFERROR(__xludf.DUMMYFUNCTION("""COMPUTED_VALUE"""),45999.0)</f>
        <v>45999</v>
      </c>
      <c r="C7034" s="1" t="str">
        <f>IFERROR(__xludf.DUMMYFUNCTION("""COMPUTED_VALUE"""),"Segment-specific Support")</f>
        <v>Segment-specific Support</v>
      </c>
      <c r="D7034" s="1" t="str">
        <f>IFERROR(__xludf.DUMMYFUNCTION("""COMPUTED_VALUE"""),"df9ba7dd-188f-4978-8344-eb262fcbed64")</f>
        <v>df9ba7dd-188f-4978-8344-eb262fcbed64</v>
      </c>
      <c r="E7034" s="1">
        <f>IFERROR(__xludf.DUMMYFUNCTION("""COMPUTED_VALUE"""),5.729839272719E12)</f>
        <v>5729839272719</v>
      </c>
      <c r="F7034" s="1"/>
      <c r="G7034" s="1"/>
      <c r="H7034" s="3">
        <f>IFERROR(__xludf.DUMMYFUNCTION("""COMPUTED_VALUE"""),0.0)</f>
        <v>0</v>
      </c>
      <c r="I7034" s="4"/>
      <c r="J7034" s="1" t="str">
        <f>IFERROR(__xludf.DUMMYFUNCTION("""COMPUTED_VALUE"""),"Tash Kelly")</f>
        <v>Tash Kelly</v>
      </c>
      <c r="K7034" s="1" t="str">
        <f>IFERROR(__xludf.DUMMYFUNCTION("""COMPUTED_VALUE"""),"Affinity Support")</f>
        <v>Affinity Support</v>
      </c>
      <c r="L7034" s="1" t="str">
        <f>IFERROR(__xludf.DUMMYFUNCTION("""COMPUTED_VALUE"""),"SSS Affinity")</f>
        <v>SSS Affinity</v>
      </c>
    </row>
    <row r="7035">
      <c r="A7035" s="1" t="str">
        <f>IFERROR(__xludf.DUMMYFUNCTION("""COMPUTED_VALUE"""),"2025 Dec")</f>
        <v>2025 Dec</v>
      </c>
      <c r="B7035" s="2">
        <f>IFERROR(__xludf.DUMMYFUNCTION("""COMPUTED_VALUE"""),45999.0)</f>
        <v>45999</v>
      </c>
      <c r="C7035" s="1" t="str">
        <f>IFERROR(__xludf.DUMMYFUNCTION("""COMPUTED_VALUE"""),"Print Support")</f>
        <v>Print Support</v>
      </c>
      <c r="D7035" s="1" t="str">
        <f>IFERROR(__xludf.DUMMYFUNCTION("""COMPUTED_VALUE"""),"438e36b3-4d38-44fd-b78d-2f3e27dfd609")</f>
        <v>438e36b3-4d38-44fd-b78d-2f3e27dfd609</v>
      </c>
      <c r="E7035" s="1">
        <f>IFERROR(__xludf.DUMMYFUNCTION("""COMPUTED_VALUE"""),5.359189606799E12)</f>
        <v>5359189606799</v>
      </c>
      <c r="F7035" s="1"/>
      <c r="G7035" s="1"/>
      <c r="H7035" s="3">
        <f>IFERROR(__xludf.DUMMYFUNCTION("""COMPUTED_VALUE"""),0.0)</f>
        <v>0</v>
      </c>
      <c r="I7035" s="4"/>
      <c r="J7035" s="1" t="str">
        <f>IFERROR(__xludf.DUMMYFUNCTION("""COMPUTED_VALUE"""),"Rae Erlano")</f>
        <v>Rae Erlano</v>
      </c>
      <c r="K7035" s="1" t="str">
        <f>IFERROR(__xludf.DUMMYFUNCTION("""COMPUTED_VALUE"""),"Print Support PH")</f>
        <v>Print Support PH</v>
      </c>
      <c r="L7035" s="1" t="str">
        <f>IFERROR(__xludf.DUMMYFUNCTION("""COMPUTED_VALUE"""),"Print Print - CHT")</f>
        <v>Print Print - CHT</v>
      </c>
    </row>
    <row r="7036">
      <c r="A7036" s="1" t="str">
        <f>IFERROR(__xludf.DUMMYFUNCTION("""COMPUTED_VALUE"""),"2025 Dec")</f>
        <v>2025 Dec</v>
      </c>
      <c r="B7036" s="2">
        <f>IFERROR(__xludf.DUMMYFUNCTION("""COMPUTED_VALUE"""),45999.0)</f>
        <v>45999</v>
      </c>
      <c r="C7036" s="1" t="str">
        <f>IFERROR(__xludf.DUMMYFUNCTION("""COMPUTED_VALUE"""),"Admin Support")</f>
        <v>Admin Support</v>
      </c>
      <c r="D7036" s="1" t="str">
        <f>IFERROR(__xludf.DUMMYFUNCTION("""COMPUTED_VALUE"""),"d7fa60f7-5345-4940-b70f-a9ee1e24882e")</f>
        <v>d7fa60f7-5345-4940-b70f-a9ee1e24882e</v>
      </c>
      <c r="E7036" s="1">
        <f>IFERROR(__xludf.DUMMYFUNCTION("""COMPUTED_VALUE"""),3.61731792375E11)</f>
        <v>361731792375</v>
      </c>
      <c r="F7036" s="1"/>
      <c r="G7036" s="1"/>
      <c r="H7036" s="3">
        <f>IFERROR(__xludf.DUMMYFUNCTION("""COMPUTED_VALUE"""),0.0)</f>
        <v>0</v>
      </c>
      <c r="I7036" s="4"/>
      <c r="J7036" s="1" t="str">
        <f>IFERROR(__xludf.DUMMYFUNCTION("""COMPUTED_VALUE"""),"Karla Mananghaya")</f>
        <v>Karla Mananghaya</v>
      </c>
      <c r="K7036" s="1" t="str">
        <f>IFERROR(__xludf.DUMMYFUNCTION("""COMPUTED_VALUE"""),"Admin Support PH")</f>
        <v>Admin Support PH</v>
      </c>
      <c r="L7036" s="1" t="str">
        <f>IFERROR(__xludf.DUMMYFUNCTION("""COMPUTED_VALUE"""),"Admin - SEE")</f>
        <v>Admin - SEE</v>
      </c>
    </row>
    <row r="7037">
      <c r="A7037" s="1" t="str">
        <f>IFERROR(__xludf.DUMMYFUNCTION("""COMPUTED_VALUE"""),"2025 Dec")</f>
        <v>2025 Dec</v>
      </c>
      <c r="B7037" s="2">
        <f>IFERROR(__xludf.DUMMYFUNCTION("""COMPUTED_VALUE"""),45999.0)</f>
        <v>45999</v>
      </c>
      <c r="C7037" s="1" t="str">
        <f>IFERROR(__xludf.DUMMYFUNCTION("""COMPUTED_VALUE"""),"Core Product Support")</f>
        <v>Core Product Support</v>
      </c>
      <c r="D7037" s="1" t="str">
        <f>IFERROR(__xludf.DUMMYFUNCTION("""COMPUTED_VALUE"""),"5a22b3ea-0755-416b-a006-f5a0d4b19aba")</f>
        <v>5a22b3ea-0755-416b-a006-f5a0d4b19aba</v>
      </c>
      <c r="E7037" s="1">
        <f>IFERROR(__xludf.DUMMYFUNCTION("""COMPUTED_VALUE"""),5.202392949391E12)</f>
        <v>5202392949391</v>
      </c>
      <c r="F7037" s="1"/>
      <c r="G7037" s="1">
        <f>IFERROR(__xludf.DUMMYFUNCTION("""COMPUTED_VALUE"""),2.5)</f>
        <v>2.5</v>
      </c>
      <c r="H7037" s="3">
        <f>IFERROR(__xludf.DUMMYFUNCTION("""COMPUTED_VALUE"""),2.5)</f>
        <v>2.5</v>
      </c>
      <c r="I7037" s="4">
        <f>IFERROR(__xludf.DUMMYFUNCTION("""COMPUTED_VALUE"""),1.0)</f>
        <v>1</v>
      </c>
      <c r="J7037" s="1" t="str">
        <f>IFERROR(__xludf.DUMMYFUNCTION("""COMPUTED_VALUE"""),"Sieg Ballelos")</f>
        <v>Sieg Ballelos</v>
      </c>
      <c r="K7037" s="1" t="str">
        <f>IFERROR(__xludf.DUMMYFUNCTION("""COMPUTED_VALUE"""),"Core Product Support Escalation Team")</f>
        <v>Core Product Support Escalation Team</v>
      </c>
      <c r="L7037" s="1" t="str">
        <f>IFERROR(__xludf.DUMMYFUNCTION("""COMPUTED_VALUE"""),"CPS Core Product Support Escalations (CPSET)")</f>
        <v>CPS Core Product Support Escalations (CPSET)</v>
      </c>
    </row>
    <row r="7038">
      <c r="A7038" s="1" t="str">
        <f>IFERROR(__xludf.DUMMYFUNCTION("""COMPUTED_VALUE"""),"2025 Dec")</f>
        <v>2025 Dec</v>
      </c>
      <c r="B7038" s="2">
        <f>IFERROR(__xludf.DUMMYFUNCTION("""COMPUTED_VALUE"""),45999.0)</f>
        <v>45999</v>
      </c>
      <c r="C7038" s="1" t="str">
        <f>IFERROR(__xludf.DUMMYFUNCTION("""COMPUTED_VALUE"""),"Core Product Support")</f>
        <v>Core Product Support</v>
      </c>
      <c r="D7038" s="1" t="str">
        <f>IFERROR(__xludf.DUMMYFUNCTION("""COMPUTED_VALUE"""),"0ae24c9b-6172-4326-bb51-99cd5756da29")</f>
        <v>0ae24c9b-6172-4326-bb51-99cd5756da29</v>
      </c>
      <c r="E7038" s="1">
        <f>IFERROR(__xludf.DUMMYFUNCTION("""COMPUTED_VALUE"""),8.904479838351E12)</f>
        <v>8904479838351</v>
      </c>
      <c r="F7038" s="1">
        <f>IFERROR(__xludf.DUMMYFUNCTION("""COMPUTED_VALUE"""),0.5)</f>
        <v>0.5</v>
      </c>
      <c r="G7038" s="1"/>
      <c r="H7038" s="3">
        <f>IFERROR(__xludf.DUMMYFUNCTION("""COMPUTED_VALUE"""),0.5)</f>
        <v>0.5</v>
      </c>
      <c r="I7038" s="4">
        <f>IFERROR(__xludf.DUMMYFUNCTION("""COMPUTED_VALUE"""),0.0)</f>
        <v>0</v>
      </c>
      <c r="J7038" s="1" t="str">
        <f>IFERROR(__xludf.DUMMYFUNCTION("""COMPUTED_VALUE"""),"Ana Lazaro")</f>
        <v>Ana Lazaro</v>
      </c>
      <c r="K7038" s="1" t="str">
        <f>IFERROR(__xludf.DUMMYFUNCTION("""COMPUTED_VALUE"""),"Advanced Billing &amp; Subscriptions")</f>
        <v>Advanced Billing &amp; Subscriptions</v>
      </c>
      <c r="L7038" s="1" t="str">
        <f>IFERROR(__xludf.DUMMYFUNCTION("""COMPUTED_VALUE"""),"CPS Advanced Billing and Subscriptions (ABS)")</f>
        <v>CPS Advanced Billing and Subscriptions (ABS)</v>
      </c>
    </row>
    <row r="7039">
      <c r="A7039" s="1" t="str">
        <f>IFERROR(__xludf.DUMMYFUNCTION("""COMPUTED_VALUE"""),"2025 Dec")</f>
        <v>2025 Dec</v>
      </c>
      <c r="B7039" s="2">
        <f>IFERROR(__xludf.DUMMYFUNCTION("""COMPUTED_VALUE"""),45999.0)</f>
        <v>45999</v>
      </c>
      <c r="C7039" s="1" t="str">
        <f>IFERROR(__xludf.DUMMYFUNCTION("""COMPUTED_VALUE"""),"Segment-specific Support")</f>
        <v>Segment-specific Support</v>
      </c>
      <c r="D7039" s="1" t="str">
        <f>IFERROR(__xludf.DUMMYFUNCTION("""COMPUTED_VALUE"""),"702a1682-65ec-47f2-b736-d60aecc92e68")</f>
        <v>702a1682-65ec-47f2-b736-d60aecc92e68</v>
      </c>
      <c r="E7039" s="1">
        <f>IFERROR(__xludf.DUMMYFUNCTION("""COMPUTED_VALUE"""),3.61726425496E11)</f>
        <v>361726425496</v>
      </c>
      <c r="F7039" s="1"/>
      <c r="G7039" s="1"/>
      <c r="H7039" s="3">
        <f>IFERROR(__xludf.DUMMYFUNCTION("""COMPUTED_VALUE"""),0.0)</f>
        <v>0</v>
      </c>
      <c r="I7039" s="4"/>
      <c r="J7039" s="1" t="str">
        <f>IFERROR(__xludf.DUMMYFUNCTION("""COMPUTED_VALUE"""),"Aileen Dayanghirang")</f>
        <v>Aileen Dayanghirang</v>
      </c>
      <c r="K7039" s="1" t="str">
        <f>IFERROR(__xludf.DUMMYFUNCTION("""COMPUTED_VALUE"""),"Creators Support")</f>
        <v>Creators Support</v>
      </c>
      <c r="L7039" s="1" t="str">
        <f>IFERROR(__xludf.DUMMYFUNCTION("""COMPUTED_VALUE"""),"SSS Creators")</f>
        <v>SSS Creators</v>
      </c>
    </row>
    <row r="7040">
      <c r="A7040" s="1" t="str">
        <f>IFERROR(__xludf.DUMMYFUNCTION("""COMPUTED_VALUE"""),"2025 Dec")</f>
        <v>2025 Dec</v>
      </c>
      <c r="B7040" s="2">
        <f>IFERROR(__xludf.DUMMYFUNCTION("""COMPUTED_VALUE"""),45999.0)</f>
        <v>45999</v>
      </c>
      <c r="C7040" s="1" t="str">
        <f>IFERROR(__xludf.DUMMYFUNCTION("""COMPUTED_VALUE"""),"Print Support")</f>
        <v>Print Support</v>
      </c>
      <c r="D7040" s="1" t="str">
        <f>IFERROR(__xludf.DUMMYFUNCTION("""COMPUTED_VALUE"""),"5b9a60b0-b877-48e1-8013-eb7cdd15bd64")</f>
        <v>5b9a60b0-b877-48e1-8013-eb7cdd15bd64</v>
      </c>
      <c r="E7040" s="1">
        <f>IFERROR(__xludf.DUMMYFUNCTION("""COMPUTED_VALUE"""),3.61825394516E11)</f>
        <v>361825394516</v>
      </c>
      <c r="F7040" s="1"/>
      <c r="G7040" s="1"/>
      <c r="H7040" s="3">
        <f>IFERROR(__xludf.DUMMYFUNCTION("""COMPUTED_VALUE"""),0.0)</f>
        <v>0</v>
      </c>
      <c r="I7040" s="4"/>
      <c r="J7040" s="1" t="str">
        <f>IFERROR(__xludf.DUMMYFUNCTION("""COMPUTED_VALUE"""),"G-Anne Murillo")</f>
        <v>G-Anne Murillo</v>
      </c>
      <c r="K7040" s="1" t="str">
        <f>IFERROR(__xludf.DUMMYFUNCTION("""COMPUTED_VALUE"""),"Print Design Support")</f>
        <v>Print Design Support</v>
      </c>
      <c r="L7040" s="1" t="str">
        <f>IFERROR(__xludf.DUMMYFUNCTION("""COMPUTED_VALUE"""),"Print Print Design")</f>
        <v>Print Print Design</v>
      </c>
    </row>
    <row r="7041">
      <c r="A7041" s="1" t="str">
        <f>IFERROR(__xludf.DUMMYFUNCTION("""COMPUTED_VALUE"""),"2025 Dec")</f>
        <v>2025 Dec</v>
      </c>
      <c r="B7041" s="2">
        <f>IFERROR(__xludf.DUMMYFUNCTION("""COMPUTED_VALUE"""),45999.0)</f>
        <v>45999</v>
      </c>
      <c r="C7041" s="1" t="str">
        <f>IFERROR(__xludf.DUMMYFUNCTION("""COMPUTED_VALUE"""),"Print Support")</f>
        <v>Print Support</v>
      </c>
      <c r="D7041" s="1" t="str">
        <f>IFERROR(__xludf.DUMMYFUNCTION("""COMPUTED_VALUE"""),"582c23f3-af21-4402-83b6-920f8fd6fe88")</f>
        <v>582c23f3-af21-4402-83b6-920f8fd6fe88</v>
      </c>
      <c r="E7041" s="1">
        <f>IFERROR(__xludf.DUMMYFUNCTION("""COMPUTED_VALUE"""),5.566843512207E12)</f>
        <v>5566843512207</v>
      </c>
      <c r="F7041" s="1"/>
      <c r="G7041" s="1"/>
      <c r="H7041" s="3">
        <f>IFERROR(__xludf.DUMMYFUNCTION("""COMPUTED_VALUE"""),0.0)</f>
        <v>0</v>
      </c>
      <c r="I7041" s="4"/>
      <c r="J7041" s="1" t="str">
        <f>IFERROR(__xludf.DUMMYFUNCTION("""COMPUTED_VALUE"""),"Ann Dumlao")</f>
        <v>Ann Dumlao</v>
      </c>
      <c r="K7041" s="1" t="str">
        <f>IFERROR(__xludf.DUMMYFUNCTION("""COMPUTED_VALUE"""),"Print Support PH")</f>
        <v>Print Support PH</v>
      </c>
      <c r="L7041" s="1" t="str">
        <f>IFERROR(__xludf.DUMMYFUNCTION("""COMPUTED_VALUE"""),"Print Print - CHT")</f>
        <v>Print Print - CHT</v>
      </c>
    </row>
    <row r="7042">
      <c r="A7042" s="1" t="str">
        <f>IFERROR(__xludf.DUMMYFUNCTION("""COMPUTED_VALUE"""),"2025 Dec")</f>
        <v>2025 Dec</v>
      </c>
      <c r="B7042" s="2">
        <f>IFERROR(__xludf.DUMMYFUNCTION("""COMPUTED_VALUE"""),45999.0)</f>
        <v>45999</v>
      </c>
      <c r="C7042" s="1" t="str">
        <f>IFERROR(__xludf.DUMMYFUNCTION("""COMPUTED_VALUE"""),"Multilingual Support")</f>
        <v>Multilingual Support</v>
      </c>
      <c r="D7042" s="1" t="str">
        <f>IFERROR(__xludf.DUMMYFUNCTION("""COMPUTED_VALUE"""),"a08e6c23-8f56-4eb2-a86d-ff398e709601")</f>
        <v>a08e6c23-8f56-4eb2-a86d-ff398e709601</v>
      </c>
      <c r="E7042" s="1">
        <f>IFERROR(__xludf.DUMMYFUNCTION("""COMPUTED_VALUE"""),3.61744520136E11)</f>
        <v>361744520136</v>
      </c>
      <c r="F7042" s="1"/>
      <c r="G7042" s="1"/>
      <c r="H7042" s="3">
        <f>IFERROR(__xludf.DUMMYFUNCTION("""COMPUTED_VALUE"""),0.0)</f>
        <v>0</v>
      </c>
      <c r="I7042" s="4"/>
      <c r="J7042" s="1" t="str">
        <f>IFERROR(__xludf.DUMMYFUNCTION("""COMPUTED_VALUE"""),"Arlene Maurillo")</f>
        <v>Arlene Maurillo</v>
      </c>
      <c r="K7042" s="1" t="str">
        <f>IFERROR(__xludf.DUMMYFUNCTION("""COMPUTED_VALUE"""),"PHL, Multilingual Support")</f>
        <v>PHL, Multilingual Support</v>
      </c>
      <c r="L7042" s="1" t="str">
        <f>IFERROR(__xludf.DUMMYFUNCTION("""COMPUTED_VALUE"""),"ML Spanish Support")</f>
        <v>ML Spanish Support</v>
      </c>
    </row>
    <row r="7043">
      <c r="A7043" s="1" t="str">
        <f>IFERROR(__xludf.DUMMYFUNCTION("""COMPUTED_VALUE"""),"2025 Dec")</f>
        <v>2025 Dec</v>
      </c>
      <c r="B7043" s="2">
        <f>IFERROR(__xludf.DUMMYFUNCTION("""COMPUTED_VALUE"""),45999.0)</f>
        <v>45999</v>
      </c>
      <c r="C7043" s="1" t="str">
        <f>IFERROR(__xludf.DUMMYFUNCTION("""COMPUTED_VALUE"""),"Core Product Support")</f>
        <v>Core Product Support</v>
      </c>
      <c r="D7043" s="1" t="str">
        <f>IFERROR(__xludf.DUMMYFUNCTION("""COMPUTED_VALUE"""),"9160bc84-9174-4736-bd46-926c52c66223")</f>
        <v>9160bc84-9174-4736-bd46-926c52c66223</v>
      </c>
      <c r="E7043" s="1">
        <f>IFERROR(__xludf.DUMMYFUNCTION("""COMPUTED_VALUE"""),3.61731516675E11)</f>
        <v>361731516675</v>
      </c>
      <c r="F7043" s="1">
        <f>IFERROR(__xludf.DUMMYFUNCTION("""COMPUTED_VALUE"""),0.5)</f>
        <v>0.5</v>
      </c>
      <c r="G7043" s="1"/>
      <c r="H7043" s="3">
        <f>IFERROR(__xludf.DUMMYFUNCTION("""COMPUTED_VALUE"""),0.5)</f>
        <v>0.5</v>
      </c>
      <c r="I7043" s="4">
        <f>IFERROR(__xludf.DUMMYFUNCTION("""COMPUTED_VALUE"""),0.0)</f>
        <v>0</v>
      </c>
      <c r="J7043" s="1" t="str">
        <f>IFERROR(__xludf.DUMMYFUNCTION("""COMPUTED_VALUE"""),"Marie Mordeno")</f>
        <v>Marie Mordeno</v>
      </c>
      <c r="K7043" s="1" t="str">
        <f>IFERROR(__xludf.DUMMYFUNCTION("""COMPUTED_VALUE"""),"Advanced Billing &amp; Subscriptions")</f>
        <v>Advanced Billing &amp; Subscriptions</v>
      </c>
      <c r="L7043" s="1" t="str">
        <f>IFERROR(__xludf.DUMMYFUNCTION("""COMPUTED_VALUE"""),"CPS Advanced Billing and Subscriptions (ABS)")</f>
        <v>CPS Advanced Billing and Subscriptions (ABS)</v>
      </c>
    </row>
    <row r="7044">
      <c r="A7044" s="1" t="str">
        <f>IFERROR(__xludf.DUMMYFUNCTION("""COMPUTED_VALUE"""),"2025 Dec")</f>
        <v>2025 Dec</v>
      </c>
      <c r="B7044" s="2">
        <f>IFERROR(__xludf.DUMMYFUNCTION("""COMPUTED_VALUE"""),45999.0)</f>
        <v>45999</v>
      </c>
      <c r="C7044" s="1" t="str">
        <f>IFERROR(__xludf.DUMMYFUNCTION("""COMPUTED_VALUE"""),"Core Product Support")</f>
        <v>Core Product Support</v>
      </c>
      <c r="D7044" s="1" t="str">
        <f>IFERROR(__xludf.DUMMYFUNCTION("""COMPUTED_VALUE"""),"4db6d8c1-797e-4f39-9494-3babf0366bc0")</f>
        <v>4db6d8c1-797e-4f39-9494-3babf0366bc0</v>
      </c>
      <c r="E7044" s="1">
        <f>IFERROR(__xludf.DUMMYFUNCTION("""COMPUTED_VALUE"""),3.61731943715E11)</f>
        <v>361731943715</v>
      </c>
      <c r="F7044" s="1"/>
      <c r="G7044" s="1">
        <f>IFERROR(__xludf.DUMMYFUNCTION("""COMPUTED_VALUE"""),2.5)</f>
        <v>2.5</v>
      </c>
      <c r="H7044" s="3">
        <f>IFERROR(__xludf.DUMMYFUNCTION("""COMPUTED_VALUE"""),2.5)</f>
        <v>2.5</v>
      </c>
      <c r="I7044" s="4">
        <f>IFERROR(__xludf.DUMMYFUNCTION("""COMPUTED_VALUE"""),1.0)</f>
        <v>1</v>
      </c>
      <c r="J7044" s="1" t="str">
        <f>IFERROR(__xludf.DUMMYFUNCTION("""COMPUTED_VALUE"""),"Sieg Ballelos")</f>
        <v>Sieg Ballelos</v>
      </c>
      <c r="K7044" s="1" t="str">
        <f>IFERROR(__xludf.DUMMYFUNCTION("""COMPUTED_VALUE"""),"Core Product Support Escalation Team")</f>
        <v>Core Product Support Escalation Team</v>
      </c>
      <c r="L7044" s="1" t="str">
        <f>IFERROR(__xludf.DUMMYFUNCTION("""COMPUTED_VALUE"""),"CPS Core Product Support Escalations (CPSET)")</f>
        <v>CPS Core Product Support Escalations (CPSET)</v>
      </c>
    </row>
    <row r="7045">
      <c r="A7045" s="1" t="str">
        <f>IFERROR(__xludf.DUMMYFUNCTION("""COMPUTED_VALUE"""),"2025 Dec")</f>
        <v>2025 Dec</v>
      </c>
      <c r="B7045" s="2">
        <f>IFERROR(__xludf.DUMMYFUNCTION("""COMPUTED_VALUE"""),45999.0)</f>
        <v>45999</v>
      </c>
      <c r="C7045" s="1" t="str">
        <f>IFERROR(__xludf.DUMMYFUNCTION("""COMPUTED_VALUE"""),"Core Product Support")</f>
        <v>Core Product Support</v>
      </c>
      <c r="D7045" s="1" t="str">
        <f>IFERROR(__xludf.DUMMYFUNCTION("""COMPUTED_VALUE"""),"961e0a53-62a6-4087-8811-6449381daa52")</f>
        <v>961e0a53-62a6-4087-8811-6449381daa52</v>
      </c>
      <c r="E7045" s="1">
        <f>IFERROR(__xludf.DUMMYFUNCTION("""COMPUTED_VALUE"""),3.61694638315E11)</f>
        <v>361694638315</v>
      </c>
      <c r="F7045" s="1"/>
      <c r="G7045" s="1">
        <f>IFERROR(__xludf.DUMMYFUNCTION("""COMPUTED_VALUE"""),3.0)</f>
        <v>3</v>
      </c>
      <c r="H7045" s="3">
        <f>IFERROR(__xludf.DUMMYFUNCTION("""COMPUTED_VALUE"""),3.0)</f>
        <v>3</v>
      </c>
      <c r="I7045" s="4">
        <f>IFERROR(__xludf.DUMMYFUNCTION("""COMPUTED_VALUE"""),1.0)</f>
        <v>1</v>
      </c>
      <c r="J7045" s="1" t="str">
        <f>IFERROR(__xludf.DUMMYFUNCTION("""COMPUTED_VALUE"""),"Ellaine Estayo")</f>
        <v>Ellaine Estayo</v>
      </c>
      <c r="K7045" s="1" t="str">
        <f>IFERROR(__xludf.DUMMYFUNCTION("""COMPUTED_VALUE"""),"Core Product Support Escalation Team")</f>
        <v>Core Product Support Escalation Team</v>
      </c>
      <c r="L7045" s="1" t="str">
        <f>IFERROR(__xludf.DUMMYFUNCTION("""COMPUTED_VALUE"""),"CPS Core Product Support Escalations (CPSET)")</f>
        <v>CPS Core Product Support Escalations (CPSET)</v>
      </c>
    </row>
    <row r="7046">
      <c r="A7046" s="1" t="str">
        <f>IFERROR(__xludf.DUMMYFUNCTION("""COMPUTED_VALUE"""),"2025 Dec")</f>
        <v>2025 Dec</v>
      </c>
      <c r="B7046" s="2">
        <f>IFERROR(__xludf.DUMMYFUNCTION("""COMPUTED_VALUE"""),45999.0)</f>
        <v>45999</v>
      </c>
      <c r="C7046" s="1" t="str">
        <f>IFERROR(__xludf.DUMMYFUNCTION("""COMPUTED_VALUE"""),"High Sensitivity Support")</f>
        <v>High Sensitivity Support</v>
      </c>
      <c r="D7046" s="1" t="str">
        <f>IFERROR(__xludf.DUMMYFUNCTION("""COMPUTED_VALUE"""),"50f4f34a-5f46-4ee9-a2ab-686901231801")</f>
        <v>50f4f34a-5f46-4ee9-a2ab-686901231801</v>
      </c>
      <c r="E7046" s="1">
        <f>IFERROR(__xludf.DUMMYFUNCTION("""COMPUTED_VALUE"""),1.0548602304527E13)</f>
        <v>10548602304527</v>
      </c>
      <c r="F7046" s="1">
        <f>IFERROR(__xludf.DUMMYFUNCTION("""COMPUTED_VALUE"""),3.0)</f>
        <v>3</v>
      </c>
      <c r="G7046" s="1"/>
      <c r="H7046" s="3">
        <f>IFERROR(__xludf.DUMMYFUNCTION("""COMPUTED_VALUE"""),3.0)</f>
        <v>3</v>
      </c>
      <c r="I7046" s="4">
        <f>IFERROR(__xludf.DUMMYFUNCTION("""COMPUTED_VALUE"""),0.0)</f>
        <v>0</v>
      </c>
      <c r="J7046" s="1" t="str">
        <f>IFERROR(__xludf.DUMMYFUNCTION("""COMPUTED_VALUE"""),"Rossheen Pura")</f>
        <v>Rossheen Pura</v>
      </c>
      <c r="K7046" s="1" t="str">
        <f>IFERROR(__xludf.DUMMYFUNCTION("""COMPUTED_VALUE"""),"High Sensitivity Support PH")</f>
        <v>High Sensitivity Support PH</v>
      </c>
      <c r="L7046" s="1" t="str">
        <f>IFERROR(__xludf.DUMMYFUNCTION("""COMPUTED_VALUE"""),"HSS High Sensitivity Support PH - CHT")</f>
        <v>HSS High Sensitivity Support PH - CHT</v>
      </c>
    </row>
    <row r="7047">
      <c r="A7047" s="1" t="str">
        <f>IFERROR(__xludf.DUMMYFUNCTION("""COMPUTED_VALUE"""),"2025 Dec")</f>
        <v>2025 Dec</v>
      </c>
      <c r="B7047" s="2">
        <f>IFERROR(__xludf.DUMMYFUNCTION("""COMPUTED_VALUE"""),45999.0)</f>
        <v>45999</v>
      </c>
      <c r="C7047" s="1" t="str">
        <f>IFERROR(__xludf.DUMMYFUNCTION("""COMPUTED_VALUE"""),"Print Support")</f>
        <v>Print Support</v>
      </c>
      <c r="D7047" s="1" t="str">
        <f>IFERROR(__xludf.DUMMYFUNCTION("""COMPUTED_VALUE"""),"4b906fe3-66c8-454a-a7d0-1f50f4b6cdf4")</f>
        <v>4b906fe3-66c8-454a-a7d0-1f50f4b6cdf4</v>
      </c>
      <c r="E7047" s="1">
        <f>IFERROR(__xludf.DUMMYFUNCTION("""COMPUTED_VALUE"""),3.61825398056E11)</f>
        <v>361825398056</v>
      </c>
      <c r="F7047" s="1"/>
      <c r="G7047" s="1"/>
      <c r="H7047" s="3">
        <f>IFERROR(__xludf.DUMMYFUNCTION("""COMPUTED_VALUE"""),0.0)</f>
        <v>0</v>
      </c>
      <c r="I7047" s="4"/>
      <c r="J7047" s="1" t="str">
        <f>IFERROR(__xludf.DUMMYFUNCTION("""COMPUTED_VALUE"""),"Rei De Jesus")</f>
        <v>Rei De Jesus</v>
      </c>
      <c r="K7047" s="1" t="str">
        <f>IFERROR(__xludf.DUMMYFUNCTION("""COMPUTED_VALUE"""),"Print Design Support")</f>
        <v>Print Design Support</v>
      </c>
      <c r="L7047" s="1" t="str">
        <f>IFERROR(__xludf.DUMMYFUNCTION("""COMPUTED_VALUE"""),"Print Print Design")</f>
        <v>Print Print Design</v>
      </c>
    </row>
    <row r="7048">
      <c r="A7048" s="1" t="str">
        <f>IFERROR(__xludf.DUMMYFUNCTION("""COMPUTED_VALUE"""),"2025 Dec")</f>
        <v>2025 Dec</v>
      </c>
      <c r="B7048" s="2">
        <f>IFERROR(__xludf.DUMMYFUNCTION("""COMPUTED_VALUE"""),45999.0)</f>
        <v>45999</v>
      </c>
      <c r="C7048" s="1" t="str">
        <f>IFERROR(__xludf.DUMMYFUNCTION("""COMPUTED_VALUE"""),"Core Product Support")</f>
        <v>Core Product Support</v>
      </c>
      <c r="D7048" s="1" t="str">
        <f>IFERROR(__xludf.DUMMYFUNCTION("""COMPUTED_VALUE"""),"7f8ea57d-3bc6-435c-ac89-36216f416d2b")</f>
        <v>7f8ea57d-3bc6-435c-ac89-36216f416d2b</v>
      </c>
      <c r="E7048" s="1">
        <f>IFERROR(__xludf.DUMMYFUNCTION("""COMPUTED_VALUE"""),5.202392782223E12)</f>
        <v>5202392782223</v>
      </c>
      <c r="F7048" s="1"/>
      <c r="G7048" s="1">
        <f>IFERROR(__xludf.DUMMYFUNCTION("""COMPUTED_VALUE"""),1.5)</f>
        <v>1.5</v>
      </c>
      <c r="H7048" s="3">
        <f>IFERROR(__xludf.DUMMYFUNCTION("""COMPUTED_VALUE"""),1.5)</f>
        <v>1.5</v>
      </c>
      <c r="I7048" s="4">
        <f>IFERROR(__xludf.DUMMYFUNCTION("""COMPUTED_VALUE"""),1.0)</f>
        <v>1</v>
      </c>
      <c r="J7048" s="1" t="str">
        <f>IFERROR(__xludf.DUMMYFUNCTION("""COMPUTED_VALUE"""),"Renette Bok")</f>
        <v>Renette Bok</v>
      </c>
      <c r="K7048" s="1" t="str">
        <f>IFERROR(__xludf.DUMMYFUNCTION("""COMPUTED_VALUE"""),"Advanced Billing &amp; Subscriptions")</f>
        <v>Advanced Billing &amp; Subscriptions</v>
      </c>
      <c r="L7048" s="1" t="str">
        <f>IFERROR(__xludf.DUMMYFUNCTION("""COMPUTED_VALUE"""),"CPS Advanced Billing and Subscriptions (ABS)")</f>
        <v>CPS Advanced Billing and Subscriptions (ABS)</v>
      </c>
    </row>
    <row r="7049">
      <c r="A7049" s="1" t="str">
        <f>IFERROR(__xludf.DUMMYFUNCTION("""COMPUTED_VALUE"""),"2025 Dec")</f>
        <v>2025 Dec</v>
      </c>
      <c r="B7049" s="2">
        <f>IFERROR(__xludf.DUMMYFUNCTION("""COMPUTED_VALUE"""),45999.0)</f>
        <v>45999</v>
      </c>
      <c r="C7049" s="1" t="str">
        <f>IFERROR(__xludf.DUMMYFUNCTION("""COMPUTED_VALUE"""),"Core Product Support")</f>
        <v>Core Product Support</v>
      </c>
      <c r="D7049" s="1" t="str">
        <f>IFERROR(__xludf.DUMMYFUNCTION("""COMPUTED_VALUE"""),"5aed746e-cb5c-469a-8821-9e6506c7b9e6")</f>
        <v>5aed746e-cb5c-469a-8821-9e6506c7b9e6</v>
      </c>
      <c r="E7049" s="1">
        <f>IFERROR(__xludf.DUMMYFUNCTION("""COMPUTED_VALUE"""),3.61731350535E11)</f>
        <v>361731350535</v>
      </c>
      <c r="F7049" s="1">
        <f>IFERROR(__xludf.DUMMYFUNCTION("""COMPUTED_VALUE"""),0.5)</f>
        <v>0.5</v>
      </c>
      <c r="G7049" s="1"/>
      <c r="H7049" s="3">
        <f>IFERROR(__xludf.DUMMYFUNCTION("""COMPUTED_VALUE"""),0.5)</f>
        <v>0.5</v>
      </c>
      <c r="I7049" s="4">
        <f>IFERROR(__xludf.DUMMYFUNCTION("""COMPUTED_VALUE"""),0.0)</f>
        <v>0</v>
      </c>
      <c r="J7049" s="1" t="str">
        <f>IFERROR(__xludf.DUMMYFUNCTION("""COMPUTED_VALUE"""),"Vinz Lazaro")</f>
        <v>Vinz Lazaro</v>
      </c>
      <c r="K7049" s="1" t="str">
        <f>IFERROR(__xludf.DUMMYFUNCTION("""COMPUTED_VALUE"""),"Advanced Product Support")</f>
        <v>Advanced Product Support</v>
      </c>
      <c r="L7049" s="1" t="str">
        <f>IFERROR(__xludf.DUMMYFUNCTION("""COMPUTED_VALUE"""),"CPS Advanced Product Support (APS)")</f>
        <v>CPS Advanced Product Support (APS)</v>
      </c>
    </row>
    <row r="7050">
      <c r="A7050" s="1" t="str">
        <f>IFERROR(__xludf.DUMMYFUNCTION("""COMPUTED_VALUE"""),"2025 Dec")</f>
        <v>2025 Dec</v>
      </c>
      <c r="B7050" s="2">
        <f>IFERROR(__xludf.DUMMYFUNCTION("""COMPUTED_VALUE"""),45999.0)</f>
        <v>45999</v>
      </c>
      <c r="C7050" s="1" t="str">
        <f>IFERROR(__xludf.DUMMYFUNCTION("""COMPUTED_VALUE"""),"Core Product Support")</f>
        <v>Core Product Support</v>
      </c>
      <c r="D7050" s="1" t="str">
        <f>IFERROR(__xludf.DUMMYFUNCTION("""COMPUTED_VALUE"""),"a5566f0b-0c7b-4dd5-a5bf-cc571ed45f36")</f>
        <v>a5566f0b-0c7b-4dd5-a5bf-cc571ed45f36</v>
      </c>
      <c r="E7050" s="1">
        <f>IFERROR(__xludf.DUMMYFUNCTION("""COMPUTED_VALUE"""),1.0333033796879E13)</f>
        <v>10333033796879</v>
      </c>
      <c r="F7050" s="1">
        <f>IFERROR(__xludf.DUMMYFUNCTION("""COMPUTED_VALUE"""),0.5)</f>
        <v>0.5</v>
      </c>
      <c r="G7050" s="1"/>
      <c r="H7050" s="3">
        <f>IFERROR(__xludf.DUMMYFUNCTION("""COMPUTED_VALUE"""),0.5)</f>
        <v>0.5</v>
      </c>
      <c r="I7050" s="4">
        <f>IFERROR(__xludf.DUMMYFUNCTION("""COMPUTED_VALUE"""),0.0)</f>
        <v>0</v>
      </c>
      <c r="J7050" s="1" t="str">
        <f>IFERROR(__xludf.DUMMYFUNCTION("""COMPUTED_VALUE"""),"Jelyn Elmido")</f>
        <v>Jelyn Elmido</v>
      </c>
      <c r="K7050" s="1" t="str">
        <f>IFERROR(__xludf.DUMMYFUNCTION("""COMPUTED_VALUE"""),"Advanced Product Support")</f>
        <v>Advanced Product Support</v>
      </c>
      <c r="L7050" s="1" t="str">
        <f>IFERROR(__xludf.DUMMYFUNCTION("""COMPUTED_VALUE"""),"CPS Advanced Product Support (APS)")</f>
        <v>CPS Advanced Product Support (APS)</v>
      </c>
    </row>
    <row r="7051">
      <c r="A7051" s="1" t="str">
        <f>IFERROR(__xludf.DUMMYFUNCTION("""COMPUTED_VALUE"""),"2025 Dec")</f>
        <v>2025 Dec</v>
      </c>
      <c r="B7051" s="2">
        <f>IFERROR(__xludf.DUMMYFUNCTION("""COMPUTED_VALUE"""),45999.0)</f>
        <v>45999</v>
      </c>
      <c r="C7051" s="1" t="str">
        <f>IFERROR(__xludf.DUMMYFUNCTION("""COMPUTED_VALUE"""),"Core Product Support")</f>
        <v>Core Product Support</v>
      </c>
      <c r="D7051" s="1" t="str">
        <f>IFERROR(__xludf.DUMMYFUNCTION("""COMPUTED_VALUE"""),"98f36067-d801-431b-ba9a-fcb9a6ae433a")</f>
        <v>98f36067-d801-431b-ba9a-fcb9a6ae433a</v>
      </c>
      <c r="E7051" s="1">
        <f>IFERROR(__xludf.DUMMYFUNCTION("""COMPUTED_VALUE"""),3.61731350795E11)</f>
        <v>361731350795</v>
      </c>
      <c r="F7051" s="1"/>
      <c r="G7051" s="1"/>
      <c r="H7051" s="3">
        <f>IFERROR(__xludf.DUMMYFUNCTION("""COMPUTED_VALUE"""),0.0)</f>
        <v>0</v>
      </c>
      <c r="I7051" s="4"/>
      <c r="J7051" s="1" t="str">
        <f>IFERROR(__xludf.DUMMYFUNCTION("""COMPUTED_VALUE"""),"Jem Mondoñedo")</f>
        <v>Jem Mondoñedo</v>
      </c>
      <c r="K7051" s="1" t="str">
        <f>IFERROR(__xludf.DUMMYFUNCTION("""COMPUTED_VALUE"""),"Advanced Chat Support")</f>
        <v>Advanced Chat Support</v>
      </c>
      <c r="L7051" s="1" t="str">
        <f>IFERROR(__xludf.DUMMYFUNCTION("""COMPUTED_VALUE"""),"CPS Advanced Chat Support (ACS)")</f>
        <v>CPS Advanced Chat Support (ACS)</v>
      </c>
    </row>
    <row r="7052">
      <c r="A7052" s="1" t="str">
        <f>IFERROR(__xludf.DUMMYFUNCTION("""COMPUTED_VALUE"""),"2025 Dec")</f>
        <v>2025 Dec</v>
      </c>
      <c r="B7052" s="2">
        <f>IFERROR(__xludf.DUMMYFUNCTION("""COMPUTED_VALUE"""),45999.0)</f>
        <v>45999</v>
      </c>
      <c r="C7052" s="1" t="str">
        <f>IFERROR(__xludf.DUMMYFUNCTION("""COMPUTED_VALUE"""),"Core Product Support")</f>
        <v>Core Product Support</v>
      </c>
      <c r="D7052" s="1" t="str">
        <f>IFERROR(__xludf.DUMMYFUNCTION("""COMPUTED_VALUE"""),"7d586eb5-1b74-4e56-b56f-6c2807700cb7")</f>
        <v>7d586eb5-1b74-4e56-b56f-6c2807700cb7</v>
      </c>
      <c r="E7052" s="1">
        <f>IFERROR(__xludf.DUMMYFUNCTION("""COMPUTED_VALUE"""),5.202378938383E12)</f>
        <v>5202378938383</v>
      </c>
      <c r="F7052" s="1"/>
      <c r="G7052" s="1">
        <f>IFERROR(__xludf.DUMMYFUNCTION("""COMPUTED_VALUE"""),2.5)</f>
        <v>2.5</v>
      </c>
      <c r="H7052" s="3">
        <f>IFERROR(__xludf.DUMMYFUNCTION("""COMPUTED_VALUE"""),2.5)</f>
        <v>2.5</v>
      </c>
      <c r="I7052" s="4">
        <f>IFERROR(__xludf.DUMMYFUNCTION("""COMPUTED_VALUE"""),1.0)</f>
        <v>1</v>
      </c>
      <c r="J7052" s="1" t="str">
        <f>IFERROR(__xludf.DUMMYFUNCTION("""COMPUTED_VALUE"""),"Sieg Ballelos")</f>
        <v>Sieg Ballelos</v>
      </c>
      <c r="K7052" s="1" t="str">
        <f>IFERROR(__xludf.DUMMYFUNCTION("""COMPUTED_VALUE"""),"Core Product Support Escalation Team")</f>
        <v>Core Product Support Escalation Team</v>
      </c>
      <c r="L7052" s="1" t="str">
        <f>IFERROR(__xludf.DUMMYFUNCTION("""COMPUTED_VALUE"""),"CPS Core Product Support Escalations (CPSET)")</f>
        <v>CPS Core Product Support Escalations (CPSET)</v>
      </c>
    </row>
    <row r="7053">
      <c r="A7053" s="1" t="str">
        <f>IFERROR(__xludf.DUMMYFUNCTION("""COMPUTED_VALUE"""),"2025 Dec")</f>
        <v>2025 Dec</v>
      </c>
      <c r="B7053" s="2">
        <f>IFERROR(__xludf.DUMMYFUNCTION("""COMPUTED_VALUE"""),45999.0)</f>
        <v>45999</v>
      </c>
      <c r="C7053" s="1" t="str">
        <f>IFERROR(__xludf.DUMMYFUNCTION("""COMPUTED_VALUE"""),"Core Product Support")</f>
        <v>Core Product Support</v>
      </c>
      <c r="D7053" s="1" t="str">
        <f>IFERROR(__xludf.DUMMYFUNCTION("""COMPUTED_VALUE"""),"c7d7e66b-4dfe-47b9-a47f-66af76d8fb19")</f>
        <v>c7d7e66b-4dfe-47b9-a47f-66af76d8fb19</v>
      </c>
      <c r="E7053" s="1">
        <f>IFERROR(__xludf.DUMMYFUNCTION("""COMPUTED_VALUE"""),1.1401981374607E13)</f>
        <v>11401981374607</v>
      </c>
      <c r="F7053" s="1"/>
      <c r="G7053" s="1"/>
      <c r="H7053" s="3">
        <f>IFERROR(__xludf.DUMMYFUNCTION("""COMPUTED_VALUE"""),0.0)</f>
        <v>0</v>
      </c>
      <c r="I7053" s="4"/>
      <c r="J7053" s="1" t="str">
        <f>IFERROR(__xludf.DUMMYFUNCTION("""COMPUTED_VALUE"""),"Jelyn Elmido")</f>
        <v>Jelyn Elmido</v>
      </c>
      <c r="K7053" s="1" t="str">
        <f>IFERROR(__xludf.DUMMYFUNCTION("""COMPUTED_VALUE"""),"Advanced Product Support")</f>
        <v>Advanced Product Support</v>
      </c>
      <c r="L7053" s="1" t="str">
        <f>IFERROR(__xludf.DUMMYFUNCTION("""COMPUTED_VALUE"""),"CPS Advanced Product Support (APS)")</f>
        <v>CPS Advanced Product Support (APS)</v>
      </c>
    </row>
    <row r="7054">
      <c r="A7054" s="1" t="str">
        <f>IFERROR(__xludf.DUMMYFUNCTION("""COMPUTED_VALUE"""),"2025 Dec")</f>
        <v>2025 Dec</v>
      </c>
      <c r="B7054" s="2">
        <f>IFERROR(__xludf.DUMMYFUNCTION("""COMPUTED_VALUE"""),45999.0)</f>
        <v>45999</v>
      </c>
      <c r="C7054" s="1" t="str">
        <f>IFERROR(__xludf.DUMMYFUNCTION("""COMPUTED_VALUE"""),"Print Support")</f>
        <v>Print Support</v>
      </c>
      <c r="D7054" s="1" t="str">
        <f>IFERROR(__xludf.DUMMYFUNCTION("""COMPUTED_VALUE"""),"10b96ef4-077e-4868-9c27-17d96d8b4f68")</f>
        <v>10b96ef4-077e-4868-9c27-17d96d8b4f68</v>
      </c>
      <c r="E7054" s="1">
        <f>IFERROR(__xludf.DUMMYFUNCTION("""COMPUTED_VALUE"""),3.61744117796E11)</f>
        <v>361744117796</v>
      </c>
      <c r="F7054" s="1"/>
      <c r="G7054" s="1"/>
      <c r="H7054" s="3">
        <f>IFERROR(__xludf.DUMMYFUNCTION("""COMPUTED_VALUE"""),0.0)</f>
        <v>0</v>
      </c>
      <c r="I7054" s="4"/>
      <c r="J7054" s="1" t="str">
        <f>IFERROR(__xludf.DUMMYFUNCTION("""COMPUTED_VALUE"""),"Jen Momo")</f>
        <v>Jen Momo</v>
      </c>
      <c r="K7054" s="1" t="str">
        <f>IFERROR(__xludf.DUMMYFUNCTION("""COMPUTED_VALUE"""),"Print Support PH")</f>
        <v>Print Support PH</v>
      </c>
      <c r="L7054" s="1" t="str">
        <f>IFERROR(__xludf.DUMMYFUNCTION("""COMPUTED_VALUE"""),"Print Print - CHT")</f>
        <v>Print Print - CHT</v>
      </c>
    </row>
    <row r="7055">
      <c r="A7055" s="1" t="str">
        <f>IFERROR(__xludf.DUMMYFUNCTION("""COMPUTED_VALUE"""),"2025 Dec")</f>
        <v>2025 Dec</v>
      </c>
      <c r="B7055" s="2">
        <f>IFERROR(__xludf.DUMMYFUNCTION("""COMPUTED_VALUE"""),45999.0)</f>
        <v>45999</v>
      </c>
      <c r="C7055" s="1" t="str">
        <f>IFERROR(__xludf.DUMMYFUNCTION("""COMPUTED_VALUE"""),"Print Support")</f>
        <v>Print Support</v>
      </c>
      <c r="D7055" s="1" t="str">
        <f>IFERROR(__xludf.DUMMYFUNCTION("""COMPUTED_VALUE"""),"12eca747-9244-47cb-894e-d3c873c08566")</f>
        <v>12eca747-9244-47cb-894e-d3c873c08566</v>
      </c>
      <c r="E7055" s="1">
        <f>IFERROR(__xludf.DUMMYFUNCTION("""COMPUTED_VALUE"""),1.0548625681423E13)</f>
        <v>10548625681423</v>
      </c>
      <c r="F7055" s="1"/>
      <c r="G7055" s="1"/>
      <c r="H7055" s="3">
        <f>IFERROR(__xludf.DUMMYFUNCTION("""COMPUTED_VALUE"""),0.0)</f>
        <v>0</v>
      </c>
      <c r="I7055" s="4"/>
      <c r="J7055" s="1" t="str">
        <f>IFERROR(__xludf.DUMMYFUNCTION("""COMPUTED_VALUE"""),"Ann Dumlao")</f>
        <v>Ann Dumlao</v>
      </c>
      <c r="K7055" s="1" t="str">
        <f>IFERROR(__xludf.DUMMYFUNCTION("""COMPUTED_VALUE"""),"Print Support PH")</f>
        <v>Print Support PH</v>
      </c>
      <c r="L7055" s="1" t="str">
        <f>IFERROR(__xludf.DUMMYFUNCTION("""COMPUTED_VALUE"""),"Print Print - CHT")</f>
        <v>Print Print - CHT</v>
      </c>
    </row>
    <row r="7056">
      <c r="A7056" s="1" t="str">
        <f>IFERROR(__xludf.DUMMYFUNCTION("""COMPUTED_VALUE"""),"2025 Dec")</f>
        <v>2025 Dec</v>
      </c>
      <c r="B7056" s="2">
        <f>IFERROR(__xludf.DUMMYFUNCTION("""COMPUTED_VALUE"""),45999.0)</f>
        <v>45999</v>
      </c>
      <c r="C7056" s="1" t="str">
        <f>IFERROR(__xludf.DUMMYFUNCTION("""COMPUTED_VALUE"""),"Multilingual Support")</f>
        <v>Multilingual Support</v>
      </c>
      <c r="D7056" s="1" t="str">
        <f>IFERROR(__xludf.DUMMYFUNCTION("""COMPUTED_VALUE"""),"757d9757-27bf-49d1-a07c-15a426289b02")</f>
        <v>757d9757-27bf-49d1-a07c-15a426289b02</v>
      </c>
      <c r="E7056" s="1">
        <f>IFERROR(__xludf.DUMMYFUNCTION("""COMPUTED_VALUE"""),1.1819962468111E13)</f>
        <v>11819962468111</v>
      </c>
      <c r="F7056" s="1"/>
      <c r="G7056" s="1"/>
      <c r="H7056" s="3">
        <f>IFERROR(__xludf.DUMMYFUNCTION("""COMPUTED_VALUE"""),0.0)</f>
        <v>0</v>
      </c>
      <c r="I7056" s="4"/>
      <c r="J7056" s="1" t="str">
        <f>IFERROR(__xludf.DUMMYFUNCTION("""COMPUTED_VALUE"""),"Arlene Maurillo")</f>
        <v>Arlene Maurillo</v>
      </c>
      <c r="K7056" s="1" t="str">
        <f>IFERROR(__xludf.DUMMYFUNCTION("""COMPUTED_VALUE"""),"PHL, Multilingual Support")</f>
        <v>PHL, Multilingual Support</v>
      </c>
      <c r="L7056" s="1" t="str">
        <f>IFERROR(__xludf.DUMMYFUNCTION("""COMPUTED_VALUE"""),"ML Spanish Support")</f>
        <v>ML Spanish Support</v>
      </c>
    </row>
    <row r="7057">
      <c r="A7057" s="1" t="str">
        <f>IFERROR(__xludf.DUMMYFUNCTION("""COMPUTED_VALUE"""),"2025 Dec")</f>
        <v>2025 Dec</v>
      </c>
      <c r="B7057" s="2">
        <f>IFERROR(__xludf.DUMMYFUNCTION("""COMPUTED_VALUE"""),45999.0)</f>
        <v>45999</v>
      </c>
      <c r="C7057" s="1" t="str">
        <f>IFERROR(__xludf.DUMMYFUNCTION("""COMPUTED_VALUE"""),"Core Product Support")</f>
        <v>Core Product Support</v>
      </c>
      <c r="D7057" s="1" t="str">
        <f>IFERROR(__xludf.DUMMYFUNCTION("""COMPUTED_VALUE"""),"a3fade96-9131-4bb4-90c2-f54d385ec4bf")</f>
        <v>a3fade96-9131-4bb4-90c2-f54d385ec4bf</v>
      </c>
      <c r="E7057" s="1">
        <f>IFERROR(__xludf.DUMMYFUNCTION("""COMPUTED_VALUE"""),3.61724829156E11)</f>
        <v>361724829156</v>
      </c>
      <c r="F7057" s="1"/>
      <c r="G7057" s="1">
        <f>IFERROR(__xludf.DUMMYFUNCTION("""COMPUTED_VALUE"""),2.0)</f>
        <v>2</v>
      </c>
      <c r="H7057" s="3">
        <f>IFERROR(__xludf.DUMMYFUNCTION("""COMPUTED_VALUE"""),2.0)</f>
        <v>2</v>
      </c>
      <c r="I7057" s="4">
        <f>IFERROR(__xludf.DUMMYFUNCTION("""COMPUTED_VALUE"""),1.0)</f>
        <v>1</v>
      </c>
      <c r="J7057" s="1" t="str">
        <f>IFERROR(__xludf.DUMMYFUNCTION("""COMPUTED_VALUE"""),"Sieg Ballelos")</f>
        <v>Sieg Ballelos</v>
      </c>
      <c r="K7057" s="1" t="str">
        <f>IFERROR(__xludf.DUMMYFUNCTION("""COMPUTED_VALUE"""),"Core Product Support Escalation Team")</f>
        <v>Core Product Support Escalation Team</v>
      </c>
      <c r="L7057" s="1" t="str">
        <f>IFERROR(__xludf.DUMMYFUNCTION("""COMPUTED_VALUE"""),"CPS Core Product Support Escalations (CPSET)")</f>
        <v>CPS Core Product Support Escalations (CPSET)</v>
      </c>
    </row>
    <row r="7058">
      <c r="A7058" s="1" t="str">
        <f>IFERROR(__xludf.DUMMYFUNCTION("""COMPUTED_VALUE"""),"2025 Dec")</f>
        <v>2025 Dec</v>
      </c>
      <c r="B7058" s="2">
        <f>IFERROR(__xludf.DUMMYFUNCTION("""COMPUTED_VALUE"""),45999.0)</f>
        <v>45999</v>
      </c>
      <c r="C7058" s="1" t="str">
        <f>IFERROR(__xludf.DUMMYFUNCTION("""COMPUTED_VALUE"""),"Admin Support")</f>
        <v>Admin Support</v>
      </c>
      <c r="D7058" s="1" t="str">
        <f>IFERROR(__xludf.DUMMYFUNCTION("""COMPUTED_VALUE"""),"09d87fc9-bd97-4b66-b6e5-fc2d50b135a4")</f>
        <v>09d87fc9-bd97-4b66-b6e5-fc2d50b135a4</v>
      </c>
      <c r="E7058" s="1">
        <f>IFERROR(__xludf.DUMMYFUNCTION("""COMPUTED_VALUE"""),3.61725260596E11)</f>
        <v>361725260596</v>
      </c>
      <c r="F7058" s="1"/>
      <c r="G7058" s="1">
        <f>IFERROR(__xludf.DUMMYFUNCTION("""COMPUTED_VALUE"""),0.5)</f>
        <v>0.5</v>
      </c>
      <c r="H7058" s="3">
        <f>IFERROR(__xludf.DUMMYFUNCTION("""COMPUTED_VALUE"""),0.5)</f>
        <v>0.5</v>
      </c>
      <c r="I7058" s="4">
        <f>IFERROR(__xludf.DUMMYFUNCTION("""COMPUTED_VALUE"""),1.0)</f>
        <v>1</v>
      </c>
      <c r="J7058" s="1" t="str">
        <f>IFERROR(__xludf.DUMMYFUNCTION("""COMPUTED_VALUE"""),"AL Suarez")</f>
        <v>AL Suarez</v>
      </c>
      <c r="K7058" s="1" t="str">
        <f>IFERROR(__xludf.DUMMYFUNCTION("""COMPUTED_VALUE"""),"Admin Support PH")</f>
        <v>Admin Support PH</v>
      </c>
      <c r="L7058" s="1" t="str">
        <f>IFERROR(__xludf.DUMMYFUNCTION("""COMPUTED_VALUE"""),"Admin PH")</f>
        <v>Admin PH</v>
      </c>
    </row>
    <row r="7059">
      <c r="A7059" s="1" t="str">
        <f>IFERROR(__xludf.DUMMYFUNCTION("""COMPUTED_VALUE"""),"2025 Dec")</f>
        <v>2025 Dec</v>
      </c>
      <c r="B7059" s="2">
        <f>IFERROR(__xludf.DUMMYFUNCTION("""COMPUTED_VALUE"""),45999.0)</f>
        <v>45999</v>
      </c>
      <c r="C7059" s="1" t="str">
        <f>IFERROR(__xludf.DUMMYFUNCTION("""COMPUTED_VALUE"""),"Core Product Support")</f>
        <v>Core Product Support</v>
      </c>
      <c r="D7059" s="1" t="str">
        <f>IFERROR(__xludf.DUMMYFUNCTION("""COMPUTED_VALUE"""),"f955e205-68df-47fa-8f47-3ee8758dc76e")</f>
        <v>f955e205-68df-47fa-8f47-3ee8758dc76e</v>
      </c>
      <c r="E7059" s="1">
        <f>IFERROR(__xludf.DUMMYFUNCTION("""COMPUTED_VALUE"""),6.839679630095E12)</f>
        <v>6839679630095</v>
      </c>
      <c r="F7059" s="1">
        <f>IFERROR(__xludf.DUMMYFUNCTION("""COMPUTED_VALUE"""),0.5)</f>
        <v>0.5</v>
      </c>
      <c r="G7059" s="1"/>
      <c r="H7059" s="3">
        <f>IFERROR(__xludf.DUMMYFUNCTION("""COMPUTED_VALUE"""),0.5)</f>
        <v>0.5</v>
      </c>
      <c r="I7059" s="4">
        <f>IFERROR(__xludf.DUMMYFUNCTION("""COMPUTED_VALUE"""),0.0)</f>
        <v>0</v>
      </c>
      <c r="J7059" s="1" t="str">
        <f>IFERROR(__xludf.DUMMYFUNCTION("""COMPUTED_VALUE"""),"Ayza Marie Pascual")</f>
        <v>Ayza Marie Pascual</v>
      </c>
      <c r="K7059" s="1" t="str">
        <f>IFERROR(__xludf.DUMMYFUNCTION("""COMPUTED_VALUE"""),"Advanced Billing &amp; Subscriptions")</f>
        <v>Advanced Billing &amp; Subscriptions</v>
      </c>
      <c r="L7059" s="1" t="str">
        <f>IFERROR(__xludf.DUMMYFUNCTION("""COMPUTED_VALUE"""),"CPS Advanced Billing and Subscriptions (ABS)")</f>
        <v>CPS Advanced Billing and Subscriptions (ABS)</v>
      </c>
    </row>
    <row r="7060">
      <c r="A7060" s="1" t="str">
        <f>IFERROR(__xludf.DUMMYFUNCTION("""COMPUTED_VALUE"""),"2025 Dec")</f>
        <v>2025 Dec</v>
      </c>
      <c r="B7060" s="2">
        <f>IFERROR(__xludf.DUMMYFUNCTION("""COMPUTED_VALUE"""),45999.0)</f>
        <v>45999</v>
      </c>
      <c r="C7060" s="1" t="str">
        <f>IFERROR(__xludf.DUMMYFUNCTION("""COMPUTED_VALUE"""),"Core Product Support")</f>
        <v>Core Product Support</v>
      </c>
      <c r="D7060" s="1" t="str">
        <f>IFERROR(__xludf.DUMMYFUNCTION("""COMPUTED_VALUE"""),"00be8036-de23-4dcc-a683-b039df965fa3")</f>
        <v>00be8036-de23-4dcc-a683-b039df965fa3</v>
      </c>
      <c r="E7060" s="1">
        <f>IFERROR(__xludf.DUMMYFUNCTION("""COMPUTED_VALUE"""),3.61861298295E11)</f>
        <v>361861298295</v>
      </c>
      <c r="F7060" s="1"/>
      <c r="G7060" s="1">
        <f>IFERROR(__xludf.DUMMYFUNCTION("""COMPUTED_VALUE"""),3.0)</f>
        <v>3</v>
      </c>
      <c r="H7060" s="3">
        <f>IFERROR(__xludf.DUMMYFUNCTION("""COMPUTED_VALUE"""),3.0)</f>
        <v>3</v>
      </c>
      <c r="I7060" s="4">
        <f>IFERROR(__xludf.DUMMYFUNCTION("""COMPUTED_VALUE"""),1.0)</f>
        <v>1</v>
      </c>
      <c r="J7060" s="1" t="str">
        <f>IFERROR(__xludf.DUMMYFUNCTION("""COMPUTED_VALUE"""),"Ellaine Estayo")</f>
        <v>Ellaine Estayo</v>
      </c>
      <c r="K7060" s="1" t="str">
        <f>IFERROR(__xludf.DUMMYFUNCTION("""COMPUTED_VALUE"""),"Core Product Support Escalation Team")</f>
        <v>Core Product Support Escalation Team</v>
      </c>
      <c r="L7060" s="1" t="str">
        <f>IFERROR(__xludf.DUMMYFUNCTION("""COMPUTED_VALUE"""),"CPS Core Product Support Escalations (CPSET)")</f>
        <v>CPS Core Product Support Escalations (CPSET)</v>
      </c>
    </row>
    <row r="7061">
      <c r="A7061" s="1" t="str">
        <f>IFERROR(__xludf.DUMMYFUNCTION("""COMPUTED_VALUE"""),"2025 Dec")</f>
        <v>2025 Dec</v>
      </c>
      <c r="B7061" s="2">
        <f>IFERROR(__xludf.DUMMYFUNCTION("""COMPUTED_VALUE"""),45999.0)</f>
        <v>45999</v>
      </c>
      <c r="C7061" s="1" t="str">
        <f>IFERROR(__xludf.DUMMYFUNCTION("""COMPUTED_VALUE"""),"Core Product Support")</f>
        <v>Core Product Support</v>
      </c>
      <c r="D7061" s="1" t="str">
        <f>IFERROR(__xludf.DUMMYFUNCTION("""COMPUTED_VALUE"""),"5f0096f6-f7a7-4fe8-ac45-0435aaacdfb4")</f>
        <v>5f0096f6-f7a7-4fe8-ac45-0435aaacdfb4</v>
      </c>
      <c r="E7061" s="1">
        <f>IFERROR(__xludf.DUMMYFUNCTION("""COMPUTED_VALUE"""),1.1035371839887E13)</f>
        <v>11035371839887</v>
      </c>
      <c r="F7061" s="1">
        <f>IFERROR(__xludf.DUMMYFUNCTION("""COMPUTED_VALUE"""),0.5)</f>
        <v>0.5</v>
      </c>
      <c r="G7061" s="1"/>
      <c r="H7061" s="3">
        <f>IFERROR(__xludf.DUMMYFUNCTION("""COMPUTED_VALUE"""),0.5)</f>
        <v>0.5</v>
      </c>
      <c r="I7061" s="4">
        <f>IFERROR(__xludf.DUMMYFUNCTION("""COMPUTED_VALUE"""),0.0)</f>
        <v>0</v>
      </c>
      <c r="J7061" s="1" t="str">
        <f>IFERROR(__xludf.DUMMYFUNCTION("""COMPUTED_VALUE"""),"Ayza Marie Pascual")</f>
        <v>Ayza Marie Pascual</v>
      </c>
      <c r="K7061" s="1" t="str">
        <f>IFERROR(__xludf.DUMMYFUNCTION("""COMPUTED_VALUE"""),"Advanced Billing &amp; Subscriptions")</f>
        <v>Advanced Billing &amp; Subscriptions</v>
      </c>
      <c r="L7061" s="1" t="str">
        <f>IFERROR(__xludf.DUMMYFUNCTION("""COMPUTED_VALUE"""),"CPS Advanced Billing and Subscriptions (ABS)")</f>
        <v>CPS Advanced Billing and Subscriptions (ABS)</v>
      </c>
    </row>
    <row r="7062">
      <c r="A7062" s="1" t="str">
        <f>IFERROR(__xludf.DUMMYFUNCTION("""COMPUTED_VALUE"""),"2025 Dec")</f>
        <v>2025 Dec</v>
      </c>
      <c r="B7062" s="2">
        <f>IFERROR(__xludf.DUMMYFUNCTION("""COMPUTED_VALUE"""),45999.0)</f>
        <v>45999</v>
      </c>
      <c r="C7062" s="1" t="str">
        <f>IFERROR(__xludf.DUMMYFUNCTION("""COMPUTED_VALUE"""),"Print Support")</f>
        <v>Print Support</v>
      </c>
      <c r="D7062" s="1" t="str">
        <f>IFERROR(__xludf.DUMMYFUNCTION("""COMPUTED_VALUE"""),"a5b6f808-7e87-4668-a7a6-2faa138923c8")</f>
        <v>a5b6f808-7e87-4668-a7a6-2faa138923c8</v>
      </c>
      <c r="E7062" s="1">
        <f>IFERROR(__xludf.DUMMYFUNCTION("""COMPUTED_VALUE"""),1.1279766049295E13)</f>
        <v>11279766049295</v>
      </c>
      <c r="F7062" s="1"/>
      <c r="G7062" s="1"/>
      <c r="H7062" s="3">
        <f>IFERROR(__xludf.DUMMYFUNCTION("""COMPUTED_VALUE"""),0.0)</f>
        <v>0</v>
      </c>
      <c r="I7062" s="4"/>
      <c r="J7062" s="1" t="str">
        <f>IFERROR(__xludf.DUMMYFUNCTION("""COMPUTED_VALUE"""),"Jen Momo")</f>
        <v>Jen Momo</v>
      </c>
      <c r="K7062" s="1" t="str">
        <f>IFERROR(__xludf.DUMMYFUNCTION("""COMPUTED_VALUE"""),"Print Support PH")</f>
        <v>Print Support PH</v>
      </c>
      <c r="L7062" s="1" t="str">
        <f>IFERROR(__xludf.DUMMYFUNCTION("""COMPUTED_VALUE"""),"Print Print - CHT")</f>
        <v>Print Print - CHT</v>
      </c>
    </row>
    <row r="7063">
      <c r="A7063" s="1" t="str">
        <f>IFERROR(__xludf.DUMMYFUNCTION("""COMPUTED_VALUE"""),"2025 Dec")</f>
        <v>2025 Dec</v>
      </c>
      <c r="B7063" s="2">
        <f>IFERROR(__xludf.DUMMYFUNCTION("""COMPUTED_VALUE"""),45999.0)</f>
        <v>45999</v>
      </c>
      <c r="C7063" s="1" t="str">
        <f>IFERROR(__xludf.DUMMYFUNCTION("""COMPUTED_VALUE"""),"Core Product Support")</f>
        <v>Core Product Support</v>
      </c>
      <c r="D7063" s="1" t="str">
        <f>IFERROR(__xludf.DUMMYFUNCTION("""COMPUTED_VALUE"""),"e930b948-a2f3-4c3f-8b54-7ddcb5c13c7b")</f>
        <v>e930b948-a2f3-4c3f-8b54-7ddcb5c13c7b</v>
      </c>
      <c r="E7063" s="1">
        <f>IFERROR(__xludf.DUMMYFUNCTION("""COMPUTED_VALUE"""),3.61725113576E11)</f>
        <v>361725113576</v>
      </c>
      <c r="F7063" s="1"/>
      <c r="G7063" s="1">
        <f>IFERROR(__xludf.DUMMYFUNCTION("""COMPUTED_VALUE"""),3.0)</f>
        <v>3</v>
      </c>
      <c r="H7063" s="3">
        <f>IFERROR(__xludf.DUMMYFUNCTION("""COMPUTED_VALUE"""),3.0)</f>
        <v>3</v>
      </c>
      <c r="I7063" s="4">
        <f>IFERROR(__xludf.DUMMYFUNCTION("""COMPUTED_VALUE"""),1.0)</f>
        <v>1</v>
      </c>
      <c r="J7063" s="1" t="str">
        <f>IFERROR(__xludf.DUMMYFUNCTION("""COMPUTED_VALUE"""),"Ellaine Estayo")</f>
        <v>Ellaine Estayo</v>
      </c>
      <c r="K7063" s="1" t="str">
        <f>IFERROR(__xludf.DUMMYFUNCTION("""COMPUTED_VALUE"""),"Core Product Support Escalation Team")</f>
        <v>Core Product Support Escalation Team</v>
      </c>
      <c r="L7063" s="1" t="str">
        <f>IFERROR(__xludf.DUMMYFUNCTION("""COMPUTED_VALUE"""),"CPS Core Product Support Escalations (CPSET)")</f>
        <v>CPS Core Product Support Escalations (CPSET)</v>
      </c>
    </row>
    <row r="7064">
      <c r="A7064" s="1" t="str">
        <f>IFERROR(__xludf.DUMMYFUNCTION("""COMPUTED_VALUE"""),"2025 Dec")</f>
        <v>2025 Dec</v>
      </c>
      <c r="B7064" s="2">
        <f>IFERROR(__xludf.DUMMYFUNCTION("""COMPUTED_VALUE"""),45999.0)</f>
        <v>45999</v>
      </c>
      <c r="C7064" s="1" t="str">
        <f>IFERROR(__xludf.DUMMYFUNCTION("""COMPUTED_VALUE"""),"Print Support")</f>
        <v>Print Support</v>
      </c>
      <c r="D7064" s="1" t="str">
        <f>IFERROR(__xludf.DUMMYFUNCTION("""COMPUTED_VALUE"""),"b5bf3764-4c76-47b7-b10d-b1f8e9a0087e")</f>
        <v>b5bf3764-4c76-47b7-b10d-b1f8e9a0087e</v>
      </c>
      <c r="E7064" s="1">
        <f>IFERROR(__xludf.DUMMYFUNCTION("""COMPUTED_VALUE"""),6.839674714895E12)</f>
        <v>6839674714895</v>
      </c>
      <c r="F7064" s="1"/>
      <c r="G7064" s="1"/>
      <c r="H7064" s="3">
        <f>IFERROR(__xludf.DUMMYFUNCTION("""COMPUTED_VALUE"""),0.0)</f>
        <v>0</v>
      </c>
      <c r="I7064" s="4"/>
      <c r="J7064" s="1" t="str">
        <f>IFERROR(__xludf.DUMMYFUNCTION("""COMPUTED_VALUE"""),"Aliza Dote")</f>
        <v>Aliza Dote</v>
      </c>
      <c r="K7064" s="1" t="str">
        <f>IFERROR(__xludf.DUMMYFUNCTION("""COMPUTED_VALUE"""),"Print Design Support")</f>
        <v>Print Design Support</v>
      </c>
      <c r="L7064" s="1" t="str">
        <f>IFERROR(__xludf.DUMMYFUNCTION("""COMPUTED_VALUE"""),"Print Print Design")</f>
        <v>Print Print Design</v>
      </c>
    </row>
    <row r="7065">
      <c r="A7065" s="1" t="str">
        <f>IFERROR(__xludf.DUMMYFUNCTION("""COMPUTED_VALUE"""),"2025 Dec")</f>
        <v>2025 Dec</v>
      </c>
      <c r="B7065" s="2">
        <f>IFERROR(__xludf.DUMMYFUNCTION("""COMPUTED_VALUE"""),45999.0)</f>
        <v>45999</v>
      </c>
      <c r="C7065" s="1" t="str">
        <f>IFERROR(__xludf.DUMMYFUNCTION("""COMPUTED_VALUE"""),"Admin Support")</f>
        <v>Admin Support</v>
      </c>
      <c r="D7065" s="1" t="str">
        <f>IFERROR(__xludf.DUMMYFUNCTION("""COMPUTED_VALUE"""),"d50b210b-01b8-4681-be11-0604b6046af3")</f>
        <v>d50b210b-01b8-4681-be11-0604b6046af3</v>
      </c>
      <c r="E7065" s="1">
        <f>IFERROR(__xludf.DUMMYFUNCTION("""COMPUTED_VALUE"""),1.0333049788943E13)</f>
        <v>10333049788943</v>
      </c>
      <c r="F7065" s="1"/>
      <c r="G7065" s="1"/>
      <c r="H7065" s="3">
        <f>IFERROR(__xludf.DUMMYFUNCTION("""COMPUTED_VALUE"""),0.0)</f>
        <v>0</v>
      </c>
      <c r="I7065" s="4"/>
      <c r="J7065" s="1" t="str">
        <f>IFERROR(__xludf.DUMMYFUNCTION("""COMPUTED_VALUE"""),"AL Suarez")</f>
        <v>AL Suarez</v>
      </c>
      <c r="K7065" s="1" t="str">
        <f>IFERROR(__xludf.DUMMYFUNCTION("""COMPUTED_VALUE"""),"Advanced Product Support")</f>
        <v>Advanced Product Support</v>
      </c>
      <c r="L7065" s="1" t="str">
        <f>IFERROR(__xludf.DUMMYFUNCTION("""COMPUTED_VALUE"""),"CPS Advanced Product Support (APS)")</f>
        <v>CPS Advanced Product Support (APS)</v>
      </c>
    </row>
    <row r="7066">
      <c r="A7066" s="1" t="str">
        <f>IFERROR(__xludf.DUMMYFUNCTION("""COMPUTED_VALUE"""),"2025 Dec")</f>
        <v>2025 Dec</v>
      </c>
      <c r="B7066" s="2">
        <f>IFERROR(__xludf.DUMMYFUNCTION("""COMPUTED_VALUE"""),45999.0)</f>
        <v>45999</v>
      </c>
      <c r="C7066" s="1" t="str">
        <f>IFERROR(__xludf.DUMMYFUNCTION("""COMPUTED_VALUE"""),"High Sensitivity Support")</f>
        <v>High Sensitivity Support</v>
      </c>
      <c r="D7066" s="1" t="str">
        <f>IFERROR(__xludf.DUMMYFUNCTION("""COMPUTED_VALUE"""),"bdf574f0-069d-4493-a93e-73eb74edd906")</f>
        <v>bdf574f0-069d-4493-a93e-73eb74edd906</v>
      </c>
      <c r="E7066" s="1">
        <f>IFERROR(__xludf.DUMMYFUNCTION("""COMPUTED_VALUE"""),3.61725261136E11)</f>
        <v>361725261136</v>
      </c>
      <c r="F7066" s="1">
        <f>IFERROR(__xludf.DUMMYFUNCTION("""COMPUTED_VALUE"""),4.0)</f>
        <v>4</v>
      </c>
      <c r="G7066" s="1"/>
      <c r="H7066" s="3">
        <f>IFERROR(__xludf.DUMMYFUNCTION("""COMPUTED_VALUE"""),4.0)</f>
        <v>4</v>
      </c>
      <c r="I7066" s="4">
        <f>IFERROR(__xludf.DUMMYFUNCTION("""COMPUTED_VALUE"""),0.0)</f>
        <v>0</v>
      </c>
      <c r="J7066" s="1" t="str">
        <f>IFERROR(__xludf.DUMMYFUNCTION("""COMPUTED_VALUE"""),"Rex Villamor")</f>
        <v>Rex Villamor</v>
      </c>
      <c r="K7066" s="1" t="str">
        <f>IFERROR(__xludf.DUMMYFUNCTION("""COMPUTED_VALUE"""),"High Sensitivity Support PH")</f>
        <v>High Sensitivity Support PH</v>
      </c>
      <c r="L7066" s="1" t="str">
        <f>IFERROR(__xludf.DUMMYFUNCTION("""COMPUTED_VALUE"""),"HSS High Sensitivity Support PH - CHT")</f>
        <v>HSS High Sensitivity Support PH - CHT</v>
      </c>
    </row>
    <row r="7067">
      <c r="A7067" s="1" t="str">
        <f>IFERROR(__xludf.DUMMYFUNCTION("""COMPUTED_VALUE"""),"2025 Dec")</f>
        <v>2025 Dec</v>
      </c>
      <c r="B7067" s="2">
        <f>IFERROR(__xludf.DUMMYFUNCTION("""COMPUTED_VALUE"""),45999.0)</f>
        <v>45999</v>
      </c>
      <c r="C7067" s="1" t="str">
        <f>IFERROR(__xludf.DUMMYFUNCTION("""COMPUTED_VALUE"""),"Core Product Support")</f>
        <v>Core Product Support</v>
      </c>
      <c r="D7067" s="1" t="str">
        <f>IFERROR(__xludf.DUMMYFUNCTION("""COMPUTED_VALUE"""),"1f5a4168-ecb9-42df-a403-8c86095beba7")</f>
        <v>1f5a4168-ecb9-42df-a403-8c86095beba7</v>
      </c>
      <c r="E7067" s="1"/>
      <c r="F7067" s="1">
        <f>IFERROR(__xludf.DUMMYFUNCTION("""COMPUTED_VALUE"""),0.5)</f>
        <v>0.5</v>
      </c>
      <c r="G7067" s="1"/>
      <c r="H7067" s="3">
        <f>IFERROR(__xludf.DUMMYFUNCTION("""COMPUTED_VALUE"""),0.5)</f>
        <v>0.5</v>
      </c>
      <c r="I7067" s="4">
        <f>IFERROR(__xludf.DUMMYFUNCTION("""COMPUTED_VALUE"""),0.0)</f>
        <v>0</v>
      </c>
      <c r="J7067" s="1" t="str">
        <f>IFERROR(__xludf.DUMMYFUNCTION("""COMPUTED_VALUE"""),"Mikhaela Decangchon")</f>
        <v>Mikhaela Decangchon</v>
      </c>
      <c r="K7067" s="1" t="str">
        <f>IFERROR(__xludf.DUMMYFUNCTION("""COMPUTED_VALUE"""),"Advanced Product Support")</f>
        <v>Advanced Product Support</v>
      </c>
      <c r="L7067" s="1" t="str">
        <f>IFERROR(__xludf.DUMMYFUNCTION("""COMPUTED_VALUE"""),"CPS Advanced Product Support (APS)")</f>
        <v>CPS Advanced Product Support (APS)</v>
      </c>
    </row>
    <row r="7068">
      <c r="A7068" s="1" t="str">
        <f>IFERROR(__xludf.DUMMYFUNCTION("""COMPUTED_VALUE"""),"2025 Dec")</f>
        <v>2025 Dec</v>
      </c>
      <c r="B7068" s="2">
        <f>IFERROR(__xludf.DUMMYFUNCTION("""COMPUTED_VALUE"""),45999.0)</f>
        <v>45999</v>
      </c>
      <c r="C7068" s="1" t="str">
        <f>IFERROR(__xludf.DUMMYFUNCTION("""COMPUTED_VALUE"""),"Admin Support")</f>
        <v>Admin Support</v>
      </c>
      <c r="D7068" s="1" t="str">
        <f>IFERROR(__xludf.DUMMYFUNCTION("""COMPUTED_VALUE"""),"a404c935-ed2c-453c-a3d5-0af18b23cb55")</f>
        <v>a404c935-ed2c-453c-a3d5-0af18b23cb55</v>
      </c>
      <c r="E7068" s="1">
        <f>IFERROR(__xludf.DUMMYFUNCTION("""COMPUTED_VALUE"""),3.61731792475E11)</f>
        <v>361731792475</v>
      </c>
      <c r="F7068" s="1"/>
      <c r="G7068" s="1">
        <f>IFERROR(__xludf.DUMMYFUNCTION("""COMPUTED_VALUE"""),15.0)</f>
        <v>15</v>
      </c>
      <c r="H7068" s="3">
        <f>IFERROR(__xludf.DUMMYFUNCTION("""COMPUTED_VALUE"""),15.0)</f>
        <v>15</v>
      </c>
      <c r="I7068" s="4">
        <f>IFERROR(__xludf.DUMMYFUNCTION("""COMPUTED_VALUE"""),1.0)</f>
        <v>1</v>
      </c>
      <c r="J7068" s="1" t="str">
        <f>IFERROR(__xludf.DUMMYFUNCTION("""COMPUTED_VALUE"""),"Karla Mananghaya")</f>
        <v>Karla Mananghaya</v>
      </c>
      <c r="K7068" s="1" t="str">
        <f>IFERROR(__xludf.DUMMYFUNCTION("""COMPUTED_VALUE"""),"Back of House Operations PH")</f>
        <v>Back of House Operations PH</v>
      </c>
      <c r="L7068" s="1" t="str">
        <f>IFERROR(__xludf.DUMMYFUNCTION("""COMPUTED_VALUE"""),"BoHO SEE")</f>
        <v>BoHO SEE</v>
      </c>
    </row>
    <row r="7069">
      <c r="A7069" s="1" t="str">
        <f>IFERROR(__xludf.DUMMYFUNCTION("""COMPUTED_VALUE"""),"2025 Dec")</f>
        <v>2025 Dec</v>
      </c>
      <c r="B7069" s="2">
        <f>IFERROR(__xludf.DUMMYFUNCTION("""COMPUTED_VALUE"""),45999.0)</f>
        <v>45999</v>
      </c>
      <c r="C7069" s="1" t="str">
        <f>IFERROR(__xludf.DUMMYFUNCTION("""COMPUTED_VALUE"""),"Print Support")</f>
        <v>Print Support</v>
      </c>
      <c r="D7069" s="1" t="str">
        <f>IFERROR(__xludf.DUMMYFUNCTION("""COMPUTED_VALUE"""),"d34aba25-1e55-4f8e-b85b-ef3d3928a2d3")</f>
        <v>d34aba25-1e55-4f8e-b85b-ef3d3928a2d3</v>
      </c>
      <c r="E7069" s="1">
        <f>IFERROR(__xludf.DUMMYFUNCTION("""COMPUTED_VALUE"""),5.566810533775E12)</f>
        <v>5566810533775</v>
      </c>
      <c r="F7069" s="1"/>
      <c r="G7069" s="1"/>
      <c r="H7069" s="3">
        <f>IFERROR(__xludf.DUMMYFUNCTION("""COMPUTED_VALUE"""),0.0)</f>
        <v>0</v>
      </c>
      <c r="I7069" s="4"/>
      <c r="J7069" s="1" t="str">
        <f>IFERROR(__xludf.DUMMYFUNCTION("""COMPUTED_VALUE"""),"Althea Mercado")</f>
        <v>Althea Mercado</v>
      </c>
      <c r="K7069" s="1" t="str">
        <f>IFERROR(__xludf.DUMMYFUNCTION("""COMPUTED_VALUE"""),"Print Support PH")</f>
        <v>Print Support PH</v>
      </c>
      <c r="L7069" s="1" t="str">
        <f>IFERROR(__xludf.DUMMYFUNCTION("""COMPUTED_VALUE"""),"Print Print - CHT")</f>
        <v>Print Print - CHT</v>
      </c>
    </row>
    <row r="7070">
      <c r="A7070" s="1" t="str">
        <f>IFERROR(__xludf.DUMMYFUNCTION("""COMPUTED_VALUE"""),"2025 Dec")</f>
        <v>2025 Dec</v>
      </c>
      <c r="B7070" s="2">
        <f>IFERROR(__xludf.DUMMYFUNCTION("""COMPUTED_VALUE"""),45999.0)</f>
        <v>45999</v>
      </c>
      <c r="C7070" s="1" t="str">
        <f>IFERROR(__xludf.DUMMYFUNCTION("""COMPUTED_VALUE"""),"Core Product Support")</f>
        <v>Core Product Support</v>
      </c>
      <c r="D7070" s="1" t="str">
        <f>IFERROR(__xludf.DUMMYFUNCTION("""COMPUTED_VALUE"""),"c5ba42b5-b56e-4880-adbe-57292f722509")</f>
        <v>c5ba42b5-b56e-4880-adbe-57292f722509</v>
      </c>
      <c r="E7070" s="1">
        <f>IFERROR(__xludf.DUMMYFUNCTION("""COMPUTED_VALUE"""),1.1401945362575E13)</f>
        <v>11401945362575</v>
      </c>
      <c r="F7070" s="1">
        <f>IFERROR(__xludf.DUMMYFUNCTION("""COMPUTED_VALUE"""),0.5)</f>
        <v>0.5</v>
      </c>
      <c r="G7070" s="1"/>
      <c r="H7070" s="3">
        <f>IFERROR(__xludf.DUMMYFUNCTION("""COMPUTED_VALUE"""),0.5)</f>
        <v>0.5</v>
      </c>
      <c r="I7070" s="4">
        <f>IFERROR(__xludf.DUMMYFUNCTION("""COMPUTED_VALUE"""),0.0)</f>
        <v>0</v>
      </c>
      <c r="J7070" s="1" t="str">
        <f>IFERROR(__xludf.DUMMYFUNCTION("""COMPUTED_VALUE"""),"Ayza Marie Pascual")</f>
        <v>Ayza Marie Pascual</v>
      </c>
      <c r="K7070" s="1" t="str">
        <f>IFERROR(__xludf.DUMMYFUNCTION("""COMPUTED_VALUE"""),"Advanced Billing &amp; Subscriptions")</f>
        <v>Advanced Billing &amp; Subscriptions</v>
      </c>
      <c r="L7070" s="1" t="str">
        <f>IFERROR(__xludf.DUMMYFUNCTION("""COMPUTED_VALUE"""),"CPS Advanced Billing and Subscriptions (ABS)")</f>
        <v>CPS Advanced Billing and Subscriptions (ABS)</v>
      </c>
    </row>
    <row r="7071">
      <c r="A7071" s="1" t="str">
        <f>IFERROR(__xludf.DUMMYFUNCTION("""COMPUTED_VALUE"""),"2025 Dec")</f>
        <v>2025 Dec</v>
      </c>
      <c r="B7071" s="2">
        <f>IFERROR(__xludf.DUMMYFUNCTION("""COMPUTED_VALUE"""),45999.0)</f>
        <v>45999</v>
      </c>
      <c r="C7071" s="1" t="str">
        <f>IFERROR(__xludf.DUMMYFUNCTION("""COMPUTED_VALUE"""),"Print Support")</f>
        <v>Print Support</v>
      </c>
      <c r="D7071" s="1" t="str">
        <f>IFERROR(__xludf.DUMMYFUNCTION("""COMPUTED_VALUE"""),"f154e992-ffb0-484a-b731-9da1092e886a")</f>
        <v>f154e992-ffb0-484a-b731-9da1092e886a</v>
      </c>
      <c r="E7071" s="1"/>
      <c r="F7071" s="1"/>
      <c r="G7071" s="1"/>
      <c r="H7071" s="3">
        <f>IFERROR(__xludf.DUMMYFUNCTION("""COMPUTED_VALUE"""),0.0)</f>
        <v>0</v>
      </c>
      <c r="I7071" s="4"/>
      <c r="J7071" s="1" t="str">
        <f>IFERROR(__xludf.DUMMYFUNCTION("""COMPUTED_VALUE"""),"Gem Agoncillo")</f>
        <v>Gem Agoncillo</v>
      </c>
      <c r="K7071" s="1" t="str">
        <f>IFERROR(__xludf.DUMMYFUNCTION("""COMPUTED_VALUE"""),"Print Design Support")</f>
        <v>Print Design Support</v>
      </c>
      <c r="L7071" s="1" t="str">
        <f>IFERROR(__xludf.DUMMYFUNCTION("""COMPUTED_VALUE"""),"Print Print Design")</f>
        <v>Print Print Design</v>
      </c>
    </row>
    <row r="7072">
      <c r="A7072" s="1" t="str">
        <f>IFERROR(__xludf.DUMMYFUNCTION("""COMPUTED_VALUE"""),"2025 Dec")</f>
        <v>2025 Dec</v>
      </c>
      <c r="B7072" s="2">
        <f>IFERROR(__xludf.DUMMYFUNCTION("""COMPUTED_VALUE"""),45999.0)</f>
        <v>45999</v>
      </c>
      <c r="C7072" s="1" t="str">
        <f>IFERROR(__xludf.DUMMYFUNCTION("""COMPUTED_VALUE"""),"Core Product Support")</f>
        <v>Core Product Support</v>
      </c>
      <c r="D7072" s="1" t="str">
        <f>IFERROR(__xludf.DUMMYFUNCTION("""COMPUTED_VALUE"""),"123e8c80-f84d-46ba-8ddf-e514a808d270")</f>
        <v>123e8c80-f84d-46ba-8ddf-e514a808d270</v>
      </c>
      <c r="E7072" s="1">
        <f>IFERROR(__xludf.DUMMYFUNCTION("""COMPUTED_VALUE"""),7.235815845903E12)</f>
        <v>7235815845903</v>
      </c>
      <c r="F7072" s="1">
        <f>IFERROR(__xludf.DUMMYFUNCTION("""COMPUTED_VALUE"""),0.5)</f>
        <v>0.5</v>
      </c>
      <c r="G7072" s="1"/>
      <c r="H7072" s="3">
        <f>IFERROR(__xludf.DUMMYFUNCTION("""COMPUTED_VALUE"""),0.5)</f>
        <v>0.5</v>
      </c>
      <c r="I7072" s="4">
        <f>IFERROR(__xludf.DUMMYFUNCTION("""COMPUTED_VALUE"""),0.0)</f>
        <v>0</v>
      </c>
      <c r="J7072" s="1" t="str">
        <f>IFERROR(__xludf.DUMMYFUNCTION("""COMPUTED_VALUE"""),"Marie Mordeno")</f>
        <v>Marie Mordeno</v>
      </c>
      <c r="K7072" s="1" t="str">
        <f>IFERROR(__xludf.DUMMYFUNCTION("""COMPUTED_VALUE"""),"Advanced Billing &amp; Subscriptions")</f>
        <v>Advanced Billing &amp; Subscriptions</v>
      </c>
      <c r="L7072" s="1" t="str">
        <f>IFERROR(__xludf.DUMMYFUNCTION("""COMPUTED_VALUE"""),"CPS Advanced Billing and Subscriptions (ABS)")</f>
        <v>CPS Advanced Billing and Subscriptions (ABS)</v>
      </c>
    </row>
    <row r="7073">
      <c r="A7073" s="1" t="str">
        <f>IFERROR(__xludf.DUMMYFUNCTION("""COMPUTED_VALUE"""),"2025 Dec")</f>
        <v>2025 Dec</v>
      </c>
      <c r="B7073" s="2">
        <f>IFERROR(__xludf.DUMMYFUNCTION("""COMPUTED_VALUE"""),45999.0)</f>
        <v>45999</v>
      </c>
      <c r="C7073" s="1" t="str">
        <f>IFERROR(__xludf.DUMMYFUNCTION("""COMPUTED_VALUE"""),"High Sensitivity Support")</f>
        <v>High Sensitivity Support</v>
      </c>
      <c r="D7073" s="1" t="str">
        <f>IFERROR(__xludf.DUMMYFUNCTION("""COMPUTED_VALUE"""),"12813a5b-5274-49dd-9f6b-59da40c97ee7")</f>
        <v>12813a5b-5274-49dd-9f6b-59da40c97ee7</v>
      </c>
      <c r="E7073" s="1">
        <f>IFERROR(__xludf.DUMMYFUNCTION("""COMPUTED_VALUE"""),9.795905227023E12)</f>
        <v>9795905227023</v>
      </c>
      <c r="F7073" s="1">
        <f>IFERROR(__xludf.DUMMYFUNCTION("""COMPUTED_VALUE"""),4.0)</f>
        <v>4</v>
      </c>
      <c r="G7073" s="1"/>
      <c r="H7073" s="3">
        <f>IFERROR(__xludf.DUMMYFUNCTION("""COMPUTED_VALUE"""),4.0)</f>
        <v>4</v>
      </c>
      <c r="I7073" s="4">
        <f>IFERROR(__xludf.DUMMYFUNCTION("""COMPUTED_VALUE"""),0.0)</f>
        <v>0</v>
      </c>
      <c r="J7073" s="1" t="str">
        <f>IFERROR(__xludf.DUMMYFUNCTION("""COMPUTED_VALUE"""),"Xandy Azarcon")</f>
        <v>Xandy Azarcon</v>
      </c>
      <c r="K7073" s="1" t="str">
        <f>IFERROR(__xludf.DUMMYFUNCTION("""COMPUTED_VALUE"""),"High Sensitivity Support PH")</f>
        <v>High Sensitivity Support PH</v>
      </c>
      <c r="L7073" s="1" t="str">
        <f>IFERROR(__xludf.DUMMYFUNCTION("""COMPUTED_VALUE"""),"HSS High Sensitivity Support PH - CHT")</f>
        <v>HSS High Sensitivity Support PH - CHT</v>
      </c>
    </row>
    <row r="7074">
      <c r="A7074" s="1" t="str">
        <f>IFERROR(__xludf.DUMMYFUNCTION("""COMPUTED_VALUE"""),"2025 Dec")</f>
        <v>2025 Dec</v>
      </c>
      <c r="B7074" s="2">
        <f>IFERROR(__xludf.DUMMYFUNCTION("""COMPUTED_VALUE"""),45999.0)</f>
        <v>45999</v>
      </c>
      <c r="C7074" s="1" t="str">
        <f>IFERROR(__xludf.DUMMYFUNCTION("""COMPUTED_VALUE"""),"Admin Support")</f>
        <v>Admin Support</v>
      </c>
      <c r="D7074" s="1" t="str">
        <f>IFERROR(__xludf.DUMMYFUNCTION("""COMPUTED_VALUE"""),"3a47626d-5d83-4eb3-99f0-da594375a7a4")</f>
        <v>3a47626d-5d83-4eb3-99f0-da594375a7a4</v>
      </c>
      <c r="E7074" s="1">
        <f>IFERROR(__xludf.DUMMYFUNCTION("""COMPUTED_VALUE"""),3.61731944855E11)</f>
        <v>361731944855</v>
      </c>
      <c r="F7074" s="1"/>
      <c r="G7074" s="1">
        <f>IFERROR(__xludf.DUMMYFUNCTION("""COMPUTED_VALUE"""),4.0)</f>
        <v>4</v>
      </c>
      <c r="H7074" s="3">
        <f>IFERROR(__xludf.DUMMYFUNCTION("""COMPUTED_VALUE"""),4.0)</f>
        <v>4</v>
      </c>
      <c r="I7074" s="4">
        <f>IFERROR(__xludf.DUMMYFUNCTION("""COMPUTED_VALUE"""),1.0)</f>
        <v>1</v>
      </c>
      <c r="J7074" s="1" t="str">
        <f>IFERROR(__xludf.DUMMYFUNCTION("""COMPUTED_VALUE"""),"Pau Palmero")</f>
        <v>Pau Palmero</v>
      </c>
      <c r="K7074" s="1" t="str">
        <f>IFERROR(__xludf.DUMMYFUNCTION("""COMPUTED_VALUE"""),"Admin Support PH CEDD")</f>
        <v>Admin Support PH CEDD</v>
      </c>
      <c r="L7074" s="1" t="str">
        <f>IFERROR(__xludf.DUMMYFUNCTION("""COMPUTED_VALUE"""),"Admin CEDD Apps,Admin CEDD Inbox Mgt")</f>
        <v>Admin CEDD Apps,Admin CEDD Inbox Mgt</v>
      </c>
    </row>
    <row r="7075">
      <c r="A7075" s="1" t="str">
        <f>IFERROR(__xludf.DUMMYFUNCTION("""COMPUTED_VALUE"""),"2025 Dec")</f>
        <v>2025 Dec</v>
      </c>
      <c r="B7075" s="2">
        <f>IFERROR(__xludf.DUMMYFUNCTION("""COMPUTED_VALUE"""),45999.0)</f>
        <v>45999</v>
      </c>
      <c r="C7075" s="1" t="str">
        <f>IFERROR(__xludf.DUMMYFUNCTION("""COMPUTED_VALUE"""),"Core Product Support")</f>
        <v>Core Product Support</v>
      </c>
      <c r="D7075" s="1" t="str">
        <f>IFERROR(__xludf.DUMMYFUNCTION("""COMPUTED_VALUE"""),"4ab45a4c-a376-4058-a184-5b3f466a5947")</f>
        <v>4ab45a4c-a376-4058-a184-5b3f466a5947</v>
      </c>
      <c r="E7075" s="1">
        <f>IFERROR(__xludf.DUMMYFUNCTION("""COMPUTED_VALUE"""),4.967084440335E12)</f>
        <v>4967084440335</v>
      </c>
      <c r="F7075" s="1">
        <f>IFERROR(__xludf.DUMMYFUNCTION("""COMPUTED_VALUE"""),0.5)</f>
        <v>0.5</v>
      </c>
      <c r="G7075" s="1"/>
      <c r="H7075" s="3">
        <f>IFERROR(__xludf.DUMMYFUNCTION("""COMPUTED_VALUE"""),0.5)</f>
        <v>0.5</v>
      </c>
      <c r="I7075" s="4">
        <f>IFERROR(__xludf.DUMMYFUNCTION("""COMPUTED_VALUE"""),0.0)</f>
        <v>0</v>
      </c>
      <c r="J7075" s="1" t="str">
        <f>IFERROR(__xludf.DUMMYFUNCTION("""COMPUTED_VALUE"""),"Vianca De Jesus")</f>
        <v>Vianca De Jesus</v>
      </c>
      <c r="K7075" s="1" t="str">
        <f>IFERROR(__xludf.DUMMYFUNCTION("""COMPUTED_VALUE"""),"Advanced Chat Support")</f>
        <v>Advanced Chat Support</v>
      </c>
      <c r="L7075" s="1" t="str">
        <f>IFERROR(__xludf.DUMMYFUNCTION("""COMPUTED_VALUE"""),"CPS Advanced Chat Support (ACS)")</f>
        <v>CPS Advanced Chat Support (ACS)</v>
      </c>
    </row>
    <row r="7076">
      <c r="A7076" s="1" t="str">
        <f>IFERROR(__xludf.DUMMYFUNCTION("""COMPUTED_VALUE"""),"2025 Dec")</f>
        <v>2025 Dec</v>
      </c>
      <c r="B7076" s="2">
        <f>IFERROR(__xludf.DUMMYFUNCTION("""COMPUTED_VALUE"""),45999.0)</f>
        <v>45999</v>
      </c>
      <c r="C7076" s="1" t="str">
        <f>IFERROR(__xludf.DUMMYFUNCTION("""COMPUTED_VALUE"""),"Print Support")</f>
        <v>Print Support</v>
      </c>
      <c r="D7076" s="1" t="str">
        <f>IFERROR(__xludf.DUMMYFUNCTION("""COMPUTED_VALUE"""),"73b91882-25ef-4c9c-8b6f-9152a825d832")</f>
        <v>73b91882-25ef-4c9c-8b6f-9152a825d832</v>
      </c>
      <c r="E7076" s="1">
        <f>IFERROR(__xludf.DUMMYFUNCTION("""COMPUTED_VALUE"""),3.61825397936E11)</f>
        <v>361825397936</v>
      </c>
      <c r="F7076" s="1"/>
      <c r="G7076" s="1"/>
      <c r="H7076" s="3">
        <f>IFERROR(__xludf.DUMMYFUNCTION("""COMPUTED_VALUE"""),0.0)</f>
        <v>0</v>
      </c>
      <c r="I7076" s="4"/>
      <c r="J7076" s="1" t="str">
        <f>IFERROR(__xludf.DUMMYFUNCTION("""COMPUTED_VALUE"""),"Jan Domingo")</f>
        <v>Jan Domingo</v>
      </c>
      <c r="K7076" s="1" t="str">
        <f>IFERROR(__xludf.DUMMYFUNCTION("""COMPUTED_VALUE"""),"Print Design Support")</f>
        <v>Print Design Support</v>
      </c>
      <c r="L7076" s="1" t="str">
        <f>IFERROR(__xludf.DUMMYFUNCTION("""COMPUTED_VALUE"""),"Print Print Design")</f>
        <v>Print Print Design</v>
      </c>
    </row>
    <row r="7077">
      <c r="A7077" s="1" t="str">
        <f>IFERROR(__xludf.DUMMYFUNCTION("""COMPUTED_VALUE"""),"2025 Dec")</f>
        <v>2025 Dec</v>
      </c>
      <c r="B7077" s="2">
        <f>IFERROR(__xludf.DUMMYFUNCTION("""COMPUTED_VALUE"""),45999.0)</f>
        <v>45999</v>
      </c>
      <c r="C7077" s="1" t="str">
        <f>IFERROR(__xludf.DUMMYFUNCTION("""COMPUTED_VALUE"""),"Core Product Support")</f>
        <v>Core Product Support</v>
      </c>
      <c r="D7077" s="1" t="str">
        <f>IFERROR(__xludf.DUMMYFUNCTION("""COMPUTED_VALUE"""),"75169e9a-969f-480f-aae4-eff49591cf56")</f>
        <v>75169e9a-969f-480f-aae4-eff49591cf56</v>
      </c>
      <c r="E7077" s="1"/>
      <c r="F7077" s="1">
        <f>IFERROR(__xludf.DUMMYFUNCTION("""COMPUTED_VALUE"""),0.5)</f>
        <v>0.5</v>
      </c>
      <c r="G7077" s="1"/>
      <c r="H7077" s="3">
        <f>IFERROR(__xludf.DUMMYFUNCTION("""COMPUTED_VALUE"""),0.5)</f>
        <v>0.5</v>
      </c>
      <c r="I7077" s="4">
        <f>IFERROR(__xludf.DUMMYFUNCTION("""COMPUTED_VALUE"""),0.0)</f>
        <v>0</v>
      </c>
      <c r="J7077" s="1" t="str">
        <f>IFERROR(__xludf.DUMMYFUNCTION("""COMPUTED_VALUE"""),"Jelyn Elmido")</f>
        <v>Jelyn Elmido</v>
      </c>
      <c r="K7077" s="1" t="str">
        <f>IFERROR(__xludf.DUMMYFUNCTION("""COMPUTED_VALUE"""),"Advanced Product Support")</f>
        <v>Advanced Product Support</v>
      </c>
      <c r="L7077" s="1" t="str">
        <f>IFERROR(__xludf.DUMMYFUNCTION("""COMPUTED_VALUE"""),"CPS Advanced Product Support (APS)")</f>
        <v>CPS Advanced Product Support (APS)</v>
      </c>
    </row>
    <row r="7078">
      <c r="A7078" s="1" t="str">
        <f>IFERROR(__xludf.DUMMYFUNCTION("""COMPUTED_VALUE"""),"2025 Dec")</f>
        <v>2025 Dec</v>
      </c>
      <c r="B7078" s="2">
        <f>IFERROR(__xludf.DUMMYFUNCTION("""COMPUTED_VALUE"""),45999.0)</f>
        <v>45999</v>
      </c>
      <c r="C7078" s="1" t="str">
        <f>IFERROR(__xludf.DUMMYFUNCTION("""COMPUTED_VALUE"""),"Core Product Support")</f>
        <v>Core Product Support</v>
      </c>
      <c r="D7078" s="1" t="str">
        <f>IFERROR(__xludf.DUMMYFUNCTION("""COMPUTED_VALUE"""),"d235389b-3321-47e0-9816-c2275d682304")</f>
        <v>d235389b-3321-47e0-9816-c2275d682304</v>
      </c>
      <c r="E7078" s="1">
        <f>IFERROR(__xludf.DUMMYFUNCTION("""COMPUTED_VALUE"""),5.202378916623E12)</f>
        <v>5202378916623</v>
      </c>
      <c r="F7078" s="1"/>
      <c r="G7078" s="1">
        <f>IFERROR(__xludf.DUMMYFUNCTION("""COMPUTED_VALUE"""),1.5)</f>
        <v>1.5</v>
      </c>
      <c r="H7078" s="3">
        <f>IFERROR(__xludf.DUMMYFUNCTION("""COMPUTED_VALUE"""),1.5)</f>
        <v>1.5</v>
      </c>
      <c r="I7078" s="4">
        <f>IFERROR(__xludf.DUMMYFUNCTION("""COMPUTED_VALUE"""),1.0)</f>
        <v>1</v>
      </c>
      <c r="J7078" s="1" t="str">
        <f>IFERROR(__xludf.DUMMYFUNCTION("""COMPUTED_VALUE"""),"Renette Bok")</f>
        <v>Renette Bok</v>
      </c>
      <c r="K7078" s="1" t="str">
        <f>IFERROR(__xludf.DUMMYFUNCTION("""COMPUTED_VALUE"""),"Advanced Billing &amp; Subscriptions")</f>
        <v>Advanced Billing &amp; Subscriptions</v>
      </c>
      <c r="L7078" s="1" t="str">
        <f>IFERROR(__xludf.DUMMYFUNCTION("""COMPUTED_VALUE"""),"CPS Advanced Billing and Subscriptions (ABS)")</f>
        <v>CPS Advanced Billing and Subscriptions (ABS)</v>
      </c>
    </row>
    <row r="7079">
      <c r="A7079" s="1" t="str">
        <f>IFERROR(__xludf.DUMMYFUNCTION("""COMPUTED_VALUE"""),"2025 Dec")</f>
        <v>2025 Dec</v>
      </c>
      <c r="B7079" s="2">
        <f>IFERROR(__xludf.DUMMYFUNCTION("""COMPUTED_VALUE"""),45999.0)</f>
        <v>45999</v>
      </c>
      <c r="C7079" s="1" t="str">
        <f>IFERROR(__xludf.DUMMYFUNCTION("""COMPUTED_VALUE"""),"Core Product Support")</f>
        <v>Core Product Support</v>
      </c>
      <c r="D7079" s="1" t="str">
        <f>IFERROR(__xludf.DUMMYFUNCTION("""COMPUTED_VALUE"""),"e5eebde5-1bdf-4fc4-a4e5-e5f13689363d")</f>
        <v>e5eebde5-1bdf-4fc4-a4e5-e5f13689363d</v>
      </c>
      <c r="E7079" s="1">
        <f>IFERROR(__xludf.DUMMYFUNCTION("""COMPUTED_VALUE"""),8.303581036047E12)</f>
        <v>8303581036047</v>
      </c>
      <c r="F7079" s="1">
        <f>IFERROR(__xludf.DUMMYFUNCTION("""COMPUTED_VALUE"""),1.0)</f>
        <v>1</v>
      </c>
      <c r="G7079" s="1"/>
      <c r="H7079" s="3">
        <f>IFERROR(__xludf.DUMMYFUNCTION("""COMPUTED_VALUE"""),1.0)</f>
        <v>1</v>
      </c>
      <c r="I7079" s="4">
        <f>IFERROR(__xludf.DUMMYFUNCTION("""COMPUTED_VALUE"""),0.0)</f>
        <v>0</v>
      </c>
      <c r="J7079" s="1" t="str">
        <f>IFERROR(__xludf.DUMMYFUNCTION("""COMPUTED_VALUE"""),"Jelyn Elmido")</f>
        <v>Jelyn Elmido</v>
      </c>
      <c r="K7079" s="1" t="str">
        <f>IFERROR(__xludf.DUMMYFUNCTION("""COMPUTED_VALUE"""),"Advanced Product Support")</f>
        <v>Advanced Product Support</v>
      </c>
      <c r="L7079" s="1" t="str">
        <f>IFERROR(__xludf.DUMMYFUNCTION("""COMPUTED_VALUE"""),"CPS Advanced Product Support (APS)")</f>
        <v>CPS Advanced Product Support (APS)</v>
      </c>
    </row>
    <row r="7080">
      <c r="A7080" s="1" t="str">
        <f>IFERROR(__xludf.DUMMYFUNCTION("""COMPUTED_VALUE"""),"2025 Dec")</f>
        <v>2025 Dec</v>
      </c>
      <c r="B7080" s="2">
        <f>IFERROR(__xludf.DUMMYFUNCTION("""COMPUTED_VALUE"""),45999.0)</f>
        <v>45999</v>
      </c>
      <c r="C7080" s="1" t="str">
        <f>IFERROR(__xludf.DUMMYFUNCTION("""COMPUTED_VALUE"""),"Admin Support")</f>
        <v>Admin Support</v>
      </c>
      <c r="D7080" s="1" t="str">
        <f>IFERROR(__xludf.DUMMYFUNCTION("""COMPUTED_VALUE"""),"298d5f55-b7f6-4164-b84e-face9b3cbecb")</f>
        <v>298d5f55-b7f6-4164-b84e-face9b3cbecb</v>
      </c>
      <c r="E7080" s="1">
        <f>IFERROR(__xludf.DUMMYFUNCTION("""COMPUTED_VALUE"""),6.182237177103E12)</f>
        <v>6182237177103</v>
      </c>
      <c r="F7080" s="1"/>
      <c r="G7080" s="1">
        <f>IFERROR(__xludf.DUMMYFUNCTION("""COMPUTED_VALUE"""),0.25)</f>
        <v>0.25</v>
      </c>
      <c r="H7080" s="3">
        <f>IFERROR(__xludf.DUMMYFUNCTION("""COMPUTED_VALUE"""),0.25)</f>
        <v>0.25</v>
      </c>
      <c r="I7080" s="4">
        <f>IFERROR(__xludf.DUMMYFUNCTION("""COMPUTED_VALUE"""),1.0)</f>
        <v>1</v>
      </c>
      <c r="J7080" s="1" t="str">
        <f>IFERROR(__xludf.DUMMYFUNCTION("""COMPUTED_VALUE"""),"AL Suarez")</f>
        <v>AL Suarez</v>
      </c>
      <c r="K7080" s="1" t="str">
        <f>IFERROR(__xludf.DUMMYFUNCTION("""COMPUTED_VALUE"""),"Admin Support PH")</f>
        <v>Admin Support PH</v>
      </c>
      <c r="L7080" s="1" t="str">
        <f>IFERROR(__xludf.DUMMYFUNCTION("""COMPUTED_VALUE"""),"Admin PH")</f>
        <v>Admin PH</v>
      </c>
    </row>
    <row r="7081">
      <c r="A7081" s="1" t="str">
        <f>IFERROR(__xludf.DUMMYFUNCTION("""COMPUTED_VALUE"""),"2025 Dec")</f>
        <v>2025 Dec</v>
      </c>
      <c r="B7081" s="2">
        <f>IFERROR(__xludf.DUMMYFUNCTION("""COMPUTED_VALUE"""),45999.0)</f>
        <v>45999</v>
      </c>
      <c r="C7081" s="1" t="str">
        <f>IFERROR(__xludf.DUMMYFUNCTION("""COMPUTED_VALUE"""),"Admin Support")</f>
        <v>Admin Support</v>
      </c>
      <c r="D7081" s="1" t="str">
        <f>IFERROR(__xludf.DUMMYFUNCTION("""COMPUTED_VALUE"""),"bb9992e4-86b4-4be4-9177-e09f03299559")</f>
        <v>bb9992e4-86b4-4be4-9177-e09f03299559</v>
      </c>
      <c r="E7081" s="1">
        <f>IFERROR(__xludf.DUMMYFUNCTION("""COMPUTED_VALUE"""),3.61724830696E11)</f>
        <v>361724830696</v>
      </c>
      <c r="F7081" s="1"/>
      <c r="G7081" s="1">
        <f>IFERROR(__xludf.DUMMYFUNCTION("""COMPUTED_VALUE"""),3.0)</f>
        <v>3</v>
      </c>
      <c r="H7081" s="3">
        <f>IFERROR(__xludf.DUMMYFUNCTION("""COMPUTED_VALUE"""),3.0)</f>
        <v>3</v>
      </c>
      <c r="I7081" s="4">
        <f>IFERROR(__xludf.DUMMYFUNCTION("""COMPUTED_VALUE"""),1.0)</f>
        <v>1</v>
      </c>
      <c r="J7081" s="1" t="str">
        <f>IFERROR(__xludf.DUMMYFUNCTION("""COMPUTED_VALUE"""),"Rose Gabilan")</f>
        <v>Rose Gabilan</v>
      </c>
      <c r="K7081" s="1" t="str">
        <f>IFERROR(__xludf.DUMMYFUNCTION("""COMPUTED_VALUE"""),"Admin Support PH SSO")</f>
        <v>Admin Support PH SSO</v>
      </c>
      <c r="L7081" s="1" t="str">
        <f>IFERROR(__xludf.DUMMYFUNCTION("""COMPUTED_VALUE"""),"Admin SSO - CHT")</f>
        <v>Admin SSO - CHT</v>
      </c>
    </row>
    <row r="7082">
      <c r="A7082" s="1" t="str">
        <f>IFERROR(__xludf.DUMMYFUNCTION("""COMPUTED_VALUE"""),"2025 Dec")</f>
        <v>2025 Dec</v>
      </c>
      <c r="B7082" s="2">
        <f>IFERROR(__xludf.DUMMYFUNCTION("""COMPUTED_VALUE"""),45999.0)</f>
        <v>45999</v>
      </c>
      <c r="C7082" s="1" t="str">
        <f>IFERROR(__xludf.DUMMYFUNCTION("""COMPUTED_VALUE"""),"Core Product Support")</f>
        <v>Core Product Support</v>
      </c>
      <c r="D7082" s="1" t="str">
        <f>IFERROR(__xludf.DUMMYFUNCTION("""COMPUTED_VALUE"""),"1fa942bd-1815-4054-9636-810d3c7d937c")</f>
        <v>1fa942bd-1815-4054-9636-810d3c7d937c</v>
      </c>
      <c r="E7082" s="1">
        <f>IFERROR(__xludf.DUMMYFUNCTION("""COMPUTED_VALUE"""),3.61731348455E11)</f>
        <v>361731348455</v>
      </c>
      <c r="F7082" s="1"/>
      <c r="G7082" s="1">
        <f>IFERROR(__xludf.DUMMYFUNCTION("""COMPUTED_VALUE"""),3.0)</f>
        <v>3</v>
      </c>
      <c r="H7082" s="3">
        <f>IFERROR(__xludf.DUMMYFUNCTION("""COMPUTED_VALUE"""),3.0)</f>
        <v>3</v>
      </c>
      <c r="I7082" s="4">
        <f>IFERROR(__xludf.DUMMYFUNCTION("""COMPUTED_VALUE"""),1.0)</f>
        <v>1</v>
      </c>
      <c r="J7082" s="1" t="str">
        <f>IFERROR(__xludf.DUMMYFUNCTION("""COMPUTED_VALUE"""),"Sieg Ballelos")</f>
        <v>Sieg Ballelos</v>
      </c>
      <c r="K7082" s="1" t="str">
        <f>IFERROR(__xludf.DUMMYFUNCTION("""COMPUTED_VALUE"""),"Core Product Support Escalation Team")</f>
        <v>Core Product Support Escalation Team</v>
      </c>
      <c r="L7082" s="1" t="str">
        <f>IFERROR(__xludf.DUMMYFUNCTION("""COMPUTED_VALUE"""),"CPS Core Product Support Escalations (CPSET)")</f>
        <v>CPS Core Product Support Escalations (CPSET)</v>
      </c>
    </row>
    <row r="7083">
      <c r="A7083" s="1" t="str">
        <f>IFERROR(__xludf.DUMMYFUNCTION("""COMPUTED_VALUE"""),"2025 Dec")</f>
        <v>2025 Dec</v>
      </c>
      <c r="B7083" s="2">
        <f>IFERROR(__xludf.DUMMYFUNCTION("""COMPUTED_VALUE"""),45999.0)</f>
        <v>45999</v>
      </c>
      <c r="C7083" s="1" t="str">
        <f>IFERROR(__xludf.DUMMYFUNCTION("""COMPUTED_VALUE"""),"Core Product Support")</f>
        <v>Core Product Support</v>
      </c>
      <c r="D7083" s="1" t="str">
        <f>IFERROR(__xludf.DUMMYFUNCTION("""COMPUTED_VALUE"""),"b366931c-0597-40c7-babb-0a89ffc75e01")</f>
        <v>b366931c-0597-40c7-babb-0a89ffc75e01</v>
      </c>
      <c r="E7083" s="1"/>
      <c r="F7083" s="1">
        <f>IFERROR(__xludf.DUMMYFUNCTION("""COMPUTED_VALUE"""),0.5)</f>
        <v>0.5</v>
      </c>
      <c r="G7083" s="1"/>
      <c r="H7083" s="3">
        <f>IFERROR(__xludf.DUMMYFUNCTION("""COMPUTED_VALUE"""),0.5)</f>
        <v>0.5</v>
      </c>
      <c r="I7083" s="4">
        <f>IFERROR(__xludf.DUMMYFUNCTION("""COMPUTED_VALUE"""),0.0)</f>
        <v>0</v>
      </c>
      <c r="J7083" s="1" t="str">
        <f>IFERROR(__xludf.DUMMYFUNCTION("""COMPUTED_VALUE"""),"Marie Mordeno")</f>
        <v>Marie Mordeno</v>
      </c>
      <c r="K7083" s="1" t="str">
        <f>IFERROR(__xludf.DUMMYFUNCTION("""COMPUTED_VALUE"""),"Advanced Billing &amp; Subscriptions")</f>
        <v>Advanced Billing &amp; Subscriptions</v>
      </c>
      <c r="L7083" s="1" t="str">
        <f>IFERROR(__xludf.DUMMYFUNCTION("""COMPUTED_VALUE"""),"CPS Advanced Billing and Subscriptions (ABS)")</f>
        <v>CPS Advanced Billing and Subscriptions (ABS)</v>
      </c>
    </row>
    <row r="7084">
      <c r="A7084" s="1" t="str">
        <f>IFERROR(__xludf.DUMMYFUNCTION("""COMPUTED_VALUE"""),"2025 Dec")</f>
        <v>2025 Dec</v>
      </c>
      <c r="B7084" s="2">
        <f>IFERROR(__xludf.DUMMYFUNCTION("""COMPUTED_VALUE"""),45999.0)</f>
        <v>45999</v>
      </c>
      <c r="C7084" s="1" t="str">
        <f>IFERROR(__xludf.DUMMYFUNCTION("""COMPUTED_VALUE"""),"Core Product Support")</f>
        <v>Core Product Support</v>
      </c>
      <c r="D7084" s="1" t="str">
        <f>IFERROR(__xludf.DUMMYFUNCTION("""COMPUTED_VALUE"""),"d8cafb49-0513-4066-8298-8198c1c303c8")</f>
        <v>d8cafb49-0513-4066-8298-8198c1c303c8</v>
      </c>
      <c r="E7084" s="1">
        <f>IFERROR(__xludf.DUMMYFUNCTION("""COMPUTED_VALUE"""),5.566859239951E12)</f>
        <v>5566859239951</v>
      </c>
      <c r="F7084" s="1"/>
      <c r="G7084" s="1">
        <f>IFERROR(__xludf.DUMMYFUNCTION("""COMPUTED_VALUE"""),1.5)</f>
        <v>1.5</v>
      </c>
      <c r="H7084" s="3">
        <f>IFERROR(__xludf.DUMMYFUNCTION("""COMPUTED_VALUE"""),1.5)</f>
        <v>1.5</v>
      </c>
      <c r="I7084" s="4">
        <f>IFERROR(__xludf.DUMMYFUNCTION("""COMPUTED_VALUE"""),1.0)</f>
        <v>1</v>
      </c>
      <c r="J7084" s="1" t="str">
        <f>IFERROR(__xludf.DUMMYFUNCTION("""COMPUTED_VALUE"""),"Jahmie Mae Barrameda")</f>
        <v>Jahmie Mae Barrameda</v>
      </c>
      <c r="K7084" s="1" t="str">
        <f>IFERROR(__xludf.DUMMYFUNCTION("""COMPUTED_VALUE"""),"Advanced Billing &amp; Subscriptions")</f>
        <v>Advanced Billing &amp; Subscriptions</v>
      </c>
      <c r="L7084" s="1" t="str">
        <f>IFERROR(__xludf.DUMMYFUNCTION("""COMPUTED_VALUE"""),"CPS Advanced Billing and Subscriptions (ABS)")</f>
        <v>CPS Advanced Billing and Subscriptions (ABS)</v>
      </c>
    </row>
    <row r="7085">
      <c r="A7085" s="1" t="str">
        <f>IFERROR(__xludf.DUMMYFUNCTION("""COMPUTED_VALUE"""),"2025 Dec")</f>
        <v>2025 Dec</v>
      </c>
      <c r="B7085" s="2">
        <f>IFERROR(__xludf.DUMMYFUNCTION("""COMPUTED_VALUE"""),45999.0)</f>
        <v>45999</v>
      </c>
      <c r="C7085" s="1" t="str">
        <f>IFERROR(__xludf.DUMMYFUNCTION("""COMPUTED_VALUE"""),"Print Support")</f>
        <v>Print Support</v>
      </c>
      <c r="D7085" s="1" t="str">
        <f>IFERROR(__xludf.DUMMYFUNCTION("""COMPUTED_VALUE"""),"b38dd32d-e840-4454-9bff-9270032e26ec")</f>
        <v>b38dd32d-e840-4454-9bff-9270032e26ec</v>
      </c>
      <c r="E7085" s="1">
        <f>IFERROR(__xludf.DUMMYFUNCTION("""COMPUTED_VALUE"""),1.1279671882767E13)</f>
        <v>11279671882767</v>
      </c>
      <c r="F7085" s="1"/>
      <c r="G7085" s="1"/>
      <c r="H7085" s="3">
        <f>IFERROR(__xludf.DUMMYFUNCTION("""COMPUTED_VALUE"""),0.0)</f>
        <v>0</v>
      </c>
      <c r="I7085" s="4"/>
      <c r="J7085" s="1" t="str">
        <f>IFERROR(__xludf.DUMMYFUNCTION("""COMPUTED_VALUE"""),"Jen Momo")</f>
        <v>Jen Momo</v>
      </c>
      <c r="K7085" s="1" t="str">
        <f>IFERROR(__xludf.DUMMYFUNCTION("""COMPUTED_VALUE"""),"Print Support PH")</f>
        <v>Print Support PH</v>
      </c>
      <c r="L7085" s="1" t="str">
        <f>IFERROR(__xludf.DUMMYFUNCTION("""COMPUTED_VALUE"""),"Print Print - CHT")</f>
        <v>Print Print - CHT</v>
      </c>
    </row>
    <row r="7086">
      <c r="A7086" s="1" t="str">
        <f>IFERROR(__xludf.DUMMYFUNCTION("""COMPUTED_VALUE"""),"2025 Dec")</f>
        <v>2025 Dec</v>
      </c>
      <c r="B7086" s="2">
        <f>IFERROR(__xludf.DUMMYFUNCTION("""COMPUTED_VALUE"""),45999.0)</f>
        <v>45999</v>
      </c>
      <c r="C7086" s="1" t="str">
        <f>IFERROR(__xludf.DUMMYFUNCTION("""COMPUTED_VALUE"""),"Print Support")</f>
        <v>Print Support</v>
      </c>
      <c r="D7086" s="1" t="str">
        <f>IFERROR(__xludf.DUMMYFUNCTION("""COMPUTED_VALUE"""),"f6ab909a-8fae-4139-af23-d06c28a32b8c")</f>
        <v>f6ab909a-8fae-4139-af23-d06c28a32b8c</v>
      </c>
      <c r="E7086" s="1">
        <f>IFERROR(__xludf.DUMMYFUNCTION("""COMPUTED_VALUE"""),3.61724667376E11)</f>
        <v>361724667376</v>
      </c>
      <c r="F7086" s="1"/>
      <c r="G7086" s="1"/>
      <c r="H7086" s="3">
        <f>IFERROR(__xludf.DUMMYFUNCTION("""COMPUTED_VALUE"""),0.0)</f>
        <v>0</v>
      </c>
      <c r="I7086" s="4"/>
      <c r="J7086" s="1" t="str">
        <f>IFERROR(__xludf.DUMMYFUNCTION("""COMPUTED_VALUE"""),"Ann Dumlao")</f>
        <v>Ann Dumlao</v>
      </c>
      <c r="K7086" s="1" t="str">
        <f>IFERROR(__xludf.DUMMYFUNCTION("""COMPUTED_VALUE"""),"Print Support PH")</f>
        <v>Print Support PH</v>
      </c>
      <c r="L7086" s="1" t="str">
        <f>IFERROR(__xludf.DUMMYFUNCTION("""COMPUTED_VALUE"""),"Print Print - CHT")</f>
        <v>Print Print - CHT</v>
      </c>
    </row>
    <row r="7087">
      <c r="A7087" s="1" t="str">
        <f>IFERROR(__xludf.DUMMYFUNCTION("""COMPUTED_VALUE"""),"2025 Dec")</f>
        <v>2025 Dec</v>
      </c>
      <c r="B7087" s="2">
        <f>IFERROR(__xludf.DUMMYFUNCTION("""COMPUTED_VALUE"""),45999.0)</f>
        <v>45999</v>
      </c>
      <c r="C7087" s="1" t="str">
        <f>IFERROR(__xludf.DUMMYFUNCTION("""COMPUTED_VALUE"""),"Admin Support")</f>
        <v>Admin Support</v>
      </c>
      <c r="D7087" s="1" t="str">
        <f>IFERROR(__xludf.DUMMYFUNCTION("""COMPUTED_VALUE"""),"2440a395-2ee9-49c8-95dd-ec980955ac7b")</f>
        <v>2440a395-2ee9-49c8-95dd-ec980955ac7b</v>
      </c>
      <c r="E7087" s="1">
        <f>IFERROR(__xludf.DUMMYFUNCTION("""COMPUTED_VALUE"""),3.61725375656E11)</f>
        <v>361725375656</v>
      </c>
      <c r="F7087" s="1"/>
      <c r="G7087" s="1"/>
      <c r="H7087" s="3">
        <f>IFERROR(__xludf.DUMMYFUNCTION("""COMPUTED_VALUE"""),0.0)</f>
        <v>0</v>
      </c>
      <c r="I7087" s="4"/>
      <c r="J7087" s="1" t="str">
        <f>IFERROR(__xludf.DUMMYFUNCTION("""COMPUTED_VALUE"""),"Karla Mananghaya")</f>
        <v>Karla Mananghaya</v>
      </c>
      <c r="K7087" s="1" t="str">
        <f>IFERROR(__xludf.DUMMYFUNCTION("""COMPUTED_VALUE"""),"Back of House Operations PH")</f>
        <v>Back of House Operations PH</v>
      </c>
      <c r="L7087" s="1" t="str">
        <f>IFERROR(__xludf.DUMMYFUNCTION("""COMPUTED_VALUE"""),"BoHO SEE")</f>
        <v>BoHO SEE</v>
      </c>
    </row>
    <row r="7088">
      <c r="A7088" s="1" t="str">
        <f>IFERROR(__xludf.DUMMYFUNCTION("""COMPUTED_VALUE"""),"2025 Dec")</f>
        <v>2025 Dec</v>
      </c>
      <c r="B7088" s="2">
        <f>IFERROR(__xludf.DUMMYFUNCTION("""COMPUTED_VALUE"""),45999.0)</f>
        <v>45999</v>
      </c>
      <c r="C7088" s="1" t="str">
        <f>IFERROR(__xludf.DUMMYFUNCTION("""COMPUTED_VALUE"""),"High Sensitivity Support")</f>
        <v>High Sensitivity Support</v>
      </c>
      <c r="D7088" s="1" t="str">
        <f>IFERROR(__xludf.DUMMYFUNCTION("""COMPUTED_VALUE"""),"0bb396c0-8b48-4382-addc-66818b7167ec")</f>
        <v>0bb396c0-8b48-4382-addc-66818b7167ec</v>
      </c>
      <c r="E7088" s="1">
        <f>IFERROR(__xludf.DUMMYFUNCTION("""COMPUTED_VALUE"""),5.566867976335E12)</f>
        <v>5566867976335</v>
      </c>
      <c r="F7088" s="1"/>
      <c r="G7088" s="1"/>
      <c r="H7088" s="3">
        <f>IFERROR(__xludf.DUMMYFUNCTION("""COMPUTED_VALUE"""),0.0)</f>
        <v>0</v>
      </c>
      <c r="I7088" s="4"/>
      <c r="J7088" s="1" t="str">
        <f>IFERROR(__xludf.DUMMYFUNCTION("""COMPUTED_VALUE"""),"Issi Afable")</f>
        <v>Issi Afable</v>
      </c>
      <c r="K7088" s="1" t="str">
        <f>IFERROR(__xludf.DUMMYFUNCTION("""COMPUTED_VALUE"""),"High Sensitivity Support PH")</f>
        <v>High Sensitivity Support PH</v>
      </c>
      <c r="L7088" s="1" t="str">
        <f>IFERROR(__xludf.DUMMYFUNCTION("""COMPUTED_VALUE"""),"HSS High Sensitivity Support PH - SEE")</f>
        <v>HSS High Sensitivity Support PH - SEE</v>
      </c>
    </row>
    <row r="7089">
      <c r="A7089" s="1" t="str">
        <f>IFERROR(__xludf.DUMMYFUNCTION("""COMPUTED_VALUE"""),"2025 Dec")</f>
        <v>2025 Dec</v>
      </c>
      <c r="B7089" s="2">
        <f>IFERROR(__xludf.DUMMYFUNCTION("""COMPUTED_VALUE"""),45999.0)</f>
        <v>45999</v>
      </c>
      <c r="C7089" s="1" t="str">
        <f>IFERROR(__xludf.DUMMYFUNCTION("""COMPUTED_VALUE"""),"Print Support")</f>
        <v>Print Support</v>
      </c>
      <c r="D7089" s="1" t="str">
        <f>IFERROR(__xludf.DUMMYFUNCTION("""COMPUTED_VALUE"""),"bfafe2d2-bab4-4d76-87e0-5b42d5285805")</f>
        <v>bfafe2d2-bab4-4d76-87e0-5b42d5285805</v>
      </c>
      <c r="E7089" s="1">
        <f>IFERROR(__xludf.DUMMYFUNCTION("""COMPUTED_VALUE"""),5.202379009423E12)</f>
        <v>5202379009423</v>
      </c>
      <c r="F7089" s="1"/>
      <c r="G7089" s="1"/>
      <c r="H7089" s="3">
        <f>IFERROR(__xludf.DUMMYFUNCTION("""COMPUTED_VALUE"""),0.0)</f>
        <v>0</v>
      </c>
      <c r="I7089" s="4"/>
      <c r="J7089" s="1" t="str">
        <f>IFERROR(__xludf.DUMMYFUNCTION("""COMPUTED_VALUE"""),"Althea Mercado")</f>
        <v>Althea Mercado</v>
      </c>
      <c r="K7089" s="1" t="str">
        <f>IFERROR(__xludf.DUMMYFUNCTION("""COMPUTED_VALUE"""),"Print Support PH")</f>
        <v>Print Support PH</v>
      </c>
      <c r="L7089" s="1" t="str">
        <f>IFERROR(__xludf.DUMMYFUNCTION("""COMPUTED_VALUE"""),"Print Print - CHT")</f>
        <v>Print Print - CHT</v>
      </c>
    </row>
    <row r="7090">
      <c r="A7090" s="1" t="str">
        <f>IFERROR(__xludf.DUMMYFUNCTION("""COMPUTED_VALUE"""),"2025 Dec")</f>
        <v>2025 Dec</v>
      </c>
      <c r="B7090" s="2">
        <f>IFERROR(__xludf.DUMMYFUNCTION("""COMPUTED_VALUE"""),45999.0)</f>
        <v>45999</v>
      </c>
      <c r="C7090" s="1" t="str">
        <f>IFERROR(__xludf.DUMMYFUNCTION("""COMPUTED_VALUE"""),"Core Product Support")</f>
        <v>Core Product Support</v>
      </c>
      <c r="D7090" s="1" t="str">
        <f>IFERROR(__xludf.DUMMYFUNCTION("""COMPUTED_VALUE"""),"c0f3492c-b6e0-4663-88e9-07ef49890f6a")</f>
        <v>c0f3492c-b6e0-4663-88e9-07ef49890f6a</v>
      </c>
      <c r="E7090" s="1">
        <f>IFERROR(__xludf.DUMMYFUNCTION("""COMPUTED_VALUE"""),7.437401161487E12)</f>
        <v>7437401161487</v>
      </c>
      <c r="F7090" s="1"/>
      <c r="G7090" s="1">
        <f>IFERROR(__xludf.DUMMYFUNCTION("""COMPUTED_VALUE"""),1.5)</f>
        <v>1.5</v>
      </c>
      <c r="H7090" s="3">
        <f>IFERROR(__xludf.DUMMYFUNCTION("""COMPUTED_VALUE"""),1.5)</f>
        <v>1.5</v>
      </c>
      <c r="I7090" s="4">
        <f>IFERROR(__xludf.DUMMYFUNCTION("""COMPUTED_VALUE"""),1.0)</f>
        <v>1</v>
      </c>
      <c r="J7090" s="1" t="str">
        <f>IFERROR(__xludf.DUMMYFUNCTION("""COMPUTED_VALUE"""),"Renette Bok")</f>
        <v>Renette Bok</v>
      </c>
      <c r="K7090" s="1" t="str">
        <f>IFERROR(__xludf.DUMMYFUNCTION("""COMPUTED_VALUE"""),"Advanced Billing &amp; Subscriptions")</f>
        <v>Advanced Billing &amp; Subscriptions</v>
      </c>
      <c r="L7090" s="1" t="str">
        <f>IFERROR(__xludf.DUMMYFUNCTION("""COMPUTED_VALUE"""),"CPS Advanced Billing and Subscriptions (ABS)")</f>
        <v>CPS Advanced Billing and Subscriptions (ABS)</v>
      </c>
    </row>
    <row r="7091">
      <c r="A7091" s="1" t="str">
        <f>IFERROR(__xludf.DUMMYFUNCTION("""COMPUTED_VALUE"""),"2025 Dec")</f>
        <v>2025 Dec</v>
      </c>
      <c r="B7091" s="2">
        <f>IFERROR(__xludf.DUMMYFUNCTION("""COMPUTED_VALUE"""),45999.0)</f>
        <v>45999</v>
      </c>
      <c r="C7091" s="1" t="str">
        <f>IFERROR(__xludf.DUMMYFUNCTION("""COMPUTED_VALUE"""),"Core Product Support")</f>
        <v>Core Product Support</v>
      </c>
      <c r="D7091" s="1" t="str">
        <f>IFERROR(__xludf.DUMMYFUNCTION("""COMPUTED_VALUE"""),"3335501a-b303-4b1b-b874-e502875b9c00")</f>
        <v>3335501a-b303-4b1b-b874-e502875b9c00</v>
      </c>
      <c r="E7091" s="1">
        <f>IFERROR(__xludf.DUMMYFUNCTION("""COMPUTED_VALUE"""),5.901973624079E12)</f>
        <v>5901973624079</v>
      </c>
      <c r="F7091" s="1"/>
      <c r="G7091" s="1">
        <f>IFERROR(__xludf.DUMMYFUNCTION("""COMPUTED_VALUE"""),1.5)</f>
        <v>1.5</v>
      </c>
      <c r="H7091" s="3">
        <f>IFERROR(__xludf.DUMMYFUNCTION("""COMPUTED_VALUE"""),1.5)</f>
        <v>1.5</v>
      </c>
      <c r="I7091" s="4">
        <f>IFERROR(__xludf.DUMMYFUNCTION("""COMPUTED_VALUE"""),1.0)</f>
        <v>1</v>
      </c>
      <c r="J7091" s="1" t="str">
        <f>IFERROR(__xludf.DUMMYFUNCTION("""COMPUTED_VALUE"""),"Bem Launte")</f>
        <v>Bem Launte</v>
      </c>
      <c r="K7091" s="1" t="str">
        <f>IFERROR(__xludf.DUMMYFUNCTION("""COMPUTED_VALUE"""),"Core Product Support Escalation Team")</f>
        <v>Core Product Support Escalation Team</v>
      </c>
      <c r="L7091" s="1" t="str">
        <f>IFERROR(__xludf.DUMMYFUNCTION("""COMPUTED_VALUE"""),"CPS Core Product Support Escalations (CPSET)")</f>
        <v>CPS Core Product Support Escalations (CPSET)</v>
      </c>
    </row>
    <row r="7092">
      <c r="A7092" s="1" t="str">
        <f>IFERROR(__xludf.DUMMYFUNCTION("""COMPUTED_VALUE"""),"2025 Dec")</f>
        <v>2025 Dec</v>
      </c>
      <c r="B7092" s="2">
        <f>IFERROR(__xludf.DUMMYFUNCTION("""COMPUTED_VALUE"""),45999.0)</f>
        <v>45999</v>
      </c>
      <c r="C7092" s="1" t="str">
        <f>IFERROR(__xludf.DUMMYFUNCTION("""COMPUTED_VALUE"""),"Print Support")</f>
        <v>Print Support</v>
      </c>
      <c r="D7092" s="1" t="str">
        <f>IFERROR(__xludf.DUMMYFUNCTION("""COMPUTED_VALUE"""),"81f19830-f845-4879-96ee-0654dc8f6f68")</f>
        <v>81f19830-f845-4879-96ee-0654dc8f6f68</v>
      </c>
      <c r="E7092" s="1">
        <f>IFERROR(__xludf.DUMMYFUNCTION("""COMPUTED_VALUE"""),3.61750058635E11)</f>
        <v>361750058635</v>
      </c>
      <c r="F7092" s="1"/>
      <c r="G7092" s="1"/>
      <c r="H7092" s="3">
        <f>IFERROR(__xludf.DUMMYFUNCTION("""COMPUTED_VALUE"""),0.0)</f>
        <v>0</v>
      </c>
      <c r="I7092" s="4"/>
      <c r="J7092" s="1" t="str">
        <f>IFERROR(__xludf.DUMMYFUNCTION("""COMPUTED_VALUE"""),"Rae Erlano")</f>
        <v>Rae Erlano</v>
      </c>
      <c r="K7092" s="1" t="str">
        <f>IFERROR(__xludf.DUMMYFUNCTION("""COMPUTED_VALUE"""),"Print Support PH")</f>
        <v>Print Support PH</v>
      </c>
      <c r="L7092" s="1" t="str">
        <f>IFERROR(__xludf.DUMMYFUNCTION("""COMPUTED_VALUE"""),"Print Print - CHT")</f>
        <v>Print Print - CHT</v>
      </c>
    </row>
    <row r="7093">
      <c r="A7093" s="1" t="str">
        <f>IFERROR(__xludf.DUMMYFUNCTION("""COMPUTED_VALUE"""),"2025 Dec")</f>
        <v>2025 Dec</v>
      </c>
      <c r="B7093" s="2">
        <f>IFERROR(__xludf.DUMMYFUNCTION("""COMPUTED_VALUE"""),45999.0)</f>
        <v>45999</v>
      </c>
      <c r="C7093" s="1" t="str">
        <f>IFERROR(__xludf.DUMMYFUNCTION("""COMPUTED_VALUE"""),"Core Product Support")</f>
        <v>Core Product Support</v>
      </c>
      <c r="D7093" s="1" t="str">
        <f>IFERROR(__xludf.DUMMYFUNCTION("""COMPUTED_VALUE"""),"2e981db7-61ee-4b53-aef6-4c4cc65464d7")</f>
        <v>2e981db7-61ee-4b53-aef6-4c4cc65464d7</v>
      </c>
      <c r="E7093" s="1">
        <f>IFERROR(__xludf.DUMMYFUNCTION("""COMPUTED_VALUE"""),8.904435850895E12)</f>
        <v>8904435850895</v>
      </c>
      <c r="F7093" s="1">
        <f>IFERROR(__xludf.DUMMYFUNCTION("""COMPUTED_VALUE"""),0.5)</f>
        <v>0.5</v>
      </c>
      <c r="G7093" s="1"/>
      <c r="H7093" s="3">
        <f>IFERROR(__xludf.DUMMYFUNCTION("""COMPUTED_VALUE"""),0.5)</f>
        <v>0.5</v>
      </c>
      <c r="I7093" s="4">
        <f>IFERROR(__xludf.DUMMYFUNCTION("""COMPUTED_VALUE"""),0.0)</f>
        <v>0</v>
      </c>
      <c r="J7093" s="1" t="str">
        <f>IFERROR(__xludf.DUMMYFUNCTION("""COMPUTED_VALUE"""),"Mikhaela Decangchon")</f>
        <v>Mikhaela Decangchon</v>
      </c>
      <c r="K7093" s="1" t="str">
        <f>IFERROR(__xludf.DUMMYFUNCTION("""COMPUTED_VALUE"""),"Advanced Product Support")</f>
        <v>Advanced Product Support</v>
      </c>
      <c r="L7093" s="1" t="str">
        <f>IFERROR(__xludf.DUMMYFUNCTION("""COMPUTED_VALUE"""),"CPS Advanced Product Support (APS)")</f>
        <v>CPS Advanced Product Support (APS)</v>
      </c>
    </row>
    <row r="7094">
      <c r="A7094" s="1" t="str">
        <f>IFERROR(__xludf.DUMMYFUNCTION("""COMPUTED_VALUE"""),"2025 Dec")</f>
        <v>2025 Dec</v>
      </c>
      <c r="B7094" s="2">
        <f>IFERROR(__xludf.DUMMYFUNCTION("""COMPUTED_VALUE"""),45999.0)</f>
        <v>45999</v>
      </c>
      <c r="C7094" s="1" t="str">
        <f>IFERROR(__xludf.DUMMYFUNCTION("""COMPUTED_VALUE"""),"Segment-specific Support")</f>
        <v>Segment-specific Support</v>
      </c>
      <c r="D7094" s="1" t="str">
        <f>IFERROR(__xludf.DUMMYFUNCTION("""COMPUTED_VALUE"""),"a9175f4e-c2a3-4f80-bd6c-76adc2cfcef8")</f>
        <v>a9175f4e-c2a3-4f80-bd6c-76adc2cfcef8</v>
      </c>
      <c r="E7094" s="1">
        <f>IFERROR(__xludf.DUMMYFUNCTION("""COMPUTED_VALUE"""),5.359144633743E12)</f>
        <v>5359144633743</v>
      </c>
      <c r="F7094" s="1"/>
      <c r="G7094" s="1"/>
      <c r="H7094" s="3">
        <f>IFERROR(__xludf.DUMMYFUNCTION("""COMPUTED_VALUE"""),0.0)</f>
        <v>0</v>
      </c>
      <c r="I7094" s="4"/>
      <c r="J7094" s="1" t="str">
        <f>IFERROR(__xludf.DUMMYFUNCTION("""COMPUTED_VALUE"""),"Tash Kelly")</f>
        <v>Tash Kelly</v>
      </c>
      <c r="K7094" s="1" t="str">
        <f>IFERROR(__xludf.DUMMYFUNCTION("""COMPUTED_VALUE"""),"Affinity Support")</f>
        <v>Affinity Support</v>
      </c>
      <c r="L7094" s="1" t="str">
        <f>IFERROR(__xludf.DUMMYFUNCTION("""COMPUTED_VALUE"""),"SSS Affinity")</f>
        <v>SSS Affinity</v>
      </c>
    </row>
    <row r="7095">
      <c r="A7095" s="1" t="str">
        <f>IFERROR(__xludf.DUMMYFUNCTION("""COMPUTED_VALUE"""),"2025 Dec")</f>
        <v>2025 Dec</v>
      </c>
      <c r="B7095" s="2">
        <f>IFERROR(__xludf.DUMMYFUNCTION("""COMPUTED_VALUE"""),45999.0)</f>
        <v>45999</v>
      </c>
      <c r="C7095" s="1" t="str">
        <f>IFERROR(__xludf.DUMMYFUNCTION("""COMPUTED_VALUE"""),"Print Support")</f>
        <v>Print Support</v>
      </c>
      <c r="D7095" s="1" t="str">
        <f>IFERROR(__xludf.DUMMYFUNCTION("""COMPUTED_VALUE"""),"c099fecd-f2e4-4b33-8ba3-1c6779033d42")</f>
        <v>c099fecd-f2e4-4b33-8ba3-1c6779033d42</v>
      </c>
      <c r="E7095" s="1">
        <f>IFERROR(__xludf.DUMMYFUNCTION("""COMPUTED_VALUE"""),5.901988081807E12)</f>
        <v>5901988081807</v>
      </c>
      <c r="F7095" s="1"/>
      <c r="G7095" s="1"/>
      <c r="H7095" s="3">
        <f>IFERROR(__xludf.DUMMYFUNCTION("""COMPUTED_VALUE"""),0.0)</f>
        <v>0</v>
      </c>
      <c r="I7095" s="4"/>
      <c r="J7095" s="1" t="str">
        <f>IFERROR(__xludf.DUMMYFUNCTION("""COMPUTED_VALUE"""),"Rae Erlano")</f>
        <v>Rae Erlano</v>
      </c>
      <c r="K7095" s="1" t="str">
        <f>IFERROR(__xludf.DUMMYFUNCTION("""COMPUTED_VALUE"""),"Print Support PH")</f>
        <v>Print Support PH</v>
      </c>
      <c r="L7095" s="1" t="str">
        <f>IFERROR(__xludf.DUMMYFUNCTION("""COMPUTED_VALUE"""),"Print Print - CHT")</f>
        <v>Print Print - CHT</v>
      </c>
    </row>
    <row r="7096">
      <c r="A7096" s="1" t="str">
        <f>IFERROR(__xludf.DUMMYFUNCTION("""COMPUTED_VALUE"""),"2025 Dec")</f>
        <v>2025 Dec</v>
      </c>
      <c r="B7096" s="2">
        <f>IFERROR(__xludf.DUMMYFUNCTION("""COMPUTED_VALUE"""),45999.0)</f>
        <v>45999</v>
      </c>
      <c r="C7096" s="1" t="str">
        <f>IFERROR(__xludf.DUMMYFUNCTION("""COMPUTED_VALUE"""),"Print Support")</f>
        <v>Print Support</v>
      </c>
      <c r="D7096" s="1" t="str">
        <f>IFERROR(__xludf.DUMMYFUNCTION("""COMPUTED_VALUE"""),"f49619b0-d053-442f-946d-b652dbfb2703")</f>
        <v>f49619b0-d053-442f-946d-b652dbfb2703</v>
      </c>
      <c r="E7096" s="1"/>
      <c r="F7096" s="1"/>
      <c r="G7096" s="1"/>
      <c r="H7096" s="3">
        <f>IFERROR(__xludf.DUMMYFUNCTION("""COMPUTED_VALUE"""),0.0)</f>
        <v>0</v>
      </c>
      <c r="I7096" s="4"/>
      <c r="J7096" s="1" t="str">
        <f>IFERROR(__xludf.DUMMYFUNCTION("""COMPUTED_VALUE"""),"Aliza Dote")</f>
        <v>Aliza Dote</v>
      </c>
      <c r="K7096" s="1" t="str">
        <f>IFERROR(__xludf.DUMMYFUNCTION("""COMPUTED_VALUE"""),"Print Design Support")</f>
        <v>Print Design Support</v>
      </c>
      <c r="L7096" s="1" t="str">
        <f>IFERROR(__xludf.DUMMYFUNCTION("""COMPUTED_VALUE"""),"Print Print Design")</f>
        <v>Print Print Design</v>
      </c>
    </row>
    <row r="7097">
      <c r="A7097" s="1" t="str">
        <f>IFERROR(__xludf.DUMMYFUNCTION("""COMPUTED_VALUE"""),"2025 Dec")</f>
        <v>2025 Dec</v>
      </c>
      <c r="B7097" s="2">
        <f>IFERROR(__xludf.DUMMYFUNCTION("""COMPUTED_VALUE"""),45999.0)</f>
        <v>45999</v>
      </c>
      <c r="C7097" s="1" t="str">
        <f>IFERROR(__xludf.DUMMYFUNCTION("""COMPUTED_VALUE"""),"Core Product Support")</f>
        <v>Core Product Support</v>
      </c>
      <c r="D7097" s="1" t="str">
        <f>IFERROR(__xludf.DUMMYFUNCTION("""COMPUTED_VALUE"""),"34b01611-0778-4238-845c-71a5fb4b19f1")</f>
        <v>34b01611-0778-4238-845c-71a5fb4b19f1</v>
      </c>
      <c r="E7097" s="1">
        <f>IFERROR(__xludf.DUMMYFUNCTION("""COMPUTED_VALUE"""),1.0005722473615E13)</f>
        <v>10005722473615</v>
      </c>
      <c r="F7097" s="1"/>
      <c r="G7097" s="1"/>
      <c r="H7097" s="3">
        <f>IFERROR(__xludf.DUMMYFUNCTION("""COMPUTED_VALUE"""),0.0)</f>
        <v>0</v>
      </c>
      <c r="I7097" s="4"/>
      <c r="J7097" s="1" t="str">
        <f>IFERROR(__xludf.DUMMYFUNCTION("""COMPUTED_VALUE"""),"Vianca De Jesus")</f>
        <v>Vianca De Jesus</v>
      </c>
      <c r="K7097" s="1" t="str">
        <f>IFERROR(__xludf.DUMMYFUNCTION("""COMPUTED_VALUE"""),"Advanced Billing &amp; Subscriptions")</f>
        <v>Advanced Billing &amp; Subscriptions</v>
      </c>
      <c r="L7097" s="1" t="str">
        <f>IFERROR(__xludf.DUMMYFUNCTION("""COMPUTED_VALUE"""),"CPS Advanced Billing and Subscriptions (ABS)")</f>
        <v>CPS Advanced Billing and Subscriptions (ABS)</v>
      </c>
    </row>
    <row r="7098">
      <c r="A7098" s="1" t="str">
        <f>IFERROR(__xludf.DUMMYFUNCTION("""COMPUTED_VALUE"""),"2025 Dec")</f>
        <v>2025 Dec</v>
      </c>
      <c r="B7098" s="2">
        <f>IFERROR(__xludf.DUMMYFUNCTION("""COMPUTED_VALUE"""),45999.0)</f>
        <v>45999</v>
      </c>
      <c r="C7098" s="1" t="str">
        <f>IFERROR(__xludf.DUMMYFUNCTION("""COMPUTED_VALUE"""),"Core Product Support")</f>
        <v>Core Product Support</v>
      </c>
      <c r="D7098" s="1" t="str">
        <f>IFERROR(__xludf.DUMMYFUNCTION("""COMPUTED_VALUE"""),"29f1cfbb-326c-4f39-b32d-9350f380b21a")</f>
        <v>29f1cfbb-326c-4f39-b32d-9350f380b21a</v>
      </c>
      <c r="E7098" s="1">
        <f>IFERROR(__xludf.DUMMYFUNCTION("""COMPUTED_VALUE"""),3.61732161455E11)</f>
        <v>361732161455</v>
      </c>
      <c r="F7098" s="1"/>
      <c r="G7098" s="1">
        <f>IFERROR(__xludf.DUMMYFUNCTION("""COMPUTED_VALUE"""),2.5)</f>
        <v>2.5</v>
      </c>
      <c r="H7098" s="3">
        <f>IFERROR(__xludf.DUMMYFUNCTION("""COMPUTED_VALUE"""),2.5)</f>
        <v>2.5</v>
      </c>
      <c r="I7098" s="4">
        <f>IFERROR(__xludf.DUMMYFUNCTION("""COMPUTED_VALUE"""),1.0)</f>
        <v>1</v>
      </c>
      <c r="J7098" s="1" t="str">
        <f>IFERROR(__xludf.DUMMYFUNCTION("""COMPUTED_VALUE"""),"Bem Launte")</f>
        <v>Bem Launte</v>
      </c>
      <c r="K7098" s="1" t="str">
        <f>IFERROR(__xludf.DUMMYFUNCTION("""COMPUTED_VALUE"""),"Core Product Support Escalation Team")</f>
        <v>Core Product Support Escalation Team</v>
      </c>
      <c r="L7098" s="1" t="str">
        <f>IFERROR(__xludf.DUMMYFUNCTION("""COMPUTED_VALUE"""),"CPS Core Product Support Escalations (CPSET)")</f>
        <v>CPS Core Product Support Escalations (CPSET)</v>
      </c>
    </row>
    <row r="7099">
      <c r="A7099" s="1" t="str">
        <f>IFERROR(__xludf.DUMMYFUNCTION("""COMPUTED_VALUE"""),"2025 Dec")</f>
        <v>2025 Dec</v>
      </c>
      <c r="B7099" s="2">
        <f>IFERROR(__xludf.DUMMYFUNCTION("""COMPUTED_VALUE"""),45999.0)</f>
        <v>45999</v>
      </c>
      <c r="C7099" s="1" t="str">
        <f>IFERROR(__xludf.DUMMYFUNCTION("""COMPUTED_VALUE"""),"Print Support")</f>
        <v>Print Support</v>
      </c>
      <c r="D7099" s="1" t="str">
        <f>IFERROR(__xludf.DUMMYFUNCTION("""COMPUTED_VALUE"""),"e7288a86-def8-455e-9571-0e09ee52eb10")</f>
        <v>e7288a86-def8-455e-9571-0e09ee52eb10</v>
      </c>
      <c r="E7099" s="1">
        <f>IFERROR(__xludf.DUMMYFUNCTION("""COMPUTED_VALUE"""),5.566843775631E12)</f>
        <v>5566843775631</v>
      </c>
      <c r="F7099" s="1"/>
      <c r="G7099" s="1"/>
      <c r="H7099" s="3">
        <f>IFERROR(__xludf.DUMMYFUNCTION("""COMPUTED_VALUE"""),0.0)</f>
        <v>0</v>
      </c>
      <c r="I7099" s="4"/>
      <c r="J7099" s="1" t="str">
        <f>IFERROR(__xludf.DUMMYFUNCTION("""COMPUTED_VALUE"""),"Rae Erlano")</f>
        <v>Rae Erlano</v>
      </c>
      <c r="K7099" s="1" t="str">
        <f>IFERROR(__xludf.DUMMYFUNCTION("""COMPUTED_VALUE"""),"Print Support PH")</f>
        <v>Print Support PH</v>
      </c>
      <c r="L7099" s="1" t="str">
        <f>IFERROR(__xludf.DUMMYFUNCTION("""COMPUTED_VALUE"""),"Print Print - CHT")</f>
        <v>Print Print - CHT</v>
      </c>
    </row>
    <row r="7100">
      <c r="A7100" s="1" t="str">
        <f>IFERROR(__xludf.DUMMYFUNCTION("""COMPUTED_VALUE"""),"2025 Dec")</f>
        <v>2025 Dec</v>
      </c>
      <c r="B7100" s="2">
        <f>IFERROR(__xludf.DUMMYFUNCTION("""COMPUTED_VALUE"""),45999.0)</f>
        <v>45999</v>
      </c>
      <c r="C7100" s="1" t="str">
        <f>IFERROR(__xludf.DUMMYFUNCTION("""COMPUTED_VALUE"""),"Admin Support")</f>
        <v>Admin Support</v>
      </c>
      <c r="D7100" s="1" t="str">
        <f>IFERROR(__xludf.DUMMYFUNCTION("""COMPUTED_VALUE"""),"c771ba05-3c70-40d0-afa5-186bade746f2")</f>
        <v>c771ba05-3c70-40d0-afa5-186bade746f2</v>
      </c>
      <c r="E7100" s="1">
        <f>IFERROR(__xludf.DUMMYFUNCTION("""COMPUTED_VALUE"""),7.437392979983E12)</f>
        <v>7437392979983</v>
      </c>
      <c r="F7100" s="1"/>
      <c r="G7100" s="1"/>
      <c r="H7100" s="3">
        <f>IFERROR(__xludf.DUMMYFUNCTION("""COMPUTED_VALUE"""),0.0)</f>
        <v>0</v>
      </c>
      <c r="I7100" s="4"/>
      <c r="J7100" s="1" t="str">
        <f>IFERROR(__xludf.DUMMYFUNCTION("""COMPUTED_VALUE"""),"Rose Gabilan")</f>
        <v>Rose Gabilan</v>
      </c>
      <c r="K7100" s="1" t="str">
        <f>IFERROR(__xludf.DUMMYFUNCTION("""COMPUTED_VALUE"""),"Admin Support PH SSO")</f>
        <v>Admin Support PH SSO</v>
      </c>
      <c r="L7100" s="1" t="str">
        <f>IFERROR(__xludf.DUMMYFUNCTION("""COMPUTED_VALUE"""),"Admin SSO - CHT")</f>
        <v>Admin SSO - CHT</v>
      </c>
    </row>
    <row r="7101">
      <c r="A7101" s="1" t="str">
        <f>IFERROR(__xludf.DUMMYFUNCTION("""COMPUTED_VALUE"""),"2025 Dec")</f>
        <v>2025 Dec</v>
      </c>
      <c r="B7101" s="2">
        <f>IFERROR(__xludf.DUMMYFUNCTION("""COMPUTED_VALUE"""),45999.0)</f>
        <v>45999</v>
      </c>
      <c r="C7101" s="1" t="str">
        <f>IFERROR(__xludf.DUMMYFUNCTION("""COMPUTED_VALUE"""),"Admin Support")</f>
        <v>Admin Support</v>
      </c>
      <c r="D7101" s="1" t="str">
        <f>IFERROR(__xludf.DUMMYFUNCTION("""COMPUTED_VALUE"""),"5e57a2c8-fe7b-40fb-b179-0090e8e3060b")</f>
        <v>5e57a2c8-fe7b-40fb-b179-0090e8e3060b</v>
      </c>
      <c r="E7101" s="1">
        <f>IFERROR(__xludf.DUMMYFUNCTION("""COMPUTED_VALUE"""),3.61733079315E11)</f>
        <v>361733079315</v>
      </c>
      <c r="F7101" s="1"/>
      <c r="G7101" s="1">
        <f>IFERROR(__xludf.DUMMYFUNCTION("""COMPUTED_VALUE"""),3.5)</f>
        <v>3.5</v>
      </c>
      <c r="H7101" s="3">
        <f>IFERROR(__xludf.DUMMYFUNCTION("""COMPUTED_VALUE"""),3.5)</f>
        <v>3.5</v>
      </c>
      <c r="I7101" s="4">
        <f>IFERROR(__xludf.DUMMYFUNCTION("""COMPUTED_VALUE"""),1.0)</f>
        <v>1</v>
      </c>
      <c r="J7101" s="1" t="str">
        <f>IFERROR(__xludf.DUMMYFUNCTION("""COMPUTED_VALUE"""),"Kelden Laguting")</f>
        <v>Kelden Laguting</v>
      </c>
      <c r="K7101" s="1" t="str">
        <f>IFERROR(__xludf.DUMMYFUNCTION("""COMPUTED_VALUE"""),"Admin Support PH")</f>
        <v>Admin Support PH</v>
      </c>
      <c r="L7101" s="1" t="str">
        <f>IFERROR(__xludf.DUMMYFUNCTION("""COMPUTED_VALUE"""),"Admin PH")</f>
        <v>Admin PH</v>
      </c>
    </row>
    <row r="7102">
      <c r="A7102" s="1" t="str">
        <f>IFERROR(__xludf.DUMMYFUNCTION("""COMPUTED_VALUE"""),"2025 Dec")</f>
        <v>2025 Dec</v>
      </c>
      <c r="B7102" s="2">
        <f>IFERROR(__xludf.DUMMYFUNCTION("""COMPUTED_VALUE"""),45999.0)</f>
        <v>45999</v>
      </c>
      <c r="C7102" s="1" t="str">
        <f>IFERROR(__xludf.DUMMYFUNCTION("""COMPUTED_VALUE"""),"High Sensitivity Support")</f>
        <v>High Sensitivity Support</v>
      </c>
      <c r="D7102" s="1" t="str">
        <f>IFERROR(__xludf.DUMMYFUNCTION("""COMPUTED_VALUE"""),"b7fd1097-c419-4ccc-9d67-4b66f71021a1")</f>
        <v>b7fd1097-c419-4ccc-9d67-4b66f71021a1</v>
      </c>
      <c r="E7102" s="1">
        <f>IFERROR(__xludf.DUMMYFUNCTION("""COMPUTED_VALUE"""),8.139562541455E12)</f>
        <v>8139562541455</v>
      </c>
      <c r="F7102" s="1">
        <f>IFERROR(__xludf.DUMMYFUNCTION("""COMPUTED_VALUE"""),4.0)</f>
        <v>4</v>
      </c>
      <c r="G7102" s="1"/>
      <c r="H7102" s="3">
        <f>IFERROR(__xludf.DUMMYFUNCTION("""COMPUTED_VALUE"""),4.0)</f>
        <v>4</v>
      </c>
      <c r="I7102" s="4">
        <f>IFERROR(__xludf.DUMMYFUNCTION("""COMPUTED_VALUE"""),0.0)</f>
        <v>0</v>
      </c>
      <c r="J7102" s="1" t="str">
        <f>IFERROR(__xludf.DUMMYFUNCTION("""COMPUTED_VALUE"""),"Rossheen Pura")</f>
        <v>Rossheen Pura</v>
      </c>
      <c r="K7102" s="1" t="str">
        <f>IFERROR(__xludf.DUMMYFUNCTION("""COMPUTED_VALUE"""),"High Sensitivity Support PH")</f>
        <v>High Sensitivity Support PH</v>
      </c>
      <c r="L7102" s="1" t="str">
        <f>IFERROR(__xludf.DUMMYFUNCTION("""COMPUTED_VALUE"""),"HSS High Sensitivity Support PH - CHT")</f>
        <v>HSS High Sensitivity Support PH - CHT</v>
      </c>
    </row>
    <row r="7103">
      <c r="A7103" s="1" t="str">
        <f>IFERROR(__xludf.DUMMYFUNCTION("""COMPUTED_VALUE"""),"2025 Dec")</f>
        <v>2025 Dec</v>
      </c>
      <c r="B7103" s="2">
        <f>IFERROR(__xludf.DUMMYFUNCTION("""COMPUTED_VALUE"""),45999.0)</f>
        <v>45999</v>
      </c>
      <c r="C7103" s="1" t="str">
        <f>IFERROR(__xludf.DUMMYFUNCTION("""COMPUTED_VALUE"""),"Core Product Support")</f>
        <v>Core Product Support</v>
      </c>
      <c r="D7103" s="1" t="str">
        <f>IFERROR(__xludf.DUMMYFUNCTION("""COMPUTED_VALUE"""),"20080360-d6b6-487a-ad2b-4d92f14a3e3a")</f>
        <v>20080360-d6b6-487a-ad2b-4d92f14a3e3a</v>
      </c>
      <c r="E7103" s="1">
        <f>IFERROR(__xludf.DUMMYFUNCTION("""COMPUTED_VALUE"""),5.901973593231E12)</f>
        <v>5901973593231</v>
      </c>
      <c r="F7103" s="1">
        <f>IFERROR(__xludf.DUMMYFUNCTION("""COMPUTED_VALUE"""),0.5)</f>
        <v>0.5</v>
      </c>
      <c r="G7103" s="1"/>
      <c r="H7103" s="3">
        <f>IFERROR(__xludf.DUMMYFUNCTION("""COMPUTED_VALUE"""),0.5)</f>
        <v>0.5</v>
      </c>
      <c r="I7103" s="4">
        <f>IFERROR(__xludf.DUMMYFUNCTION("""COMPUTED_VALUE"""),0.0)</f>
        <v>0</v>
      </c>
      <c r="J7103" s="1" t="str">
        <f>IFERROR(__xludf.DUMMYFUNCTION("""COMPUTED_VALUE"""),"Jelyn Elmido")</f>
        <v>Jelyn Elmido</v>
      </c>
      <c r="K7103" s="1" t="str">
        <f>IFERROR(__xludf.DUMMYFUNCTION("""COMPUTED_VALUE"""),"Advanced Product Support")</f>
        <v>Advanced Product Support</v>
      </c>
      <c r="L7103" s="1" t="str">
        <f>IFERROR(__xludf.DUMMYFUNCTION("""COMPUTED_VALUE"""),"CPS Advanced Product Support (APS)")</f>
        <v>CPS Advanced Product Support (APS)</v>
      </c>
    </row>
    <row r="7104">
      <c r="A7104" s="1" t="str">
        <f>IFERROR(__xludf.DUMMYFUNCTION("""COMPUTED_VALUE"""),"2025 Dec")</f>
        <v>2025 Dec</v>
      </c>
      <c r="B7104" s="2">
        <f>IFERROR(__xludf.DUMMYFUNCTION("""COMPUTED_VALUE"""),45999.0)</f>
        <v>45999</v>
      </c>
      <c r="C7104" s="1" t="str">
        <f>IFERROR(__xludf.DUMMYFUNCTION("""COMPUTED_VALUE"""),"High Sensitivity Support")</f>
        <v>High Sensitivity Support</v>
      </c>
      <c r="D7104" s="1" t="str">
        <f>IFERROR(__xludf.DUMMYFUNCTION("""COMPUTED_VALUE"""),"27bbaf2c-6971-4b55-91a0-193260eb00dd")</f>
        <v>27bbaf2c-6971-4b55-91a0-193260eb00dd</v>
      </c>
      <c r="E7104" s="1">
        <f>IFERROR(__xludf.DUMMYFUNCTION("""COMPUTED_VALUE"""),5.202441057551E12)</f>
        <v>5202441057551</v>
      </c>
      <c r="F7104" s="1">
        <f>IFERROR(__xludf.DUMMYFUNCTION("""COMPUTED_VALUE"""),4.0)</f>
        <v>4</v>
      </c>
      <c r="G7104" s="1"/>
      <c r="H7104" s="3">
        <f>IFERROR(__xludf.DUMMYFUNCTION("""COMPUTED_VALUE"""),4.0)</f>
        <v>4</v>
      </c>
      <c r="I7104" s="4">
        <f>IFERROR(__xludf.DUMMYFUNCTION("""COMPUTED_VALUE"""),0.0)</f>
        <v>0</v>
      </c>
      <c r="J7104" s="1" t="str">
        <f>IFERROR(__xludf.DUMMYFUNCTION("""COMPUTED_VALUE"""),"Xandy Azarcon")</f>
        <v>Xandy Azarcon</v>
      </c>
      <c r="K7104" s="1" t="str">
        <f>IFERROR(__xludf.DUMMYFUNCTION("""COMPUTED_VALUE"""),"High Sensitivity Support PH")</f>
        <v>High Sensitivity Support PH</v>
      </c>
      <c r="L7104" s="1" t="str">
        <f>IFERROR(__xludf.DUMMYFUNCTION("""COMPUTED_VALUE"""),"HSS High Sensitivity Support PH - CHT")</f>
        <v>HSS High Sensitivity Support PH - CHT</v>
      </c>
    </row>
    <row r="7105">
      <c r="A7105" s="1" t="str">
        <f>IFERROR(__xludf.DUMMYFUNCTION("""COMPUTED_VALUE"""),"2025 Dec")</f>
        <v>2025 Dec</v>
      </c>
      <c r="B7105" s="2">
        <f>IFERROR(__xludf.DUMMYFUNCTION("""COMPUTED_VALUE"""),45999.0)</f>
        <v>45999</v>
      </c>
      <c r="C7105" s="1" t="str">
        <f>IFERROR(__xludf.DUMMYFUNCTION("""COMPUTED_VALUE"""),"Core Product Support")</f>
        <v>Core Product Support</v>
      </c>
      <c r="D7105" s="1" t="str">
        <f>IFERROR(__xludf.DUMMYFUNCTION("""COMPUTED_VALUE"""),"426201d1-0b5d-4900-95cc-7a8b0c35e471")</f>
        <v>426201d1-0b5d-4900-95cc-7a8b0c35e471</v>
      </c>
      <c r="E7105" s="1">
        <f>IFERROR(__xludf.DUMMYFUNCTION("""COMPUTED_VALUE"""),7.235417174415E12)</f>
        <v>7235417174415</v>
      </c>
      <c r="F7105" s="1">
        <f>IFERROR(__xludf.DUMMYFUNCTION("""COMPUTED_VALUE"""),0.5)</f>
        <v>0.5</v>
      </c>
      <c r="G7105" s="1"/>
      <c r="H7105" s="3">
        <f>IFERROR(__xludf.DUMMYFUNCTION("""COMPUTED_VALUE"""),0.5)</f>
        <v>0.5</v>
      </c>
      <c r="I7105" s="4">
        <f>IFERROR(__xludf.DUMMYFUNCTION("""COMPUTED_VALUE"""),0.0)</f>
        <v>0</v>
      </c>
      <c r="J7105" s="1" t="str">
        <f>IFERROR(__xludf.DUMMYFUNCTION("""COMPUTED_VALUE"""),"Ana Lazaro")</f>
        <v>Ana Lazaro</v>
      </c>
      <c r="K7105" s="1" t="str">
        <f>IFERROR(__xludf.DUMMYFUNCTION("""COMPUTED_VALUE"""),"Advanced Billing &amp; Subscriptions")</f>
        <v>Advanced Billing &amp; Subscriptions</v>
      </c>
      <c r="L7105" s="1" t="str">
        <f>IFERROR(__xludf.DUMMYFUNCTION("""COMPUTED_VALUE"""),"CPS Advanced Billing and Subscriptions (ABS)")</f>
        <v>CPS Advanced Billing and Subscriptions (ABS)</v>
      </c>
    </row>
    <row r="7106">
      <c r="A7106" s="1" t="str">
        <f>IFERROR(__xludf.DUMMYFUNCTION("""COMPUTED_VALUE"""),"2025 Dec")</f>
        <v>2025 Dec</v>
      </c>
      <c r="B7106" s="2">
        <f>IFERROR(__xludf.DUMMYFUNCTION("""COMPUTED_VALUE"""),45999.0)</f>
        <v>45999</v>
      </c>
      <c r="C7106" s="1" t="str">
        <f>IFERROR(__xludf.DUMMYFUNCTION("""COMPUTED_VALUE"""),"Print Support")</f>
        <v>Print Support</v>
      </c>
      <c r="D7106" s="1" t="str">
        <f>IFERROR(__xludf.DUMMYFUNCTION("""COMPUTED_VALUE"""),"ae33c457-9730-4b61-af51-a03edb80253a")</f>
        <v>ae33c457-9730-4b61-af51-a03edb80253a</v>
      </c>
      <c r="E7106" s="1">
        <f>IFERROR(__xludf.DUMMYFUNCTION("""COMPUTED_VALUE"""),3.61733077175E11)</f>
        <v>361733077175</v>
      </c>
      <c r="F7106" s="1"/>
      <c r="G7106" s="1"/>
      <c r="H7106" s="3">
        <f>IFERROR(__xludf.DUMMYFUNCTION("""COMPUTED_VALUE"""),0.0)</f>
        <v>0</v>
      </c>
      <c r="I7106" s="4"/>
      <c r="J7106" s="1" t="str">
        <f>IFERROR(__xludf.DUMMYFUNCTION("""COMPUTED_VALUE"""),"Ann Dumlao")</f>
        <v>Ann Dumlao</v>
      </c>
      <c r="K7106" s="1" t="str">
        <f>IFERROR(__xludf.DUMMYFUNCTION("""COMPUTED_VALUE"""),"Print Support PH")</f>
        <v>Print Support PH</v>
      </c>
      <c r="L7106" s="1" t="str">
        <f>IFERROR(__xludf.DUMMYFUNCTION("""COMPUTED_VALUE"""),"Print Print - CHT")</f>
        <v>Print Print - CHT</v>
      </c>
    </row>
    <row r="7107">
      <c r="A7107" s="1" t="str">
        <f>IFERROR(__xludf.DUMMYFUNCTION("""COMPUTED_VALUE"""),"2025 Dec")</f>
        <v>2025 Dec</v>
      </c>
      <c r="B7107" s="2">
        <f>IFERROR(__xludf.DUMMYFUNCTION("""COMPUTED_VALUE"""),45999.0)</f>
        <v>45999</v>
      </c>
      <c r="C7107" s="1" t="str">
        <f>IFERROR(__xludf.DUMMYFUNCTION("""COMPUTED_VALUE"""),"Core Product Support")</f>
        <v>Core Product Support</v>
      </c>
      <c r="D7107" s="1" t="str">
        <f>IFERROR(__xludf.DUMMYFUNCTION("""COMPUTED_VALUE"""),"2436b15f-d23f-4ea2-bd46-0852b5df957c")</f>
        <v>2436b15f-d23f-4ea2-bd46-0852b5df957c</v>
      </c>
      <c r="E7107" s="1">
        <f>IFERROR(__xludf.DUMMYFUNCTION("""COMPUTED_VALUE"""),3.61731349115E11)</f>
        <v>361731349115</v>
      </c>
      <c r="F7107" s="1">
        <f>IFERROR(__xludf.DUMMYFUNCTION("""COMPUTED_VALUE"""),0.5)</f>
        <v>0.5</v>
      </c>
      <c r="G7107" s="1"/>
      <c r="H7107" s="3">
        <f>IFERROR(__xludf.DUMMYFUNCTION("""COMPUTED_VALUE"""),0.5)</f>
        <v>0.5</v>
      </c>
      <c r="I7107" s="4">
        <f>IFERROR(__xludf.DUMMYFUNCTION("""COMPUTED_VALUE"""),0.0)</f>
        <v>0</v>
      </c>
      <c r="J7107" s="1" t="str">
        <f>IFERROR(__xludf.DUMMYFUNCTION("""COMPUTED_VALUE"""),"Vinz Lazaro")</f>
        <v>Vinz Lazaro</v>
      </c>
      <c r="K7107" s="1" t="str">
        <f>IFERROR(__xludf.DUMMYFUNCTION("""COMPUTED_VALUE"""),"Advanced Product Support")</f>
        <v>Advanced Product Support</v>
      </c>
      <c r="L7107" s="1" t="str">
        <f>IFERROR(__xludf.DUMMYFUNCTION("""COMPUTED_VALUE"""),"CPS Advanced Product Support (APS)")</f>
        <v>CPS Advanced Product Support (APS)</v>
      </c>
    </row>
    <row r="7108">
      <c r="A7108" s="1" t="str">
        <f>IFERROR(__xludf.DUMMYFUNCTION("""COMPUTED_VALUE"""),"2025 Dec")</f>
        <v>2025 Dec</v>
      </c>
      <c r="B7108" s="2">
        <f>IFERROR(__xludf.DUMMYFUNCTION("""COMPUTED_VALUE"""),45999.0)</f>
        <v>45999</v>
      </c>
      <c r="C7108" s="1" t="str">
        <f>IFERROR(__xludf.DUMMYFUNCTION("""COMPUTED_VALUE"""),"High Sensitivity Support")</f>
        <v>High Sensitivity Support</v>
      </c>
      <c r="D7108" s="1" t="str">
        <f>IFERROR(__xludf.DUMMYFUNCTION("""COMPUTED_VALUE"""),"3a5a6ab5-8abf-422b-9670-8975c03a0818")</f>
        <v>3a5a6ab5-8abf-422b-9670-8975c03a0818</v>
      </c>
      <c r="E7108" s="1">
        <f>IFERROR(__xludf.DUMMYFUNCTION("""COMPUTED_VALUE"""),3.61725260976E11)</f>
        <v>361725260976</v>
      </c>
      <c r="F7108" s="1"/>
      <c r="G7108" s="1"/>
      <c r="H7108" s="3">
        <f>IFERROR(__xludf.DUMMYFUNCTION("""COMPUTED_VALUE"""),0.0)</f>
        <v>0</v>
      </c>
      <c r="I7108" s="4"/>
      <c r="J7108" s="1" t="str">
        <f>IFERROR(__xludf.DUMMYFUNCTION("""COMPUTED_VALUE"""),"Rossheen Pura")</f>
        <v>Rossheen Pura</v>
      </c>
      <c r="K7108" s="1" t="str">
        <f>IFERROR(__xludf.DUMMYFUNCTION("""COMPUTED_VALUE"""),"High Sensitivity Support PH")</f>
        <v>High Sensitivity Support PH</v>
      </c>
      <c r="L7108" s="1" t="str">
        <f>IFERROR(__xludf.DUMMYFUNCTION("""COMPUTED_VALUE"""),"HSS High Sensitivity Support PH - CHT")</f>
        <v>HSS High Sensitivity Support PH - CHT</v>
      </c>
    </row>
    <row r="7109">
      <c r="A7109" s="1" t="str">
        <f>IFERROR(__xludf.DUMMYFUNCTION("""COMPUTED_VALUE"""),"2025 Dec")</f>
        <v>2025 Dec</v>
      </c>
      <c r="B7109" s="2">
        <f>IFERROR(__xludf.DUMMYFUNCTION("""COMPUTED_VALUE"""),45999.0)</f>
        <v>45999</v>
      </c>
      <c r="C7109" s="1" t="str">
        <f>IFERROR(__xludf.DUMMYFUNCTION("""COMPUTED_VALUE"""),"Core Product Support")</f>
        <v>Core Product Support</v>
      </c>
      <c r="D7109" s="1" t="str">
        <f>IFERROR(__xludf.DUMMYFUNCTION("""COMPUTED_VALUE"""),"ec2c53f2-66fa-462e-9ac9-b9e626e485b4")</f>
        <v>ec2c53f2-66fa-462e-9ac9-b9e626e485b4</v>
      </c>
      <c r="E7109" s="1">
        <f>IFERROR(__xludf.DUMMYFUNCTION("""COMPUTED_VALUE"""),5.047318720783E12)</f>
        <v>5047318720783</v>
      </c>
      <c r="F7109" s="1">
        <f>IFERROR(__xludf.DUMMYFUNCTION("""COMPUTED_VALUE"""),0.5)</f>
        <v>0.5</v>
      </c>
      <c r="G7109" s="1"/>
      <c r="H7109" s="3">
        <f>IFERROR(__xludf.DUMMYFUNCTION("""COMPUTED_VALUE"""),0.5)</f>
        <v>0.5</v>
      </c>
      <c r="I7109" s="4">
        <f>IFERROR(__xludf.DUMMYFUNCTION("""COMPUTED_VALUE"""),0.0)</f>
        <v>0</v>
      </c>
      <c r="J7109" s="1" t="str">
        <f>IFERROR(__xludf.DUMMYFUNCTION("""COMPUTED_VALUE"""),"Vinz Lazaro")</f>
        <v>Vinz Lazaro</v>
      </c>
      <c r="K7109" s="1" t="str">
        <f>IFERROR(__xludf.DUMMYFUNCTION("""COMPUTED_VALUE"""),"Advanced Product Support")</f>
        <v>Advanced Product Support</v>
      </c>
      <c r="L7109" s="1" t="str">
        <f>IFERROR(__xludf.DUMMYFUNCTION("""COMPUTED_VALUE"""),"CPS Advanced Product Support (APS)")</f>
        <v>CPS Advanced Product Support (APS)</v>
      </c>
    </row>
    <row r="7110">
      <c r="A7110" s="1" t="str">
        <f>IFERROR(__xludf.DUMMYFUNCTION("""COMPUTED_VALUE"""),"2025 Dec")</f>
        <v>2025 Dec</v>
      </c>
      <c r="B7110" s="2">
        <f>IFERROR(__xludf.DUMMYFUNCTION("""COMPUTED_VALUE"""),45999.0)</f>
        <v>45999</v>
      </c>
      <c r="C7110" s="1" t="str">
        <f>IFERROR(__xludf.DUMMYFUNCTION("""COMPUTED_VALUE"""),"High Sensitivity Support")</f>
        <v>High Sensitivity Support</v>
      </c>
      <c r="D7110" s="1" t="str">
        <f>IFERROR(__xludf.DUMMYFUNCTION("""COMPUTED_VALUE"""),"ac409d1d-146f-4f2e-97cf-ac668184be31")</f>
        <v>ac409d1d-146f-4f2e-97cf-ac668184be31</v>
      </c>
      <c r="E7110" s="1">
        <f>IFERROR(__xludf.DUMMYFUNCTION("""COMPUTED_VALUE"""),9.285050515215E12)</f>
        <v>9285050515215</v>
      </c>
      <c r="F7110" s="1">
        <f>IFERROR(__xludf.DUMMYFUNCTION("""COMPUTED_VALUE"""),4.0)</f>
        <v>4</v>
      </c>
      <c r="G7110" s="1"/>
      <c r="H7110" s="3">
        <f>IFERROR(__xludf.DUMMYFUNCTION("""COMPUTED_VALUE"""),4.0)</f>
        <v>4</v>
      </c>
      <c r="I7110" s="4">
        <f>IFERROR(__xludf.DUMMYFUNCTION("""COMPUTED_VALUE"""),0.0)</f>
        <v>0</v>
      </c>
      <c r="J7110" s="1" t="str">
        <f>IFERROR(__xludf.DUMMYFUNCTION("""COMPUTED_VALUE"""),"Xandy Azarcon")</f>
        <v>Xandy Azarcon</v>
      </c>
      <c r="K7110" s="1" t="str">
        <f>IFERROR(__xludf.DUMMYFUNCTION("""COMPUTED_VALUE"""),"High Sensitivity Support PH")</f>
        <v>High Sensitivity Support PH</v>
      </c>
      <c r="L7110" s="1" t="str">
        <f>IFERROR(__xludf.DUMMYFUNCTION("""COMPUTED_VALUE"""),"HSS High Sensitivity Support PH - CHT")</f>
        <v>HSS High Sensitivity Support PH - CHT</v>
      </c>
    </row>
    <row r="7111">
      <c r="A7111" s="1" t="str">
        <f>IFERROR(__xludf.DUMMYFUNCTION("""COMPUTED_VALUE"""),"2025 Dec")</f>
        <v>2025 Dec</v>
      </c>
      <c r="B7111" s="2">
        <f>IFERROR(__xludf.DUMMYFUNCTION("""COMPUTED_VALUE"""),45999.0)</f>
        <v>45999</v>
      </c>
      <c r="C7111" s="1" t="str">
        <f>IFERROR(__xludf.DUMMYFUNCTION("""COMPUTED_VALUE"""),"Admin Support")</f>
        <v>Admin Support</v>
      </c>
      <c r="D7111" s="1" t="str">
        <f>IFERROR(__xludf.DUMMYFUNCTION("""COMPUTED_VALUE"""),"390ace33-d7f9-4dda-8f95-3d06e72320ce")</f>
        <v>390ace33-d7f9-4dda-8f95-3d06e72320ce</v>
      </c>
      <c r="E7111" s="1">
        <f>IFERROR(__xludf.DUMMYFUNCTION("""COMPUTED_VALUE"""),3.61724963216E11)</f>
        <v>361724963216</v>
      </c>
      <c r="F7111" s="1"/>
      <c r="G7111" s="1"/>
      <c r="H7111" s="3">
        <f>IFERROR(__xludf.DUMMYFUNCTION("""COMPUTED_VALUE"""),0.0)</f>
        <v>0</v>
      </c>
      <c r="I7111" s="4"/>
      <c r="J7111" s="1" t="str">
        <f>IFERROR(__xludf.DUMMYFUNCTION("""COMPUTED_VALUE"""),"Karla Mananghaya")</f>
        <v>Karla Mananghaya</v>
      </c>
      <c r="K7111" s="1" t="str">
        <f>IFERROR(__xludf.DUMMYFUNCTION("""COMPUTED_VALUE"""),"Admin Support PH")</f>
        <v>Admin Support PH</v>
      </c>
      <c r="L7111" s="1" t="str">
        <f>IFERROR(__xludf.DUMMYFUNCTION("""COMPUTED_VALUE"""),"Admin - SEE")</f>
        <v>Admin - SEE</v>
      </c>
    </row>
    <row r="7112">
      <c r="A7112" s="1" t="str">
        <f>IFERROR(__xludf.DUMMYFUNCTION("""COMPUTED_VALUE"""),"2025 Dec")</f>
        <v>2025 Dec</v>
      </c>
      <c r="B7112" s="2">
        <f>IFERROR(__xludf.DUMMYFUNCTION("""COMPUTED_VALUE"""),45999.0)</f>
        <v>45999</v>
      </c>
      <c r="C7112" s="1" t="str">
        <f>IFERROR(__xludf.DUMMYFUNCTION("""COMPUTED_VALUE"""),"Core Product Support")</f>
        <v>Core Product Support</v>
      </c>
      <c r="D7112" s="1" t="str">
        <f>IFERROR(__xludf.DUMMYFUNCTION("""COMPUTED_VALUE"""),"4213e169-349c-47c9-b613-f4356c986a3d")</f>
        <v>4213e169-349c-47c9-b613-f4356c986a3d</v>
      </c>
      <c r="E7112" s="1">
        <f>IFERROR(__xludf.DUMMYFUNCTION("""COMPUTED_VALUE"""),1.0548588312463E13)</f>
        <v>10548588312463</v>
      </c>
      <c r="F7112" s="1">
        <f>IFERROR(__xludf.DUMMYFUNCTION("""COMPUTED_VALUE"""),0.5)</f>
        <v>0.5</v>
      </c>
      <c r="G7112" s="1"/>
      <c r="H7112" s="3">
        <f>IFERROR(__xludf.DUMMYFUNCTION("""COMPUTED_VALUE"""),0.5)</f>
        <v>0.5</v>
      </c>
      <c r="I7112" s="4">
        <f>IFERROR(__xludf.DUMMYFUNCTION("""COMPUTED_VALUE"""),0.0)</f>
        <v>0</v>
      </c>
      <c r="J7112" s="1" t="str">
        <f>IFERROR(__xludf.DUMMYFUNCTION("""COMPUTED_VALUE"""),"Belle Bentazal")</f>
        <v>Belle Bentazal</v>
      </c>
      <c r="K7112" s="1" t="str">
        <f>IFERROR(__xludf.DUMMYFUNCTION("""COMPUTED_VALUE"""),"Advanced Product Support")</f>
        <v>Advanced Product Support</v>
      </c>
      <c r="L7112" s="1" t="str">
        <f>IFERROR(__xludf.DUMMYFUNCTION("""COMPUTED_VALUE"""),"CPS Advanced Product Support (APS)")</f>
        <v>CPS Advanced Product Support (APS)</v>
      </c>
    </row>
    <row r="7113">
      <c r="A7113" s="1" t="str">
        <f>IFERROR(__xludf.DUMMYFUNCTION("""COMPUTED_VALUE"""),"2025 Dec")</f>
        <v>2025 Dec</v>
      </c>
      <c r="B7113" s="2">
        <f>IFERROR(__xludf.DUMMYFUNCTION("""COMPUTED_VALUE"""),45999.0)</f>
        <v>45999</v>
      </c>
      <c r="C7113" s="1" t="str">
        <f>IFERROR(__xludf.DUMMYFUNCTION("""COMPUTED_VALUE"""),"Core Product Support")</f>
        <v>Core Product Support</v>
      </c>
      <c r="D7113" s="1" t="str">
        <f>IFERROR(__xludf.DUMMYFUNCTION("""COMPUTED_VALUE"""),"3d49537c-dbf0-4f04-896b-1d3cc141a183")</f>
        <v>3d49537c-dbf0-4f04-896b-1d3cc141a183</v>
      </c>
      <c r="E7113" s="1">
        <f>IFERROR(__xludf.DUMMYFUNCTION("""COMPUTED_VALUE"""),5.901988041103E12)</f>
        <v>5901988041103</v>
      </c>
      <c r="F7113" s="1"/>
      <c r="G7113" s="1"/>
      <c r="H7113" s="3">
        <f>IFERROR(__xludf.DUMMYFUNCTION("""COMPUTED_VALUE"""),0.0)</f>
        <v>0</v>
      </c>
      <c r="I7113" s="4"/>
      <c r="J7113" s="1" t="str">
        <f>IFERROR(__xludf.DUMMYFUNCTION("""COMPUTED_VALUE"""),"Vianca De Jesus")</f>
        <v>Vianca De Jesus</v>
      </c>
      <c r="K7113" s="1" t="str">
        <f>IFERROR(__xludf.DUMMYFUNCTION("""COMPUTED_VALUE"""),"Advanced Chat Support")</f>
        <v>Advanced Chat Support</v>
      </c>
      <c r="L7113" s="1" t="str">
        <f>IFERROR(__xludf.DUMMYFUNCTION("""COMPUTED_VALUE"""),"CPS Advanced Chat Support (ACS)")</f>
        <v>CPS Advanced Chat Support (ACS)</v>
      </c>
    </row>
    <row r="7114">
      <c r="A7114" s="1" t="str">
        <f>IFERROR(__xludf.DUMMYFUNCTION("""COMPUTED_VALUE"""),"2025 Dec")</f>
        <v>2025 Dec</v>
      </c>
      <c r="B7114" s="2">
        <f>IFERROR(__xludf.DUMMYFUNCTION("""COMPUTED_VALUE"""),45999.0)</f>
        <v>45999</v>
      </c>
      <c r="C7114" s="1" t="str">
        <f>IFERROR(__xludf.DUMMYFUNCTION("""COMPUTED_VALUE"""),"Core Product Support")</f>
        <v>Core Product Support</v>
      </c>
      <c r="D7114" s="1" t="str">
        <f>IFERROR(__xludf.DUMMYFUNCTION("""COMPUTED_VALUE"""),"b5f49a72-6ea0-44a0-8325-970c0e83dea7")</f>
        <v>b5f49a72-6ea0-44a0-8325-970c0e83dea7</v>
      </c>
      <c r="E7114" s="1">
        <f>IFERROR(__xludf.DUMMYFUNCTION("""COMPUTED_VALUE"""),9.586408388239E12)</f>
        <v>9586408388239</v>
      </c>
      <c r="F7114" s="1">
        <f>IFERROR(__xludf.DUMMYFUNCTION("""COMPUTED_VALUE"""),0.5)</f>
        <v>0.5</v>
      </c>
      <c r="G7114" s="1"/>
      <c r="H7114" s="3">
        <f>IFERROR(__xludf.DUMMYFUNCTION("""COMPUTED_VALUE"""),0.5)</f>
        <v>0.5</v>
      </c>
      <c r="I7114" s="4">
        <f>IFERROR(__xludf.DUMMYFUNCTION("""COMPUTED_VALUE"""),0.0)</f>
        <v>0</v>
      </c>
      <c r="J7114" s="1" t="str">
        <f>IFERROR(__xludf.DUMMYFUNCTION("""COMPUTED_VALUE"""),"Belle Bentazal")</f>
        <v>Belle Bentazal</v>
      </c>
      <c r="K7114" s="1" t="str">
        <f>IFERROR(__xludf.DUMMYFUNCTION("""COMPUTED_VALUE"""),"Advanced Product Support")</f>
        <v>Advanced Product Support</v>
      </c>
      <c r="L7114" s="1" t="str">
        <f>IFERROR(__xludf.DUMMYFUNCTION("""COMPUTED_VALUE"""),"CPS Advanced Product Support (APS)")</f>
        <v>CPS Advanced Product Support (APS)</v>
      </c>
    </row>
    <row r="7115">
      <c r="A7115" s="1" t="str">
        <f>IFERROR(__xludf.DUMMYFUNCTION("""COMPUTED_VALUE"""),"2025 Dec")</f>
        <v>2025 Dec</v>
      </c>
      <c r="B7115" s="2">
        <f>IFERROR(__xludf.DUMMYFUNCTION("""COMPUTED_VALUE"""),45999.0)</f>
        <v>45999</v>
      </c>
      <c r="C7115" s="1" t="str">
        <f>IFERROR(__xludf.DUMMYFUNCTION("""COMPUTED_VALUE"""),"Admin Support")</f>
        <v>Admin Support</v>
      </c>
      <c r="D7115" s="1" t="str">
        <f>IFERROR(__xludf.DUMMYFUNCTION("""COMPUTED_VALUE"""),"3960812e-748b-47a3-8dea-3a0c6b21aee1")</f>
        <v>3960812e-748b-47a3-8dea-3a0c6b21aee1</v>
      </c>
      <c r="E7115" s="1">
        <f>IFERROR(__xludf.DUMMYFUNCTION("""COMPUTED_VALUE"""),9.107749076367E12)</f>
        <v>9107749076367</v>
      </c>
      <c r="F7115" s="1"/>
      <c r="G7115" s="1">
        <f>IFERROR(__xludf.DUMMYFUNCTION("""COMPUTED_VALUE"""),4.75)</f>
        <v>4.75</v>
      </c>
      <c r="H7115" s="3">
        <f>IFERROR(__xludf.DUMMYFUNCTION("""COMPUTED_VALUE"""),4.75)</f>
        <v>4.75</v>
      </c>
      <c r="I7115" s="4">
        <f>IFERROR(__xludf.DUMMYFUNCTION("""COMPUTED_VALUE"""),1.0)</f>
        <v>1</v>
      </c>
      <c r="J7115" s="1" t="str">
        <f>IFERROR(__xludf.DUMMYFUNCTION("""COMPUTED_VALUE"""),"Pau Palmero")</f>
        <v>Pau Palmero</v>
      </c>
      <c r="K7115" s="1" t="str">
        <f>IFERROR(__xludf.DUMMYFUNCTION("""COMPUTED_VALUE"""),"Admin Support PH CEDD")</f>
        <v>Admin Support PH CEDD</v>
      </c>
      <c r="L7115" s="1" t="str">
        <f>IFERROR(__xludf.DUMMYFUNCTION("""COMPUTED_VALUE"""),"Admin CEDD Apps,Admin CEDD Inbox Mgt")</f>
        <v>Admin CEDD Apps,Admin CEDD Inbox Mgt</v>
      </c>
    </row>
    <row r="7116">
      <c r="A7116" s="1" t="str">
        <f>IFERROR(__xludf.DUMMYFUNCTION("""COMPUTED_VALUE"""),"2025 Dec")</f>
        <v>2025 Dec</v>
      </c>
      <c r="B7116" s="2">
        <f>IFERROR(__xludf.DUMMYFUNCTION("""COMPUTED_VALUE"""),45999.0)</f>
        <v>45999</v>
      </c>
      <c r="C7116" s="1" t="str">
        <f>IFERROR(__xludf.DUMMYFUNCTION("""COMPUTED_VALUE"""),"Segment-specific Support")</f>
        <v>Segment-specific Support</v>
      </c>
      <c r="D7116" s="1" t="str">
        <f>IFERROR(__xludf.DUMMYFUNCTION("""COMPUTED_VALUE"""),"0519f8dd-38e2-4c44-b925-77b43587196d")</f>
        <v>0519f8dd-38e2-4c44-b925-77b43587196d</v>
      </c>
      <c r="E7116" s="1">
        <f>IFERROR(__xludf.DUMMYFUNCTION("""COMPUTED_VALUE"""),3.61731348815E11)</f>
        <v>361731348815</v>
      </c>
      <c r="F7116" s="1"/>
      <c r="G7116" s="1"/>
      <c r="H7116" s="3">
        <f>IFERROR(__xludf.DUMMYFUNCTION("""COMPUTED_VALUE"""),0.0)</f>
        <v>0</v>
      </c>
      <c r="I7116" s="4"/>
      <c r="J7116" s="1" t="str">
        <f>IFERROR(__xludf.DUMMYFUNCTION("""COMPUTED_VALUE"""),"Aileen Dayanghirang")</f>
        <v>Aileen Dayanghirang</v>
      </c>
      <c r="K7116" s="1" t="str">
        <f>IFERROR(__xludf.DUMMYFUNCTION("""COMPUTED_VALUE"""),"Creators Support")</f>
        <v>Creators Support</v>
      </c>
      <c r="L7116" s="1" t="str">
        <f>IFERROR(__xludf.DUMMYFUNCTION("""COMPUTED_VALUE"""),"SSS Creators")</f>
        <v>SSS Creators</v>
      </c>
    </row>
    <row r="7117">
      <c r="A7117" s="1" t="str">
        <f>IFERROR(__xludf.DUMMYFUNCTION("""COMPUTED_VALUE"""),"2025 Dec")</f>
        <v>2025 Dec</v>
      </c>
      <c r="B7117" s="2">
        <f>IFERROR(__xludf.DUMMYFUNCTION("""COMPUTED_VALUE"""),45999.0)</f>
        <v>45999</v>
      </c>
      <c r="C7117" s="1" t="str">
        <f>IFERROR(__xludf.DUMMYFUNCTION("""COMPUTED_VALUE"""),"Core Product Support")</f>
        <v>Core Product Support</v>
      </c>
      <c r="D7117" s="1" t="str">
        <f>IFERROR(__xludf.DUMMYFUNCTION("""COMPUTED_VALUE"""),"3ea48634-b6a2-4b3f-b17e-bc63a77dd069")</f>
        <v>3ea48634-b6a2-4b3f-b17e-bc63a77dd069</v>
      </c>
      <c r="E7117" s="1">
        <f>IFERROR(__xludf.DUMMYFUNCTION("""COMPUTED_VALUE"""),3.61969384715E11)</f>
        <v>361969384715</v>
      </c>
      <c r="F7117" s="1">
        <f>IFERROR(__xludf.DUMMYFUNCTION("""COMPUTED_VALUE"""),0.5)</f>
        <v>0.5</v>
      </c>
      <c r="G7117" s="1"/>
      <c r="H7117" s="3">
        <f>IFERROR(__xludf.DUMMYFUNCTION("""COMPUTED_VALUE"""),0.5)</f>
        <v>0.5</v>
      </c>
      <c r="I7117" s="4">
        <f>IFERROR(__xludf.DUMMYFUNCTION("""COMPUTED_VALUE"""),0.0)</f>
        <v>0</v>
      </c>
      <c r="J7117" s="1" t="str">
        <f>IFERROR(__xludf.DUMMYFUNCTION("""COMPUTED_VALUE"""),"Vianca De Jesus")</f>
        <v>Vianca De Jesus</v>
      </c>
      <c r="K7117" s="1" t="str">
        <f>IFERROR(__xludf.DUMMYFUNCTION("""COMPUTED_VALUE"""),"Advanced Chat Support")</f>
        <v>Advanced Chat Support</v>
      </c>
      <c r="L7117" s="1" t="str">
        <f>IFERROR(__xludf.DUMMYFUNCTION("""COMPUTED_VALUE"""),"CPS Advanced Chat Support (ACS)")</f>
        <v>CPS Advanced Chat Support (ACS)</v>
      </c>
    </row>
    <row r="7118">
      <c r="A7118" s="1" t="str">
        <f>IFERROR(__xludf.DUMMYFUNCTION("""COMPUTED_VALUE"""),"2025 Dec")</f>
        <v>2025 Dec</v>
      </c>
      <c r="B7118" s="2">
        <f>IFERROR(__xludf.DUMMYFUNCTION("""COMPUTED_VALUE"""),45999.0)</f>
        <v>45999</v>
      </c>
      <c r="C7118" s="1" t="str">
        <f>IFERROR(__xludf.DUMMYFUNCTION("""COMPUTED_VALUE"""),"Print Support")</f>
        <v>Print Support</v>
      </c>
      <c r="D7118" s="1" t="str">
        <f>IFERROR(__xludf.DUMMYFUNCTION("""COMPUTED_VALUE"""),"5957e659-d004-4b50-a833-96d89b506744")</f>
        <v>5957e659-d004-4b50-a833-96d89b506744</v>
      </c>
      <c r="E7118" s="1">
        <f>IFERROR(__xludf.DUMMYFUNCTION("""COMPUTED_VALUE"""),1.3475786244239E13)</f>
        <v>13475786244239</v>
      </c>
      <c r="F7118" s="1"/>
      <c r="G7118" s="1"/>
      <c r="H7118" s="3">
        <f>IFERROR(__xludf.DUMMYFUNCTION("""COMPUTED_VALUE"""),0.0)</f>
        <v>0</v>
      </c>
      <c r="I7118" s="4"/>
      <c r="J7118" s="1" t="str">
        <f>IFERROR(__xludf.DUMMYFUNCTION("""COMPUTED_VALUE"""),"Gem Agoncillo")</f>
        <v>Gem Agoncillo</v>
      </c>
      <c r="K7118" s="1" t="str">
        <f>IFERROR(__xludf.DUMMYFUNCTION("""COMPUTED_VALUE"""),"Print Design Support")</f>
        <v>Print Design Support</v>
      </c>
      <c r="L7118" s="1" t="str">
        <f>IFERROR(__xludf.DUMMYFUNCTION("""COMPUTED_VALUE"""),"Print Print Design")</f>
        <v>Print Print Design</v>
      </c>
    </row>
    <row r="7119">
      <c r="A7119" s="1" t="str">
        <f>IFERROR(__xludf.DUMMYFUNCTION("""COMPUTED_VALUE"""),"2025 Dec")</f>
        <v>2025 Dec</v>
      </c>
      <c r="B7119" s="2">
        <f>IFERROR(__xludf.DUMMYFUNCTION("""COMPUTED_VALUE"""),45999.0)</f>
        <v>45999</v>
      </c>
      <c r="C7119" s="1" t="str">
        <f>IFERROR(__xludf.DUMMYFUNCTION("""COMPUTED_VALUE"""),"Admin Support")</f>
        <v>Admin Support</v>
      </c>
      <c r="D7119" s="1" t="str">
        <f>IFERROR(__xludf.DUMMYFUNCTION("""COMPUTED_VALUE"""),"aba1b506-4ed6-4f4a-abad-f264703b1937")</f>
        <v>aba1b506-4ed6-4f4a-abad-f264703b1937</v>
      </c>
      <c r="E7119" s="1">
        <f>IFERROR(__xludf.DUMMYFUNCTION("""COMPUTED_VALUE"""),9.684963584655E12)</f>
        <v>9684963584655</v>
      </c>
      <c r="F7119" s="1">
        <f>IFERROR(__xludf.DUMMYFUNCTION("""COMPUTED_VALUE"""),0.5)</f>
        <v>0.5</v>
      </c>
      <c r="G7119" s="1"/>
      <c r="H7119" s="3">
        <f>IFERROR(__xludf.DUMMYFUNCTION("""COMPUTED_VALUE"""),0.5)</f>
        <v>0.5</v>
      </c>
      <c r="I7119" s="4">
        <f>IFERROR(__xludf.DUMMYFUNCTION("""COMPUTED_VALUE"""),0.0)</f>
        <v>0</v>
      </c>
      <c r="J7119" s="1" t="str">
        <f>IFERROR(__xludf.DUMMYFUNCTION("""COMPUTED_VALUE"""),"Tash Kelly")</f>
        <v>Tash Kelly</v>
      </c>
      <c r="K7119" s="1" t="str">
        <f>IFERROR(__xludf.DUMMYFUNCTION("""COMPUTED_VALUE"""),"Admin Support NA")</f>
        <v>Admin Support NA</v>
      </c>
      <c r="L7119" s="1" t="str">
        <f>IFERROR(__xludf.DUMMYFUNCTION("""COMPUTED_VALUE"""),"Admin NA")</f>
        <v>Admin NA</v>
      </c>
    </row>
    <row r="7120">
      <c r="A7120" s="1" t="str">
        <f>IFERROR(__xludf.DUMMYFUNCTION("""COMPUTED_VALUE"""),"2025 Dec")</f>
        <v>2025 Dec</v>
      </c>
      <c r="B7120" s="2">
        <f>IFERROR(__xludf.DUMMYFUNCTION("""COMPUTED_VALUE"""),45999.0)</f>
        <v>45999</v>
      </c>
      <c r="C7120" s="1" t="str">
        <f>IFERROR(__xludf.DUMMYFUNCTION("""COMPUTED_VALUE"""),"High Sensitivity Support")</f>
        <v>High Sensitivity Support</v>
      </c>
      <c r="D7120" s="1" t="str">
        <f>IFERROR(__xludf.DUMMYFUNCTION("""COMPUTED_VALUE"""),"1b0e8a89-47b2-4607-8a32-61610d221409")</f>
        <v>1b0e8a89-47b2-4607-8a32-61610d221409</v>
      </c>
      <c r="E7120" s="1">
        <f>IFERROR(__xludf.DUMMYFUNCTION("""COMPUTED_VALUE"""),9.107749325455E12)</f>
        <v>9107749325455</v>
      </c>
      <c r="F7120" s="1">
        <f>IFERROR(__xludf.DUMMYFUNCTION("""COMPUTED_VALUE"""),4.0)</f>
        <v>4</v>
      </c>
      <c r="G7120" s="1"/>
      <c r="H7120" s="3">
        <f>IFERROR(__xludf.DUMMYFUNCTION("""COMPUTED_VALUE"""),4.0)</f>
        <v>4</v>
      </c>
      <c r="I7120" s="4">
        <f>IFERROR(__xludf.DUMMYFUNCTION("""COMPUTED_VALUE"""),0.0)</f>
        <v>0</v>
      </c>
      <c r="J7120" s="1" t="str">
        <f>IFERROR(__xludf.DUMMYFUNCTION("""COMPUTED_VALUE"""),"Rex Villamor")</f>
        <v>Rex Villamor</v>
      </c>
      <c r="K7120" s="1" t="str">
        <f>IFERROR(__xludf.DUMMYFUNCTION("""COMPUTED_VALUE"""),"High Sensitivity Support PH")</f>
        <v>High Sensitivity Support PH</v>
      </c>
      <c r="L7120" s="1" t="str">
        <f>IFERROR(__xludf.DUMMYFUNCTION("""COMPUTED_VALUE"""),"HSS High Sensitivity Support PH - CHT")</f>
        <v>HSS High Sensitivity Support PH - CHT</v>
      </c>
    </row>
    <row r="7121">
      <c r="A7121" s="1" t="str">
        <f>IFERROR(__xludf.DUMMYFUNCTION("""COMPUTED_VALUE"""),"2025 Dec")</f>
        <v>2025 Dec</v>
      </c>
      <c r="B7121" s="2">
        <f>IFERROR(__xludf.DUMMYFUNCTION("""COMPUTED_VALUE"""),45999.0)</f>
        <v>45999</v>
      </c>
      <c r="C7121" s="1" t="str">
        <f>IFERROR(__xludf.DUMMYFUNCTION("""COMPUTED_VALUE"""),"Core Product Support")</f>
        <v>Core Product Support</v>
      </c>
      <c r="D7121" s="1" t="str">
        <f>IFERROR(__xludf.DUMMYFUNCTION("""COMPUTED_VALUE"""),"34f2d71e-2948-4046-b11a-6ec3d91fb2f7")</f>
        <v>34f2d71e-2948-4046-b11a-6ec3d91fb2f7</v>
      </c>
      <c r="E7121" s="1">
        <f>IFERROR(__xludf.DUMMYFUNCTION("""COMPUTED_VALUE"""),3.61725261076E11)</f>
        <v>361725261076</v>
      </c>
      <c r="F7121" s="1"/>
      <c r="G7121" s="1">
        <f>IFERROR(__xludf.DUMMYFUNCTION("""COMPUTED_VALUE"""),2.5)</f>
        <v>2.5</v>
      </c>
      <c r="H7121" s="3">
        <f>IFERROR(__xludf.DUMMYFUNCTION("""COMPUTED_VALUE"""),2.5)</f>
        <v>2.5</v>
      </c>
      <c r="I7121" s="4">
        <f>IFERROR(__xludf.DUMMYFUNCTION("""COMPUTED_VALUE"""),1.0)</f>
        <v>1</v>
      </c>
      <c r="J7121" s="1" t="str">
        <f>IFERROR(__xludf.DUMMYFUNCTION("""COMPUTED_VALUE"""),"Bem Launte")</f>
        <v>Bem Launte</v>
      </c>
      <c r="K7121" s="1" t="str">
        <f>IFERROR(__xludf.DUMMYFUNCTION("""COMPUTED_VALUE"""),"Core Product Support Escalation Team")</f>
        <v>Core Product Support Escalation Team</v>
      </c>
      <c r="L7121" s="1" t="str">
        <f>IFERROR(__xludf.DUMMYFUNCTION("""COMPUTED_VALUE"""),"CPS Core Product Support Escalations (CPSET)")</f>
        <v>CPS Core Product Support Escalations (CPSET)</v>
      </c>
    </row>
    <row r="7122">
      <c r="A7122" s="1" t="str">
        <f>IFERROR(__xludf.DUMMYFUNCTION("""COMPUTED_VALUE"""),"2025 Dec")</f>
        <v>2025 Dec</v>
      </c>
      <c r="B7122" s="2">
        <f>IFERROR(__xludf.DUMMYFUNCTION("""COMPUTED_VALUE"""),45999.0)</f>
        <v>45999</v>
      </c>
      <c r="C7122" s="1" t="str">
        <f>IFERROR(__xludf.DUMMYFUNCTION("""COMPUTED_VALUE"""),"Core Product Support")</f>
        <v>Core Product Support</v>
      </c>
      <c r="D7122" s="1" t="str">
        <f>IFERROR(__xludf.DUMMYFUNCTION("""COMPUTED_VALUE"""),"d0bf168c-4c21-43be-abef-2d821133980c")</f>
        <v>d0bf168c-4c21-43be-abef-2d821133980c</v>
      </c>
      <c r="E7122" s="1">
        <f>IFERROR(__xludf.DUMMYFUNCTION("""COMPUTED_VALUE"""),7.437371735567E12)</f>
        <v>7437371735567</v>
      </c>
      <c r="F7122" s="1"/>
      <c r="G7122" s="1">
        <f>IFERROR(__xludf.DUMMYFUNCTION("""COMPUTED_VALUE"""),1.5)</f>
        <v>1.5</v>
      </c>
      <c r="H7122" s="3">
        <f>IFERROR(__xludf.DUMMYFUNCTION("""COMPUTED_VALUE"""),1.5)</f>
        <v>1.5</v>
      </c>
      <c r="I7122" s="4">
        <f>IFERROR(__xludf.DUMMYFUNCTION("""COMPUTED_VALUE"""),1.0)</f>
        <v>1</v>
      </c>
      <c r="J7122" s="1" t="str">
        <f>IFERROR(__xludf.DUMMYFUNCTION("""COMPUTED_VALUE"""),"Renette Bok")</f>
        <v>Renette Bok</v>
      </c>
      <c r="K7122" s="1" t="str">
        <f>IFERROR(__xludf.DUMMYFUNCTION("""COMPUTED_VALUE"""),"Advanced Billing &amp; Subscriptions")</f>
        <v>Advanced Billing &amp; Subscriptions</v>
      </c>
      <c r="L7122" s="1" t="str">
        <f>IFERROR(__xludf.DUMMYFUNCTION("""COMPUTED_VALUE"""),"CPS Advanced Billing and Subscriptions (ABS)")</f>
        <v>CPS Advanced Billing and Subscriptions (ABS)</v>
      </c>
    </row>
    <row r="7123">
      <c r="A7123" s="1" t="str">
        <f>IFERROR(__xludf.DUMMYFUNCTION("""COMPUTED_VALUE"""),"2025 Dec")</f>
        <v>2025 Dec</v>
      </c>
      <c r="B7123" s="2">
        <f>IFERROR(__xludf.DUMMYFUNCTION("""COMPUTED_VALUE"""),45999.0)</f>
        <v>45999</v>
      </c>
      <c r="C7123" s="1" t="str">
        <f>IFERROR(__xludf.DUMMYFUNCTION("""COMPUTED_VALUE"""),"High Sensitivity Support")</f>
        <v>High Sensitivity Support</v>
      </c>
      <c r="D7123" s="1" t="str">
        <f>IFERROR(__xludf.DUMMYFUNCTION("""COMPUTED_VALUE"""),"f56a1f10-27ad-435d-9c50-8e847d04dbcf")</f>
        <v>f56a1f10-27ad-435d-9c50-8e847d04dbcf</v>
      </c>
      <c r="E7123" s="1">
        <f>IFERROR(__xludf.DUMMYFUNCTION("""COMPUTED_VALUE"""),5.566811301007E12)</f>
        <v>5566811301007</v>
      </c>
      <c r="F7123" s="1"/>
      <c r="G7123" s="1"/>
      <c r="H7123" s="3">
        <f>IFERROR(__xludf.DUMMYFUNCTION("""COMPUTED_VALUE"""),0.0)</f>
        <v>0</v>
      </c>
      <c r="I7123" s="4"/>
      <c r="J7123" s="1" t="str">
        <f>IFERROR(__xludf.DUMMYFUNCTION("""COMPUTED_VALUE"""),"Issi Afable")</f>
        <v>Issi Afable</v>
      </c>
      <c r="K7123" s="1" t="str">
        <f>IFERROR(__xludf.DUMMYFUNCTION("""COMPUTED_VALUE"""),"High Sensitivity Support PH")</f>
        <v>High Sensitivity Support PH</v>
      </c>
      <c r="L7123" s="1" t="str">
        <f>IFERROR(__xludf.DUMMYFUNCTION("""COMPUTED_VALUE"""),"HSS High Sensitivity Support PH - SEE")</f>
        <v>HSS High Sensitivity Support PH - SEE</v>
      </c>
    </row>
    <row r="7124">
      <c r="A7124" s="1" t="str">
        <f>IFERROR(__xludf.DUMMYFUNCTION("""COMPUTED_VALUE"""),"2025 Dec")</f>
        <v>2025 Dec</v>
      </c>
      <c r="B7124" s="2">
        <f>IFERROR(__xludf.DUMMYFUNCTION("""COMPUTED_VALUE"""),45999.0)</f>
        <v>45999</v>
      </c>
      <c r="C7124" s="1" t="str">
        <f>IFERROR(__xludf.DUMMYFUNCTION("""COMPUTED_VALUE"""),"Print Support")</f>
        <v>Print Support</v>
      </c>
      <c r="D7124" s="1" t="str">
        <f>IFERROR(__xludf.DUMMYFUNCTION("""COMPUTED_VALUE"""),"298f0d76-bd7a-4274-ba39-7bf5fff1a6f0")</f>
        <v>298f0d76-bd7a-4274-ba39-7bf5fff1a6f0</v>
      </c>
      <c r="E7124" s="1"/>
      <c r="F7124" s="1"/>
      <c r="G7124" s="1"/>
      <c r="H7124" s="3">
        <f>IFERROR(__xludf.DUMMYFUNCTION("""COMPUTED_VALUE"""),0.0)</f>
        <v>0</v>
      </c>
      <c r="I7124" s="4"/>
      <c r="J7124" s="1" t="str">
        <f>IFERROR(__xludf.DUMMYFUNCTION("""COMPUTED_VALUE"""),"Gem Agoncillo")</f>
        <v>Gem Agoncillo</v>
      </c>
      <c r="K7124" s="1" t="str">
        <f>IFERROR(__xludf.DUMMYFUNCTION("""COMPUTED_VALUE"""),"Print Design Support")</f>
        <v>Print Design Support</v>
      </c>
      <c r="L7124" s="1" t="str">
        <f>IFERROR(__xludf.DUMMYFUNCTION("""COMPUTED_VALUE"""),"Print Print Design")</f>
        <v>Print Print Design</v>
      </c>
    </row>
    <row r="7125">
      <c r="A7125" s="1" t="str">
        <f>IFERROR(__xludf.DUMMYFUNCTION("""COMPUTED_VALUE"""),"2025 Dec")</f>
        <v>2025 Dec</v>
      </c>
      <c r="B7125" s="2">
        <f>IFERROR(__xludf.DUMMYFUNCTION("""COMPUTED_VALUE"""),45999.0)</f>
        <v>45999</v>
      </c>
      <c r="C7125" s="1" t="str">
        <f>IFERROR(__xludf.DUMMYFUNCTION("""COMPUTED_VALUE"""),"Print Support")</f>
        <v>Print Support</v>
      </c>
      <c r="D7125" s="1" t="str">
        <f>IFERROR(__xludf.DUMMYFUNCTION("""COMPUTED_VALUE"""),"6a7b954c-b6c3-49ee-b531-c1516331ca46")</f>
        <v>6a7b954c-b6c3-49ee-b531-c1516331ca46</v>
      </c>
      <c r="E7125" s="1">
        <f>IFERROR(__xludf.DUMMYFUNCTION("""COMPUTED_VALUE"""),3.61725484216E11)</f>
        <v>361725484216</v>
      </c>
      <c r="F7125" s="1"/>
      <c r="G7125" s="1"/>
      <c r="H7125" s="3">
        <f>IFERROR(__xludf.DUMMYFUNCTION("""COMPUTED_VALUE"""),0.0)</f>
        <v>0</v>
      </c>
      <c r="I7125" s="4"/>
      <c r="J7125" s="1" t="str">
        <f>IFERROR(__xludf.DUMMYFUNCTION("""COMPUTED_VALUE"""),"Louise Dianne Estrella")</f>
        <v>Louise Dianne Estrella</v>
      </c>
      <c r="K7125" s="1" t="str">
        <f>IFERROR(__xludf.DUMMYFUNCTION("""COMPUTED_VALUE"""),"Print Support PH")</f>
        <v>Print Support PH</v>
      </c>
      <c r="L7125" s="1" t="str">
        <f>IFERROR(__xludf.DUMMYFUNCTION("""COMPUTED_VALUE"""),"Print Print - CHT")</f>
        <v>Print Print - CHT</v>
      </c>
    </row>
    <row r="7126">
      <c r="A7126" s="1" t="str">
        <f>IFERROR(__xludf.DUMMYFUNCTION("""COMPUTED_VALUE"""),"2025 Dec")</f>
        <v>2025 Dec</v>
      </c>
      <c r="B7126" s="2">
        <f>IFERROR(__xludf.DUMMYFUNCTION("""COMPUTED_VALUE"""),45999.0)</f>
        <v>45999</v>
      </c>
      <c r="C7126" s="1" t="str">
        <f>IFERROR(__xludf.DUMMYFUNCTION("""COMPUTED_VALUE"""),"Print Support")</f>
        <v>Print Support</v>
      </c>
      <c r="D7126" s="1" t="str">
        <f>IFERROR(__xludf.DUMMYFUNCTION("""COMPUTED_VALUE"""),"795981ce-4d10-4d82-8c86-abfaee5aa819")</f>
        <v>795981ce-4d10-4d82-8c86-abfaee5aa819</v>
      </c>
      <c r="E7126" s="1"/>
      <c r="F7126" s="1"/>
      <c r="G7126" s="1"/>
      <c r="H7126" s="3">
        <f>IFERROR(__xludf.DUMMYFUNCTION("""COMPUTED_VALUE"""),0.0)</f>
        <v>0</v>
      </c>
      <c r="I7126" s="4"/>
      <c r="J7126" s="1" t="str">
        <f>IFERROR(__xludf.DUMMYFUNCTION("""COMPUTED_VALUE"""),"Rei De Jesus")</f>
        <v>Rei De Jesus</v>
      </c>
      <c r="K7126" s="1" t="str">
        <f>IFERROR(__xludf.DUMMYFUNCTION("""COMPUTED_VALUE"""),"Print Design Support")</f>
        <v>Print Design Support</v>
      </c>
      <c r="L7126" s="1" t="str">
        <f>IFERROR(__xludf.DUMMYFUNCTION("""COMPUTED_VALUE"""),"Print Print Design")</f>
        <v>Print Print Design</v>
      </c>
    </row>
    <row r="7127">
      <c r="A7127" s="1" t="str">
        <f>IFERROR(__xludf.DUMMYFUNCTION("""COMPUTED_VALUE"""),"2025 Dec")</f>
        <v>2025 Dec</v>
      </c>
      <c r="B7127" s="2">
        <f>IFERROR(__xludf.DUMMYFUNCTION("""COMPUTED_VALUE"""),45999.0)</f>
        <v>45999</v>
      </c>
      <c r="C7127" s="1" t="str">
        <f>IFERROR(__xludf.DUMMYFUNCTION("""COMPUTED_VALUE"""),"Core Product Support")</f>
        <v>Core Product Support</v>
      </c>
      <c r="D7127" s="1" t="str">
        <f>IFERROR(__xludf.DUMMYFUNCTION("""COMPUTED_VALUE"""),"c3188fb3-23e5-43d8-86c2-072029c768d3")</f>
        <v>c3188fb3-23e5-43d8-86c2-072029c768d3</v>
      </c>
      <c r="E7127" s="1">
        <f>IFERROR(__xludf.DUMMYFUNCTION("""COMPUTED_VALUE"""),1.0808000160399E13)</f>
        <v>10808000160399</v>
      </c>
      <c r="F7127" s="1">
        <f>IFERROR(__xludf.DUMMYFUNCTION("""COMPUTED_VALUE"""),0.5)</f>
        <v>0.5</v>
      </c>
      <c r="G7127" s="1"/>
      <c r="H7127" s="3">
        <f>IFERROR(__xludf.DUMMYFUNCTION("""COMPUTED_VALUE"""),0.5)</f>
        <v>0.5</v>
      </c>
      <c r="I7127" s="4">
        <f>IFERROR(__xludf.DUMMYFUNCTION("""COMPUTED_VALUE"""),0.0)</f>
        <v>0</v>
      </c>
      <c r="J7127" s="1" t="str">
        <f>IFERROR(__xludf.DUMMYFUNCTION("""COMPUTED_VALUE"""),"Cate Velasco")</f>
        <v>Cate Velasco</v>
      </c>
      <c r="K7127" s="1" t="str">
        <f>IFERROR(__xludf.DUMMYFUNCTION("""COMPUTED_VALUE"""),"Advanced Product Support")</f>
        <v>Advanced Product Support</v>
      </c>
      <c r="L7127" s="1" t="str">
        <f>IFERROR(__xludf.DUMMYFUNCTION("""COMPUTED_VALUE"""),"CPS Advanced Product Support (APS)")</f>
        <v>CPS Advanced Product Support (APS)</v>
      </c>
    </row>
    <row r="7128">
      <c r="A7128" s="1" t="str">
        <f>IFERROR(__xludf.DUMMYFUNCTION("""COMPUTED_VALUE"""),"2025 Dec")</f>
        <v>2025 Dec</v>
      </c>
      <c r="B7128" s="2">
        <f>IFERROR(__xludf.DUMMYFUNCTION("""COMPUTED_VALUE"""),45999.0)</f>
        <v>45999</v>
      </c>
      <c r="C7128" s="1" t="str">
        <f>IFERROR(__xludf.DUMMYFUNCTION("""COMPUTED_VALUE"""),"Core Product Support")</f>
        <v>Core Product Support</v>
      </c>
      <c r="D7128" s="1" t="str">
        <f>IFERROR(__xludf.DUMMYFUNCTION("""COMPUTED_VALUE"""),"484a67d0-5e69-4c98-848a-5ffa0b23046e")</f>
        <v>484a67d0-5e69-4c98-848a-5ffa0b23046e</v>
      </c>
      <c r="E7128" s="1">
        <f>IFERROR(__xludf.DUMMYFUNCTION("""COMPUTED_VALUE"""),5.202392804111E12)</f>
        <v>5202392804111</v>
      </c>
      <c r="F7128" s="1"/>
      <c r="G7128" s="1">
        <f>IFERROR(__xludf.DUMMYFUNCTION("""COMPUTED_VALUE"""),1.5)</f>
        <v>1.5</v>
      </c>
      <c r="H7128" s="3">
        <f>IFERROR(__xludf.DUMMYFUNCTION("""COMPUTED_VALUE"""),1.5)</f>
        <v>1.5</v>
      </c>
      <c r="I7128" s="4">
        <f>IFERROR(__xludf.DUMMYFUNCTION("""COMPUTED_VALUE"""),1.0)</f>
        <v>1</v>
      </c>
      <c r="J7128" s="1" t="str">
        <f>IFERROR(__xludf.DUMMYFUNCTION("""COMPUTED_VALUE"""),"Renette Bok")</f>
        <v>Renette Bok</v>
      </c>
      <c r="K7128" s="1" t="str">
        <f>IFERROR(__xludf.DUMMYFUNCTION("""COMPUTED_VALUE"""),"Advanced Billing &amp; Subscriptions")</f>
        <v>Advanced Billing &amp; Subscriptions</v>
      </c>
      <c r="L7128" s="1" t="str">
        <f>IFERROR(__xludf.DUMMYFUNCTION("""COMPUTED_VALUE"""),"CPS Advanced Billing and Subscriptions (ABS)")</f>
        <v>CPS Advanced Billing and Subscriptions (ABS)</v>
      </c>
    </row>
    <row r="7129">
      <c r="A7129" s="1" t="str">
        <f>IFERROR(__xludf.DUMMYFUNCTION("""COMPUTED_VALUE"""),"2025 Dec")</f>
        <v>2025 Dec</v>
      </c>
      <c r="B7129" s="2">
        <f>IFERROR(__xludf.DUMMYFUNCTION("""COMPUTED_VALUE"""),45999.0)</f>
        <v>45999</v>
      </c>
      <c r="C7129" s="1" t="str">
        <f>IFERROR(__xludf.DUMMYFUNCTION("""COMPUTED_VALUE"""),"Core Product Support")</f>
        <v>Core Product Support</v>
      </c>
      <c r="D7129" s="1" t="str">
        <f>IFERROR(__xludf.DUMMYFUNCTION("""COMPUTED_VALUE"""),"64aee857-09bd-4a17-90d8-7b6e2d71c216")</f>
        <v>64aee857-09bd-4a17-90d8-7b6e2d71c216</v>
      </c>
      <c r="E7129" s="1">
        <f>IFERROR(__xludf.DUMMYFUNCTION("""COMPUTED_VALUE"""),3.61725374316E11)</f>
        <v>361725374316</v>
      </c>
      <c r="F7129" s="1"/>
      <c r="G7129" s="1">
        <f>IFERROR(__xludf.DUMMYFUNCTION("""COMPUTED_VALUE"""),3.0)</f>
        <v>3</v>
      </c>
      <c r="H7129" s="3">
        <f>IFERROR(__xludf.DUMMYFUNCTION("""COMPUTED_VALUE"""),3.0)</f>
        <v>3</v>
      </c>
      <c r="I7129" s="4">
        <f>IFERROR(__xludf.DUMMYFUNCTION("""COMPUTED_VALUE"""),1.0)</f>
        <v>1</v>
      </c>
      <c r="J7129" s="1" t="str">
        <f>IFERROR(__xludf.DUMMYFUNCTION("""COMPUTED_VALUE"""),"Sieg Ballelos")</f>
        <v>Sieg Ballelos</v>
      </c>
      <c r="K7129" s="1" t="str">
        <f>IFERROR(__xludf.DUMMYFUNCTION("""COMPUTED_VALUE"""),"Core Product Support Escalation Team")</f>
        <v>Core Product Support Escalation Team</v>
      </c>
      <c r="L7129" s="1" t="str">
        <f>IFERROR(__xludf.DUMMYFUNCTION("""COMPUTED_VALUE"""),"CPS Core Product Support Escalations (CPSET)")</f>
        <v>CPS Core Product Support Escalations (CPSET)</v>
      </c>
    </row>
    <row r="7130">
      <c r="A7130" s="1" t="str">
        <f>IFERROR(__xludf.DUMMYFUNCTION("""COMPUTED_VALUE"""),"2025 Dec")</f>
        <v>2025 Dec</v>
      </c>
      <c r="B7130" s="2">
        <f>IFERROR(__xludf.DUMMYFUNCTION("""COMPUTED_VALUE"""),45999.0)</f>
        <v>45999</v>
      </c>
      <c r="C7130" s="1" t="str">
        <f>IFERROR(__xludf.DUMMYFUNCTION("""COMPUTED_VALUE"""),"High Sensitivity Support")</f>
        <v>High Sensitivity Support</v>
      </c>
      <c r="D7130" s="1" t="str">
        <f>IFERROR(__xludf.DUMMYFUNCTION("""COMPUTED_VALUE"""),"c7c30477-846d-4f22-bc04-2aab19385d44")</f>
        <v>c7c30477-846d-4f22-bc04-2aab19385d44</v>
      </c>
      <c r="E7130" s="1">
        <f>IFERROR(__xludf.DUMMYFUNCTION("""COMPUTED_VALUE"""),5.359149433359E12)</f>
        <v>5359149433359</v>
      </c>
      <c r="F7130" s="1"/>
      <c r="G7130" s="1"/>
      <c r="H7130" s="3">
        <f>IFERROR(__xludf.DUMMYFUNCTION("""COMPUTED_VALUE"""),0.0)</f>
        <v>0</v>
      </c>
      <c r="I7130" s="4"/>
      <c r="J7130" s="1" t="str">
        <f>IFERROR(__xludf.DUMMYFUNCTION("""COMPUTED_VALUE"""),"Xandy Azarcon")</f>
        <v>Xandy Azarcon</v>
      </c>
      <c r="K7130" s="1" t="str">
        <f>IFERROR(__xludf.DUMMYFUNCTION("""COMPUTED_VALUE"""),"#N/A")</f>
        <v>#N/A</v>
      </c>
      <c r="L7130" s="1"/>
    </row>
    <row r="7131">
      <c r="A7131" s="1" t="str">
        <f>IFERROR(__xludf.DUMMYFUNCTION("""COMPUTED_VALUE"""),"2025 Dec")</f>
        <v>2025 Dec</v>
      </c>
      <c r="B7131" s="2">
        <f>IFERROR(__xludf.DUMMYFUNCTION("""COMPUTED_VALUE"""),45999.0)</f>
        <v>45999</v>
      </c>
      <c r="C7131" s="1" t="str">
        <f>IFERROR(__xludf.DUMMYFUNCTION("""COMPUTED_VALUE"""),"Core Product Support")</f>
        <v>Core Product Support</v>
      </c>
      <c r="D7131" s="1" t="str">
        <f>IFERROR(__xludf.DUMMYFUNCTION("""COMPUTED_VALUE"""),"1b08e244-a5e3-48ac-9d85-880d42b6e733")</f>
        <v>1b08e244-a5e3-48ac-9d85-880d42b6e733</v>
      </c>
      <c r="E7131" s="1">
        <f>IFERROR(__xludf.DUMMYFUNCTION("""COMPUTED_VALUE"""),3.61744094696E11)</f>
        <v>361744094696</v>
      </c>
      <c r="F7131" s="1">
        <f>IFERROR(__xludf.DUMMYFUNCTION("""COMPUTED_VALUE"""),0.5)</f>
        <v>0.5</v>
      </c>
      <c r="G7131" s="1"/>
      <c r="H7131" s="3">
        <f>IFERROR(__xludf.DUMMYFUNCTION("""COMPUTED_VALUE"""),0.5)</f>
        <v>0.5</v>
      </c>
      <c r="I7131" s="4">
        <f>IFERROR(__xludf.DUMMYFUNCTION("""COMPUTED_VALUE"""),0.0)</f>
        <v>0</v>
      </c>
      <c r="J7131" s="1" t="str">
        <f>IFERROR(__xludf.DUMMYFUNCTION("""COMPUTED_VALUE"""),"Vinz Lazaro")</f>
        <v>Vinz Lazaro</v>
      </c>
      <c r="K7131" s="1" t="str">
        <f>IFERROR(__xludf.DUMMYFUNCTION("""COMPUTED_VALUE"""),"Advanced Product Support")</f>
        <v>Advanced Product Support</v>
      </c>
      <c r="L7131" s="1" t="str">
        <f>IFERROR(__xludf.DUMMYFUNCTION("""COMPUTED_VALUE"""),"CPS Advanced Product Support (APS)")</f>
        <v>CPS Advanced Product Support (APS)</v>
      </c>
    </row>
    <row r="7132">
      <c r="A7132" s="1" t="str">
        <f>IFERROR(__xludf.DUMMYFUNCTION("""COMPUTED_VALUE"""),"2025 Dec")</f>
        <v>2025 Dec</v>
      </c>
      <c r="B7132" s="2">
        <f>IFERROR(__xludf.DUMMYFUNCTION("""COMPUTED_VALUE"""),45999.0)</f>
        <v>45999</v>
      </c>
      <c r="C7132" s="1" t="str">
        <f>IFERROR(__xludf.DUMMYFUNCTION("""COMPUTED_VALUE"""),"Core Product Support")</f>
        <v>Core Product Support</v>
      </c>
      <c r="D7132" s="1" t="str">
        <f>IFERROR(__xludf.DUMMYFUNCTION("""COMPUTED_VALUE"""),"fc9b38e6-bcda-447e-bc09-efbb10174ad9")</f>
        <v>fc9b38e6-bcda-447e-bc09-efbb10174ad9</v>
      </c>
      <c r="E7132" s="1">
        <f>IFERROR(__xludf.DUMMYFUNCTION("""COMPUTED_VALUE"""),3.61733222835E11)</f>
        <v>361733222835</v>
      </c>
      <c r="F7132" s="1"/>
      <c r="G7132" s="1">
        <f>IFERROR(__xludf.DUMMYFUNCTION("""COMPUTED_VALUE"""),3.0)</f>
        <v>3</v>
      </c>
      <c r="H7132" s="3">
        <f>IFERROR(__xludf.DUMMYFUNCTION("""COMPUTED_VALUE"""),3.0)</f>
        <v>3</v>
      </c>
      <c r="I7132" s="4">
        <f>IFERROR(__xludf.DUMMYFUNCTION("""COMPUTED_VALUE"""),1.0)</f>
        <v>1</v>
      </c>
      <c r="J7132" s="1" t="str">
        <f>IFERROR(__xludf.DUMMYFUNCTION("""COMPUTED_VALUE"""),"Ellaine Estayo")</f>
        <v>Ellaine Estayo</v>
      </c>
      <c r="K7132" s="1" t="str">
        <f>IFERROR(__xludf.DUMMYFUNCTION("""COMPUTED_VALUE"""),"Core Product Support Escalation Team")</f>
        <v>Core Product Support Escalation Team</v>
      </c>
      <c r="L7132" s="1" t="str">
        <f>IFERROR(__xludf.DUMMYFUNCTION("""COMPUTED_VALUE"""),"CPS Core Product Support Escalations (CPSET)")</f>
        <v>CPS Core Product Support Escalations (CPSET)</v>
      </c>
    </row>
    <row r="7133">
      <c r="A7133" s="1" t="str">
        <f>IFERROR(__xludf.DUMMYFUNCTION("""COMPUTED_VALUE"""),"2025 Dec")</f>
        <v>2025 Dec</v>
      </c>
      <c r="B7133" s="2">
        <f>IFERROR(__xludf.DUMMYFUNCTION("""COMPUTED_VALUE"""),45999.0)</f>
        <v>45999</v>
      </c>
      <c r="C7133" s="1" t="str">
        <f>IFERROR(__xludf.DUMMYFUNCTION("""COMPUTED_VALUE"""),"High Sensitivity Support")</f>
        <v>High Sensitivity Support</v>
      </c>
      <c r="D7133" s="1" t="str">
        <f>IFERROR(__xludf.DUMMYFUNCTION("""COMPUTED_VALUE"""),"42147b58-e8e5-4766-a41a-8d98cf8a5872")</f>
        <v>42147b58-e8e5-4766-a41a-8d98cf8a5872</v>
      </c>
      <c r="E7133" s="1">
        <f>IFERROR(__xludf.DUMMYFUNCTION("""COMPUTED_VALUE"""),5.359185373455E12)</f>
        <v>5359185373455</v>
      </c>
      <c r="F7133" s="1">
        <f>IFERROR(__xludf.DUMMYFUNCTION("""COMPUTED_VALUE"""),3.0)</f>
        <v>3</v>
      </c>
      <c r="G7133" s="1"/>
      <c r="H7133" s="3">
        <f>IFERROR(__xludf.DUMMYFUNCTION("""COMPUTED_VALUE"""),3.0)</f>
        <v>3</v>
      </c>
      <c r="I7133" s="4">
        <f>IFERROR(__xludf.DUMMYFUNCTION("""COMPUTED_VALUE"""),0.0)</f>
        <v>0</v>
      </c>
      <c r="J7133" s="1" t="str">
        <f>IFERROR(__xludf.DUMMYFUNCTION("""COMPUTED_VALUE"""),"Rossheen Pura")</f>
        <v>Rossheen Pura</v>
      </c>
      <c r="K7133" s="1" t="str">
        <f>IFERROR(__xludf.DUMMYFUNCTION("""COMPUTED_VALUE"""),"High Sensitivity Support PH")</f>
        <v>High Sensitivity Support PH</v>
      </c>
      <c r="L7133" s="1" t="str">
        <f>IFERROR(__xludf.DUMMYFUNCTION("""COMPUTED_VALUE"""),"HSS High Sensitivity Support PH - CHT")</f>
        <v>HSS High Sensitivity Support PH - CHT</v>
      </c>
    </row>
    <row r="7134">
      <c r="A7134" s="1" t="str">
        <f>IFERROR(__xludf.DUMMYFUNCTION("""COMPUTED_VALUE"""),"2025 Dec")</f>
        <v>2025 Dec</v>
      </c>
      <c r="B7134" s="2">
        <f>IFERROR(__xludf.DUMMYFUNCTION("""COMPUTED_VALUE"""),45999.0)</f>
        <v>45999</v>
      </c>
      <c r="C7134" s="1" t="str">
        <f>IFERROR(__xludf.DUMMYFUNCTION("""COMPUTED_VALUE"""),"Core Product Support")</f>
        <v>Core Product Support</v>
      </c>
      <c r="D7134" s="1" t="str">
        <f>IFERROR(__xludf.DUMMYFUNCTION("""COMPUTED_VALUE"""),"b70eebc6-c7c9-48bc-a876-82736f994fb9")</f>
        <v>b70eebc6-c7c9-48bc-a876-82736f994fb9</v>
      </c>
      <c r="E7134" s="1">
        <f>IFERROR(__xludf.DUMMYFUNCTION("""COMPUTED_VALUE"""),1.1401980902415E13)</f>
        <v>11401980902415</v>
      </c>
      <c r="F7134" s="1">
        <f>IFERROR(__xludf.DUMMYFUNCTION("""COMPUTED_VALUE"""),0.5)</f>
        <v>0.5</v>
      </c>
      <c r="G7134" s="1"/>
      <c r="H7134" s="3">
        <f>IFERROR(__xludf.DUMMYFUNCTION("""COMPUTED_VALUE"""),0.5)</f>
        <v>0.5</v>
      </c>
      <c r="I7134" s="4">
        <f>IFERROR(__xludf.DUMMYFUNCTION("""COMPUTED_VALUE"""),0.0)</f>
        <v>0</v>
      </c>
      <c r="J7134" s="1" t="str">
        <f>IFERROR(__xludf.DUMMYFUNCTION("""COMPUTED_VALUE"""),"Ayza Marie Pascual")</f>
        <v>Ayza Marie Pascual</v>
      </c>
      <c r="K7134" s="1" t="str">
        <f>IFERROR(__xludf.DUMMYFUNCTION("""COMPUTED_VALUE"""),"Advanced Billing &amp; Subscriptions")</f>
        <v>Advanced Billing &amp; Subscriptions</v>
      </c>
      <c r="L7134" s="1" t="str">
        <f>IFERROR(__xludf.DUMMYFUNCTION("""COMPUTED_VALUE"""),"CPS Advanced Billing and Subscriptions (ABS)")</f>
        <v>CPS Advanced Billing and Subscriptions (ABS)</v>
      </c>
    </row>
    <row r="7135">
      <c r="A7135" s="1" t="str">
        <f>IFERROR(__xludf.DUMMYFUNCTION("""COMPUTED_VALUE"""),"2025 Dec")</f>
        <v>2025 Dec</v>
      </c>
      <c r="B7135" s="2">
        <f>IFERROR(__xludf.DUMMYFUNCTION("""COMPUTED_VALUE"""),45999.0)</f>
        <v>45999</v>
      </c>
      <c r="C7135" s="1" t="str">
        <f>IFERROR(__xludf.DUMMYFUNCTION("""COMPUTED_VALUE"""),"Core Product Support")</f>
        <v>Core Product Support</v>
      </c>
      <c r="D7135" s="1" t="str">
        <f>IFERROR(__xludf.DUMMYFUNCTION("""COMPUTED_VALUE"""),"9d825d2e-3519-4559-9782-f32e81d2d824")</f>
        <v>9d825d2e-3519-4559-9782-f32e81d2d824</v>
      </c>
      <c r="E7135" s="1">
        <f>IFERROR(__xludf.DUMMYFUNCTION("""COMPUTED_VALUE"""),3.61861297715E11)</f>
        <v>361861297715</v>
      </c>
      <c r="F7135" s="1">
        <f>IFERROR(__xludf.DUMMYFUNCTION("""COMPUTED_VALUE"""),0.5)</f>
        <v>0.5</v>
      </c>
      <c r="G7135" s="1"/>
      <c r="H7135" s="3">
        <f>IFERROR(__xludf.DUMMYFUNCTION("""COMPUTED_VALUE"""),0.5)</f>
        <v>0.5</v>
      </c>
      <c r="I7135" s="4">
        <f>IFERROR(__xludf.DUMMYFUNCTION("""COMPUTED_VALUE"""),0.0)</f>
        <v>0</v>
      </c>
      <c r="J7135" s="1" t="str">
        <f>IFERROR(__xludf.DUMMYFUNCTION("""COMPUTED_VALUE"""),"Jem Mondoñedo")</f>
        <v>Jem Mondoñedo</v>
      </c>
      <c r="K7135" s="1" t="str">
        <f>IFERROR(__xludf.DUMMYFUNCTION("""COMPUTED_VALUE"""),"Advanced Chat Support")</f>
        <v>Advanced Chat Support</v>
      </c>
      <c r="L7135" s="1" t="str">
        <f>IFERROR(__xludf.DUMMYFUNCTION("""COMPUTED_VALUE"""),"CPS Advanced Chat Support (ACS)")</f>
        <v>CPS Advanced Chat Support (ACS)</v>
      </c>
    </row>
    <row r="7136">
      <c r="A7136" s="1" t="str">
        <f>IFERROR(__xludf.DUMMYFUNCTION("""COMPUTED_VALUE"""),"2025 Dec")</f>
        <v>2025 Dec</v>
      </c>
      <c r="B7136" s="2">
        <f>IFERROR(__xludf.DUMMYFUNCTION("""COMPUTED_VALUE"""),45999.0)</f>
        <v>45999</v>
      </c>
      <c r="C7136" s="1" t="str">
        <f>IFERROR(__xludf.DUMMYFUNCTION("""COMPUTED_VALUE"""),"Core Product Support")</f>
        <v>Core Product Support</v>
      </c>
      <c r="D7136" s="1" t="str">
        <f>IFERROR(__xludf.DUMMYFUNCTION("""COMPUTED_VALUE"""),"f05426fa-d3ef-48ef-9506-1b0d003468b9")</f>
        <v>f05426fa-d3ef-48ef-9506-1b0d003468b9</v>
      </c>
      <c r="E7136" s="1">
        <f>IFERROR(__xludf.DUMMYFUNCTION("""COMPUTED_VALUE"""),8.409892191631E12)</f>
        <v>8409892191631</v>
      </c>
      <c r="F7136" s="1"/>
      <c r="G7136" s="1">
        <f>IFERROR(__xludf.DUMMYFUNCTION("""COMPUTED_VALUE"""),1.5)</f>
        <v>1.5</v>
      </c>
      <c r="H7136" s="3">
        <f>IFERROR(__xludf.DUMMYFUNCTION("""COMPUTED_VALUE"""),1.5)</f>
        <v>1.5</v>
      </c>
      <c r="I7136" s="4">
        <f>IFERROR(__xludf.DUMMYFUNCTION("""COMPUTED_VALUE"""),1.0)</f>
        <v>1</v>
      </c>
      <c r="J7136" s="1" t="str">
        <f>IFERROR(__xludf.DUMMYFUNCTION("""COMPUTED_VALUE"""),"Jahmie Mae Barrameda")</f>
        <v>Jahmie Mae Barrameda</v>
      </c>
      <c r="K7136" s="1" t="str">
        <f>IFERROR(__xludf.DUMMYFUNCTION("""COMPUTED_VALUE"""),"Advanced Billing &amp; Subscriptions")</f>
        <v>Advanced Billing &amp; Subscriptions</v>
      </c>
      <c r="L7136" s="1" t="str">
        <f>IFERROR(__xludf.DUMMYFUNCTION("""COMPUTED_VALUE"""),"CPS Advanced Billing and Subscriptions (ABS)")</f>
        <v>CPS Advanced Billing and Subscriptions (ABS)</v>
      </c>
    </row>
    <row r="7137">
      <c r="A7137" s="1" t="str">
        <f>IFERROR(__xludf.DUMMYFUNCTION("""COMPUTED_VALUE"""),"2025 Dec")</f>
        <v>2025 Dec</v>
      </c>
      <c r="B7137" s="2">
        <f>IFERROR(__xludf.DUMMYFUNCTION("""COMPUTED_VALUE"""),45999.0)</f>
        <v>45999</v>
      </c>
      <c r="C7137" s="1" t="str">
        <f>IFERROR(__xludf.DUMMYFUNCTION("""COMPUTED_VALUE"""),"Multilingual Support")</f>
        <v>Multilingual Support</v>
      </c>
      <c r="D7137" s="1" t="str">
        <f>IFERROR(__xludf.DUMMYFUNCTION("""COMPUTED_VALUE"""),"ddff770a-8bbb-4a78-9bec-f5c563c6b901")</f>
        <v>ddff770a-8bbb-4a78-9bec-f5c563c6b901</v>
      </c>
      <c r="E7137" s="1">
        <f>IFERROR(__xludf.DUMMYFUNCTION("""COMPUTED_VALUE"""),4.759846838031E12)</f>
        <v>4759846838031</v>
      </c>
      <c r="F7137" s="1"/>
      <c r="G7137" s="1"/>
      <c r="H7137" s="3">
        <f>IFERROR(__xludf.DUMMYFUNCTION("""COMPUTED_VALUE"""),0.0)</f>
        <v>0</v>
      </c>
      <c r="I7137" s="4"/>
      <c r="J7137" s="1" t="str">
        <f>IFERROR(__xludf.DUMMYFUNCTION("""COMPUTED_VALUE"""),"Arlene Maurillo")</f>
        <v>Arlene Maurillo</v>
      </c>
      <c r="K7137" s="1" t="str">
        <f>IFERROR(__xludf.DUMMYFUNCTION("""COMPUTED_VALUE"""),"PHL, Multilingual Support")</f>
        <v>PHL, Multilingual Support</v>
      </c>
      <c r="L7137" s="1" t="str">
        <f>IFERROR(__xludf.DUMMYFUNCTION("""COMPUTED_VALUE"""),"ML Portuguese Support")</f>
        <v>ML Portuguese Support</v>
      </c>
    </row>
    <row r="7138">
      <c r="A7138" s="1" t="str">
        <f>IFERROR(__xludf.DUMMYFUNCTION("""COMPUTED_VALUE"""),"2025 Dec")</f>
        <v>2025 Dec</v>
      </c>
      <c r="B7138" s="2">
        <f>IFERROR(__xludf.DUMMYFUNCTION("""COMPUTED_VALUE"""),45999.0)</f>
        <v>45999</v>
      </c>
      <c r="C7138" s="1" t="str">
        <f>IFERROR(__xludf.DUMMYFUNCTION("""COMPUTED_VALUE"""),"Core Product Support")</f>
        <v>Core Product Support</v>
      </c>
      <c r="D7138" s="1" t="str">
        <f>IFERROR(__xludf.DUMMYFUNCTION("""COMPUTED_VALUE"""),"50370a17-1382-4a9f-8e42-5d34af042f22")</f>
        <v>50370a17-1382-4a9f-8e42-5d34af042f22</v>
      </c>
      <c r="E7138" s="1">
        <f>IFERROR(__xludf.DUMMYFUNCTION("""COMPUTED_VALUE"""),1.1401981770511E13)</f>
        <v>11401981770511</v>
      </c>
      <c r="F7138" s="1">
        <f>IFERROR(__xludf.DUMMYFUNCTION("""COMPUTED_VALUE"""),0.5)</f>
        <v>0.5</v>
      </c>
      <c r="G7138" s="1"/>
      <c r="H7138" s="3">
        <f>IFERROR(__xludf.DUMMYFUNCTION("""COMPUTED_VALUE"""),0.5)</f>
        <v>0.5</v>
      </c>
      <c r="I7138" s="4">
        <f>IFERROR(__xludf.DUMMYFUNCTION("""COMPUTED_VALUE"""),0.0)</f>
        <v>0</v>
      </c>
      <c r="J7138" s="1" t="str">
        <f>IFERROR(__xludf.DUMMYFUNCTION("""COMPUTED_VALUE"""),"Mikhaela Decangchon")</f>
        <v>Mikhaela Decangchon</v>
      </c>
      <c r="K7138" s="1" t="str">
        <f>IFERROR(__xludf.DUMMYFUNCTION("""COMPUTED_VALUE"""),"Advanced Product Support")</f>
        <v>Advanced Product Support</v>
      </c>
      <c r="L7138" s="1" t="str">
        <f>IFERROR(__xludf.DUMMYFUNCTION("""COMPUTED_VALUE"""),"CPS Advanced Product Support (APS)")</f>
        <v>CPS Advanced Product Support (APS)</v>
      </c>
    </row>
    <row r="7139">
      <c r="A7139" s="1" t="str">
        <f>IFERROR(__xludf.DUMMYFUNCTION("""COMPUTED_VALUE"""),"2025 Dec")</f>
        <v>2025 Dec</v>
      </c>
      <c r="B7139" s="2">
        <f>IFERROR(__xludf.DUMMYFUNCTION("""COMPUTED_VALUE"""),45999.0)</f>
        <v>45999</v>
      </c>
      <c r="C7139" s="1" t="str">
        <f>IFERROR(__xludf.DUMMYFUNCTION("""COMPUTED_VALUE"""),"Core Product Support")</f>
        <v>Core Product Support</v>
      </c>
      <c r="D7139" s="1" t="str">
        <f>IFERROR(__xludf.DUMMYFUNCTION("""COMPUTED_VALUE"""),"6472d23f-e427-46f0-a9cb-1e9b17ddfd44")</f>
        <v>6472d23f-e427-46f0-a9cb-1e9b17ddfd44</v>
      </c>
      <c r="E7139" s="1">
        <f>IFERROR(__xludf.DUMMYFUNCTION("""COMPUTED_VALUE"""),1.0548627051023E13)</f>
        <v>10548627051023</v>
      </c>
      <c r="F7139" s="1">
        <f>IFERROR(__xludf.DUMMYFUNCTION("""COMPUTED_VALUE"""),0.5)</f>
        <v>0.5</v>
      </c>
      <c r="G7139" s="1"/>
      <c r="H7139" s="3">
        <f>IFERROR(__xludf.DUMMYFUNCTION("""COMPUTED_VALUE"""),0.5)</f>
        <v>0.5</v>
      </c>
      <c r="I7139" s="4">
        <f>IFERROR(__xludf.DUMMYFUNCTION("""COMPUTED_VALUE"""),0.0)</f>
        <v>0</v>
      </c>
      <c r="J7139" s="1" t="str">
        <f>IFERROR(__xludf.DUMMYFUNCTION("""COMPUTED_VALUE"""),"Belle Bentazal")</f>
        <v>Belle Bentazal</v>
      </c>
      <c r="K7139" s="1" t="str">
        <f>IFERROR(__xludf.DUMMYFUNCTION("""COMPUTED_VALUE"""),"Advanced Product Support")</f>
        <v>Advanced Product Support</v>
      </c>
      <c r="L7139" s="1" t="str">
        <f>IFERROR(__xludf.DUMMYFUNCTION("""COMPUTED_VALUE"""),"CPS Advanced Product Support (APS)")</f>
        <v>CPS Advanced Product Support (APS)</v>
      </c>
    </row>
    <row r="7140">
      <c r="A7140" s="1" t="str">
        <f>IFERROR(__xludf.DUMMYFUNCTION("""COMPUTED_VALUE"""),"2025 Dec")</f>
        <v>2025 Dec</v>
      </c>
      <c r="B7140" s="2">
        <f>IFERROR(__xludf.DUMMYFUNCTION("""COMPUTED_VALUE"""),45999.0)</f>
        <v>45999</v>
      </c>
      <c r="C7140" s="1" t="str">
        <f>IFERROR(__xludf.DUMMYFUNCTION("""COMPUTED_VALUE"""),"Core Product Support")</f>
        <v>Core Product Support</v>
      </c>
      <c r="D7140" s="1" t="str">
        <f>IFERROR(__xludf.DUMMYFUNCTION("""COMPUTED_VALUE"""),"03428ca1-a361-4015-9a9f-9609cb3ad0fe")</f>
        <v>03428ca1-a361-4015-9a9f-9609cb3ad0fe</v>
      </c>
      <c r="E7140" s="1">
        <f>IFERROR(__xludf.DUMMYFUNCTION("""COMPUTED_VALUE"""),5.047314651919E12)</f>
        <v>5047314651919</v>
      </c>
      <c r="F7140" s="1"/>
      <c r="G7140" s="1">
        <f>IFERROR(__xludf.DUMMYFUNCTION("""COMPUTED_VALUE"""),3.0)</f>
        <v>3</v>
      </c>
      <c r="H7140" s="3">
        <f>IFERROR(__xludf.DUMMYFUNCTION("""COMPUTED_VALUE"""),3.0)</f>
        <v>3</v>
      </c>
      <c r="I7140" s="4">
        <f>IFERROR(__xludf.DUMMYFUNCTION("""COMPUTED_VALUE"""),1.0)</f>
        <v>1</v>
      </c>
      <c r="J7140" s="1" t="str">
        <f>IFERROR(__xludf.DUMMYFUNCTION("""COMPUTED_VALUE"""),"Bem Launte")</f>
        <v>Bem Launte</v>
      </c>
      <c r="K7140" s="1" t="str">
        <f>IFERROR(__xludf.DUMMYFUNCTION("""COMPUTED_VALUE"""),"Core Product Support Escalation Team")</f>
        <v>Core Product Support Escalation Team</v>
      </c>
      <c r="L7140" s="1" t="str">
        <f>IFERROR(__xludf.DUMMYFUNCTION("""COMPUTED_VALUE"""),"CPS Core Product Support Escalations (CPSET)")</f>
        <v>CPS Core Product Support Escalations (CPSET)</v>
      </c>
    </row>
    <row r="7141">
      <c r="A7141" s="1" t="str">
        <f>IFERROR(__xludf.DUMMYFUNCTION("""COMPUTED_VALUE"""),"2025 Dec")</f>
        <v>2025 Dec</v>
      </c>
      <c r="B7141" s="2">
        <f>IFERROR(__xludf.DUMMYFUNCTION("""COMPUTED_VALUE"""),45999.0)</f>
        <v>45999</v>
      </c>
      <c r="C7141" s="1" t="str">
        <f>IFERROR(__xludf.DUMMYFUNCTION("""COMPUTED_VALUE"""),"Core Product Support")</f>
        <v>Core Product Support</v>
      </c>
      <c r="D7141" s="1" t="str">
        <f>IFERROR(__xludf.DUMMYFUNCTION("""COMPUTED_VALUE"""),"eb75942b-e616-42a5-bbc5-1d6cc92843bb")</f>
        <v>eb75942b-e616-42a5-bbc5-1d6cc92843bb</v>
      </c>
      <c r="E7141" s="1">
        <f>IFERROR(__xludf.DUMMYFUNCTION("""COMPUTED_VALUE"""),7.437355919375E12)</f>
        <v>7437355919375</v>
      </c>
      <c r="F7141" s="1"/>
      <c r="G7141" s="1"/>
      <c r="H7141" s="3">
        <f>IFERROR(__xludf.DUMMYFUNCTION("""COMPUTED_VALUE"""),0.0)</f>
        <v>0</v>
      </c>
      <c r="I7141" s="4"/>
      <c r="J7141" s="1" t="str">
        <f>IFERROR(__xludf.DUMMYFUNCTION("""COMPUTED_VALUE"""),"Ana Lazaro")</f>
        <v>Ana Lazaro</v>
      </c>
      <c r="K7141" s="1" t="str">
        <f>IFERROR(__xludf.DUMMYFUNCTION("""COMPUTED_VALUE"""),"Advanced Billing &amp; Subscriptions")</f>
        <v>Advanced Billing &amp; Subscriptions</v>
      </c>
      <c r="L7141" s="1" t="str">
        <f>IFERROR(__xludf.DUMMYFUNCTION("""COMPUTED_VALUE"""),"CPS Advanced Billing and Subscriptions (ABS)")</f>
        <v>CPS Advanced Billing and Subscriptions (ABS)</v>
      </c>
    </row>
    <row r="7142">
      <c r="A7142" s="1" t="str">
        <f>IFERROR(__xludf.DUMMYFUNCTION("""COMPUTED_VALUE"""),"2025 Dec")</f>
        <v>2025 Dec</v>
      </c>
      <c r="B7142" s="2">
        <f>IFERROR(__xludf.DUMMYFUNCTION("""COMPUTED_VALUE"""),45999.0)</f>
        <v>45999</v>
      </c>
      <c r="C7142" s="1" t="str">
        <f>IFERROR(__xludf.DUMMYFUNCTION("""COMPUTED_VALUE"""),"Admin Support")</f>
        <v>Admin Support</v>
      </c>
      <c r="D7142" s="1" t="str">
        <f>IFERROR(__xludf.DUMMYFUNCTION("""COMPUTED_VALUE"""),"3f58d026-d7af-4464-8ba2-17fb4976b8ac")</f>
        <v>3f58d026-d7af-4464-8ba2-17fb4976b8ac</v>
      </c>
      <c r="E7142" s="1">
        <f>IFERROR(__xludf.DUMMYFUNCTION("""COMPUTED_VALUE"""),3.61724668516E11)</f>
        <v>361724668516</v>
      </c>
      <c r="F7142" s="1"/>
      <c r="G7142" s="1">
        <f>IFERROR(__xludf.DUMMYFUNCTION("""COMPUTED_VALUE"""),5.0)</f>
        <v>5</v>
      </c>
      <c r="H7142" s="3">
        <f>IFERROR(__xludf.DUMMYFUNCTION("""COMPUTED_VALUE"""),5.0)</f>
        <v>5</v>
      </c>
      <c r="I7142" s="4">
        <f>IFERROR(__xludf.DUMMYFUNCTION("""COMPUTED_VALUE"""),1.0)</f>
        <v>1</v>
      </c>
      <c r="J7142" s="1" t="str">
        <f>IFERROR(__xludf.DUMMYFUNCTION("""COMPUTED_VALUE"""),"Karla Mananghaya")</f>
        <v>Karla Mananghaya</v>
      </c>
      <c r="K7142" s="1" t="str">
        <f>IFERROR(__xludf.DUMMYFUNCTION("""COMPUTED_VALUE"""),"Admin Support PH SSO")</f>
        <v>Admin Support PH SSO</v>
      </c>
      <c r="L7142" s="1" t="str">
        <f>IFERROR(__xludf.DUMMYFUNCTION("""COMPUTED_VALUE"""),"Admin SSO - CHT")</f>
        <v>Admin SSO - CHT</v>
      </c>
    </row>
    <row r="7143">
      <c r="A7143" s="1" t="str">
        <f>IFERROR(__xludf.DUMMYFUNCTION("""COMPUTED_VALUE"""),"2025 Dec")</f>
        <v>2025 Dec</v>
      </c>
      <c r="B7143" s="2">
        <f>IFERROR(__xludf.DUMMYFUNCTION("""COMPUTED_VALUE"""),45999.0)</f>
        <v>45999</v>
      </c>
      <c r="C7143" s="1" t="str">
        <f>IFERROR(__xludf.DUMMYFUNCTION("""COMPUTED_VALUE"""),"Admin Support")</f>
        <v>Admin Support</v>
      </c>
      <c r="D7143" s="1" t="str">
        <f>IFERROR(__xludf.DUMMYFUNCTION("""COMPUTED_VALUE"""),"021b74ea-5511-4b56-9f2a-6ea9d6443caa")</f>
        <v>021b74ea-5511-4b56-9f2a-6ea9d6443caa</v>
      </c>
      <c r="E7143" s="1">
        <f>IFERROR(__xludf.DUMMYFUNCTION("""COMPUTED_VALUE"""),3.61725374416E11)</f>
        <v>361725374416</v>
      </c>
      <c r="F7143" s="1"/>
      <c r="G7143" s="1"/>
      <c r="H7143" s="3">
        <f>IFERROR(__xludf.DUMMYFUNCTION("""COMPUTED_VALUE"""),0.0)</f>
        <v>0</v>
      </c>
      <c r="I7143" s="4"/>
      <c r="J7143" s="1" t="str">
        <f>IFERROR(__xludf.DUMMYFUNCTION("""COMPUTED_VALUE"""),"Rose Gabilan")</f>
        <v>Rose Gabilan</v>
      </c>
      <c r="K7143" s="1" t="str">
        <f>IFERROR(__xludf.DUMMYFUNCTION("""COMPUTED_VALUE"""),"Admin Support PH SSO")</f>
        <v>Admin Support PH SSO</v>
      </c>
      <c r="L7143" s="1" t="str">
        <f>IFERROR(__xludf.DUMMYFUNCTION("""COMPUTED_VALUE"""),"Admin SSO - CHT")</f>
        <v>Admin SSO - CHT</v>
      </c>
    </row>
    <row r="7144">
      <c r="A7144" s="1" t="str">
        <f>IFERROR(__xludf.DUMMYFUNCTION("""COMPUTED_VALUE"""),"2025 Dec")</f>
        <v>2025 Dec</v>
      </c>
      <c r="B7144" s="2">
        <f>IFERROR(__xludf.DUMMYFUNCTION("""COMPUTED_VALUE"""),45999.0)</f>
        <v>45999</v>
      </c>
      <c r="C7144" s="1" t="str">
        <f>IFERROR(__xludf.DUMMYFUNCTION("""COMPUTED_VALUE"""),"Admin Support")</f>
        <v>Admin Support</v>
      </c>
      <c r="D7144" s="1" t="str">
        <f>IFERROR(__xludf.DUMMYFUNCTION("""COMPUTED_VALUE"""),"328935f7-c639-4b8f-8512-a9641b2cf808")</f>
        <v>328935f7-c639-4b8f-8512-a9641b2cf808</v>
      </c>
      <c r="E7144" s="1">
        <f>IFERROR(__xludf.DUMMYFUNCTION("""COMPUTED_VALUE"""),3.61731648215E11)</f>
        <v>361731648215</v>
      </c>
      <c r="F7144" s="1"/>
      <c r="G7144" s="1">
        <f>IFERROR(__xludf.DUMMYFUNCTION("""COMPUTED_VALUE"""),3.5)</f>
        <v>3.5</v>
      </c>
      <c r="H7144" s="3">
        <f>IFERROR(__xludf.DUMMYFUNCTION("""COMPUTED_VALUE"""),3.5)</f>
        <v>3.5</v>
      </c>
      <c r="I7144" s="4">
        <f>IFERROR(__xludf.DUMMYFUNCTION("""COMPUTED_VALUE"""),1.0)</f>
        <v>1</v>
      </c>
      <c r="J7144" s="1" t="str">
        <f>IFERROR(__xludf.DUMMYFUNCTION("""COMPUTED_VALUE"""),"Rose Gabilan")</f>
        <v>Rose Gabilan</v>
      </c>
      <c r="K7144" s="1" t="str">
        <f>IFERROR(__xludf.DUMMYFUNCTION("""COMPUTED_VALUE"""),"Admin Support PH SSO")</f>
        <v>Admin Support PH SSO</v>
      </c>
      <c r="L7144" s="1" t="str">
        <f>IFERROR(__xludf.DUMMYFUNCTION("""COMPUTED_VALUE"""),"Admin SSO - CHT")</f>
        <v>Admin SSO - CHT</v>
      </c>
    </row>
    <row r="7145">
      <c r="A7145" s="1" t="str">
        <f>IFERROR(__xludf.DUMMYFUNCTION("""COMPUTED_VALUE"""),"2025 Dec")</f>
        <v>2025 Dec</v>
      </c>
      <c r="B7145" s="2">
        <f>IFERROR(__xludf.DUMMYFUNCTION("""COMPUTED_VALUE"""),45999.0)</f>
        <v>45999</v>
      </c>
      <c r="C7145" s="1" t="str">
        <f>IFERROR(__xludf.DUMMYFUNCTION("""COMPUTED_VALUE"""),"Core Product Support")</f>
        <v>Core Product Support</v>
      </c>
      <c r="D7145" s="1" t="str">
        <f>IFERROR(__xludf.DUMMYFUNCTION("""COMPUTED_VALUE"""),"157b66db-b9f4-4a3d-a00a-5cf3eefe9b58")</f>
        <v>157b66db-b9f4-4a3d-a00a-5cf3eefe9b58</v>
      </c>
      <c r="E7145" s="1">
        <f>IFERROR(__xludf.DUMMYFUNCTION("""COMPUTED_VALUE"""),3.61731791835E11)</f>
        <v>361731791835</v>
      </c>
      <c r="F7145" s="1"/>
      <c r="G7145" s="1">
        <f>IFERROR(__xludf.DUMMYFUNCTION("""COMPUTED_VALUE"""),1.5)</f>
        <v>1.5</v>
      </c>
      <c r="H7145" s="3">
        <f>IFERROR(__xludf.DUMMYFUNCTION("""COMPUTED_VALUE"""),1.5)</f>
        <v>1.5</v>
      </c>
      <c r="I7145" s="4">
        <f>IFERROR(__xludf.DUMMYFUNCTION("""COMPUTED_VALUE"""),1.0)</f>
        <v>1</v>
      </c>
      <c r="J7145" s="1" t="str">
        <f>IFERROR(__xludf.DUMMYFUNCTION("""COMPUTED_VALUE"""),"Renette Bok")</f>
        <v>Renette Bok</v>
      </c>
      <c r="K7145" s="1" t="str">
        <f>IFERROR(__xludf.DUMMYFUNCTION("""COMPUTED_VALUE"""),"Advanced Billing &amp; Subscriptions")</f>
        <v>Advanced Billing &amp; Subscriptions</v>
      </c>
      <c r="L7145" s="1" t="str">
        <f>IFERROR(__xludf.DUMMYFUNCTION("""COMPUTED_VALUE"""),"CPS Advanced Billing and Subscriptions (ABS)")</f>
        <v>CPS Advanced Billing and Subscriptions (ABS)</v>
      </c>
    </row>
    <row r="7146">
      <c r="A7146" s="1" t="str">
        <f>IFERROR(__xludf.DUMMYFUNCTION("""COMPUTED_VALUE"""),"2025 Dec")</f>
        <v>2025 Dec</v>
      </c>
      <c r="B7146" s="2">
        <f>IFERROR(__xludf.DUMMYFUNCTION("""COMPUTED_VALUE"""),45999.0)</f>
        <v>45999</v>
      </c>
      <c r="C7146" s="1" t="str">
        <f>IFERROR(__xludf.DUMMYFUNCTION("""COMPUTED_VALUE"""),"Core Product Support")</f>
        <v>Core Product Support</v>
      </c>
      <c r="D7146" s="1" t="str">
        <f>IFERROR(__xludf.DUMMYFUNCTION("""COMPUTED_VALUE"""),"9f2b3750-482b-4498-a201-4e32c8fad021")</f>
        <v>9f2b3750-482b-4498-a201-4e32c8fad021</v>
      </c>
      <c r="E7146" s="1">
        <f>IFERROR(__xludf.DUMMYFUNCTION("""COMPUTED_VALUE"""),3.61861298275E11)</f>
        <v>361861298275</v>
      </c>
      <c r="F7146" s="1"/>
      <c r="G7146" s="1">
        <f>IFERROR(__xludf.DUMMYFUNCTION("""COMPUTED_VALUE"""),3.0)</f>
        <v>3</v>
      </c>
      <c r="H7146" s="3">
        <f>IFERROR(__xludf.DUMMYFUNCTION("""COMPUTED_VALUE"""),3.0)</f>
        <v>3</v>
      </c>
      <c r="I7146" s="4">
        <f>IFERROR(__xludf.DUMMYFUNCTION("""COMPUTED_VALUE"""),1.0)</f>
        <v>1</v>
      </c>
      <c r="J7146" s="1" t="str">
        <f>IFERROR(__xludf.DUMMYFUNCTION("""COMPUTED_VALUE"""),"Bem Launte")</f>
        <v>Bem Launte</v>
      </c>
      <c r="K7146" s="1" t="str">
        <f>IFERROR(__xludf.DUMMYFUNCTION("""COMPUTED_VALUE"""),"Core Product Support Escalation Team")</f>
        <v>Core Product Support Escalation Team</v>
      </c>
      <c r="L7146" s="1" t="str">
        <f>IFERROR(__xludf.DUMMYFUNCTION("""COMPUTED_VALUE"""),"CPS Core Product Support Escalations (CPSET)")</f>
        <v>CPS Core Product Support Escalations (CPSET)</v>
      </c>
    </row>
    <row r="7147">
      <c r="A7147" s="1" t="str">
        <f>IFERROR(__xludf.DUMMYFUNCTION("""COMPUTED_VALUE"""),"2025 Dec")</f>
        <v>2025 Dec</v>
      </c>
      <c r="B7147" s="2">
        <f>IFERROR(__xludf.DUMMYFUNCTION("""COMPUTED_VALUE"""),45999.0)</f>
        <v>45999</v>
      </c>
      <c r="C7147" s="1" t="str">
        <f>IFERROR(__xludf.DUMMYFUNCTION("""COMPUTED_VALUE"""),"High Sensitivity Support")</f>
        <v>High Sensitivity Support</v>
      </c>
      <c r="D7147" s="1" t="str">
        <f>IFERROR(__xludf.DUMMYFUNCTION("""COMPUTED_VALUE"""),"572f7cc4-e4a6-4132-92cf-6f6ba75ee4d7")</f>
        <v>572f7cc4-e4a6-4132-92cf-6f6ba75ee4d7</v>
      </c>
      <c r="E7147" s="1">
        <f>IFERROR(__xludf.DUMMYFUNCTION("""COMPUTED_VALUE"""),5.202419220111E12)</f>
        <v>5202419220111</v>
      </c>
      <c r="F7147" s="1"/>
      <c r="G7147" s="1"/>
      <c r="H7147" s="3">
        <f>IFERROR(__xludf.DUMMYFUNCTION("""COMPUTED_VALUE"""),0.0)</f>
        <v>0</v>
      </c>
      <c r="I7147" s="4"/>
      <c r="J7147" s="1" t="str">
        <f>IFERROR(__xludf.DUMMYFUNCTION("""COMPUTED_VALUE"""),"Issi Afable")</f>
        <v>Issi Afable</v>
      </c>
      <c r="K7147" s="1" t="str">
        <f>IFERROR(__xludf.DUMMYFUNCTION("""COMPUTED_VALUE"""),"High Sensitivity Support PH")</f>
        <v>High Sensitivity Support PH</v>
      </c>
      <c r="L7147" s="1" t="str">
        <f>IFERROR(__xludf.DUMMYFUNCTION("""COMPUTED_VALUE"""),"HSS High Sensitivity Support PH - SEE")</f>
        <v>HSS High Sensitivity Support PH - SEE</v>
      </c>
    </row>
    <row r="7148">
      <c r="A7148" s="1" t="str">
        <f>IFERROR(__xludf.DUMMYFUNCTION("""COMPUTED_VALUE"""),"2025 Dec")</f>
        <v>2025 Dec</v>
      </c>
      <c r="B7148" s="2">
        <f>IFERROR(__xludf.DUMMYFUNCTION("""COMPUTED_VALUE"""),45999.0)</f>
        <v>45999</v>
      </c>
      <c r="C7148" s="1" t="str">
        <f>IFERROR(__xludf.DUMMYFUNCTION("""COMPUTED_VALUE"""),"Segment-specific Support")</f>
        <v>Segment-specific Support</v>
      </c>
      <c r="D7148" s="1" t="str">
        <f>IFERROR(__xludf.DUMMYFUNCTION("""COMPUTED_VALUE"""),"78d3efd2-2d00-4986-b5cc-7ca6a1d3542d")</f>
        <v>78d3efd2-2d00-4986-b5cc-7ca6a1d3542d</v>
      </c>
      <c r="E7148" s="1">
        <f>IFERROR(__xludf.DUMMYFUNCTION("""COMPUTED_VALUE"""),5.566867981071E12)</f>
        <v>5566867981071</v>
      </c>
      <c r="F7148" s="1"/>
      <c r="G7148" s="1"/>
      <c r="H7148" s="3">
        <f>IFERROR(__xludf.DUMMYFUNCTION("""COMPUTED_VALUE"""),0.0)</f>
        <v>0</v>
      </c>
      <c r="I7148" s="4"/>
      <c r="J7148" s="1" t="str">
        <f>IFERROR(__xludf.DUMMYFUNCTION("""COMPUTED_VALUE"""),"Tash Kelly")</f>
        <v>Tash Kelly</v>
      </c>
      <c r="K7148" s="1" t="str">
        <f>IFERROR(__xludf.DUMMYFUNCTION("""COMPUTED_VALUE"""),"Affinity Support")</f>
        <v>Affinity Support</v>
      </c>
      <c r="L7148" s="1" t="str">
        <f>IFERROR(__xludf.DUMMYFUNCTION("""COMPUTED_VALUE"""),"SSS Affinity")</f>
        <v>SSS Affinity</v>
      </c>
    </row>
    <row r="7149">
      <c r="A7149" s="1" t="str">
        <f>IFERROR(__xludf.DUMMYFUNCTION("""COMPUTED_VALUE"""),"2025 Dec")</f>
        <v>2025 Dec</v>
      </c>
      <c r="B7149" s="2">
        <f>IFERROR(__xludf.DUMMYFUNCTION("""COMPUTED_VALUE"""),45999.0)</f>
        <v>45999</v>
      </c>
      <c r="C7149" s="1" t="str">
        <f>IFERROR(__xludf.DUMMYFUNCTION("""COMPUTED_VALUE"""),"Print Support")</f>
        <v>Print Support</v>
      </c>
      <c r="D7149" s="1" t="str">
        <f>IFERROR(__xludf.DUMMYFUNCTION("""COMPUTED_VALUE"""),"03738c45-2c9f-44bf-bb4b-58a2fe9fdf5d")</f>
        <v>03738c45-2c9f-44bf-bb4b-58a2fe9fdf5d</v>
      </c>
      <c r="E7149" s="1"/>
      <c r="F7149" s="1"/>
      <c r="G7149" s="1"/>
      <c r="H7149" s="3">
        <f>IFERROR(__xludf.DUMMYFUNCTION("""COMPUTED_VALUE"""),0.0)</f>
        <v>0</v>
      </c>
      <c r="I7149" s="4"/>
      <c r="J7149" s="1" t="str">
        <f>IFERROR(__xludf.DUMMYFUNCTION("""COMPUTED_VALUE"""),"Aliza Dote")</f>
        <v>Aliza Dote</v>
      </c>
      <c r="K7149" s="1" t="str">
        <f>IFERROR(__xludf.DUMMYFUNCTION("""COMPUTED_VALUE"""),"Print Design Support")</f>
        <v>Print Design Support</v>
      </c>
      <c r="L7149" s="1" t="str">
        <f>IFERROR(__xludf.DUMMYFUNCTION("""COMPUTED_VALUE"""),"Print Print Design")</f>
        <v>Print Print Design</v>
      </c>
    </row>
    <row r="7150">
      <c r="A7150" s="1" t="str">
        <f>IFERROR(__xludf.DUMMYFUNCTION("""COMPUTED_VALUE"""),"2025 Dec")</f>
        <v>2025 Dec</v>
      </c>
      <c r="B7150" s="2">
        <f>IFERROR(__xludf.DUMMYFUNCTION("""COMPUTED_VALUE"""),45999.0)</f>
        <v>45999</v>
      </c>
      <c r="C7150" s="1" t="str">
        <f>IFERROR(__xludf.DUMMYFUNCTION("""COMPUTED_VALUE"""),"Core Product Support")</f>
        <v>Core Product Support</v>
      </c>
      <c r="D7150" s="1" t="str">
        <f>IFERROR(__xludf.DUMMYFUNCTION("""COMPUTED_VALUE"""),"9c934de8-6199-4bb2-bcc9-bd8b70ec7a9c")</f>
        <v>9c934de8-6199-4bb2-bcc9-bd8b70ec7a9c</v>
      </c>
      <c r="E7150" s="1">
        <f>IFERROR(__xludf.DUMMYFUNCTION("""COMPUTED_VALUE"""),9.795939875087E12)</f>
        <v>9795939875087</v>
      </c>
      <c r="F7150" s="1">
        <f>IFERROR(__xludf.DUMMYFUNCTION("""COMPUTED_VALUE"""),0.5)</f>
        <v>0.5</v>
      </c>
      <c r="G7150" s="1"/>
      <c r="H7150" s="3">
        <f>IFERROR(__xludf.DUMMYFUNCTION("""COMPUTED_VALUE"""),0.5)</f>
        <v>0.5</v>
      </c>
      <c r="I7150" s="4">
        <f>IFERROR(__xludf.DUMMYFUNCTION("""COMPUTED_VALUE"""),0.0)</f>
        <v>0</v>
      </c>
      <c r="J7150" s="1" t="str">
        <f>IFERROR(__xludf.DUMMYFUNCTION("""COMPUTED_VALUE"""),"Cate Velasco")</f>
        <v>Cate Velasco</v>
      </c>
      <c r="K7150" s="1" t="str">
        <f>IFERROR(__xludf.DUMMYFUNCTION("""COMPUTED_VALUE"""),"Advanced Product Support")</f>
        <v>Advanced Product Support</v>
      </c>
      <c r="L7150" s="1" t="str">
        <f>IFERROR(__xludf.DUMMYFUNCTION("""COMPUTED_VALUE"""),"CPS Advanced Product Support (APS)")</f>
        <v>CPS Advanced Product Support (APS)</v>
      </c>
    </row>
    <row r="7151">
      <c r="A7151" s="1" t="str">
        <f>IFERROR(__xludf.DUMMYFUNCTION("""COMPUTED_VALUE"""),"2025 Dec")</f>
        <v>2025 Dec</v>
      </c>
      <c r="B7151" s="2">
        <f>IFERROR(__xludf.DUMMYFUNCTION("""COMPUTED_VALUE"""),45999.0)</f>
        <v>45999</v>
      </c>
      <c r="C7151" s="1" t="str">
        <f>IFERROR(__xludf.DUMMYFUNCTION("""COMPUTED_VALUE"""),"Core Product Support")</f>
        <v>Core Product Support</v>
      </c>
      <c r="D7151" s="1" t="str">
        <f>IFERROR(__xludf.DUMMYFUNCTION("""COMPUTED_VALUE"""),"0f8d8927-aad1-40c2-82ac-95b7b823eec0")</f>
        <v>0f8d8927-aad1-40c2-82ac-95b7b823eec0</v>
      </c>
      <c r="E7151" s="1">
        <f>IFERROR(__xludf.DUMMYFUNCTION("""COMPUTED_VALUE"""),5.202441056015E12)</f>
        <v>5202441056015</v>
      </c>
      <c r="F7151" s="1"/>
      <c r="G7151" s="1">
        <f>IFERROR(__xludf.DUMMYFUNCTION("""COMPUTED_VALUE"""),1.5)</f>
        <v>1.5</v>
      </c>
      <c r="H7151" s="3">
        <f>IFERROR(__xludf.DUMMYFUNCTION("""COMPUTED_VALUE"""),1.5)</f>
        <v>1.5</v>
      </c>
      <c r="I7151" s="4">
        <f>IFERROR(__xludf.DUMMYFUNCTION("""COMPUTED_VALUE"""),1.0)</f>
        <v>1</v>
      </c>
      <c r="J7151" s="1" t="str">
        <f>IFERROR(__xludf.DUMMYFUNCTION("""COMPUTED_VALUE"""),"Renette Bok")</f>
        <v>Renette Bok</v>
      </c>
      <c r="K7151" s="1" t="str">
        <f>IFERROR(__xludf.DUMMYFUNCTION("""COMPUTED_VALUE"""),"Advanced Billing &amp; Subscriptions")</f>
        <v>Advanced Billing &amp; Subscriptions</v>
      </c>
      <c r="L7151" s="1" t="str">
        <f>IFERROR(__xludf.DUMMYFUNCTION("""COMPUTED_VALUE"""),"CPS Advanced Billing and Subscriptions (ABS)")</f>
        <v>CPS Advanced Billing and Subscriptions (ABS)</v>
      </c>
    </row>
    <row r="7152">
      <c r="A7152" s="1" t="str">
        <f>IFERROR(__xludf.DUMMYFUNCTION("""COMPUTED_VALUE"""),"2025 Dec")</f>
        <v>2025 Dec</v>
      </c>
      <c r="B7152" s="2">
        <f>IFERROR(__xludf.DUMMYFUNCTION("""COMPUTED_VALUE"""),45999.0)</f>
        <v>45999</v>
      </c>
      <c r="C7152" s="1" t="str">
        <f>IFERROR(__xludf.DUMMYFUNCTION("""COMPUTED_VALUE"""),"Core Product Support")</f>
        <v>Core Product Support</v>
      </c>
      <c r="D7152" s="1" t="str">
        <f>IFERROR(__xludf.DUMMYFUNCTION("""COMPUTED_VALUE"""),"e33e46e4-d59d-4c5b-9834-288e99d79b63")</f>
        <v>e33e46e4-d59d-4c5b-9834-288e99d79b63</v>
      </c>
      <c r="E7152" s="1">
        <f>IFERROR(__xludf.DUMMYFUNCTION("""COMPUTED_VALUE"""),1.0333049582991E13)</f>
        <v>10333049582991</v>
      </c>
      <c r="F7152" s="1">
        <f>IFERROR(__xludf.DUMMYFUNCTION("""COMPUTED_VALUE"""),0.5)</f>
        <v>0.5</v>
      </c>
      <c r="G7152" s="1"/>
      <c r="H7152" s="3">
        <f>IFERROR(__xludf.DUMMYFUNCTION("""COMPUTED_VALUE"""),0.5)</f>
        <v>0.5</v>
      </c>
      <c r="I7152" s="4">
        <f>IFERROR(__xludf.DUMMYFUNCTION("""COMPUTED_VALUE"""),0.0)</f>
        <v>0</v>
      </c>
      <c r="J7152" s="1" t="str">
        <f>IFERROR(__xludf.DUMMYFUNCTION("""COMPUTED_VALUE"""),"Cate Velasco")</f>
        <v>Cate Velasco</v>
      </c>
      <c r="K7152" s="1" t="str">
        <f>IFERROR(__xludf.DUMMYFUNCTION("""COMPUTED_VALUE"""),"Advanced Product Support")</f>
        <v>Advanced Product Support</v>
      </c>
      <c r="L7152" s="1" t="str">
        <f>IFERROR(__xludf.DUMMYFUNCTION("""COMPUTED_VALUE"""),"CPS Advanced Product Support (APS)")</f>
        <v>CPS Advanced Product Support (APS)</v>
      </c>
    </row>
    <row r="7153">
      <c r="A7153" s="1" t="str">
        <f>IFERROR(__xludf.DUMMYFUNCTION("""COMPUTED_VALUE"""),"2025 Dec")</f>
        <v>2025 Dec</v>
      </c>
      <c r="B7153" s="2">
        <f>IFERROR(__xludf.DUMMYFUNCTION("""COMPUTED_VALUE"""),45999.0)</f>
        <v>45999</v>
      </c>
      <c r="C7153" s="1" t="str">
        <f>IFERROR(__xludf.DUMMYFUNCTION("""COMPUTED_VALUE"""),"Core Product Support")</f>
        <v>Core Product Support</v>
      </c>
      <c r="D7153" s="1" t="str">
        <f>IFERROR(__xludf.DUMMYFUNCTION("""COMPUTED_VALUE"""),"748f7375-5497-4286-b6df-38229b609d09")</f>
        <v>748f7375-5497-4286-b6df-38229b609d09</v>
      </c>
      <c r="E7153" s="1"/>
      <c r="F7153" s="1"/>
      <c r="G7153" s="1"/>
      <c r="H7153" s="3">
        <f>IFERROR(__xludf.DUMMYFUNCTION("""COMPUTED_VALUE"""),0.0)</f>
        <v>0</v>
      </c>
      <c r="I7153" s="4"/>
      <c r="J7153" s="1" t="str">
        <f>IFERROR(__xludf.DUMMYFUNCTION("""COMPUTED_VALUE"""),"Mikhaela Decangchon")</f>
        <v>Mikhaela Decangchon</v>
      </c>
      <c r="K7153" s="1" t="str">
        <f>IFERROR(__xludf.DUMMYFUNCTION("""COMPUTED_VALUE"""),"Advanced Product Support")</f>
        <v>Advanced Product Support</v>
      </c>
      <c r="L7153" s="1" t="str">
        <f>IFERROR(__xludf.DUMMYFUNCTION("""COMPUTED_VALUE"""),"CPS Advanced Product Support (APS)")</f>
        <v>CPS Advanced Product Support (APS)</v>
      </c>
    </row>
    <row r="7154">
      <c r="A7154" s="1" t="str">
        <f>IFERROR(__xludf.DUMMYFUNCTION("""COMPUTED_VALUE"""),"2025 Dec")</f>
        <v>2025 Dec</v>
      </c>
      <c r="B7154" s="2">
        <f>IFERROR(__xludf.DUMMYFUNCTION("""COMPUTED_VALUE"""),45999.0)</f>
        <v>45999</v>
      </c>
      <c r="C7154" s="1" t="str">
        <f>IFERROR(__xludf.DUMMYFUNCTION("""COMPUTED_VALUE"""),"Admin Support")</f>
        <v>Admin Support</v>
      </c>
      <c r="D7154" s="1" t="str">
        <f>IFERROR(__xludf.DUMMYFUNCTION("""COMPUTED_VALUE"""),"8d05170b-44c2-4973-963a-14bb293f18ab")</f>
        <v>8d05170b-44c2-4973-963a-14bb293f18ab</v>
      </c>
      <c r="E7154" s="1">
        <f>IFERROR(__xludf.DUMMYFUNCTION("""COMPUTED_VALUE"""),3.61731348415E11)</f>
        <v>361731348415</v>
      </c>
      <c r="F7154" s="1"/>
      <c r="G7154" s="1">
        <f>IFERROR(__xludf.DUMMYFUNCTION("""COMPUTED_VALUE"""),3.5)</f>
        <v>3.5</v>
      </c>
      <c r="H7154" s="3">
        <f>IFERROR(__xludf.DUMMYFUNCTION("""COMPUTED_VALUE"""),3.5)</f>
        <v>3.5</v>
      </c>
      <c r="I7154" s="4">
        <f>IFERROR(__xludf.DUMMYFUNCTION("""COMPUTED_VALUE"""),1.0)</f>
        <v>1</v>
      </c>
      <c r="J7154" s="1" t="str">
        <f>IFERROR(__xludf.DUMMYFUNCTION("""COMPUTED_VALUE"""),"Kelden Laguting")</f>
        <v>Kelden Laguting</v>
      </c>
      <c r="K7154" s="1" t="str">
        <f>IFERROR(__xludf.DUMMYFUNCTION("""COMPUTED_VALUE"""),"Admin Support PH")</f>
        <v>Admin Support PH</v>
      </c>
      <c r="L7154" s="1" t="str">
        <f>IFERROR(__xludf.DUMMYFUNCTION("""COMPUTED_VALUE"""),"Admin PH")</f>
        <v>Admin PH</v>
      </c>
    </row>
    <row r="7155">
      <c r="A7155" s="1" t="str">
        <f>IFERROR(__xludf.DUMMYFUNCTION("""COMPUTED_VALUE"""),"2025 Dec")</f>
        <v>2025 Dec</v>
      </c>
      <c r="B7155" s="2">
        <f>IFERROR(__xludf.DUMMYFUNCTION("""COMPUTED_VALUE"""),45999.0)</f>
        <v>45999</v>
      </c>
      <c r="C7155" s="1" t="str">
        <f>IFERROR(__xludf.DUMMYFUNCTION("""COMPUTED_VALUE"""),"Admin Support")</f>
        <v>Admin Support</v>
      </c>
      <c r="D7155" s="1" t="str">
        <f>IFERROR(__xludf.DUMMYFUNCTION("""COMPUTED_VALUE"""),"c51116f5-04d9-48df-a12a-dbf63eaf9c18")</f>
        <v>c51116f5-04d9-48df-a12a-dbf63eaf9c18</v>
      </c>
      <c r="E7155" s="1">
        <f>IFERROR(__xludf.DUMMYFUNCTION("""COMPUTED_VALUE"""),3.61731647035E11)</f>
        <v>361731647035</v>
      </c>
      <c r="F7155" s="1"/>
      <c r="G7155" s="1">
        <f>IFERROR(__xludf.DUMMYFUNCTION("""COMPUTED_VALUE"""),5.0)</f>
        <v>5</v>
      </c>
      <c r="H7155" s="3">
        <f>IFERROR(__xludf.DUMMYFUNCTION("""COMPUTED_VALUE"""),5.0)</f>
        <v>5</v>
      </c>
      <c r="I7155" s="4">
        <f>IFERROR(__xludf.DUMMYFUNCTION("""COMPUTED_VALUE"""),1.0)</f>
        <v>1</v>
      </c>
      <c r="J7155" s="1" t="str">
        <f>IFERROR(__xludf.DUMMYFUNCTION("""COMPUTED_VALUE"""),"Rose Gabilan")</f>
        <v>Rose Gabilan</v>
      </c>
      <c r="K7155" s="1" t="str">
        <f>IFERROR(__xludf.DUMMYFUNCTION("""COMPUTED_VALUE"""),"Admin Support PH SSO")</f>
        <v>Admin Support PH SSO</v>
      </c>
      <c r="L7155" s="1" t="str">
        <f>IFERROR(__xludf.DUMMYFUNCTION("""COMPUTED_VALUE"""),"Admin SSO - CHT")</f>
        <v>Admin SSO - CHT</v>
      </c>
    </row>
    <row r="7156">
      <c r="A7156" s="1" t="str">
        <f>IFERROR(__xludf.DUMMYFUNCTION("""COMPUTED_VALUE"""),"2025 Dec")</f>
        <v>2025 Dec</v>
      </c>
      <c r="B7156" s="2">
        <f>IFERROR(__xludf.DUMMYFUNCTION("""COMPUTED_VALUE"""),45999.0)</f>
        <v>45999</v>
      </c>
      <c r="C7156" s="1" t="str">
        <f>IFERROR(__xludf.DUMMYFUNCTION("""COMPUTED_VALUE"""),"Core Product Support")</f>
        <v>Core Product Support</v>
      </c>
      <c r="D7156" s="1" t="str">
        <f>IFERROR(__xludf.DUMMYFUNCTION("""COMPUTED_VALUE"""),"ee26274a-f5bb-4f8f-aa29-94921d6e67a9")</f>
        <v>ee26274a-f5bb-4f8f-aa29-94921d6e67a9</v>
      </c>
      <c r="E7156" s="1">
        <f>IFERROR(__xludf.DUMMYFUNCTION("""COMPUTED_VALUE"""),9.107717956879E12)</f>
        <v>9107717956879</v>
      </c>
      <c r="F7156" s="1">
        <f>IFERROR(__xludf.DUMMYFUNCTION("""COMPUTED_VALUE"""),0.5)</f>
        <v>0.5</v>
      </c>
      <c r="G7156" s="1"/>
      <c r="H7156" s="3">
        <f>IFERROR(__xludf.DUMMYFUNCTION("""COMPUTED_VALUE"""),0.5)</f>
        <v>0.5</v>
      </c>
      <c r="I7156" s="4">
        <f>IFERROR(__xludf.DUMMYFUNCTION("""COMPUTED_VALUE"""),0.0)</f>
        <v>0</v>
      </c>
      <c r="J7156" s="1" t="str">
        <f>IFERROR(__xludf.DUMMYFUNCTION("""COMPUTED_VALUE"""),"Marie Mordeno")</f>
        <v>Marie Mordeno</v>
      </c>
      <c r="K7156" s="1" t="str">
        <f>IFERROR(__xludf.DUMMYFUNCTION("""COMPUTED_VALUE"""),"Advanced Billing &amp; Subscriptions")</f>
        <v>Advanced Billing &amp; Subscriptions</v>
      </c>
      <c r="L7156" s="1" t="str">
        <f>IFERROR(__xludf.DUMMYFUNCTION("""COMPUTED_VALUE"""),"CPS Advanced Billing and Subscriptions (ABS)")</f>
        <v>CPS Advanced Billing and Subscriptions (ABS)</v>
      </c>
    </row>
    <row r="7157">
      <c r="A7157" s="1" t="str">
        <f>IFERROR(__xludf.DUMMYFUNCTION("""COMPUTED_VALUE"""),"2025 Dec")</f>
        <v>2025 Dec</v>
      </c>
      <c r="B7157" s="2">
        <f>IFERROR(__xludf.DUMMYFUNCTION("""COMPUTED_VALUE"""),45999.0)</f>
        <v>45999</v>
      </c>
      <c r="C7157" s="1" t="str">
        <f>IFERROR(__xludf.DUMMYFUNCTION("""COMPUTED_VALUE"""),"Core Product Support")</f>
        <v>Core Product Support</v>
      </c>
      <c r="D7157" s="1" t="str">
        <f>IFERROR(__xludf.DUMMYFUNCTION("""COMPUTED_VALUE"""),"9ec42277-802e-4dea-b288-c3f190cff1eb")</f>
        <v>9ec42277-802e-4dea-b288-c3f190cff1eb</v>
      </c>
      <c r="E7157" s="1">
        <f>IFERROR(__xludf.DUMMYFUNCTION("""COMPUTED_VALUE"""),3.61726427476E11)</f>
        <v>361726427476</v>
      </c>
      <c r="F7157" s="1"/>
      <c r="G7157" s="1">
        <f>IFERROR(__xludf.DUMMYFUNCTION("""COMPUTED_VALUE"""),3.0)</f>
        <v>3</v>
      </c>
      <c r="H7157" s="3">
        <f>IFERROR(__xludf.DUMMYFUNCTION("""COMPUTED_VALUE"""),3.0)</f>
        <v>3</v>
      </c>
      <c r="I7157" s="4">
        <f>IFERROR(__xludf.DUMMYFUNCTION("""COMPUTED_VALUE"""),1.0)</f>
        <v>1</v>
      </c>
      <c r="J7157" s="1" t="str">
        <f>IFERROR(__xludf.DUMMYFUNCTION("""COMPUTED_VALUE"""),"Ellaine Estayo")</f>
        <v>Ellaine Estayo</v>
      </c>
      <c r="K7157" s="1" t="str">
        <f>IFERROR(__xludf.DUMMYFUNCTION("""COMPUTED_VALUE"""),"Core Product Support Escalation Team")</f>
        <v>Core Product Support Escalation Team</v>
      </c>
      <c r="L7157" s="1" t="str">
        <f>IFERROR(__xludf.DUMMYFUNCTION("""COMPUTED_VALUE"""),"CPS Core Product Support Escalations (CPSET)")</f>
        <v>CPS Core Product Support Escalations (CPSET)</v>
      </c>
    </row>
    <row r="7158">
      <c r="A7158" s="1" t="str">
        <f>IFERROR(__xludf.DUMMYFUNCTION("""COMPUTED_VALUE"""),"2025 Dec")</f>
        <v>2025 Dec</v>
      </c>
      <c r="B7158" s="2">
        <f>IFERROR(__xludf.DUMMYFUNCTION("""COMPUTED_VALUE"""),45999.0)</f>
        <v>45999</v>
      </c>
      <c r="C7158" s="1" t="str">
        <f>IFERROR(__xludf.DUMMYFUNCTION("""COMPUTED_VALUE"""),"Print Support")</f>
        <v>Print Support</v>
      </c>
      <c r="D7158" s="1" t="str">
        <f>IFERROR(__xludf.DUMMYFUNCTION("""COMPUTED_VALUE"""),"9e3b5d29-0e29-4565-a70a-6e7ee3c7be84")</f>
        <v>9e3b5d29-0e29-4565-a70a-6e7ee3c7be84</v>
      </c>
      <c r="E7158" s="1">
        <f>IFERROR(__xludf.DUMMYFUNCTION("""COMPUTED_VALUE"""),1.0548602091791E13)</f>
        <v>10548602091791</v>
      </c>
      <c r="F7158" s="1"/>
      <c r="G7158" s="1"/>
      <c r="H7158" s="3">
        <f>IFERROR(__xludf.DUMMYFUNCTION("""COMPUTED_VALUE"""),0.0)</f>
        <v>0</v>
      </c>
      <c r="I7158" s="4"/>
      <c r="J7158" s="1" t="str">
        <f>IFERROR(__xludf.DUMMYFUNCTION("""COMPUTED_VALUE"""),"Jen Momo")</f>
        <v>Jen Momo</v>
      </c>
      <c r="K7158" s="1" t="str">
        <f>IFERROR(__xludf.DUMMYFUNCTION("""COMPUTED_VALUE"""),"Print Support PH")</f>
        <v>Print Support PH</v>
      </c>
      <c r="L7158" s="1" t="str">
        <f>IFERROR(__xludf.DUMMYFUNCTION("""COMPUTED_VALUE"""),"Print Print - CHT")</f>
        <v>Print Print - CHT</v>
      </c>
    </row>
    <row r="7159">
      <c r="A7159" s="1" t="str">
        <f>IFERROR(__xludf.DUMMYFUNCTION("""COMPUTED_VALUE"""),"2025 Dec")</f>
        <v>2025 Dec</v>
      </c>
      <c r="B7159" s="2">
        <f>IFERROR(__xludf.DUMMYFUNCTION("""COMPUTED_VALUE"""),45999.0)</f>
        <v>45999</v>
      </c>
      <c r="C7159" s="1" t="str">
        <f>IFERROR(__xludf.DUMMYFUNCTION("""COMPUTED_VALUE"""),"Segment-specific Support")</f>
        <v>Segment-specific Support</v>
      </c>
      <c r="D7159" s="1" t="str">
        <f>IFERROR(__xludf.DUMMYFUNCTION("""COMPUTED_VALUE"""),"eda8dc46-d638-4955-b85e-554ac98c41d8")</f>
        <v>eda8dc46-d638-4955-b85e-554ac98c41d8</v>
      </c>
      <c r="E7159" s="1">
        <f>IFERROR(__xludf.DUMMYFUNCTION("""COMPUTED_VALUE"""),3.61731943235E11)</f>
        <v>361731943235</v>
      </c>
      <c r="F7159" s="1"/>
      <c r="G7159" s="1"/>
      <c r="H7159" s="3">
        <f>IFERROR(__xludf.DUMMYFUNCTION("""COMPUTED_VALUE"""),0.0)</f>
        <v>0</v>
      </c>
      <c r="I7159" s="4"/>
      <c r="J7159" s="1" t="str">
        <f>IFERROR(__xludf.DUMMYFUNCTION("""COMPUTED_VALUE"""),"Aileen Dayanghirang")</f>
        <v>Aileen Dayanghirang</v>
      </c>
      <c r="K7159" s="1" t="str">
        <f>IFERROR(__xludf.DUMMYFUNCTION("""COMPUTED_VALUE"""),"Creators Support")</f>
        <v>Creators Support</v>
      </c>
      <c r="L7159" s="1" t="str">
        <f>IFERROR(__xludf.DUMMYFUNCTION("""COMPUTED_VALUE"""),"SSS Creators")</f>
        <v>SSS Creators</v>
      </c>
    </row>
    <row r="7160">
      <c r="A7160" s="1" t="str">
        <f>IFERROR(__xludf.DUMMYFUNCTION("""COMPUTED_VALUE"""),"2025 Dec")</f>
        <v>2025 Dec</v>
      </c>
      <c r="B7160" s="2">
        <f>IFERROR(__xludf.DUMMYFUNCTION("""COMPUTED_VALUE"""),45999.0)</f>
        <v>45999</v>
      </c>
      <c r="C7160" s="1" t="str">
        <f>IFERROR(__xludf.DUMMYFUNCTION("""COMPUTED_VALUE"""),"Admin Support")</f>
        <v>Admin Support</v>
      </c>
      <c r="D7160" s="1" t="str">
        <f>IFERROR(__xludf.DUMMYFUNCTION("""COMPUTED_VALUE"""),"1135d838-4518-48e7-a5b8-f1738f44245c")</f>
        <v>1135d838-4518-48e7-a5b8-f1738f44245c</v>
      </c>
      <c r="E7160" s="1">
        <f>IFERROR(__xludf.DUMMYFUNCTION("""COMPUTED_VALUE"""),9.795666354191E12)</f>
        <v>9795666354191</v>
      </c>
      <c r="F7160" s="1"/>
      <c r="G7160" s="1"/>
      <c r="H7160" s="3">
        <f>IFERROR(__xludf.DUMMYFUNCTION("""COMPUTED_VALUE"""),0.0)</f>
        <v>0</v>
      </c>
      <c r="I7160" s="4"/>
      <c r="J7160" s="1" t="str">
        <f>IFERROR(__xludf.DUMMYFUNCTION("""COMPUTED_VALUE"""),"Elise Cesario Mendes")</f>
        <v>Elise Cesario Mendes</v>
      </c>
      <c r="K7160" s="1" t="str">
        <f>IFERROR(__xludf.DUMMYFUNCTION("""COMPUTED_VALUE"""),"Admin Support APJ")</f>
        <v>Admin Support APJ</v>
      </c>
      <c r="L7160" s="1" t="str">
        <f>IFERROR(__xludf.DUMMYFUNCTION("""COMPUTED_VALUE"""),"Admin APJ")</f>
        <v>Admin APJ</v>
      </c>
    </row>
    <row r="7161">
      <c r="A7161" s="1" t="str">
        <f>IFERROR(__xludf.DUMMYFUNCTION("""COMPUTED_VALUE"""),"2025 Dec")</f>
        <v>2025 Dec</v>
      </c>
      <c r="B7161" s="2">
        <f>IFERROR(__xludf.DUMMYFUNCTION("""COMPUTED_VALUE"""),45999.0)</f>
        <v>45999</v>
      </c>
      <c r="C7161" s="1" t="str">
        <f>IFERROR(__xludf.DUMMYFUNCTION("""COMPUTED_VALUE"""),"High Sensitivity Support")</f>
        <v>High Sensitivity Support</v>
      </c>
      <c r="D7161" s="1" t="str">
        <f>IFERROR(__xludf.DUMMYFUNCTION("""COMPUTED_VALUE"""),"a3bbe934-01ae-4e93-9369-021e3581998d")</f>
        <v>a3bbe934-01ae-4e93-9369-021e3581998d</v>
      </c>
      <c r="E7161" s="1">
        <f>IFERROR(__xludf.DUMMYFUNCTION("""COMPUTED_VALUE"""),8.409869745551E12)</f>
        <v>8409869745551</v>
      </c>
      <c r="F7161" s="1"/>
      <c r="G7161" s="1"/>
      <c r="H7161" s="3">
        <f>IFERROR(__xludf.DUMMYFUNCTION("""COMPUTED_VALUE"""),0.0)</f>
        <v>0</v>
      </c>
      <c r="I7161" s="4"/>
      <c r="J7161" s="1" t="str">
        <f>IFERROR(__xludf.DUMMYFUNCTION("""COMPUTED_VALUE"""),"Rex Villamor")</f>
        <v>Rex Villamor</v>
      </c>
      <c r="K7161" s="1" t="str">
        <f>IFERROR(__xludf.DUMMYFUNCTION("""COMPUTED_VALUE"""),"High Sensitivity Support PH")</f>
        <v>High Sensitivity Support PH</v>
      </c>
      <c r="L7161" s="1" t="str">
        <f>IFERROR(__xludf.DUMMYFUNCTION("""COMPUTED_VALUE"""),"HSS High Sensitivity Support PH - CHT")</f>
        <v>HSS High Sensitivity Support PH - CHT</v>
      </c>
    </row>
    <row r="7162">
      <c r="A7162" s="1" t="str">
        <f>IFERROR(__xludf.DUMMYFUNCTION("""COMPUTED_VALUE"""),"2025 Dec")</f>
        <v>2025 Dec</v>
      </c>
      <c r="B7162" s="2">
        <f>IFERROR(__xludf.DUMMYFUNCTION("""COMPUTED_VALUE"""),45999.0)</f>
        <v>45999</v>
      </c>
      <c r="C7162" s="1" t="str">
        <f>IFERROR(__xludf.DUMMYFUNCTION("""COMPUTED_VALUE"""),"Core Product Support")</f>
        <v>Core Product Support</v>
      </c>
      <c r="D7162" s="1" t="str">
        <f>IFERROR(__xludf.DUMMYFUNCTION("""COMPUTED_VALUE"""),"3160ea91-bbe8-47f3-b356-db1889bfb947")</f>
        <v>3160ea91-bbe8-47f3-b356-db1889bfb947</v>
      </c>
      <c r="E7162" s="1">
        <f>IFERROR(__xludf.DUMMYFUNCTION("""COMPUTED_VALUE"""),8.904462217231E12)</f>
        <v>8904462217231</v>
      </c>
      <c r="F7162" s="1"/>
      <c r="G7162" s="1"/>
      <c r="H7162" s="3">
        <f>IFERROR(__xludf.DUMMYFUNCTION("""COMPUTED_VALUE"""),0.0)</f>
        <v>0</v>
      </c>
      <c r="I7162" s="4"/>
      <c r="J7162" s="1" t="str">
        <f>IFERROR(__xludf.DUMMYFUNCTION("""COMPUTED_VALUE"""),"Ana Lazaro")</f>
        <v>Ana Lazaro</v>
      </c>
      <c r="K7162" s="1" t="str">
        <f>IFERROR(__xludf.DUMMYFUNCTION("""COMPUTED_VALUE"""),"Advanced Billing &amp; Subscriptions")</f>
        <v>Advanced Billing &amp; Subscriptions</v>
      </c>
      <c r="L7162" s="1" t="str">
        <f>IFERROR(__xludf.DUMMYFUNCTION("""COMPUTED_VALUE"""),"CPS Advanced Billing and Subscriptions (ABS)")</f>
        <v>CPS Advanced Billing and Subscriptions (ABS)</v>
      </c>
    </row>
    <row r="7163">
      <c r="A7163" s="1" t="str">
        <f>IFERROR(__xludf.DUMMYFUNCTION("""COMPUTED_VALUE"""),"2025 Dec")</f>
        <v>2025 Dec</v>
      </c>
      <c r="B7163" s="2">
        <f>IFERROR(__xludf.DUMMYFUNCTION("""COMPUTED_VALUE"""),45999.0)</f>
        <v>45999</v>
      </c>
      <c r="C7163" s="1" t="str">
        <f>IFERROR(__xludf.DUMMYFUNCTION("""COMPUTED_VALUE"""),"Admin Support")</f>
        <v>Admin Support</v>
      </c>
      <c r="D7163" s="1" t="str">
        <f>IFERROR(__xludf.DUMMYFUNCTION("""COMPUTED_VALUE"""),"0c4907ba-7b85-4f42-8afb-a62cdeb8fbd3")</f>
        <v>0c4907ba-7b85-4f42-8afb-a62cdeb8fbd3</v>
      </c>
      <c r="E7163" s="1">
        <f>IFERROR(__xludf.DUMMYFUNCTION("""COMPUTED_VALUE"""),3.61731944975E11)</f>
        <v>361731944975</v>
      </c>
      <c r="F7163" s="1"/>
      <c r="G7163" s="1">
        <f>IFERROR(__xludf.DUMMYFUNCTION("""COMPUTED_VALUE"""),3.5)</f>
        <v>3.5</v>
      </c>
      <c r="H7163" s="3">
        <f>IFERROR(__xludf.DUMMYFUNCTION("""COMPUTED_VALUE"""),3.5)</f>
        <v>3.5</v>
      </c>
      <c r="I7163" s="4">
        <f>IFERROR(__xludf.DUMMYFUNCTION("""COMPUTED_VALUE"""),1.0)</f>
        <v>1</v>
      </c>
      <c r="J7163" s="1" t="str">
        <f>IFERROR(__xludf.DUMMYFUNCTION("""COMPUTED_VALUE"""),"Kelden Laguting")</f>
        <v>Kelden Laguting</v>
      </c>
      <c r="K7163" s="1" t="str">
        <f>IFERROR(__xludf.DUMMYFUNCTION("""COMPUTED_VALUE"""),"Admin Support PH")</f>
        <v>Admin Support PH</v>
      </c>
      <c r="L7163" s="1" t="str">
        <f>IFERROR(__xludf.DUMMYFUNCTION("""COMPUTED_VALUE"""),"Admin PH")</f>
        <v>Admin PH</v>
      </c>
    </row>
    <row r="7164">
      <c r="A7164" s="1" t="str">
        <f>IFERROR(__xludf.DUMMYFUNCTION("""COMPUTED_VALUE"""),"2025 Dec")</f>
        <v>2025 Dec</v>
      </c>
      <c r="B7164" s="2">
        <f>IFERROR(__xludf.DUMMYFUNCTION("""COMPUTED_VALUE"""),45999.0)</f>
        <v>45999</v>
      </c>
      <c r="C7164" s="1" t="str">
        <f>IFERROR(__xludf.DUMMYFUNCTION("""COMPUTED_VALUE"""),"Admin Support")</f>
        <v>Admin Support</v>
      </c>
      <c r="D7164" s="1" t="str">
        <f>IFERROR(__xludf.DUMMYFUNCTION("""COMPUTED_VALUE"""),"f3e01c36-ae47-4587-bb42-c4f8b42102e5")</f>
        <v>f3e01c36-ae47-4587-bb42-c4f8b42102e5</v>
      </c>
      <c r="E7164" s="1">
        <f>IFERROR(__xludf.DUMMYFUNCTION("""COMPUTED_VALUE"""),3.61725484056E11)</f>
        <v>361725484056</v>
      </c>
      <c r="F7164" s="1"/>
      <c r="G7164" s="1">
        <f>IFERROR(__xludf.DUMMYFUNCTION("""COMPUTED_VALUE"""),5.5)</f>
        <v>5.5</v>
      </c>
      <c r="H7164" s="3">
        <f>IFERROR(__xludf.DUMMYFUNCTION("""COMPUTED_VALUE"""),5.5)</f>
        <v>5.5</v>
      </c>
      <c r="I7164" s="4">
        <f>IFERROR(__xludf.DUMMYFUNCTION("""COMPUTED_VALUE"""),1.0)</f>
        <v>1</v>
      </c>
      <c r="J7164" s="1" t="str">
        <f>IFERROR(__xludf.DUMMYFUNCTION("""COMPUTED_VALUE"""),"Rose Gabilan")</f>
        <v>Rose Gabilan</v>
      </c>
      <c r="K7164" s="1" t="str">
        <f>IFERROR(__xludf.DUMMYFUNCTION("""COMPUTED_VALUE"""),"Admin Support PH SSO")</f>
        <v>Admin Support PH SSO</v>
      </c>
      <c r="L7164" s="1" t="str">
        <f>IFERROR(__xludf.DUMMYFUNCTION("""COMPUTED_VALUE"""),"Admin SSO - CHT")</f>
        <v>Admin SSO - CHT</v>
      </c>
    </row>
    <row r="7165">
      <c r="A7165" s="1" t="str">
        <f>IFERROR(__xludf.DUMMYFUNCTION("""COMPUTED_VALUE"""),"2025 Dec")</f>
        <v>2025 Dec</v>
      </c>
      <c r="B7165" s="2">
        <f>IFERROR(__xludf.DUMMYFUNCTION("""COMPUTED_VALUE"""),45999.0)</f>
        <v>45999</v>
      </c>
      <c r="C7165" s="1" t="str">
        <f>IFERROR(__xludf.DUMMYFUNCTION("""COMPUTED_VALUE"""),"Segment-specific Support")</f>
        <v>Segment-specific Support</v>
      </c>
      <c r="D7165" s="1" t="str">
        <f>IFERROR(__xludf.DUMMYFUNCTION("""COMPUTED_VALUE"""),"0a760e6d-f69c-4cfc-a59a-917274456550")</f>
        <v>0a760e6d-f69c-4cfc-a59a-917274456550</v>
      </c>
      <c r="E7165" s="1">
        <f>IFERROR(__xludf.DUMMYFUNCTION("""COMPUTED_VALUE"""),5.047314632975E12)</f>
        <v>5047314632975</v>
      </c>
      <c r="F7165" s="1"/>
      <c r="G7165" s="1"/>
      <c r="H7165" s="3">
        <f>IFERROR(__xludf.DUMMYFUNCTION("""COMPUTED_VALUE"""),0.0)</f>
        <v>0</v>
      </c>
      <c r="I7165" s="4"/>
      <c r="J7165" s="1" t="str">
        <f>IFERROR(__xludf.DUMMYFUNCTION("""COMPUTED_VALUE"""),"Tash Kelly")</f>
        <v>Tash Kelly</v>
      </c>
      <c r="K7165" s="1" t="str">
        <f>IFERROR(__xludf.DUMMYFUNCTION("""COMPUTED_VALUE"""),"Affinity Support")</f>
        <v>Affinity Support</v>
      </c>
      <c r="L7165" s="1" t="str">
        <f>IFERROR(__xludf.DUMMYFUNCTION("""COMPUTED_VALUE"""),"SSS Affinity")</f>
        <v>SSS Affinity</v>
      </c>
    </row>
    <row r="7166">
      <c r="A7166" s="1" t="str">
        <f>IFERROR(__xludf.DUMMYFUNCTION("""COMPUTED_VALUE"""),"2025 Dec")</f>
        <v>2025 Dec</v>
      </c>
      <c r="B7166" s="2">
        <f>IFERROR(__xludf.DUMMYFUNCTION("""COMPUTED_VALUE"""),45999.0)</f>
        <v>45999</v>
      </c>
      <c r="C7166" s="1" t="str">
        <f>IFERROR(__xludf.DUMMYFUNCTION("""COMPUTED_VALUE"""),"Admin Support")</f>
        <v>Admin Support</v>
      </c>
      <c r="D7166" s="1" t="str">
        <f>IFERROR(__xludf.DUMMYFUNCTION("""COMPUTED_VALUE"""),"97756389-1733-4bfe-bf0b-b3fe225fe510")</f>
        <v>97756389-1733-4bfe-bf0b-b3fe225fe510</v>
      </c>
      <c r="E7166" s="1">
        <f>IFERROR(__xludf.DUMMYFUNCTION("""COMPUTED_VALUE"""),9.153847235087E12)</f>
        <v>9153847235087</v>
      </c>
      <c r="F7166" s="1"/>
      <c r="G7166" s="1"/>
      <c r="H7166" s="3">
        <f>IFERROR(__xludf.DUMMYFUNCTION("""COMPUTED_VALUE"""),0.0)</f>
        <v>0</v>
      </c>
      <c r="I7166" s="4"/>
      <c r="J7166" s="1" t="str">
        <f>IFERROR(__xludf.DUMMYFUNCTION("""COMPUTED_VALUE"""),"Tash Kelly")</f>
        <v>Tash Kelly</v>
      </c>
      <c r="K7166" s="1" t="str">
        <f>IFERROR(__xludf.DUMMYFUNCTION("""COMPUTED_VALUE"""),"Admin Support EMEA")</f>
        <v>Admin Support EMEA</v>
      </c>
      <c r="L7166" s="1" t="str">
        <f>IFERROR(__xludf.DUMMYFUNCTION("""COMPUTED_VALUE"""),"Admin EMEA")</f>
        <v>Admin EMEA</v>
      </c>
    </row>
    <row r="7167">
      <c r="A7167" s="1" t="str">
        <f>IFERROR(__xludf.DUMMYFUNCTION("""COMPUTED_VALUE"""),"2025 Dec")</f>
        <v>2025 Dec</v>
      </c>
      <c r="B7167" s="2">
        <f>IFERROR(__xludf.DUMMYFUNCTION("""COMPUTED_VALUE"""),45999.0)</f>
        <v>45999</v>
      </c>
      <c r="C7167" s="1" t="str">
        <f>IFERROR(__xludf.DUMMYFUNCTION("""COMPUTED_VALUE"""),"Admin Support")</f>
        <v>Admin Support</v>
      </c>
      <c r="D7167" s="1" t="str">
        <f>IFERROR(__xludf.DUMMYFUNCTION("""COMPUTED_VALUE"""),"b8e64047-ce95-4bd1-ba70-97209dbdd968")</f>
        <v>b8e64047-ce95-4bd1-ba70-97209dbdd968</v>
      </c>
      <c r="E7167" s="1">
        <f>IFERROR(__xludf.DUMMYFUNCTION("""COMPUTED_VALUE"""),5.813415515279E12)</f>
        <v>5813415515279</v>
      </c>
      <c r="F7167" s="1">
        <f>IFERROR(__xludf.DUMMYFUNCTION("""COMPUTED_VALUE"""),0.5)</f>
        <v>0.5</v>
      </c>
      <c r="G7167" s="1"/>
      <c r="H7167" s="3">
        <f>IFERROR(__xludf.DUMMYFUNCTION("""COMPUTED_VALUE"""),0.5)</f>
        <v>0.5</v>
      </c>
      <c r="I7167" s="4">
        <f>IFERROR(__xludf.DUMMYFUNCTION("""COMPUTED_VALUE"""),0.0)</f>
        <v>0</v>
      </c>
      <c r="J7167" s="1" t="str">
        <f>IFERROR(__xludf.DUMMYFUNCTION("""COMPUTED_VALUE"""),"Tash Kelly")</f>
        <v>Tash Kelly</v>
      </c>
      <c r="K7167" s="1" t="str">
        <f>IFERROR(__xludf.DUMMYFUNCTION("""COMPUTED_VALUE"""),"Admin Support NA")</f>
        <v>Admin Support NA</v>
      </c>
      <c r="L7167" s="1" t="str">
        <f>IFERROR(__xludf.DUMMYFUNCTION("""COMPUTED_VALUE"""),"Admin NA")</f>
        <v>Admin NA</v>
      </c>
    </row>
    <row r="7168">
      <c r="A7168" s="1" t="str">
        <f>IFERROR(__xludf.DUMMYFUNCTION("""COMPUTED_VALUE"""),"2025 Dec")</f>
        <v>2025 Dec</v>
      </c>
      <c r="B7168" s="2">
        <f>IFERROR(__xludf.DUMMYFUNCTION("""COMPUTED_VALUE"""),45999.0)</f>
        <v>45999</v>
      </c>
      <c r="C7168" s="1" t="str">
        <f>IFERROR(__xludf.DUMMYFUNCTION("""COMPUTED_VALUE"""),"Print Support")</f>
        <v>Print Support</v>
      </c>
      <c r="D7168" s="1" t="str">
        <f>IFERROR(__xludf.DUMMYFUNCTION("""COMPUTED_VALUE"""),"0a8eade5-f55e-4b55-9dca-c83c736a8818")</f>
        <v>0a8eade5-f55e-4b55-9dca-c83c736a8818</v>
      </c>
      <c r="E7168" s="1">
        <f>IFERROR(__xludf.DUMMYFUNCTION("""COMPUTED_VALUE"""),3.61744044436E11)</f>
        <v>361744044436</v>
      </c>
      <c r="F7168" s="1">
        <f>IFERROR(__xludf.DUMMYFUNCTION("""COMPUTED_VALUE"""),2.0)</f>
        <v>2</v>
      </c>
      <c r="G7168" s="1"/>
      <c r="H7168" s="3">
        <f>IFERROR(__xludf.DUMMYFUNCTION("""COMPUTED_VALUE"""),2.0)</f>
        <v>2</v>
      </c>
      <c r="I7168" s="4">
        <f>IFERROR(__xludf.DUMMYFUNCTION("""COMPUTED_VALUE"""),0.0)</f>
        <v>0</v>
      </c>
      <c r="J7168" s="1" t="str">
        <f>IFERROR(__xludf.DUMMYFUNCTION("""COMPUTED_VALUE"""),"Rae Erlano")</f>
        <v>Rae Erlano</v>
      </c>
      <c r="K7168" s="1" t="str">
        <f>IFERROR(__xludf.DUMMYFUNCTION("""COMPUTED_VALUE"""),"Print Support PH")</f>
        <v>Print Support PH</v>
      </c>
      <c r="L7168" s="1" t="str">
        <f>IFERROR(__xludf.DUMMYFUNCTION("""COMPUTED_VALUE"""),"Print Print - SEE")</f>
        <v>Print Print - SEE</v>
      </c>
    </row>
    <row r="7169">
      <c r="A7169" s="1" t="str">
        <f>IFERROR(__xludf.DUMMYFUNCTION("""COMPUTED_VALUE"""),"2025 Dec")</f>
        <v>2025 Dec</v>
      </c>
      <c r="B7169" s="2">
        <f>IFERROR(__xludf.DUMMYFUNCTION("""COMPUTED_VALUE"""),45999.0)</f>
        <v>45999</v>
      </c>
      <c r="C7169" s="1" t="str">
        <f>IFERROR(__xludf.DUMMYFUNCTION("""COMPUTED_VALUE"""),"Print Support")</f>
        <v>Print Support</v>
      </c>
      <c r="D7169" s="1" t="str">
        <f>IFERROR(__xludf.DUMMYFUNCTION("""COMPUTED_VALUE"""),"7938e720-2f23-4ae8-a8bc-a1aeb68883d0")</f>
        <v>7938e720-2f23-4ae8-a8bc-a1aeb68883d0</v>
      </c>
      <c r="E7169" s="1">
        <f>IFERROR(__xludf.DUMMYFUNCTION("""COMPUTED_VALUE"""),5.359144671119E12)</f>
        <v>5359144671119</v>
      </c>
      <c r="F7169" s="1"/>
      <c r="G7169" s="1"/>
      <c r="H7169" s="3">
        <f>IFERROR(__xludf.DUMMYFUNCTION("""COMPUTED_VALUE"""),0.0)</f>
        <v>0</v>
      </c>
      <c r="I7169" s="4"/>
      <c r="J7169" s="1" t="str">
        <f>IFERROR(__xludf.DUMMYFUNCTION("""COMPUTED_VALUE"""),"Rae Erlano")</f>
        <v>Rae Erlano</v>
      </c>
      <c r="K7169" s="1" t="str">
        <f>IFERROR(__xludf.DUMMYFUNCTION("""COMPUTED_VALUE"""),"Print Support PH")</f>
        <v>Print Support PH</v>
      </c>
      <c r="L7169" s="1" t="str">
        <f>IFERROR(__xludf.DUMMYFUNCTION("""COMPUTED_VALUE"""),"Print Print - CHT")</f>
        <v>Print Print - CHT</v>
      </c>
    </row>
    <row r="7170">
      <c r="A7170" s="1" t="str">
        <f>IFERROR(__xludf.DUMMYFUNCTION("""COMPUTED_VALUE"""),"2025 Dec")</f>
        <v>2025 Dec</v>
      </c>
      <c r="B7170" s="2">
        <f>IFERROR(__xludf.DUMMYFUNCTION("""COMPUTED_VALUE"""),45999.0)</f>
        <v>45999</v>
      </c>
      <c r="C7170" s="1" t="str">
        <f>IFERROR(__xludf.DUMMYFUNCTION("""COMPUTED_VALUE"""),"Core Product Support")</f>
        <v>Core Product Support</v>
      </c>
      <c r="D7170" s="1" t="str">
        <f>IFERROR(__xludf.DUMMYFUNCTION("""COMPUTED_VALUE"""),"7bf5cef1-9473-43c3-9aff-115283ed0e7a")</f>
        <v>7bf5cef1-9473-43c3-9aff-115283ed0e7a</v>
      </c>
      <c r="E7170" s="1">
        <f>IFERROR(__xludf.DUMMYFUNCTION("""COMPUTED_VALUE"""),1.0005707260559E13)</f>
        <v>10005707260559</v>
      </c>
      <c r="F7170" s="1"/>
      <c r="G7170" s="1">
        <f>IFERROR(__xludf.DUMMYFUNCTION("""COMPUTED_VALUE"""),1.5)</f>
        <v>1.5</v>
      </c>
      <c r="H7170" s="3">
        <f>IFERROR(__xludf.DUMMYFUNCTION("""COMPUTED_VALUE"""),1.5)</f>
        <v>1.5</v>
      </c>
      <c r="I7170" s="4">
        <f>IFERROR(__xludf.DUMMYFUNCTION("""COMPUTED_VALUE"""),1.0)</f>
        <v>1</v>
      </c>
      <c r="J7170" s="1" t="str">
        <f>IFERROR(__xludf.DUMMYFUNCTION("""COMPUTED_VALUE"""),"Jahmie Mae Barrameda")</f>
        <v>Jahmie Mae Barrameda</v>
      </c>
      <c r="K7170" s="1" t="str">
        <f>IFERROR(__xludf.DUMMYFUNCTION("""COMPUTED_VALUE"""),"Advanced Billing &amp; Subscriptions")</f>
        <v>Advanced Billing &amp; Subscriptions</v>
      </c>
      <c r="L7170" s="1" t="str">
        <f>IFERROR(__xludf.DUMMYFUNCTION("""COMPUTED_VALUE"""),"CPS Advanced Billing and Subscriptions (ABS)")</f>
        <v>CPS Advanced Billing and Subscriptions (ABS)</v>
      </c>
    </row>
    <row r="7171">
      <c r="A7171" s="1" t="str">
        <f>IFERROR(__xludf.DUMMYFUNCTION("""COMPUTED_VALUE"""),"2025 Dec")</f>
        <v>2025 Dec</v>
      </c>
      <c r="B7171" s="2">
        <f>IFERROR(__xludf.DUMMYFUNCTION("""COMPUTED_VALUE"""),45999.0)</f>
        <v>45999</v>
      </c>
      <c r="C7171" s="1" t="str">
        <f>IFERROR(__xludf.DUMMYFUNCTION("""COMPUTED_VALUE"""),"Segment-specific Support")</f>
        <v>Segment-specific Support</v>
      </c>
      <c r="D7171" s="1" t="str">
        <f>IFERROR(__xludf.DUMMYFUNCTION("""COMPUTED_VALUE"""),"ea5d3075-1c56-458e-abc7-f25ded5a9d76")</f>
        <v>ea5d3075-1c56-458e-abc7-f25ded5a9d76</v>
      </c>
      <c r="E7171" s="1">
        <f>IFERROR(__xludf.DUMMYFUNCTION("""COMPUTED_VALUE"""),1.1401961186319E13)</f>
        <v>11401961186319</v>
      </c>
      <c r="F7171" s="1"/>
      <c r="G7171" s="1"/>
      <c r="H7171" s="3">
        <f>IFERROR(__xludf.DUMMYFUNCTION("""COMPUTED_VALUE"""),0.0)</f>
        <v>0</v>
      </c>
      <c r="I7171" s="4"/>
      <c r="J7171" s="1" t="str">
        <f>IFERROR(__xludf.DUMMYFUNCTION("""COMPUTED_VALUE"""),"Aileen Dayanghirang")</f>
        <v>Aileen Dayanghirang</v>
      </c>
      <c r="K7171" s="1" t="str">
        <f>IFERROR(__xludf.DUMMYFUNCTION("""COMPUTED_VALUE"""),"Creators Support")</f>
        <v>Creators Support</v>
      </c>
      <c r="L7171" s="1" t="str">
        <f>IFERROR(__xludf.DUMMYFUNCTION("""COMPUTED_VALUE"""),"SSS Creators")</f>
        <v>SSS Creators</v>
      </c>
    </row>
    <row r="7172">
      <c r="A7172" s="1" t="str">
        <f>IFERROR(__xludf.DUMMYFUNCTION("""COMPUTED_VALUE"""),"2025 Dec")</f>
        <v>2025 Dec</v>
      </c>
      <c r="B7172" s="2">
        <f>IFERROR(__xludf.DUMMYFUNCTION("""COMPUTED_VALUE"""),45999.0)</f>
        <v>45999</v>
      </c>
      <c r="C7172" s="1" t="str">
        <f>IFERROR(__xludf.DUMMYFUNCTION("""COMPUTED_VALUE"""),"Admin Support")</f>
        <v>Admin Support</v>
      </c>
      <c r="D7172" s="1" t="str">
        <f>IFERROR(__xludf.DUMMYFUNCTION("""COMPUTED_VALUE"""),"ac612821-c478-4ed1-8b21-3e20fb1b17d4")</f>
        <v>ac612821-c478-4ed1-8b21-3e20fb1b17d4</v>
      </c>
      <c r="E7172" s="1">
        <f>IFERROR(__xludf.DUMMYFUNCTION("""COMPUTED_VALUE"""),8.409862611087E12)</f>
        <v>8409862611087</v>
      </c>
      <c r="F7172" s="1"/>
      <c r="G7172" s="1">
        <f>IFERROR(__xludf.DUMMYFUNCTION("""COMPUTED_VALUE"""),4.0)</f>
        <v>4</v>
      </c>
      <c r="H7172" s="3">
        <f>IFERROR(__xludf.DUMMYFUNCTION("""COMPUTED_VALUE"""),4.0)</f>
        <v>4</v>
      </c>
      <c r="I7172" s="4">
        <f>IFERROR(__xludf.DUMMYFUNCTION("""COMPUTED_VALUE"""),1.0)</f>
        <v>1</v>
      </c>
      <c r="J7172" s="1" t="str">
        <f>IFERROR(__xludf.DUMMYFUNCTION("""COMPUTED_VALUE"""),"Kelden Laguting")</f>
        <v>Kelden Laguting</v>
      </c>
      <c r="K7172" s="1" t="str">
        <f>IFERROR(__xludf.DUMMYFUNCTION("""COMPUTED_VALUE"""),"Admin Support PH")</f>
        <v>Admin Support PH</v>
      </c>
      <c r="L7172" s="1" t="str">
        <f>IFERROR(__xludf.DUMMYFUNCTION("""COMPUTED_VALUE"""),"Admin PH")</f>
        <v>Admin PH</v>
      </c>
    </row>
    <row r="7173">
      <c r="A7173" s="1" t="str">
        <f>IFERROR(__xludf.DUMMYFUNCTION("""COMPUTED_VALUE"""),"2025 Dec")</f>
        <v>2025 Dec</v>
      </c>
      <c r="B7173" s="2">
        <f>IFERROR(__xludf.DUMMYFUNCTION("""COMPUTED_VALUE"""),45999.0)</f>
        <v>45999</v>
      </c>
      <c r="C7173" s="1" t="str">
        <f>IFERROR(__xludf.DUMMYFUNCTION("""COMPUTED_VALUE"""),"Multilingual Support")</f>
        <v>Multilingual Support</v>
      </c>
      <c r="D7173" s="1" t="str">
        <f>IFERROR(__xludf.DUMMYFUNCTION("""COMPUTED_VALUE"""),"c643f4d3-31ef-4155-ba4e-a552baeb6f23")</f>
        <v>c643f4d3-31ef-4155-ba4e-a552baeb6f23</v>
      </c>
      <c r="E7173" s="1">
        <f>IFERROR(__xludf.DUMMYFUNCTION("""COMPUTED_VALUE"""),3.61726424916E11)</f>
        <v>361726424916</v>
      </c>
      <c r="F7173" s="1"/>
      <c r="G7173" s="1"/>
      <c r="H7173" s="3">
        <f>IFERROR(__xludf.DUMMYFUNCTION("""COMPUTED_VALUE"""),0.0)</f>
        <v>0</v>
      </c>
      <c r="I7173" s="4"/>
      <c r="J7173" s="1" t="str">
        <f>IFERROR(__xludf.DUMMYFUNCTION("""COMPUTED_VALUE"""),"Arlene Maurillo")</f>
        <v>Arlene Maurillo</v>
      </c>
      <c r="K7173" s="1" t="str">
        <f>IFERROR(__xludf.DUMMYFUNCTION("""COMPUTED_VALUE"""),"PHL, Multilingual Support")</f>
        <v>PHL, Multilingual Support</v>
      </c>
      <c r="L7173" s="1" t="str">
        <f>IFERROR(__xludf.DUMMYFUNCTION("""COMPUTED_VALUE"""),"ML French Support")</f>
        <v>ML French Support</v>
      </c>
    </row>
    <row r="7174">
      <c r="A7174" s="1" t="str">
        <f>IFERROR(__xludf.DUMMYFUNCTION("""COMPUTED_VALUE"""),"2025 Dec")</f>
        <v>2025 Dec</v>
      </c>
      <c r="B7174" s="2">
        <f>IFERROR(__xludf.DUMMYFUNCTION("""COMPUTED_VALUE"""),45999.0)</f>
        <v>45999</v>
      </c>
      <c r="C7174" s="1" t="str">
        <f>IFERROR(__xludf.DUMMYFUNCTION("""COMPUTED_VALUE"""),"High Sensitivity Support")</f>
        <v>High Sensitivity Support</v>
      </c>
      <c r="D7174" s="1" t="str">
        <f>IFERROR(__xludf.DUMMYFUNCTION("""COMPUTED_VALUE"""),"19ca9753-f76b-4593-ad5b-20f0e6bda57d")</f>
        <v>19ca9753-f76b-4593-ad5b-20f0e6bda57d</v>
      </c>
      <c r="E7174" s="1">
        <f>IFERROR(__xludf.DUMMYFUNCTION("""COMPUTED_VALUE"""),3.61694652335E11)</f>
        <v>361694652335</v>
      </c>
      <c r="F7174" s="1">
        <f>IFERROR(__xludf.DUMMYFUNCTION("""COMPUTED_VALUE"""),4.0)</f>
        <v>4</v>
      </c>
      <c r="G7174" s="1"/>
      <c r="H7174" s="3">
        <f>IFERROR(__xludf.DUMMYFUNCTION("""COMPUTED_VALUE"""),4.0)</f>
        <v>4</v>
      </c>
      <c r="I7174" s="4">
        <f>IFERROR(__xludf.DUMMYFUNCTION("""COMPUTED_VALUE"""),0.0)</f>
        <v>0</v>
      </c>
      <c r="J7174" s="1" t="str">
        <f>IFERROR(__xludf.DUMMYFUNCTION("""COMPUTED_VALUE"""),"Xandy Azarcon")</f>
        <v>Xandy Azarcon</v>
      </c>
      <c r="K7174" s="1" t="str">
        <f>IFERROR(__xludf.DUMMYFUNCTION("""COMPUTED_VALUE"""),"High Sensitivity Support PH")</f>
        <v>High Sensitivity Support PH</v>
      </c>
      <c r="L7174" s="1" t="str">
        <f>IFERROR(__xludf.DUMMYFUNCTION("""COMPUTED_VALUE"""),"HSS High Sensitivity Support PH - CHT")</f>
        <v>HSS High Sensitivity Support PH - CHT</v>
      </c>
    </row>
    <row r="7175">
      <c r="A7175" s="1" t="str">
        <f>IFERROR(__xludf.DUMMYFUNCTION("""COMPUTED_VALUE"""),"2025 Dec")</f>
        <v>2025 Dec</v>
      </c>
      <c r="B7175" s="2">
        <f>IFERROR(__xludf.DUMMYFUNCTION("""COMPUTED_VALUE"""),45999.0)</f>
        <v>45999</v>
      </c>
      <c r="C7175" s="1" t="str">
        <f>IFERROR(__xludf.DUMMYFUNCTION("""COMPUTED_VALUE"""),"High Sensitivity Support")</f>
        <v>High Sensitivity Support</v>
      </c>
      <c r="D7175" s="1" t="str">
        <f>IFERROR(__xludf.DUMMYFUNCTION("""COMPUTED_VALUE"""),"9ade6020-1c9b-4fab-b5d6-fa3b2ae1a212")</f>
        <v>9ade6020-1c9b-4fab-b5d6-fa3b2ae1a212</v>
      </c>
      <c r="E7175" s="1">
        <f>IFERROR(__xludf.DUMMYFUNCTION("""COMPUTED_VALUE"""),5.047383497615E12)</f>
        <v>5047383497615</v>
      </c>
      <c r="F7175" s="1"/>
      <c r="G7175" s="1"/>
      <c r="H7175" s="3">
        <f>IFERROR(__xludf.DUMMYFUNCTION("""COMPUTED_VALUE"""),0.0)</f>
        <v>0</v>
      </c>
      <c r="I7175" s="4"/>
      <c r="J7175" s="1" t="str">
        <f>IFERROR(__xludf.DUMMYFUNCTION("""COMPUTED_VALUE"""),"Issi Afable")</f>
        <v>Issi Afable</v>
      </c>
      <c r="K7175" s="1" t="str">
        <f>IFERROR(__xludf.DUMMYFUNCTION("""COMPUTED_VALUE"""),"High Sensitivity Support PH")</f>
        <v>High Sensitivity Support PH</v>
      </c>
      <c r="L7175" s="1" t="str">
        <f>IFERROR(__xludf.DUMMYFUNCTION("""COMPUTED_VALUE"""),"HSS High Sensitivity Support PH - SEE")</f>
        <v>HSS High Sensitivity Support PH - SEE</v>
      </c>
    </row>
    <row r="7176">
      <c r="A7176" s="1" t="str">
        <f>IFERROR(__xludf.DUMMYFUNCTION("""COMPUTED_VALUE"""),"2025 Dec")</f>
        <v>2025 Dec</v>
      </c>
      <c r="B7176" s="2">
        <f>IFERROR(__xludf.DUMMYFUNCTION("""COMPUTED_VALUE"""),45999.0)</f>
        <v>45999</v>
      </c>
      <c r="C7176" s="1" t="str">
        <f>IFERROR(__xludf.DUMMYFUNCTION("""COMPUTED_VALUE"""),"Print Support")</f>
        <v>Print Support</v>
      </c>
      <c r="D7176" s="1" t="str">
        <f>IFERROR(__xludf.DUMMYFUNCTION("""COMPUTED_VALUE"""),"05869263-0d01-4309-8f73-ab6deb080e16")</f>
        <v>05869263-0d01-4309-8f73-ab6deb080e16</v>
      </c>
      <c r="E7176" s="1"/>
      <c r="F7176" s="1"/>
      <c r="G7176" s="1"/>
      <c r="H7176" s="3">
        <f>IFERROR(__xludf.DUMMYFUNCTION("""COMPUTED_VALUE"""),0.0)</f>
        <v>0</v>
      </c>
      <c r="I7176" s="4"/>
      <c r="J7176" s="1" t="str">
        <f>IFERROR(__xludf.DUMMYFUNCTION("""COMPUTED_VALUE"""),"G-Anne Murillo")</f>
        <v>G-Anne Murillo</v>
      </c>
      <c r="K7176" s="1" t="str">
        <f>IFERROR(__xludf.DUMMYFUNCTION("""COMPUTED_VALUE"""),"Print Design Support")</f>
        <v>Print Design Support</v>
      </c>
      <c r="L7176" s="1" t="str">
        <f>IFERROR(__xludf.DUMMYFUNCTION("""COMPUTED_VALUE"""),"Print Print Design")</f>
        <v>Print Print Design</v>
      </c>
    </row>
    <row r="7177">
      <c r="A7177" s="1" t="str">
        <f>IFERROR(__xludf.DUMMYFUNCTION("""COMPUTED_VALUE"""),"2025 Dec")</f>
        <v>2025 Dec</v>
      </c>
      <c r="B7177" s="2">
        <f>IFERROR(__xludf.DUMMYFUNCTION("""COMPUTED_VALUE"""),45999.0)</f>
        <v>45999</v>
      </c>
      <c r="C7177" s="1" t="str">
        <f>IFERROR(__xludf.DUMMYFUNCTION("""COMPUTED_VALUE"""),"Print Support")</f>
        <v>Print Support</v>
      </c>
      <c r="D7177" s="1" t="str">
        <f>IFERROR(__xludf.DUMMYFUNCTION("""COMPUTED_VALUE"""),"5fe68c01-0359-40ab-9a6d-78a5cd050024")</f>
        <v>5fe68c01-0359-40ab-9a6d-78a5cd050024</v>
      </c>
      <c r="E7177" s="1"/>
      <c r="F7177" s="1"/>
      <c r="G7177" s="1"/>
      <c r="H7177" s="3">
        <f>IFERROR(__xludf.DUMMYFUNCTION("""COMPUTED_VALUE"""),0.0)</f>
        <v>0</v>
      </c>
      <c r="I7177" s="4"/>
      <c r="J7177" s="1" t="str">
        <f>IFERROR(__xludf.DUMMYFUNCTION("""COMPUTED_VALUE"""),"Jan Domingo")</f>
        <v>Jan Domingo</v>
      </c>
      <c r="K7177" s="1" t="str">
        <f>IFERROR(__xludf.DUMMYFUNCTION("""COMPUTED_VALUE"""),"Print Design Support")</f>
        <v>Print Design Support</v>
      </c>
      <c r="L7177" s="1" t="str">
        <f>IFERROR(__xludf.DUMMYFUNCTION("""COMPUTED_VALUE"""),"Print Print Design")</f>
        <v>Print Print Design</v>
      </c>
    </row>
    <row r="7178">
      <c r="A7178" s="1" t="str">
        <f>IFERROR(__xludf.DUMMYFUNCTION("""COMPUTED_VALUE"""),"2025 Dec")</f>
        <v>2025 Dec</v>
      </c>
      <c r="B7178" s="2">
        <f>IFERROR(__xludf.DUMMYFUNCTION("""COMPUTED_VALUE"""),45999.0)</f>
        <v>45999</v>
      </c>
      <c r="C7178" s="1" t="str">
        <f>IFERROR(__xludf.DUMMYFUNCTION("""COMPUTED_VALUE"""),"Print Support")</f>
        <v>Print Support</v>
      </c>
      <c r="D7178" s="1" t="str">
        <f>IFERROR(__xludf.DUMMYFUNCTION("""COMPUTED_VALUE"""),"50551296-1c12-4ee1-842f-b3c74e1d0706")</f>
        <v>50551296-1c12-4ee1-842f-b3c74e1d0706</v>
      </c>
      <c r="E7178" s="1">
        <f>IFERROR(__xludf.DUMMYFUNCTION("""COMPUTED_VALUE"""),3.61725486956E11)</f>
        <v>361725486956</v>
      </c>
      <c r="F7178" s="1">
        <f>IFERROR(__xludf.DUMMYFUNCTION("""COMPUTED_VALUE"""),2.0)</f>
        <v>2</v>
      </c>
      <c r="G7178" s="1"/>
      <c r="H7178" s="3">
        <f>IFERROR(__xludf.DUMMYFUNCTION("""COMPUTED_VALUE"""),2.0)</f>
        <v>2</v>
      </c>
      <c r="I7178" s="4">
        <f>IFERROR(__xludf.DUMMYFUNCTION("""COMPUTED_VALUE"""),0.0)</f>
        <v>0</v>
      </c>
      <c r="J7178" s="1" t="str">
        <f>IFERROR(__xludf.DUMMYFUNCTION("""COMPUTED_VALUE"""),"Memae Faustino")</f>
        <v>Memae Faustino</v>
      </c>
      <c r="K7178" s="1" t="str">
        <f>IFERROR(__xludf.DUMMYFUNCTION("""COMPUTED_VALUE"""),"Print Support PH")</f>
        <v>Print Support PH</v>
      </c>
      <c r="L7178" s="1" t="str">
        <f>IFERROR(__xludf.DUMMYFUNCTION("""COMPUTED_VALUE"""),"Print Print - SEE")</f>
        <v>Print Print - SEE</v>
      </c>
    </row>
    <row r="7179">
      <c r="A7179" s="1" t="str">
        <f>IFERROR(__xludf.DUMMYFUNCTION("""COMPUTED_VALUE"""),"2025 Dec")</f>
        <v>2025 Dec</v>
      </c>
      <c r="B7179" s="2">
        <f>IFERROR(__xludf.DUMMYFUNCTION("""COMPUTED_VALUE"""),45999.0)</f>
        <v>45999</v>
      </c>
      <c r="C7179" s="1" t="str">
        <f>IFERROR(__xludf.DUMMYFUNCTION("""COMPUTED_VALUE"""),"Core Product Support")</f>
        <v>Core Product Support</v>
      </c>
      <c r="D7179" s="1" t="str">
        <f>IFERROR(__xludf.DUMMYFUNCTION("""COMPUTED_VALUE"""),"4dbfa916-5ac6-473d-aa13-5812e02f0be2")</f>
        <v>4dbfa916-5ac6-473d-aa13-5812e02f0be2</v>
      </c>
      <c r="E7179" s="1">
        <f>IFERROR(__xludf.DUMMYFUNCTION("""COMPUTED_VALUE"""),9.586394042255E12)</f>
        <v>9586394042255</v>
      </c>
      <c r="F7179" s="1">
        <f>IFERROR(__xludf.DUMMYFUNCTION("""COMPUTED_VALUE"""),1.0)</f>
        <v>1</v>
      </c>
      <c r="G7179" s="1"/>
      <c r="H7179" s="3">
        <f>IFERROR(__xludf.DUMMYFUNCTION("""COMPUTED_VALUE"""),1.0)</f>
        <v>1</v>
      </c>
      <c r="I7179" s="4">
        <f>IFERROR(__xludf.DUMMYFUNCTION("""COMPUTED_VALUE"""),0.0)</f>
        <v>0</v>
      </c>
      <c r="J7179" s="1" t="str">
        <f>IFERROR(__xludf.DUMMYFUNCTION("""COMPUTED_VALUE"""),"Vinz Lazaro")</f>
        <v>Vinz Lazaro</v>
      </c>
      <c r="K7179" s="1" t="str">
        <f>IFERROR(__xludf.DUMMYFUNCTION("""COMPUTED_VALUE"""),"Advanced Product Support")</f>
        <v>Advanced Product Support</v>
      </c>
      <c r="L7179" s="1" t="str">
        <f>IFERROR(__xludf.DUMMYFUNCTION("""COMPUTED_VALUE"""),"CPS Advanced Product Support (APS)")</f>
        <v>CPS Advanced Product Support (APS)</v>
      </c>
    </row>
    <row r="7180">
      <c r="A7180" s="1" t="str">
        <f>IFERROR(__xludf.DUMMYFUNCTION("""COMPUTED_VALUE"""),"2025 Dec")</f>
        <v>2025 Dec</v>
      </c>
      <c r="B7180" s="2">
        <f>IFERROR(__xludf.DUMMYFUNCTION("""COMPUTED_VALUE"""),45999.0)</f>
        <v>45999</v>
      </c>
      <c r="C7180" s="1" t="str">
        <f>IFERROR(__xludf.DUMMYFUNCTION("""COMPUTED_VALUE"""),"Print Support")</f>
        <v>Print Support</v>
      </c>
      <c r="D7180" s="1" t="str">
        <f>IFERROR(__xludf.DUMMYFUNCTION("""COMPUTED_VALUE"""),"9c6c901c-ce92-460f-9d6d-5ee12b03a1ec")</f>
        <v>9c6c901c-ce92-460f-9d6d-5ee12b03a1ec</v>
      </c>
      <c r="E7180" s="1"/>
      <c r="F7180" s="1"/>
      <c r="G7180" s="1"/>
      <c r="H7180" s="3">
        <f>IFERROR(__xludf.DUMMYFUNCTION("""COMPUTED_VALUE"""),0.0)</f>
        <v>0</v>
      </c>
      <c r="I7180" s="4"/>
      <c r="J7180" s="1" t="str">
        <f>IFERROR(__xludf.DUMMYFUNCTION("""COMPUTED_VALUE"""),"Rei De Jesus")</f>
        <v>Rei De Jesus</v>
      </c>
      <c r="K7180" s="1" t="str">
        <f>IFERROR(__xludf.DUMMYFUNCTION("""COMPUTED_VALUE"""),"Print Design Support")</f>
        <v>Print Design Support</v>
      </c>
      <c r="L7180" s="1" t="str">
        <f>IFERROR(__xludf.DUMMYFUNCTION("""COMPUTED_VALUE"""),"Print Print Design")</f>
        <v>Print Print Design</v>
      </c>
    </row>
    <row r="7181">
      <c r="A7181" s="1" t="str">
        <f>IFERROR(__xludf.DUMMYFUNCTION("""COMPUTED_VALUE"""),"2025 Dec")</f>
        <v>2025 Dec</v>
      </c>
      <c r="B7181" s="2">
        <f>IFERROR(__xludf.DUMMYFUNCTION("""COMPUTED_VALUE"""),45999.0)</f>
        <v>45999</v>
      </c>
      <c r="C7181" s="1" t="str">
        <f>IFERROR(__xludf.DUMMYFUNCTION("""COMPUTED_VALUE"""),"Core Product Support")</f>
        <v>Core Product Support</v>
      </c>
      <c r="D7181" s="1" t="str">
        <f>IFERROR(__xludf.DUMMYFUNCTION("""COMPUTED_VALUE"""),"cc817a63-c749-4aa1-ad3c-e3d33f5e04ff")</f>
        <v>cc817a63-c749-4aa1-ad3c-e3d33f5e04ff</v>
      </c>
      <c r="E7181" s="1">
        <f>IFERROR(__xludf.DUMMYFUNCTION("""COMPUTED_VALUE"""),5.566828557583E12)</f>
        <v>5566828557583</v>
      </c>
      <c r="F7181" s="1"/>
      <c r="G7181" s="1">
        <f>IFERROR(__xludf.DUMMYFUNCTION("""COMPUTED_VALUE"""),1.5)</f>
        <v>1.5</v>
      </c>
      <c r="H7181" s="3">
        <f>IFERROR(__xludf.DUMMYFUNCTION("""COMPUTED_VALUE"""),1.5)</f>
        <v>1.5</v>
      </c>
      <c r="I7181" s="4">
        <f>IFERROR(__xludf.DUMMYFUNCTION("""COMPUTED_VALUE"""),1.0)</f>
        <v>1</v>
      </c>
      <c r="J7181" s="1" t="str">
        <f>IFERROR(__xludf.DUMMYFUNCTION("""COMPUTED_VALUE"""),"Renette Bok")</f>
        <v>Renette Bok</v>
      </c>
      <c r="K7181" s="1" t="str">
        <f>IFERROR(__xludf.DUMMYFUNCTION("""COMPUTED_VALUE"""),"Advanced Billing &amp; Subscriptions")</f>
        <v>Advanced Billing &amp; Subscriptions</v>
      </c>
      <c r="L7181" s="1" t="str">
        <f>IFERROR(__xludf.DUMMYFUNCTION("""COMPUTED_VALUE"""),"CPS Advanced Billing and Subscriptions (ABS)")</f>
        <v>CPS Advanced Billing and Subscriptions (ABS)</v>
      </c>
    </row>
    <row r="7182">
      <c r="A7182" s="1" t="str">
        <f>IFERROR(__xludf.DUMMYFUNCTION("""COMPUTED_VALUE"""),"2025 Dec")</f>
        <v>2025 Dec</v>
      </c>
      <c r="B7182" s="2">
        <f>IFERROR(__xludf.DUMMYFUNCTION("""COMPUTED_VALUE"""),45999.0)</f>
        <v>45999</v>
      </c>
      <c r="C7182" s="1" t="str">
        <f>IFERROR(__xludf.DUMMYFUNCTION("""COMPUTED_VALUE"""),"Multilingual Support")</f>
        <v>Multilingual Support</v>
      </c>
      <c r="D7182" s="1" t="str">
        <f>IFERROR(__xludf.DUMMYFUNCTION("""COMPUTED_VALUE"""),"6f52f807-9641-4f21-b34f-312ae3e9b3c9")</f>
        <v>6f52f807-9641-4f21-b34f-312ae3e9b3c9</v>
      </c>
      <c r="E7182" s="1">
        <f>IFERROR(__xludf.DUMMYFUNCTION("""COMPUTED_VALUE"""),3.61724828456E11)</f>
        <v>361724828456</v>
      </c>
      <c r="F7182" s="1"/>
      <c r="G7182" s="1"/>
      <c r="H7182" s="3">
        <f>IFERROR(__xludf.DUMMYFUNCTION("""COMPUTED_VALUE"""),0.0)</f>
        <v>0</v>
      </c>
      <c r="I7182" s="4"/>
      <c r="J7182" s="1" t="str">
        <f>IFERROR(__xludf.DUMMYFUNCTION("""COMPUTED_VALUE"""),"Arlene Maurillo")</f>
        <v>Arlene Maurillo</v>
      </c>
      <c r="K7182" s="1" t="str">
        <f>IFERROR(__xludf.DUMMYFUNCTION("""COMPUTED_VALUE"""),"PHL, Multilingual Support")</f>
        <v>PHL, Multilingual Support</v>
      </c>
      <c r="L7182" s="1" t="str">
        <f>IFERROR(__xludf.DUMMYFUNCTION("""COMPUTED_VALUE"""),"ML Russian Support")</f>
        <v>ML Russian Support</v>
      </c>
    </row>
    <row r="7183">
      <c r="A7183" s="1" t="str">
        <f>IFERROR(__xludf.DUMMYFUNCTION("""COMPUTED_VALUE"""),"2025 Dec")</f>
        <v>2025 Dec</v>
      </c>
      <c r="B7183" s="2">
        <f>IFERROR(__xludf.DUMMYFUNCTION("""COMPUTED_VALUE"""),45999.0)</f>
        <v>45999</v>
      </c>
      <c r="C7183" s="1" t="str">
        <f>IFERROR(__xludf.DUMMYFUNCTION("""COMPUTED_VALUE"""),"Core Product Support")</f>
        <v>Core Product Support</v>
      </c>
      <c r="D7183" s="1" t="str">
        <f>IFERROR(__xludf.DUMMYFUNCTION("""COMPUTED_VALUE"""),"e9348ef0-6be7-4d18-8f01-bbb3181a2030")</f>
        <v>e9348ef0-6be7-4d18-8f01-bbb3181a2030</v>
      </c>
      <c r="E7183" s="1">
        <f>IFERROR(__xludf.DUMMYFUNCTION("""COMPUTED_VALUE"""),8.904451015951E12)</f>
        <v>8904451015951</v>
      </c>
      <c r="F7183" s="1"/>
      <c r="G7183" s="1"/>
      <c r="H7183" s="3">
        <f>IFERROR(__xludf.DUMMYFUNCTION("""COMPUTED_VALUE"""),0.0)</f>
        <v>0</v>
      </c>
      <c r="I7183" s="4"/>
      <c r="J7183" s="1" t="str">
        <f>IFERROR(__xludf.DUMMYFUNCTION("""COMPUTED_VALUE"""),"Ana Lazaro")</f>
        <v>Ana Lazaro</v>
      </c>
      <c r="K7183" s="1" t="str">
        <f>IFERROR(__xludf.DUMMYFUNCTION("""COMPUTED_VALUE"""),"Advanced Billing &amp; Subscriptions")</f>
        <v>Advanced Billing &amp; Subscriptions</v>
      </c>
      <c r="L7183" s="1" t="str">
        <f>IFERROR(__xludf.DUMMYFUNCTION("""COMPUTED_VALUE"""),"CPS Advanced Billing and Subscriptions (ABS)")</f>
        <v>CPS Advanced Billing and Subscriptions (ABS)</v>
      </c>
    </row>
    <row r="7184">
      <c r="A7184" s="1" t="str">
        <f>IFERROR(__xludf.DUMMYFUNCTION("""COMPUTED_VALUE"""),"2025 Dec")</f>
        <v>2025 Dec</v>
      </c>
      <c r="B7184" s="2">
        <f>IFERROR(__xludf.DUMMYFUNCTION("""COMPUTED_VALUE"""),45999.0)</f>
        <v>45999</v>
      </c>
      <c r="C7184" s="1" t="str">
        <f>IFERROR(__xludf.DUMMYFUNCTION("""COMPUTED_VALUE"""),"Core Product Support")</f>
        <v>Core Product Support</v>
      </c>
      <c r="D7184" s="1" t="str">
        <f>IFERROR(__xludf.DUMMYFUNCTION("""COMPUTED_VALUE"""),"5917755d-94e1-4bcf-b3d5-736f4efd635f")</f>
        <v>5917755d-94e1-4bcf-b3d5-736f4efd635f</v>
      </c>
      <c r="E7184" s="1">
        <f>IFERROR(__xludf.DUMMYFUNCTION("""COMPUTED_VALUE"""),3.61725488916E11)</f>
        <v>361725488916</v>
      </c>
      <c r="F7184" s="1"/>
      <c r="G7184" s="1">
        <f>IFERROR(__xludf.DUMMYFUNCTION("""COMPUTED_VALUE"""),2.0)</f>
        <v>2</v>
      </c>
      <c r="H7184" s="3">
        <f>IFERROR(__xludf.DUMMYFUNCTION("""COMPUTED_VALUE"""),2.0)</f>
        <v>2</v>
      </c>
      <c r="I7184" s="4">
        <f>IFERROR(__xludf.DUMMYFUNCTION("""COMPUTED_VALUE"""),1.0)</f>
        <v>1</v>
      </c>
      <c r="J7184" s="1" t="str">
        <f>IFERROR(__xludf.DUMMYFUNCTION("""COMPUTED_VALUE"""),"Bem Launte")</f>
        <v>Bem Launte</v>
      </c>
      <c r="K7184" s="1" t="str">
        <f>IFERROR(__xludf.DUMMYFUNCTION("""COMPUTED_VALUE"""),"Core Product Support Escalation Team")</f>
        <v>Core Product Support Escalation Team</v>
      </c>
      <c r="L7184" s="1" t="str">
        <f>IFERROR(__xludf.DUMMYFUNCTION("""COMPUTED_VALUE"""),"CPS Core Product Support Escalations (CPSET)")</f>
        <v>CPS Core Product Support Escalations (CPSET)</v>
      </c>
    </row>
    <row r="7185">
      <c r="A7185" s="1" t="str">
        <f>IFERROR(__xludf.DUMMYFUNCTION("""COMPUTED_VALUE"""),"2025 Dec")</f>
        <v>2025 Dec</v>
      </c>
      <c r="B7185" s="2">
        <f>IFERROR(__xludf.DUMMYFUNCTION("""COMPUTED_VALUE"""),45999.0)</f>
        <v>45999</v>
      </c>
      <c r="C7185" s="1" t="str">
        <f>IFERROR(__xludf.DUMMYFUNCTION("""COMPUTED_VALUE"""),"Admin Support")</f>
        <v>Admin Support</v>
      </c>
      <c r="D7185" s="1" t="str">
        <f>IFERROR(__xludf.DUMMYFUNCTION("""COMPUTED_VALUE"""),"869426c4-df7f-4a39-b2f3-8e70e583ed69")</f>
        <v>869426c4-df7f-4a39-b2f3-8e70e583ed69</v>
      </c>
      <c r="E7185" s="1">
        <f>IFERROR(__xludf.DUMMYFUNCTION("""COMPUTED_VALUE"""),3.61725115636E11)</f>
        <v>361725115636</v>
      </c>
      <c r="F7185" s="1"/>
      <c r="G7185" s="1">
        <f>IFERROR(__xludf.DUMMYFUNCTION("""COMPUTED_VALUE"""),4.75)</f>
        <v>4.75</v>
      </c>
      <c r="H7185" s="3">
        <f>IFERROR(__xludf.DUMMYFUNCTION("""COMPUTED_VALUE"""),4.75)</f>
        <v>4.75</v>
      </c>
      <c r="I7185" s="4">
        <f>IFERROR(__xludf.DUMMYFUNCTION("""COMPUTED_VALUE"""),1.0)</f>
        <v>1</v>
      </c>
      <c r="J7185" s="1" t="str">
        <f>IFERROR(__xludf.DUMMYFUNCTION("""COMPUTED_VALUE"""),"Camille Alvarez")</f>
        <v>Camille Alvarez</v>
      </c>
      <c r="K7185" s="1" t="str">
        <f>IFERROR(__xludf.DUMMYFUNCTION("""COMPUTED_VALUE"""),"Admin Support PH SSO")</f>
        <v>Admin Support PH SSO</v>
      </c>
      <c r="L7185" s="1" t="str">
        <f>IFERROR(__xludf.DUMMYFUNCTION("""COMPUTED_VALUE"""),"Admin SSO - SEE")</f>
        <v>Admin SSO - SEE</v>
      </c>
    </row>
    <row r="7186">
      <c r="A7186" s="1" t="str">
        <f>IFERROR(__xludf.DUMMYFUNCTION("""COMPUTED_VALUE"""),"2025 Dec")</f>
        <v>2025 Dec</v>
      </c>
      <c r="B7186" s="2">
        <f>IFERROR(__xludf.DUMMYFUNCTION("""COMPUTED_VALUE"""),45999.0)</f>
        <v>45999</v>
      </c>
      <c r="C7186" s="1" t="str">
        <f>IFERROR(__xludf.DUMMYFUNCTION("""COMPUTED_VALUE"""),"Print Support")</f>
        <v>Print Support</v>
      </c>
      <c r="D7186" s="1" t="str">
        <f>IFERROR(__xludf.DUMMYFUNCTION("""COMPUTED_VALUE"""),"cb7f900d-e2ff-4ff8-b74f-c2db90bdfb62")</f>
        <v>cb7f900d-e2ff-4ff8-b74f-c2db90bdfb62</v>
      </c>
      <c r="E7186" s="1">
        <f>IFERROR(__xludf.DUMMYFUNCTION("""COMPUTED_VALUE"""),3.61750052875E11)</f>
        <v>361750052875</v>
      </c>
      <c r="F7186" s="1">
        <f>IFERROR(__xludf.DUMMYFUNCTION("""COMPUTED_VALUE"""),2.0)</f>
        <v>2</v>
      </c>
      <c r="G7186" s="1"/>
      <c r="H7186" s="3">
        <f>IFERROR(__xludf.DUMMYFUNCTION("""COMPUTED_VALUE"""),2.0)</f>
        <v>2</v>
      </c>
      <c r="I7186" s="4">
        <f>IFERROR(__xludf.DUMMYFUNCTION("""COMPUTED_VALUE"""),0.0)</f>
        <v>0</v>
      </c>
      <c r="J7186" s="1" t="str">
        <f>IFERROR(__xludf.DUMMYFUNCTION("""COMPUTED_VALUE"""),"Memae Faustino")</f>
        <v>Memae Faustino</v>
      </c>
      <c r="K7186" s="1" t="str">
        <f>IFERROR(__xludf.DUMMYFUNCTION("""COMPUTED_VALUE"""),"Print Support PH")</f>
        <v>Print Support PH</v>
      </c>
      <c r="L7186" s="1" t="str">
        <f>IFERROR(__xludf.DUMMYFUNCTION("""COMPUTED_VALUE"""),"Print Print - SEE")</f>
        <v>Print Print - SEE</v>
      </c>
    </row>
    <row r="7187">
      <c r="A7187" s="1" t="str">
        <f>IFERROR(__xludf.DUMMYFUNCTION("""COMPUTED_VALUE"""),"2025 Dec")</f>
        <v>2025 Dec</v>
      </c>
      <c r="B7187" s="2">
        <f>IFERROR(__xludf.DUMMYFUNCTION("""COMPUTED_VALUE"""),46006.0)</f>
        <v>46006</v>
      </c>
      <c r="C7187" s="1" t="str">
        <f>IFERROR(__xludf.DUMMYFUNCTION("""COMPUTED_VALUE"""),"Segment-specific Support")</f>
        <v>Segment-specific Support</v>
      </c>
      <c r="D7187" s="1" t="str">
        <f>IFERROR(__xludf.DUMMYFUNCTION("""COMPUTED_VALUE"""),"71cc12d6-81ad-4480-9557-ff6a318e3277")</f>
        <v>71cc12d6-81ad-4480-9557-ff6a318e3277</v>
      </c>
      <c r="E7187" s="1">
        <f>IFERROR(__xludf.DUMMYFUNCTION("""COMPUTED_VALUE"""),3.61726424776E11)</f>
        <v>361726424776</v>
      </c>
      <c r="F7187" s="1">
        <f>IFERROR(__xludf.DUMMYFUNCTION("""COMPUTED_VALUE"""),0.5)</f>
        <v>0.5</v>
      </c>
      <c r="G7187" s="1"/>
      <c r="H7187" s="3">
        <f>IFERROR(__xludf.DUMMYFUNCTION("""COMPUTED_VALUE"""),0.5)</f>
        <v>0.5</v>
      </c>
      <c r="I7187" s="4">
        <f>IFERROR(__xludf.DUMMYFUNCTION("""COMPUTED_VALUE"""),0.0)</f>
        <v>0</v>
      </c>
      <c r="J7187" s="1" t="str">
        <f>IFERROR(__xludf.DUMMYFUNCTION("""COMPUTED_VALUE"""),"Jonathan Dimaculangan")</f>
        <v>Jonathan Dimaculangan</v>
      </c>
      <c r="K7187" s="1" t="str">
        <f>IFERROR(__xludf.DUMMYFUNCTION("""COMPUTED_VALUE"""),"Flourish Support")</f>
        <v>Flourish Support</v>
      </c>
      <c r="L7187" s="1" t="str">
        <f>IFERROR(__xludf.DUMMYFUNCTION("""COMPUTED_VALUE"""),"SSS Flourish")</f>
        <v>SSS Flourish</v>
      </c>
    </row>
    <row r="7188">
      <c r="A7188" s="1" t="str">
        <f>IFERROR(__xludf.DUMMYFUNCTION("""COMPUTED_VALUE"""),"2025 Dec")</f>
        <v>2025 Dec</v>
      </c>
      <c r="B7188" s="2">
        <f>IFERROR(__xludf.DUMMYFUNCTION("""COMPUTED_VALUE"""),46006.0)</f>
        <v>46006</v>
      </c>
      <c r="C7188" s="1" t="str">
        <f>IFERROR(__xludf.DUMMYFUNCTION("""COMPUTED_VALUE"""),"Core Product Support")</f>
        <v>Core Product Support</v>
      </c>
      <c r="D7188" s="1" t="str">
        <f>IFERROR(__xludf.DUMMYFUNCTION("""COMPUTED_VALUE"""),"ed8e075f-7119-4833-8af3-4c353a3fdda1")</f>
        <v>ed8e075f-7119-4833-8af3-4c353a3fdda1</v>
      </c>
      <c r="E7188" s="1">
        <f>IFERROR(__xludf.DUMMYFUNCTION("""COMPUTED_VALUE"""),4.502516921487E12)</f>
        <v>4502516921487</v>
      </c>
      <c r="F7188" s="1">
        <f>IFERROR(__xludf.DUMMYFUNCTION("""COMPUTED_VALUE"""),0.5)</f>
        <v>0.5</v>
      </c>
      <c r="G7188" s="1"/>
      <c r="H7188" s="3">
        <f>IFERROR(__xludf.DUMMYFUNCTION("""COMPUTED_VALUE"""),0.5)</f>
        <v>0.5</v>
      </c>
      <c r="I7188" s="4">
        <f>IFERROR(__xludf.DUMMYFUNCTION("""COMPUTED_VALUE"""),0.0)</f>
        <v>0</v>
      </c>
      <c r="J7188" s="1" t="str">
        <f>IFERROR(__xludf.DUMMYFUNCTION("""COMPUTED_VALUE"""),"Jem Mondoñedo")</f>
        <v>Jem Mondoñedo</v>
      </c>
      <c r="K7188" s="1" t="str">
        <f>IFERROR(__xludf.DUMMYFUNCTION("""COMPUTED_VALUE"""),"Advanced Chat Support")</f>
        <v>Advanced Chat Support</v>
      </c>
      <c r="L7188" s="1" t="str">
        <f>IFERROR(__xludf.DUMMYFUNCTION("""COMPUTED_VALUE"""),"CPS Advanced Chat Support (ACS)")</f>
        <v>CPS Advanced Chat Support (ACS)</v>
      </c>
    </row>
    <row r="7189">
      <c r="A7189" s="1" t="str">
        <f>IFERROR(__xludf.DUMMYFUNCTION("""COMPUTED_VALUE"""),"2025 Dec")</f>
        <v>2025 Dec</v>
      </c>
      <c r="B7189" s="2">
        <f>IFERROR(__xludf.DUMMYFUNCTION("""COMPUTED_VALUE"""),46006.0)</f>
        <v>46006</v>
      </c>
      <c r="C7189" s="1" t="str">
        <f>IFERROR(__xludf.DUMMYFUNCTION("""COMPUTED_VALUE"""),"Core Product Support")</f>
        <v>Core Product Support</v>
      </c>
      <c r="D7189" s="1" t="str">
        <f>IFERROR(__xludf.DUMMYFUNCTION("""COMPUTED_VALUE"""),"000279e3-fb19-4b90-a95c-080adc98c9aa")</f>
        <v>000279e3-fb19-4b90-a95c-080adc98c9aa</v>
      </c>
      <c r="E7189" s="1">
        <f>IFERROR(__xludf.DUMMYFUNCTION("""COMPUTED_VALUE"""),3.61861297935E11)</f>
        <v>361861297935</v>
      </c>
      <c r="F7189" s="1">
        <f>IFERROR(__xludf.DUMMYFUNCTION("""COMPUTED_VALUE"""),0.5)</f>
        <v>0.5</v>
      </c>
      <c r="G7189" s="1">
        <f>IFERROR(__xludf.DUMMYFUNCTION("""COMPUTED_VALUE"""),1.5)</f>
        <v>1.5</v>
      </c>
      <c r="H7189" s="3">
        <f>IFERROR(__xludf.DUMMYFUNCTION("""COMPUTED_VALUE"""),2.0)</f>
        <v>2</v>
      </c>
      <c r="I7189" s="4">
        <f>IFERROR(__xludf.DUMMYFUNCTION("""COMPUTED_VALUE"""),0.75)</f>
        <v>0.75</v>
      </c>
      <c r="J7189" s="1" t="str">
        <f>IFERROR(__xludf.DUMMYFUNCTION("""COMPUTED_VALUE"""),"Jahmie Mae Barrameda")</f>
        <v>Jahmie Mae Barrameda</v>
      </c>
      <c r="K7189" s="1" t="str">
        <f>IFERROR(__xludf.DUMMYFUNCTION("""COMPUTED_VALUE"""),"Advanced Billing &amp; Subscriptions")</f>
        <v>Advanced Billing &amp; Subscriptions</v>
      </c>
      <c r="L7189" s="1" t="str">
        <f>IFERROR(__xludf.DUMMYFUNCTION("""COMPUTED_VALUE"""),"CPS Advanced Billing and Subscriptions (ABS)")</f>
        <v>CPS Advanced Billing and Subscriptions (ABS)</v>
      </c>
    </row>
    <row r="7190">
      <c r="A7190" s="1" t="str">
        <f>IFERROR(__xludf.DUMMYFUNCTION("""COMPUTED_VALUE"""),"2025 Dec")</f>
        <v>2025 Dec</v>
      </c>
      <c r="B7190" s="2">
        <f>IFERROR(__xludf.DUMMYFUNCTION("""COMPUTED_VALUE"""),46006.0)</f>
        <v>46006</v>
      </c>
      <c r="C7190" s="1" t="str">
        <f>IFERROR(__xludf.DUMMYFUNCTION("""COMPUTED_VALUE"""),"Print Support")</f>
        <v>Print Support</v>
      </c>
      <c r="D7190" s="1" t="str">
        <f>IFERROR(__xludf.DUMMYFUNCTION("""COMPUTED_VALUE"""),"61035b18-fc2e-492c-ae7d-227048511bcf")</f>
        <v>61035b18-fc2e-492c-ae7d-227048511bcf</v>
      </c>
      <c r="E7190" s="1"/>
      <c r="F7190" s="1"/>
      <c r="G7190" s="1"/>
      <c r="H7190" s="3">
        <f>IFERROR(__xludf.DUMMYFUNCTION("""COMPUTED_VALUE"""),0.0)</f>
        <v>0</v>
      </c>
      <c r="I7190" s="4"/>
      <c r="J7190" s="1" t="str">
        <f>IFERROR(__xludf.DUMMYFUNCTION("""COMPUTED_VALUE"""),"Gem Agoncillo")</f>
        <v>Gem Agoncillo</v>
      </c>
      <c r="K7190" s="1" t="str">
        <f>IFERROR(__xludf.DUMMYFUNCTION("""COMPUTED_VALUE"""),"Print Design Support")</f>
        <v>Print Design Support</v>
      </c>
      <c r="L7190" s="1" t="str">
        <f>IFERROR(__xludf.DUMMYFUNCTION("""COMPUTED_VALUE"""),"Print Print Design")</f>
        <v>Print Print Design</v>
      </c>
    </row>
    <row r="7191">
      <c r="A7191" s="1" t="str">
        <f>IFERROR(__xludf.DUMMYFUNCTION("""COMPUTED_VALUE"""),"2025 Dec")</f>
        <v>2025 Dec</v>
      </c>
      <c r="B7191" s="2">
        <f>IFERROR(__xludf.DUMMYFUNCTION("""COMPUTED_VALUE"""),46006.0)</f>
        <v>46006</v>
      </c>
      <c r="C7191" s="1" t="str">
        <f>IFERROR(__xludf.DUMMYFUNCTION("""COMPUTED_VALUE"""),"Core Product Support")</f>
        <v>Core Product Support</v>
      </c>
      <c r="D7191" s="1" t="str">
        <f>IFERROR(__xludf.DUMMYFUNCTION("""COMPUTED_VALUE"""),"7f6e3175-f6cd-4a70-93aa-118856f83921")</f>
        <v>7f6e3175-f6cd-4a70-93aa-118856f83921</v>
      </c>
      <c r="E7191" s="1">
        <f>IFERROR(__xludf.DUMMYFUNCTION("""COMPUTED_VALUE"""),1.0333019153039E13)</f>
        <v>10333019153039</v>
      </c>
      <c r="F7191" s="1"/>
      <c r="G7191" s="1"/>
      <c r="H7191" s="3">
        <f>IFERROR(__xludf.DUMMYFUNCTION("""COMPUTED_VALUE"""),0.0)</f>
        <v>0</v>
      </c>
      <c r="I7191" s="4"/>
      <c r="J7191" s="1" t="str">
        <f>IFERROR(__xludf.DUMMYFUNCTION("""COMPUTED_VALUE"""),"Belle Bentazal")</f>
        <v>Belle Bentazal</v>
      </c>
      <c r="K7191" s="1" t="str">
        <f>IFERROR(__xludf.DUMMYFUNCTION("""COMPUTED_VALUE"""),"Advanced Product Support")</f>
        <v>Advanced Product Support</v>
      </c>
      <c r="L7191" s="1" t="str">
        <f>IFERROR(__xludf.DUMMYFUNCTION("""COMPUTED_VALUE"""),"CPS Advanced Product Support (APS)")</f>
        <v>CPS Advanced Product Support (APS)</v>
      </c>
    </row>
    <row r="7192">
      <c r="A7192" s="1" t="str">
        <f>IFERROR(__xludf.DUMMYFUNCTION("""COMPUTED_VALUE"""),"2025 Dec")</f>
        <v>2025 Dec</v>
      </c>
      <c r="B7192" s="2">
        <f>IFERROR(__xludf.DUMMYFUNCTION("""COMPUTED_VALUE"""),46006.0)</f>
        <v>46006</v>
      </c>
      <c r="C7192" s="1" t="str">
        <f>IFERROR(__xludf.DUMMYFUNCTION("""COMPUTED_VALUE"""),"Segment-specific Support")</f>
        <v>Segment-specific Support</v>
      </c>
      <c r="D7192" s="1" t="str">
        <f>IFERROR(__xludf.DUMMYFUNCTION("""COMPUTED_VALUE"""),"8941a42e-630f-4e32-ac1a-aa9495a2b319")</f>
        <v>8941a42e-630f-4e32-ac1a-aa9495a2b319</v>
      </c>
      <c r="E7192" s="1">
        <f>IFERROR(__xludf.DUMMYFUNCTION("""COMPUTED_VALUE"""),3.61731514775E11)</f>
        <v>361731514775</v>
      </c>
      <c r="F7192" s="1"/>
      <c r="G7192" s="1"/>
      <c r="H7192" s="3">
        <f>IFERROR(__xludf.DUMMYFUNCTION("""COMPUTED_VALUE"""),0.0)</f>
        <v>0</v>
      </c>
      <c r="I7192" s="4"/>
      <c r="J7192" s="1" t="str">
        <f>IFERROR(__xludf.DUMMYFUNCTION("""COMPUTED_VALUE"""),"Aileen Dayanghirang")</f>
        <v>Aileen Dayanghirang</v>
      </c>
      <c r="K7192" s="1" t="str">
        <f>IFERROR(__xludf.DUMMYFUNCTION("""COMPUTED_VALUE"""),"Creators Support")</f>
        <v>Creators Support</v>
      </c>
      <c r="L7192" s="1" t="str">
        <f>IFERROR(__xludf.DUMMYFUNCTION("""COMPUTED_VALUE"""),"SSS Creators")</f>
        <v>SSS Creators</v>
      </c>
    </row>
    <row r="7193">
      <c r="A7193" s="1" t="str">
        <f>IFERROR(__xludf.DUMMYFUNCTION("""COMPUTED_VALUE"""),"2025 Dec")</f>
        <v>2025 Dec</v>
      </c>
      <c r="B7193" s="2">
        <f>IFERROR(__xludf.DUMMYFUNCTION("""COMPUTED_VALUE"""),46006.0)</f>
        <v>46006</v>
      </c>
      <c r="C7193" s="1" t="str">
        <f>IFERROR(__xludf.DUMMYFUNCTION("""COMPUTED_VALUE"""),"Segment-specific Support")</f>
        <v>Segment-specific Support</v>
      </c>
      <c r="D7193" s="1" t="str">
        <f>IFERROR(__xludf.DUMMYFUNCTION("""COMPUTED_VALUE"""),"dfd09cbc-1248-47f6-96ff-bb4b2c38ce63")</f>
        <v>dfd09cbc-1248-47f6-96ff-bb4b2c38ce63</v>
      </c>
      <c r="E7193" s="1">
        <f>IFERROR(__xludf.DUMMYFUNCTION("""COMPUTED_VALUE"""),3.61725262736E11)</f>
        <v>361725262736</v>
      </c>
      <c r="F7193" s="1"/>
      <c r="G7193" s="1"/>
      <c r="H7193" s="3">
        <f>IFERROR(__xludf.DUMMYFUNCTION("""COMPUTED_VALUE"""),0.0)</f>
        <v>0</v>
      </c>
      <c r="I7193" s="4"/>
      <c r="J7193" s="1" t="str">
        <f>IFERROR(__xludf.DUMMYFUNCTION("""COMPUTED_VALUE"""),"Tash Kelly")</f>
        <v>Tash Kelly</v>
      </c>
      <c r="K7193" s="1" t="str">
        <f>IFERROR(__xludf.DUMMYFUNCTION("""COMPUTED_VALUE"""),"Affinity Support")</f>
        <v>Affinity Support</v>
      </c>
      <c r="L7193" s="1" t="str">
        <f>IFERROR(__xludf.DUMMYFUNCTION("""COMPUTED_VALUE"""),"SSS Affinity")</f>
        <v>SSS Affinity</v>
      </c>
    </row>
    <row r="7194">
      <c r="A7194" s="1" t="str">
        <f>IFERROR(__xludf.DUMMYFUNCTION("""COMPUTED_VALUE"""),"2025 Dec")</f>
        <v>2025 Dec</v>
      </c>
      <c r="B7194" s="2">
        <f>IFERROR(__xludf.DUMMYFUNCTION("""COMPUTED_VALUE"""),46006.0)</f>
        <v>46006</v>
      </c>
      <c r="C7194" s="1" t="str">
        <f>IFERROR(__xludf.DUMMYFUNCTION("""COMPUTED_VALUE"""),"Segment-specific Support")</f>
        <v>Segment-specific Support</v>
      </c>
      <c r="D7194" s="1" t="str">
        <f>IFERROR(__xludf.DUMMYFUNCTION("""COMPUTED_VALUE"""),"14ab0e6b-ba36-4083-a4df-79ae04c36179")</f>
        <v>14ab0e6b-ba36-4083-a4df-79ae04c36179</v>
      </c>
      <c r="E7194" s="1">
        <f>IFERROR(__xludf.DUMMYFUNCTION("""COMPUTED_VALUE"""),1.0548580059023E13)</f>
        <v>10548580059023</v>
      </c>
      <c r="F7194" s="1">
        <f>IFERROR(__xludf.DUMMYFUNCTION("""COMPUTED_VALUE"""),0.5)</f>
        <v>0.5</v>
      </c>
      <c r="G7194" s="1"/>
      <c r="H7194" s="3">
        <f>IFERROR(__xludf.DUMMYFUNCTION("""COMPUTED_VALUE"""),0.5)</f>
        <v>0.5</v>
      </c>
      <c r="I7194" s="4">
        <f>IFERROR(__xludf.DUMMYFUNCTION("""COMPUTED_VALUE"""),0.0)</f>
        <v>0</v>
      </c>
      <c r="J7194" s="1" t="str">
        <f>IFERROR(__xludf.DUMMYFUNCTION("""COMPUTED_VALUE"""),"Jonathan Dimaculangan")</f>
        <v>Jonathan Dimaculangan</v>
      </c>
      <c r="K7194" s="1" t="str">
        <f>IFERROR(__xludf.DUMMYFUNCTION("""COMPUTED_VALUE"""),"Flourish Support")</f>
        <v>Flourish Support</v>
      </c>
      <c r="L7194" s="1" t="str">
        <f>IFERROR(__xludf.DUMMYFUNCTION("""COMPUTED_VALUE"""),"SSS Flourish")</f>
        <v>SSS Flourish</v>
      </c>
    </row>
    <row r="7195">
      <c r="A7195" s="1" t="str">
        <f>IFERROR(__xludf.DUMMYFUNCTION("""COMPUTED_VALUE"""),"2025 Dec")</f>
        <v>2025 Dec</v>
      </c>
      <c r="B7195" s="2">
        <f>IFERROR(__xludf.DUMMYFUNCTION("""COMPUTED_VALUE"""),46006.0)</f>
        <v>46006</v>
      </c>
      <c r="C7195" s="1" t="str">
        <f>IFERROR(__xludf.DUMMYFUNCTION("""COMPUTED_VALUE"""),"Admin Support")</f>
        <v>Admin Support</v>
      </c>
      <c r="D7195" s="1" t="str">
        <f>IFERROR(__xludf.DUMMYFUNCTION("""COMPUTED_VALUE"""),"37c57b4f-487c-4c75-8926-0d22cc125dcf")</f>
        <v>37c57b4f-487c-4c75-8926-0d22cc125dcf</v>
      </c>
      <c r="E7195" s="1">
        <f>IFERROR(__xludf.DUMMYFUNCTION("""COMPUTED_VALUE"""),9.153765932815E12)</f>
        <v>9153765932815</v>
      </c>
      <c r="F7195" s="1"/>
      <c r="G7195" s="1">
        <f>IFERROR(__xludf.DUMMYFUNCTION("""COMPUTED_VALUE"""),2.75)</f>
        <v>2.75</v>
      </c>
      <c r="H7195" s="3">
        <f>IFERROR(__xludf.DUMMYFUNCTION("""COMPUTED_VALUE"""),2.75)</f>
        <v>2.75</v>
      </c>
      <c r="I7195" s="4">
        <f>IFERROR(__xludf.DUMMYFUNCTION("""COMPUTED_VALUE"""),1.0)</f>
        <v>1</v>
      </c>
      <c r="J7195" s="1" t="str">
        <f>IFERROR(__xludf.DUMMYFUNCTION("""COMPUTED_VALUE"""),"Tash Kelly")</f>
        <v>Tash Kelly</v>
      </c>
      <c r="K7195" s="1" t="str">
        <f>IFERROR(__xludf.DUMMYFUNCTION("""COMPUTED_VALUE"""),"Admin Support EMEA")</f>
        <v>Admin Support EMEA</v>
      </c>
      <c r="L7195" s="1" t="str">
        <f>IFERROR(__xludf.DUMMYFUNCTION("""COMPUTED_VALUE"""),"Admin EMEA")</f>
        <v>Admin EMEA</v>
      </c>
    </row>
    <row r="7196">
      <c r="A7196" s="1" t="str">
        <f>IFERROR(__xludf.DUMMYFUNCTION("""COMPUTED_VALUE"""),"2025 Dec")</f>
        <v>2025 Dec</v>
      </c>
      <c r="B7196" s="2">
        <f>IFERROR(__xludf.DUMMYFUNCTION("""COMPUTED_VALUE"""),46006.0)</f>
        <v>46006</v>
      </c>
      <c r="C7196" s="1" t="str">
        <f>IFERROR(__xludf.DUMMYFUNCTION("""COMPUTED_VALUE"""),"Print Support")</f>
        <v>Print Support</v>
      </c>
      <c r="D7196" s="1" t="str">
        <f>IFERROR(__xludf.DUMMYFUNCTION("""COMPUTED_VALUE"""),"745adc44-2fda-43ea-bdcd-39c28e369ddc")</f>
        <v>745adc44-2fda-43ea-bdcd-39c28e369ddc</v>
      </c>
      <c r="E7196" s="1">
        <f>IFERROR(__xludf.DUMMYFUNCTION("""COMPUTED_VALUE"""),3.61731943495E11)</f>
        <v>361731943495</v>
      </c>
      <c r="F7196" s="1"/>
      <c r="G7196" s="1"/>
      <c r="H7196" s="3">
        <f>IFERROR(__xludf.DUMMYFUNCTION("""COMPUTED_VALUE"""),0.0)</f>
        <v>0</v>
      </c>
      <c r="I7196" s="4"/>
      <c r="J7196" s="1" t="str">
        <f>IFERROR(__xludf.DUMMYFUNCTION("""COMPUTED_VALUE"""),"Ann Dumlao")</f>
        <v>Ann Dumlao</v>
      </c>
      <c r="K7196" s="1" t="str">
        <f>IFERROR(__xludf.DUMMYFUNCTION("""COMPUTED_VALUE"""),"Print Support PH")</f>
        <v>Print Support PH</v>
      </c>
      <c r="L7196" s="1" t="str">
        <f>IFERROR(__xludf.DUMMYFUNCTION("""COMPUTED_VALUE"""),"Print Print - CHT")</f>
        <v>Print Print - CHT</v>
      </c>
    </row>
    <row r="7197">
      <c r="A7197" s="1" t="str">
        <f>IFERROR(__xludf.DUMMYFUNCTION("""COMPUTED_VALUE"""),"2025 Dec")</f>
        <v>2025 Dec</v>
      </c>
      <c r="B7197" s="2">
        <f>IFERROR(__xludf.DUMMYFUNCTION("""COMPUTED_VALUE"""),46006.0)</f>
        <v>46006</v>
      </c>
      <c r="C7197" s="1" t="str">
        <f>IFERROR(__xludf.DUMMYFUNCTION("""COMPUTED_VALUE"""),"Core Product Support")</f>
        <v>Core Product Support</v>
      </c>
      <c r="D7197" s="1" t="str">
        <f>IFERROR(__xludf.DUMMYFUNCTION("""COMPUTED_VALUE"""),"927a5402-ae70-4b86-aaa9-53819fb46700")</f>
        <v>927a5402-ae70-4b86-aaa9-53819fb46700</v>
      </c>
      <c r="E7197" s="1">
        <f>IFERROR(__xludf.DUMMYFUNCTION("""COMPUTED_VALUE"""),3.61725260756E11)</f>
        <v>361725260756</v>
      </c>
      <c r="F7197" s="1"/>
      <c r="G7197" s="1"/>
      <c r="H7197" s="3">
        <f>IFERROR(__xludf.DUMMYFUNCTION("""COMPUTED_VALUE"""),0.0)</f>
        <v>0</v>
      </c>
      <c r="I7197" s="4"/>
      <c r="J7197" s="1" t="str">
        <f>IFERROR(__xludf.DUMMYFUNCTION("""COMPUTED_VALUE"""),"Ellaine Estayo")</f>
        <v>Ellaine Estayo</v>
      </c>
      <c r="K7197" s="1" t="str">
        <f>IFERROR(__xludf.DUMMYFUNCTION("""COMPUTED_VALUE"""),"Core Product Support Escalation Team")</f>
        <v>Core Product Support Escalation Team</v>
      </c>
      <c r="L7197" s="1" t="str">
        <f>IFERROR(__xludf.DUMMYFUNCTION("""COMPUTED_VALUE"""),"CPS Core Product Support Escalations (CPSET)")</f>
        <v>CPS Core Product Support Escalations (CPSET)</v>
      </c>
    </row>
    <row r="7198">
      <c r="A7198" s="1" t="str">
        <f>IFERROR(__xludf.DUMMYFUNCTION("""COMPUTED_VALUE"""),"2025 Dec")</f>
        <v>2025 Dec</v>
      </c>
      <c r="B7198" s="2">
        <f>IFERROR(__xludf.DUMMYFUNCTION("""COMPUTED_VALUE"""),46006.0)</f>
        <v>46006</v>
      </c>
      <c r="C7198" s="1" t="str">
        <f>IFERROR(__xludf.DUMMYFUNCTION("""COMPUTED_VALUE"""),"Print Support")</f>
        <v>Print Support</v>
      </c>
      <c r="D7198" s="1" t="str">
        <f>IFERROR(__xludf.DUMMYFUNCTION("""COMPUTED_VALUE"""),"98326c76-87c9-4e59-a377-8cc144d863d0")</f>
        <v>98326c76-87c9-4e59-a377-8cc144d863d0</v>
      </c>
      <c r="E7198" s="1">
        <f>IFERROR(__xludf.DUMMYFUNCTION("""COMPUTED_VALUE"""),5.902016055567E12)</f>
        <v>5902016055567</v>
      </c>
      <c r="F7198" s="1">
        <f>IFERROR(__xludf.DUMMYFUNCTION("""COMPUTED_VALUE"""),2.0)</f>
        <v>2</v>
      </c>
      <c r="G7198" s="1"/>
      <c r="H7198" s="3">
        <f>IFERROR(__xludf.DUMMYFUNCTION("""COMPUTED_VALUE"""),2.0)</f>
        <v>2</v>
      </c>
      <c r="I7198" s="4">
        <f>IFERROR(__xludf.DUMMYFUNCTION("""COMPUTED_VALUE"""),0.0)</f>
        <v>0</v>
      </c>
      <c r="J7198" s="1" t="str">
        <f>IFERROR(__xludf.DUMMYFUNCTION("""COMPUTED_VALUE"""),"Rae Erlano")</f>
        <v>Rae Erlano</v>
      </c>
      <c r="K7198" s="1" t="str">
        <f>IFERROR(__xludf.DUMMYFUNCTION("""COMPUTED_VALUE"""),"Print Support PH")</f>
        <v>Print Support PH</v>
      </c>
      <c r="L7198" s="1" t="str">
        <f>IFERROR(__xludf.DUMMYFUNCTION("""COMPUTED_VALUE"""),"Print Print - SEE")</f>
        <v>Print Print - SEE</v>
      </c>
    </row>
    <row r="7199">
      <c r="A7199" s="1" t="str">
        <f>IFERROR(__xludf.DUMMYFUNCTION("""COMPUTED_VALUE"""),"2025 Dec")</f>
        <v>2025 Dec</v>
      </c>
      <c r="B7199" s="2">
        <f>IFERROR(__xludf.DUMMYFUNCTION("""COMPUTED_VALUE"""),46006.0)</f>
        <v>46006</v>
      </c>
      <c r="C7199" s="1" t="str">
        <f>IFERROR(__xludf.DUMMYFUNCTION("""COMPUTED_VALUE"""),"Print Support")</f>
        <v>Print Support</v>
      </c>
      <c r="D7199" s="1" t="str">
        <f>IFERROR(__xludf.DUMMYFUNCTION("""COMPUTED_VALUE"""),"233133e3-a3d0-492d-bb55-8a7c4ffc4966")</f>
        <v>233133e3-a3d0-492d-bb55-8a7c4ffc4966</v>
      </c>
      <c r="E7199" s="1">
        <f>IFERROR(__xludf.DUMMYFUNCTION("""COMPUTED_VALUE"""),5.902016026895E12)</f>
        <v>5902016026895</v>
      </c>
      <c r="F7199" s="1"/>
      <c r="G7199" s="1"/>
      <c r="H7199" s="3">
        <f>IFERROR(__xludf.DUMMYFUNCTION("""COMPUTED_VALUE"""),0.0)</f>
        <v>0</v>
      </c>
      <c r="I7199" s="4"/>
      <c r="J7199" s="1" t="str">
        <f>IFERROR(__xludf.DUMMYFUNCTION("""COMPUTED_VALUE"""),"Althea Mercado")</f>
        <v>Althea Mercado</v>
      </c>
      <c r="K7199" s="1" t="str">
        <f>IFERROR(__xludf.DUMMYFUNCTION("""COMPUTED_VALUE"""),"Print Support PH")</f>
        <v>Print Support PH</v>
      </c>
      <c r="L7199" s="1" t="str">
        <f>IFERROR(__xludf.DUMMYFUNCTION("""COMPUTED_VALUE"""),"Print Print - CHT")</f>
        <v>Print Print - CHT</v>
      </c>
    </row>
    <row r="7200">
      <c r="A7200" s="1" t="str">
        <f>IFERROR(__xludf.DUMMYFUNCTION("""COMPUTED_VALUE"""),"2025 Dec")</f>
        <v>2025 Dec</v>
      </c>
      <c r="B7200" s="2">
        <f>IFERROR(__xludf.DUMMYFUNCTION("""COMPUTED_VALUE"""),46006.0)</f>
        <v>46006</v>
      </c>
      <c r="C7200" s="1" t="str">
        <f>IFERROR(__xludf.DUMMYFUNCTION("""COMPUTED_VALUE"""),"Print Support")</f>
        <v>Print Support</v>
      </c>
      <c r="D7200" s="1" t="str">
        <f>IFERROR(__xludf.DUMMYFUNCTION("""COMPUTED_VALUE"""),"0dc0eea0-be83-425b-9b40-b42bc444972b")</f>
        <v>0dc0eea0-be83-425b-9b40-b42bc444972b</v>
      </c>
      <c r="E7200" s="1"/>
      <c r="F7200" s="1"/>
      <c r="G7200" s="1"/>
      <c r="H7200" s="3">
        <f>IFERROR(__xludf.DUMMYFUNCTION("""COMPUTED_VALUE"""),0.0)</f>
        <v>0</v>
      </c>
      <c r="I7200" s="4"/>
      <c r="J7200" s="1" t="str">
        <f>IFERROR(__xludf.DUMMYFUNCTION("""COMPUTED_VALUE"""),"G-Anne Murillo")</f>
        <v>G-Anne Murillo</v>
      </c>
      <c r="K7200" s="1" t="str">
        <f>IFERROR(__xludf.DUMMYFUNCTION("""COMPUTED_VALUE"""),"Print Design Support")</f>
        <v>Print Design Support</v>
      </c>
      <c r="L7200" s="1" t="str">
        <f>IFERROR(__xludf.DUMMYFUNCTION("""COMPUTED_VALUE"""),"Print Print Design")</f>
        <v>Print Print Design</v>
      </c>
    </row>
    <row r="7201">
      <c r="A7201" s="1" t="str">
        <f>IFERROR(__xludf.DUMMYFUNCTION("""COMPUTED_VALUE"""),"2025 Dec")</f>
        <v>2025 Dec</v>
      </c>
      <c r="B7201" s="2">
        <f>IFERROR(__xludf.DUMMYFUNCTION("""COMPUTED_VALUE"""),46006.0)</f>
        <v>46006</v>
      </c>
      <c r="C7201" s="1" t="str">
        <f>IFERROR(__xludf.DUMMYFUNCTION("""COMPUTED_VALUE"""),"Print Support")</f>
        <v>Print Support</v>
      </c>
      <c r="D7201" s="1" t="str">
        <f>IFERROR(__xludf.DUMMYFUNCTION("""COMPUTED_VALUE"""),"9721fddb-68a3-4642-ad70-9c123debd6c5")</f>
        <v>9721fddb-68a3-4642-ad70-9c123debd6c5</v>
      </c>
      <c r="E7201" s="1">
        <f>IFERROR(__xludf.DUMMYFUNCTION("""COMPUTED_VALUE"""),5.202379069967E12)</f>
        <v>5202379069967</v>
      </c>
      <c r="F7201" s="1"/>
      <c r="G7201" s="1"/>
      <c r="H7201" s="3">
        <f>IFERROR(__xludf.DUMMYFUNCTION("""COMPUTED_VALUE"""),0.0)</f>
        <v>0</v>
      </c>
      <c r="I7201" s="4"/>
      <c r="J7201" s="1" t="str">
        <f>IFERROR(__xludf.DUMMYFUNCTION("""COMPUTED_VALUE"""),"Jen Momo")</f>
        <v>Jen Momo</v>
      </c>
      <c r="K7201" s="1" t="str">
        <f>IFERROR(__xludf.DUMMYFUNCTION("""COMPUTED_VALUE"""),"Print Support PH")</f>
        <v>Print Support PH</v>
      </c>
      <c r="L7201" s="1" t="str">
        <f>IFERROR(__xludf.DUMMYFUNCTION("""COMPUTED_VALUE"""),"Print Print - CHT")</f>
        <v>Print Print - CHT</v>
      </c>
    </row>
    <row r="7202">
      <c r="A7202" s="1" t="str">
        <f>IFERROR(__xludf.DUMMYFUNCTION("""COMPUTED_VALUE"""),"2025 Dec")</f>
        <v>2025 Dec</v>
      </c>
      <c r="B7202" s="2">
        <f>IFERROR(__xludf.DUMMYFUNCTION("""COMPUTED_VALUE"""),46006.0)</f>
        <v>46006</v>
      </c>
      <c r="C7202" s="1" t="str">
        <f>IFERROR(__xludf.DUMMYFUNCTION("""COMPUTED_VALUE"""),"Core Product Support")</f>
        <v>Core Product Support</v>
      </c>
      <c r="D7202" s="1" t="str">
        <f>IFERROR(__xludf.DUMMYFUNCTION("""COMPUTED_VALUE"""),"63913765-f42c-45e4-8f9a-eb96d52c2d61")</f>
        <v>63913765-f42c-45e4-8f9a-eb96d52c2d61</v>
      </c>
      <c r="E7202" s="1">
        <f>IFERROR(__xludf.DUMMYFUNCTION("""COMPUTED_VALUE"""),1.0333018822031E13)</f>
        <v>10333018822031</v>
      </c>
      <c r="F7202" s="1">
        <f>IFERROR(__xludf.DUMMYFUNCTION("""COMPUTED_VALUE"""),1.0)</f>
        <v>1</v>
      </c>
      <c r="G7202" s="1"/>
      <c r="H7202" s="3">
        <f>IFERROR(__xludf.DUMMYFUNCTION("""COMPUTED_VALUE"""),1.0)</f>
        <v>1</v>
      </c>
      <c r="I7202" s="4">
        <f>IFERROR(__xludf.DUMMYFUNCTION("""COMPUTED_VALUE"""),0.0)</f>
        <v>0</v>
      </c>
      <c r="J7202" s="1" t="str">
        <f>IFERROR(__xludf.DUMMYFUNCTION("""COMPUTED_VALUE"""),"Vinz Lazaro")</f>
        <v>Vinz Lazaro</v>
      </c>
      <c r="K7202" s="1" t="str">
        <f>IFERROR(__xludf.DUMMYFUNCTION("""COMPUTED_VALUE"""),"Advanced Product Support")</f>
        <v>Advanced Product Support</v>
      </c>
      <c r="L7202" s="1" t="str">
        <f>IFERROR(__xludf.DUMMYFUNCTION("""COMPUTED_VALUE"""),"CPS Advanced Product Support (APS)")</f>
        <v>CPS Advanced Product Support (APS)</v>
      </c>
    </row>
    <row r="7203">
      <c r="A7203" s="1" t="str">
        <f>IFERROR(__xludf.DUMMYFUNCTION("""COMPUTED_VALUE"""),"2025 Dec")</f>
        <v>2025 Dec</v>
      </c>
      <c r="B7203" s="2">
        <f>IFERROR(__xludf.DUMMYFUNCTION("""COMPUTED_VALUE"""),46006.0)</f>
        <v>46006</v>
      </c>
      <c r="C7203" s="1" t="str">
        <f>IFERROR(__xludf.DUMMYFUNCTION("""COMPUTED_VALUE"""),"Core Product Support")</f>
        <v>Core Product Support</v>
      </c>
      <c r="D7203" s="1" t="str">
        <f>IFERROR(__xludf.DUMMYFUNCTION("""COMPUTED_VALUE"""),"ab157f99-7ffd-4d9d-9c79-c3cf66911088")</f>
        <v>ab157f99-7ffd-4d9d-9c79-c3cf66911088</v>
      </c>
      <c r="E7203" s="1">
        <f>IFERROR(__xludf.DUMMYFUNCTION("""COMPUTED_VALUE"""),3.61731646775E11)</f>
        <v>361731646775</v>
      </c>
      <c r="F7203" s="1">
        <f>IFERROR(__xludf.DUMMYFUNCTION("""COMPUTED_VALUE"""),0.5)</f>
        <v>0.5</v>
      </c>
      <c r="G7203" s="1">
        <f>IFERROR(__xludf.DUMMYFUNCTION("""COMPUTED_VALUE"""),2.5)</f>
        <v>2.5</v>
      </c>
      <c r="H7203" s="3">
        <f>IFERROR(__xludf.DUMMYFUNCTION("""COMPUTED_VALUE"""),3.0)</f>
        <v>3</v>
      </c>
      <c r="I7203" s="4">
        <f>IFERROR(__xludf.DUMMYFUNCTION("""COMPUTED_VALUE"""),0.8333333333333334)</f>
        <v>0.8333333333</v>
      </c>
      <c r="J7203" s="1" t="str">
        <f>IFERROR(__xludf.DUMMYFUNCTION("""COMPUTED_VALUE"""),"Sieg Ballelos")</f>
        <v>Sieg Ballelos</v>
      </c>
      <c r="K7203" s="1" t="str">
        <f>IFERROR(__xludf.DUMMYFUNCTION("""COMPUTED_VALUE"""),"Core Product Support Escalation Team")</f>
        <v>Core Product Support Escalation Team</v>
      </c>
      <c r="L7203" s="1" t="str">
        <f>IFERROR(__xludf.DUMMYFUNCTION("""COMPUTED_VALUE"""),"CPS Core Product Support Escalations (CPSET)")</f>
        <v>CPS Core Product Support Escalations (CPSET)</v>
      </c>
    </row>
    <row r="7204">
      <c r="A7204" s="1" t="str">
        <f>IFERROR(__xludf.DUMMYFUNCTION("""COMPUTED_VALUE"""),"2025 Dec")</f>
        <v>2025 Dec</v>
      </c>
      <c r="B7204" s="2">
        <f>IFERROR(__xludf.DUMMYFUNCTION("""COMPUTED_VALUE"""),46006.0)</f>
        <v>46006</v>
      </c>
      <c r="C7204" s="1" t="str">
        <f>IFERROR(__xludf.DUMMYFUNCTION("""COMPUTED_VALUE"""),"Admin Support")</f>
        <v>Admin Support</v>
      </c>
      <c r="D7204" s="1" t="str">
        <f>IFERROR(__xludf.DUMMYFUNCTION("""COMPUTED_VALUE"""),"eb8376ed-4cf6-4826-b5fb-2b6844150189")</f>
        <v>eb8376ed-4cf6-4826-b5fb-2b6844150189</v>
      </c>
      <c r="E7204" s="1">
        <f>IFERROR(__xludf.DUMMYFUNCTION("""COMPUTED_VALUE"""),3.61731516535E11)</f>
        <v>361731516535</v>
      </c>
      <c r="F7204" s="1"/>
      <c r="G7204" s="1">
        <f>IFERROR(__xludf.DUMMYFUNCTION("""COMPUTED_VALUE"""),0.75)</f>
        <v>0.75</v>
      </c>
      <c r="H7204" s="3">
        <f>IFERROR(__xludf.DUMMYFUNCTION("""COMPUTED_VALUE"""),0.75)</f>
        <v>0.75</v>
      </c>
      <c r="I7204" s="4">
        <f>IFERROR(__xludf.DUMMYFUNCTION("""COMPUTED_VALUE"""),1.0)</f>
        <v>1</v>
      </c>
      <c r="J7204" s="1" t="str">
        <f>IFERROR(__xludf.DUMMYFUNCTION("""COMPUTED_VALUE"""),"Pau Palmero")</f>
        <v>Pau Palmero</v>
      </c>
      <c r="K7204" s="1" t="str">
        <f>IFERROR(__xludf.DUMMYFUNCTION("""COMPUTED_VALUE"""),"Admin Support PH CEDD")</f>
        <v>Admin Support PH CEDD</v>
      </c>
      <c r="L7204" s="1" t="str">
        <f>IFERROR(__xludf.DUMMYFUNCTION("""COMPUTED_VALUE"""),"Admin CEDD Apps,Admin CEDD Inbox Mgt")</f>
        <v>Admin CEDD Apps,Admin CEDD Inbox Mgt</v>
      </c>
    </row>
    <row r="7205">
      <c r="A7205" s="1" t="str">
        <f>IFERROR(__xludf.DUMMYFUNCTION("""COMPUTED_VALUE"""),"2025 Dec")</f>
        <v>2025 Dec</v>
      </c>
      <c r="B7205" s="2">
        <f>IFERROR(__xludf.DUMMYFUNCTION("""COMPUTED_VALUE"""),46006.0)</f>
        <v>46006</v>
      </c>
      <c r="C7205" s="1" t="str">
        <f>IFERROR(__xludf.DUMMYFUNCTION("""COMPUTED_VALUE"""),"Segment-specific Support")</f>
        <v>Segment-specific Support</v>
      </c>
      <c r="D7205" s="1" t="str">
        <f>IFERROR(__xludf.DUMMYFUNCTION("""COMPUTED_VALUE"""),"5f0cce5a-c29c-416c-a9e9-e7e3fa282c8a")</f>
        <v>5f0cce5a-c29c-416c-a9e9-e7e3fa282c8a</v>
      </c>
      <c r="E7205" s="1">
        <f>IFERROR(__xludf.DUMMYFUNCTION("""COMPUTED_VALUE"""),9.903289405711E12)</f>
        <v>9903289405711</v>
      </c>
      <c r="F7205" s="1">
        <f>IFERROR(__xludf.DUMMYFUNCTION("""COMPUTED_VALUE"""),0.5)</f>
        <v>0.5</v>
      </c>
      <c r="G7205" s="1"/>
      <c r="H7205" s="3">
        <f>IFERROR(__xludf.DUMMYFUNCTION("""COMPUTED_VALUE"""),0.5)</f>
        <v>0.5</v>
      </c>
      <c r="I7205" s="4">
        <f>IFERROR(__xludf.DUMMYFUNCTION("""COMPUTED_VALUE"""),0.0)</f>
        <v>0</v>
      </c>
      <c r="J7205" s="1" t="str">
        <f>IFERROR(__xludf.DUMMYFUNCTION("""COMPUTED_VALUE"""),"Jonathan Dimaculangan")</f>
        <v>Jonathan Dimaculangan</v>
      </c>
      <c r="K7205" s="1" t="str">
        <f>IFERROR(__xludf.DUMMYFUNCTION("""COMPUTED_VALUE"""),"Flourish Support")</f>
        <v>Flourish Support</v>
      </c>
      <c r="L7205" s="1" t="str">
        <f>IFERROR(__xludf.DUMMYFUNCTION("""COMPUTED_VALUE"""),"SSS Flourish")</f>
        <v>SSS Flourish</v>
      </c>
    </row>
    <row r="7206">
      <c r="A7206" s="1" t="str">
        <f>IFERROR(__xludf.DUMMYFUNCTION("""COMPUTED_VALUE"""),"2025 Dec")</f>
        <v>2025 Dec</v>
      </c>
      <c r="B7206" s="2">
        <f>IFERROR(__xludf.DUMMYFUNCTION("""COMPUTED_VALUE"""),46006.0)</f>
        <v>46006</v>
      </c>
      <c r="C7206" s="1" t="str">
        <f>IFERROR(__xludf.DUMMYFUNCTION("""COMPUTED_VALUE"""),"Core Product Support")</f>
        <v>Core Product Support</v>
      </c>
      <c r="D7206" s="1" t="str">
        <f>IFERROR(__xludf.DUMMYFUNCTION("""COMPUTED_VALUE"""),"618f1bf8-5458-45df-85f7-93c4f29332f8")</f>
        <v>618f1bf8-5458-45df-85f7-93c4f29332f8</v>
      </c>
      <c r="E7206" s="1">
        <f>IFERROR(__xludf.DUMMYFUNCTION("""COMPUTED_VALUE"""),3.61724667256E11)</f>
        <v>361724667256</v>
      </c>
      <c r="F7206" s="1">
        <f>IFERROR(__xludf.DUMMYFUNCTION("""COMPUTED_VALUE"""),0.5)</f>
        <v>0.5</v>
      </c>
      <c r="G7206" s="1">
        <f>IFERROR(__xludf.DUMMYFUNCTION("""COMPUTED_VALUE"""),2.5)</f>
        <v>2.5</v>
      </c>
      <c r="H7206" s="3">
        <f>IFERROR(__xludf.DUMMYFUNCTION("""COMPUTED_VALUE"""),3.0)</f>
        <v>3</v>
      </c>
      <c r="I7206" s="4">
        <f>IFERROR(__xludf.DUMMYFUNCTION("""COMPUTED_VALUE"""),0.8333333333333334)</f>
        <v>0.8333333333</v>
      </c>
      <c r="J7206" s="1" t="str">
        <f>IFERROR(__xludf.DUMMYFUNCTION("""COMPUTED_VALUE"""),"Ellaine Estayo")</f>
        <v>Ellaine Estayo</v>
      </c>
      <c r="K7206" s="1" t="str">
        <f>IFERROR(__xludf.DUMMYFUNCTION("""COMPUTED_VALUE"""),"Core Product Support Escalation Team")</f>
        <v>Core Product Support Escalation Team</v>
      </c>
      <c r="L7206" s="1" t="str">
        <f>IFERROR(__xludf.DUMMYFUNCTION("""COMPUTED_VALUE"""),"CPS Core Product Support Escalations (CPSET)")</f>
        <v>CPS Core Product Support Escalations (CPSET)</v>
      </c>
    </row>
    <row r="7207">
      <c r="A7207" s="1" t="str">
        <f>IFERROR(__xludf.DUMMYFUNCTION("""COMPUTED_VALUE"""),"2025 Dec")</f>
        <v>2025 Dec</v>
      </c>
      <c r="B7207" s="2">
        <f>IFERROR(__xludf.DUMMYFUNCTION("""COMPUTED_VALUE"""),46006.0)</f>
        <v>46006</v>
      </c>
      <c r="C7207" s="1" t="str">
        <f>IFERROR(__xludf.DUMMYFUNCTION("""COMPUTED_VALUE"""),"Print Support")</f>
        <v>Print Support</v>
      </c>
      <c r="D7207" s="1" t="str">
        <f>IFERROR(__xludf.DUMMYFUNCTION("""COMPUTED_VALUE"""),"9e452879-93e7-461c-b1a1-1bd079930eb2")</f>
        <v>9e452879-93e7-461c-b1a1-1bd079930eb2</v>
      </c>
      <c r="E7207" s="1">
        <f>IFERROR(__xludf.DUMMYFUNCTION("""COMPUTED_VALUE"""),1.0548609842831E13)</f>
        <v>10548609842831</v>
      </c>
      <c r="F7207" s="1"/>
      <c r="G7207" s="1"/>
      <c r="H7207" s="3">
        <f>IFERROR(__xludf.DUMMYFUNCTION("""COMPUTED_VALUE"""),0.0)</f>
        <v>0</v>
      </c>
      <c r="I7207" s="4"/>
      <c r="J7207" s="1" t="str">
        <f>IFERROR(__xludf.DUMMYFUNCTION("""COMPUTED_VALUE"""),"Rae Erlano")</f>
        <v>Rae Erlano</v>
      </c>
      <c r="K7207" s="1" t="str">
        <f>IFERROR(__xludf.DUMMYFUNCTION("""COMPUTED_VALUE"""),"Print Support PH")</f>
        <v>Print Support PH</v>
      </c>
      <c r="L7207" s="1" t="str">
        <f>IFERROR(__xludf.DUMMYFUNCTION("""COMPUTED_VALUE"""),"Print Print - CHT")</f>
        <v>Print Print - CHT</v>
      </c>
    </row>
    <row r="7208">
      <c r="A7208" s="1" t="str">
        <f>IFERROR(__xludf.DUMMYFUNCTION("""COMPUTED_VALUE"""),"2025 Dec")</f>
        <v>2025 Dec</v>
      </c>
      <c r="B7208" s="2">
        <f>IFERROR(__xludf.DUMMYFUNCTION("""COMPUTED_VALUE"""),46006.0)</f>
        <v>46006</v>
      </c>
      <c r="C7208" s="1" t="str">
        <f>IFERROR(__xludf.DUMMYFUNCTION("""COMPUTED_VALUE"""),"Core Product Support")</f>
        <v>Core Product Support</v>
      </c>
      <c r="D7208" s="1" t="str">
        <f>IFERROR(__xludf.DUMMYFUNCTION("""COMPUTED_VALUE"""),"2a3cbb81-c61e-4e7d-8a9e-ed241403cd4d")</f>
        <v>2a3cbb81-c61e-4e7d-8a9e-ed241403cd4d</v>
      </c>
      <c r="E7208" s="1">
        <f>IFERROR(__xludf.DUMMYFUNCTION("""COMPUTED_VALUE"""),1.0333033832463E13)</f>
        <v>10333033832463</v>
      </c>
      <c r="F7208" s="1"/>
      <c r="G7208" s="1"/>
      <c r="H7208" s="3">
        <f>IFERROR(__xludf.DUMMYFUNCTION("""COMPUTED_VALUE"""),0.0)</f>
        <v>0</v>
      </c>
      <c r="I7208" s="4"/>
      <c r="J7208" s="1" t="str">
        <f>IFERROR(__xludf.DUMMYFUNCTION("""COMPUTED_VALUE"""),"Marie Mordeno")</f>
        <v>Marie Mordeno</v>
      </c>
      <c r="K7208" s="1" t="str">
        <f>IFERROR(__xludf.DUMMYFUNCTION("""COMPUTED_VALUE"""),"Advanced Billing &amp; Subscriptions")</f>
        <v>Advanced Billing &amp; Subscriptions</v>
      </c>
      <c r="L7208" s="1" t="str">
        <f>IFERROR(__xludf.DUMMYFUNCTION("""COMPUTED_VALUE"""),"CPS Advanced Billing and Subscriptions (ABS)")</f>
        <v>CPS Advanced Billing and Subscriptions (ABS)</v>
      </c>
    </row>
    <row r="7209">
      <c r="A7209" s="1" t="str">
        <f>IFERROR(__xludf.DUMMYFUNCTION("""COMPUTED_VALUE"""),"2025 Dec")</f>
        <v>2025 Dec</v>
      </c>
      <c r="B7209" s="2">
        <f>IFERROR(__xludf.DUMMYFUNCTION("""COMPUTED_VALUE"""),46006.0)</f>
        <v>46006</v>
      </c>
      <c r="C7209" s="1" t="str">
        <f>IFERROR(__xludf.DUMMYFUNCTION("""COMPUTED_VALUE"""),"Print Support")</f>
        <v>Print Support</v>
      </c>
      <c r="D7209" s="1" t="str">
        <f>IFERROR(__xludf.DUMMYFUNCTION("""COMPUTED_VALUE"""),"b9ec9518-1035-4039-9e89-56312867ff3e")</f>
        <v>b9ec9518-1035-4039-9e89-56312867ff3e</v>
      </c>
      <c r="E7209" s="1">
        <f>IFERROR(__xludf.DUMMYFUNCTION("""COMPUTED_VALUE"""),1.0548609971215E13)</f>
        <v>10548609971215</v>
      </c>
      <c r="F7209" s="1"/>
      <c r="G7209" s="1"/>
      <c r="H7209" s="3">
        <f>IFERROR(__xludf.DUMMYFUNCTION("""COMPUTED_VALUE"""),0.0)</f>
        <v>0</v>
      </c>
      <c r="I7209" s="4"/>
      <c r="J7209" s="1" t="str">
        <f>IFERROR(__xludf.DUMMYFUNCTION("""COMPUTED_VALUE"""),"Ann Dumlao")</f>
        <v>Ann Dumlao</v>
      </c>
      <c r="K7209" s="1" t="str">
        <f>IFERROR(__xludf.DUMMYFUNCTION("""COMPUTED_VALUE"""),"Print Support PH")</f>
        <v>Print Support PH</v>
      </c>
      <c r="L7209" s="1" t="str">
        <f>IFERROR(__xludf.DUMMYFUNCTION("""COMPUTED_VALUE"""),"Print Print - CHT")</f>
        <v>Print Print - CHT</v>
      </c>
    </row>
    <row r="7210">
      <c r="A7210" s="1" t="str">
        <f>IFERROR(__xludf.DUMMYFUNCTION("""COMPUTED_VALUE"""),"2025 Dec")</f>
        <v>2025 Dec</v>
      </c>
      <c r="B7210" s="2">
        <f>IFERROR(__xludf.DUMMYFUNCTION("""COMPUTED_VALUE"""),46006.0)</f>
        <v>46006</v>
      </c>
      <c r="C7210" s="1" t="str">
        <f>IFERROR(__xludf.DUMMYFUNCTION("""COMPUTED_VALUE"""),"Core Product Support")</f>
        <v>Core Product Support</v>
      </c>
      <c r="D7210" s="1" t="str">
        <f>IFERROR(__xludf.DUMMYFUNCTION("""COMPUTED_VALUE"""),"b80ae9d0-5920-40ea-8338-5b197b10c2ea")</f>
        <v>b80ae9d0-5920-40ea-8338-5b197b10c2ea</v>
      </c>
      <c r="E7210" s="1">
        <f>IFERROR(__xludf.DUMMYFUNCTION("""COMPUTED_VALUE"""),3.61857411916E11)</f>
        <v>361857411916</v>
      </c>
      <c r="F7210" s="1"/>
      <c r="G7210" s="1"/>
      <c r="H7210" s="3">
        <f>IFERROR(__xludf.DUMMYFUNCTION("""COMPUTED_VALUE"""),0.0)</f>
        <v>0</v>
      </c>
      <c r="I7210" s="4"/>
      <c r="J7210" s="1" t="str">
        <f>IFERROR(__xludf.DUMMYFUNCTION("""COMPUTED_VALUE"""),"Vianca De Jesus")</f>
        <v>Vianca De Jesus</v>
      </c>
      <c r="K7210" s="1" t="str">
        <f>IFERROR(__xludf.DUMMYFUNCTION("""COMPUTED_VALUE"""),"Advanced Chat Support")</f>
        <v>Advanced Chat Support</v>
      </c>
      <c r="L7210" s="1" t="str">
        <f>IFERROR(__xludf.DUMMYFUNCTION("""COMPUTED_VALUE"""),"CPS Advanced Chat Support (ACS)")</f>
        <v>CPS Advanced Chat Support (ACS)</v>
      </c>
    </row>
    <row r="7211">
      <c r="A7211" s="1" t="str">
        <f>IFERROR(__xludf.DUMMYFUNCTION("""COMPUTED_VALUE"""),"2025 Dec")</f>
        <v>2025 Dec</v>
      </c>
      <c r="B7211" s="2">
        <f>IFERROR(__xludf.DUMMYFUNCTION("""COMPUTED_VALUE"""),46006.0)</f>
        <v>46006</v>
      </c>
      <c r="C7211" s="1" t="str">
        <f>IFERROR(__xludf.DUMMYFUNCTION("""COMPUTED_VALUE"""),"Print Support")</f>
        <v>Print Support</v>
      </c>
      <c r="D7211" s="1" t="str">
        <f>IFERROR(__xludf.DUMMYFUNCTION("""COMPUTED_VALUE"""),"96960398-b413-404a-acdf-c9c07c7a947d")</f>
        <v>96960398-b413-404a-acdf-c9c07c7a947d</v>
      </c>
      <c r="E7211" s="1">
        <f>IFERROR(__xludf.DUMMYFUNCTION("""COMPUTED_VALUE"""),3.61744077956E11)</f>
        <v>361744077956</v>
      </c>
      <c r="F7211" s="1">
        <f>IFERROR(__xludf.DUMMYFUNCTION("""COMPUTED_VALUE"""),2.0)</f>
        <v>2</v>
      </c>
      <c r="G7211" s="1"/>
      <c r="H7211" s="3">
        <f>IFERROR(__xludf.DUMMYFUNCTION("""COMPUTED_VALUE"""),2.0)</f>
        <v>2</v>
      </c>
      <c r="I7211" s="4">
        <f>IFERROR(__xludf.DUMMYFUNCTION("""COMPUTED_VALUE"""),0.0)</f>
        <v>0</v>
      </c>
      <c r="J7211" s="1" t="str">
        <f>IFERROR(__xludf.DUMMYFUNCTION("""COMPUTED_VALUE"""),"Rae Erlano")</f>
        <v>Rae Erlano</v>
      </c>
      <c r="K7211" s="1" t="str">
        <f>IFERROR(__xludf.DUMMYFUNCTION("""COMPUTED_VALUE"""),"Print Support PH")</f>
        <v>Print Support PH</v>
      </c>
      <c r="L7211" s="1" t="str">
        <f>IFERROR(__xludf.DUMMYFUNCTION("""COMPUTED_VALUE"""),"Print Print - SEE")</f>
        <v>Print Print - SEE</v>
      </c>
    </row>
    <row r="7212">
      <c r="A7212" s="1" t="str">
        <f>IFERROR(__xludf.DUMMYFUNCTION("""COMPUTED_VALUE"""),"2025 Dec")</f>
        <v>2025 Dec</v>
      </c>
      <c r="B7212" s="2">
        <f>IFERROR(__xludf.DUMMYFUNCTION("""COMPUTED_VALUE"""),46006.0)</f>
        <v>46006</v>
      </c>
      <c r="C7212" s="1" t="str">
        <f>IFERROR(__xludf.DUMMYFUNCTION("""COMPUTED_VALUE"""),"Print Support")</f>
        <v>Print Support</v>
      </c>
      <c r="D7212" s="1" t="str">
        <f>IFERROR(__xludf.DUMMYFUNCTION("""COMPUTED_VALUE"""),"b85e88a5-e05e-4b99-8314-1a4152e7f993")</f>
        <v>b85e88a5-e05e-4b99-8314-1a4152e7f993</v>
      </c>
      <c r="E7212" s="1"/>
      <c r="F7212" s="1"/>
      <c r="G7212" s="1"/>
      <c r="H7212" s="3">
        <f>IFERROR(__xludf.DUMMYFUNCTION("""COMPUTED_VALUE"""),0.0)</f>
        <v>0</v>
      </c>
      <c r="I7212" s="4"/>
      <c r="J7212" s="1" t="str">
        <f>IFERROR(__xludf.DUMMYFUNCTION("""COMPUTED_VALUE"""),"Rei De Jesus")</f>
        <v>Rei De Jesus</v>
      </c>
      <c r="K7212" s="1" t="str">
        <f>IFERROR(__xludf.DUMMYFUNCTION("""COMPUTED_VALUE"""),"Print Design Support")</f>
        <v>Print Design Support</v>
      </c>
      <c r="L7212" s="1" t="str">
        <f>IFERROR(__xludf.DUMMYFUNCTION("""COMPUTED_VALUE"""),"Print Print Design")</f>
        <v>Print Print Design</v>
      </c>
    </row>
    <row r="7213">
      <c r="A7213" s="1" t="str">
        <f>IFERROR(__xludf.DUMMYFUNCTION("""COMPUTED_VALUE"""),"2025 Dec")</f>
        <v>2025 Dec</v>
      </c>
      <c r="B7213" s="2">
        <f>IFERROR(__xludf.DUMMYFUNCTION("""COMPUTED_VALUE"""),46006.0)</f>
        <v>46006</v>
      </c>
      <c r="C7213" s="1" t="str">
        <f>IFERROR(__xludf.DUMMYFUNCTION("""COMPUTED_VALUE"""),"High Sensitivity Support")</f>
        <v>High Sensitivity Support</v>
      </c>
      <c r="D7213" s="1" t="str">
        <f>IFERROR(__xludf.DUMMYFUNCTION("""COMPUTED_VALUE"""),"f734e8ae-d81c-444b-8238-0989a571ddfc")</f>
        <v>f734e8ae-d81c-444b-8238-0989a571ddfc</v>
      </c>
      <c r="E7213" s="1">
        <f>IFERROR(__xludf.DUMMYFUNCTION("""COMPUTED_VALUE"""),1.0548626331023E13)</f>
        <v>10548626331023</v>
      </c>
      <c r="F7213" s="1">
        <f>IFERROR(__xludf.DUMMYFUNCTION("""COMPUTED_VALUE"""),4.0)</f>
        <v>4</v>
      </c>
      <c r="G7213" s="1"/>
      <c r="H7213" s="3">
        <f>IFERROR(__xludf.DUMMYFUNCTION("""COMPUTED_VALUE"""),4.0)</f>
        <v>4</v>
      </c>
      <c r="I7213" s="4">
        <f>IFERROR(__xludf.DUMMYFUNCTION("""COMPUTED_VALUE"""),0.0)</f>
        <v>0</v>
      </c>
      <c r="J7213" s="1" t="str">
        <f>IFERROR(__xludf.DUMMYFUNCTION("""COMPUTED_VALUE"""),"Xandy Azarcon")</f>
        <v>Xandy Azarcon</v>
      </c>
      <c r="K7213" s="1" t="str">
        <f>IFERROR(__xludf.DUMMYFUNCTION("""COMPUTED_VALUE"""),"High Sensitivity Support PH")</f>
        <v>High Sensitivity Support PH</v>
      </c>
      <c r="L7213" s="1" t="str">
        <f>IFERROR(__xludf.DUMMYFUNCTION("""COMPUTED_VALUE"""),"HSS High Sensitivity Support PH - CHT")</f>
        <v>HSS High Sensitivity Support PH - CHT</v>
      </c>
    </row>
    <row r="7214">
      <c r="A7214" s="1" t="str">
        <f>IFERROR(__xludf.DUMMYFUNCTION("""COMPUTED_VALUE"""),"2025 Dec")</f>
        <v>2025 Dec</v>
      </c>
      <c r="B7214" s="2">
        <f>IFERROR(__xludf.DUMMYFUNCTION("""COMPUTED_VALUE"""),46006.0)</f>
        <v>46006</v>
      </c>
      <c r="C7214" s="1" t="str">
        <f>IFERROR(__xludf.DUMMYFUNCTION("""COMPUTED_VALUE"""),"Admin Support")</f>
        <v>Admin Support</v>
      </c>
      <c r="D7214" s="1" t="str">
        <f>IFERROR(__xludf.DUMMYFUNCTION("""COMPUTED_VALUE"""),"325d8c4b-104e-45b5-8c24-46aee9a25b01")</f>
        <v>325d8c4b-104e-45b5-8c24-46aee9a25b01</v>
      </c>
      <c r="E7214" s="1">
        <f>IFERROR(__xludf.DUMMYFUNCTION("""COMPUTED_VALUE"""),9.582702695695E12)</f>
        <v>9582702695695</v>
      </c>
      <c r="F7214" s="1">
        <f>IFERROR(__xludf.DUMMYFUNCTION("""COMPUTED_VALUE"""),0.5)</f>
        <v>0.5</v>
      </c>
      <c r="G7214" s="1"/>
      <c r="H7214" s="3">
        <f>IFERROR(__xludf.DUMMYFUNCTION("""COMPUTED_VALUE"""),0.5)</f>
        <v>0.5</v>
      </c>
      <c r="I7214" s="4">
        <f>IFERROR(__xludf.DUMMYFUNCTION("""COMPUTED_VALUE"""),0.0)</f>
        <v>0</v>
      </c>
      <c r="J7214" s="1" t="str">
        <f>IFERROR(__xludf.DUMMYFUNCTION("""COMPUTED_VALUE"""),"Tash Kelly")</f>
        <v>Tash Kelly</v>
      </c>
      <c r="K7214" s="1" t="str">
        <f>IFERROR(__xludf.DUMMYFUNCTION("""COMPUTED_VALUE"""),"Admin Support NA")</f>
        <v>Admin Support NA</v>
      </c>
      <c r="L7214" s="1" t="str">
        <f>IFERROR(__xludf.DUMMYFUNCTION("""COMPUTED_VALUE"""),"Admin NA")</f>
        <v>Admin NA</v>
      </c>
    </row>
    <row r="7215">
      <c r="A7215" s="1" t="str">
        <f>IFERROR(__xludf.DUMMYFUNCTION("""COMPUTED_VALUE"""),"2025 Dec")</f>
        <v>2025 Dec</v>
      </c>
      <c r="B7215" s="2">
        <f>IFERROR(__xludf.DUMMYFUNCTION("""COMPUTED_VALUE"""),46006.0)</f>
        <v>46006</v>
      </c>
      <c r="C7215" s="1" t="str">
        <f>IFERROR(__xludf.DUMMYFUNCTION("""COMPUTED_VALUE"""),"High Sensitivity Support")</f>
        <v>High Sensitivity Support</v>
      </c>
      <c r="D7215" s="1" t="str">
        <f>IFERROR(__xludf.DUMMYFUNCTION("""COMPUTED_VALUE"""),"fb99a0f5-9812-4401-a668-2a1e7f339b55")</f>
        <v>fb99a0f5-9812-4401-a668-2a1e7f339b55</v>
      </c>
      <c r="E7215" s="1">
        <f>IFERROR(__xludf.DUMMYFUNCTION("""COMPUTED_VALUE"""),7.235417198991E12)</f>
        <v>7235417198991</v>
      </c>
      <c r="F7215" s="1">
        <f>IFERROR(__xludf.DUMMYFUNCTION("""COMPUTED_VALUE"""),4.0)</f>
        <v>4</v>
      </c>
      <c r="G7215" s="1"/>
      <c r="H7215" s="3">
        <f>IFERROR(__xludf.DUMMYFUNCTION("""COMPUTED_VALUE"""),4.0)</f>
        <v>4</v>
      </c>
      <c r="I7215" s="4">
        <f>IFERROR(__xludf.DUMMYFUNCTION("""COMPUTED_VALUE"""),0.0)</f>
        <v>0</v>
      </c>
      <c r="J7215" s="1" t="str">
        <f>IFERROR(__xludf.DUMMYFUNCTION("""COMPUTED_VALUE"""),"Rex Villamor")</f>
        <v>Rex Villamor</v>
      </c>
      <c r="K7215" s="1" t="str">
        <f>IFERROR(__xludf.DUMMYFUNCTION("""COMPUTED_VALUE"""),"High Sensitivity Support PH")</f>
        <v>High Sensitivity Support PH</v>
      </c>
      <c r="L7215" s="1" t="str">
        <f>IFERROR(__xludf.DUMMYFUNCTION("""COMPUTED_VALUE"""),"HSS High Sensitivity Support PH - CHT")</f>
        <v>HSS High Sensitivity Support PH - CHT</v>
      </c>
    </row>
    <row r="7216">
      <c r="A7216" s="1" t="str">
        <f>IFERROR(__xludf.DUMMYFUNCTION("""COMPUTED_VALUE"""),"2025 Dec")</f>
        <v>2025 Dec</v>
      </c>
      <c r="B7216" s="2">
        <f>IFERROR(__xludf.DUMMYFUNCTION("""COMPUTED_VALUE"""),46006.0)</f>
        <v>46006</v>
      </c>
      <c r="C7216" s="1" t="str">
        <f>IFERROR(__xludf.DUMMYFUNCTION("""COMPUTED_VALUE"""),"Core Product Support")</f>
        <v>Core Product Support</v>
      </c>
      <c r="D7216" s="1" t="str">
        <f>IFERROR(__xludf.DUMMYFUNCTION("""COMPUTED_VALUE"""),"04f92121-45c6-497f-b19a-2be8f0398769")</f>
        <v>04f92121-45c6-497f-b19a-2be8f0398769</v>
      </c>
      <c r="E7216" s="1">
        <f>IFERROR(__xludf.DUMMYFUNCTION("""COMPUTED_VALUE"""),3.61725261016E11)</f>
        <v>361725261016</v>
      </c>
      <c r="F7216" s="1">
        <f>IFERROR(__xludf.DUMMYFUNCTION("""COMPUTED_VALUE"""),0.5)</f>
        <v>0.5</v>
      </c>
      <c r="G7216" s="1">
        <f>IFERROR(__xludf.DUMMYFUNCTION("""COMPUTED_VALUE"""),2.5)</f>
        <v>2.5</v>
      </c>
      <c r="H7216" s="3">
        <f>IFERROR(__xludf.DUMMYFUNCTION("""COMPUTED_VALUE"""),3.0)</f>
        <v>3</v>
      </c>
      <c r="I7216" s="4">
        <f>IFERROR(__xludf.DUMMYFUNCTION("""COMPUTED_VALUE"""),0.8333333333333334)</f>
        <v>0.8333333333</v>
      </c>
      <c r="J7216" s="1" t="str">
        <f>IFERROR(__xludf.DUMMYFUNCTION("""COMPUTED_VALUE"""),"Bem Launte")</f>
        <v>Bem Launte</v>
      </c>
      <c r="K7216" s="1" t="str">
        <f>IFERROR(__xludf.DUMMYFUNCTION("""COMPUTED_VALUE"""),"Core Product Support Escalation Team")</f>
        <v>Core Product Support Escalation Team</v>
      </c>
      <c r="L7216" s="1" t="str">
        <f>IFERROR(__xludf.DUMMYFUNCTION("""COMPUTED_VALUE"""),"CPS Core Product Support Escalations (CPSET)")</f>
        <v>CPS Core Product Support Escalations (CPSET)</v>
      </c>
    </row>
    <row r="7217">
      <c r="A7217" s="1" t="str">
        <f>IFERROR(__xludf.DUMMYFUNCTION("""COMPUTED_VALUE"""),"2025 Dec")</f>
        <v>2025 Dec</v>
      </c>
      <c r="B7217" s="2">
        <f>IFERROR(__xludf.DUMMYFUNCTION("""COMPUTED_VALUE"""),46006.0)</f>
        <v>46006</v>
      </c>
      <c r="C7217" s="1" t="str">
        <f>IFERROR(__xludf.DUMMYFUNCTION("""COMPUTED_VALUE"""),"Print Support")</f>
        <v>Print Support</v>
      </c>
      <c r="D7217" s="1" t="str">
        <f>IFERROR(__xludf.DUMMYFUNCTION("""COMPUTED_VALUE"""),"afe991ce-72f0-4a1b-ae15-865b9a416d53")</f>
        <v>afe991ce-72f0-4a1b-ae15-865b9a416d53</v>
      </c>
      <c r="E7217" s="1">
        <f>IFERROR(__xludf.DUMMYFUNCTION("""COMPUTED_VALUE"""),3.61694632195E11)</f>
        <v>361694632195</v>
      </c>
      <c r="F7217" s="1">
        <f>IFERROR(__xludf.DUMMYFUNCTION("""COMPUTED_VALUE"""),2.0)</f>
        <v>2</v>
      </c>
      <c r="G7217" s="1"/>
      <c r="H7217" s="3">
        <f>IFERROR(__xludf.DUMMYFUNCTION("""COMPUTED_VALUE"""),2.0)</f>
        <v>2</v>
      </c>
      <c r="I7217" s="4">
        <f>IFERROR(__xludf.DUMMYFUNCTION("""COMPUTED_VALUE"""),0.0)</f>
        <v>0</v>
      </c>
      <c r="J7217" s="1" t="str">
        <f>IFERROR(__xludf.DUMMYFUNCTION("""COMPUTED_VALUE"""),"Memae Faustino")</f>
        <v>Memae Faustino</v>
      </c>
      <c r="K7217" s="1" t="str">
        <f>IFERROR(__xludf.DUMMYFUNCTION("""COMPUTED_VALUE"""),"Print Support PH")</f>
        <v>Print Support PH</v>
      </c>
      <c r="L7217" s="1" t="str">
        <f>IFERROR(__xludf.DUMMYFUNCTION("""COMPUTED_VALUE"""),"Print Print - SEE")</f>
        <v>Print Print - SEE</v>
      </c>
    </row>
    <row r="7218">
      <c r="A7218" s="1" t="str">
        <f>IFERROR(__xludf.DUMMYFUNCTION("""COMPUTED_VALUE"""),"2025 Dec")</f>
        <v>2025 Dec</v>
      </c>
      <c r="B7218" s="2">
        <f>IFERROR(__xludf.DUMMYFUNCTION("""COMPUTED_VALUE"""),46006.0)</f>
        <v>46006</v>
      </c>
      <c r="C7218" s="1" t="str">
        <f>IFERROR(__xludf.DUMMYFUNCTION("""COMPUTED_VALUE"""),"Print Support")</f>
        <v>Print Support</v>
      </c>
      <c r="D7218" s="1" t="str">
        <f>IFERROR(__xludf.DUMMYFUNCTION("""COMPUTED_VALUE"""),"b0701057-db2b-4208-bb14-e0c4e8b8f1ee")</f>
        <v>b0701057-db2b-4208-bb14-e0c4e8b8f1ee</v>
      </c>
      <c r="E7218" s="1"/>
      <c r="F7218" s="1"/>
      <c r="G7218" s="1"/>
      <c r="H7218" s="3">
        <f>IFERROR(__xludf.DUMMYFUNCTION("""COMPUTED_VALUE"""),0.0)</f>
        <v>0</v>
      </c>
      <c r="I7218" s="4"/>
      <c r="J7218" s="1" t="str">
        <f>IFERROR(__xludf.DUMMYFUNCTION("""COMPUTED_VALUE"""),"Aliza Dote")</f>
        <v>Aliza Dote</v>
      </c>
      <c r="K7218" s="1" t="str">
        <f>IFERROR(__xludf.DUMMYFUNCTION("""COMPUTED_VALUE"""),"Print Design Support")</f>
        <v>Print Design Support</v>
      </c>
      <c r="L7218" s="1" t="str">
        <f>IFERROR(__xludf.DUMMYFUNCTION("""COMPUTED_VALUE"""),"Print Print Design")</f>
        <v>Print Print Design</v>
      </c>
    </row>
    <row r="7219">
      <c r="A7219" s="1" t="str">
        <f>IFERROR(__xludf.DUMMYFUNCTION("""COMPUTED_VALUE"""),"2025 Dec")</f>
        <v>2025 Dec</v>
      </c>
      <c r="B7219" s="2">
        <f>IFERROR(__xludf.DUMMYFUNCTION("""COMPUTED_VALUE"""),46006.0)</f>
        <v>46006</v>
      </c>
      <c r="C7219" s="1" t="str">
        <f>IFERROR(__xludf.DUMMYFUNCTION("""COMPUTED_VALUE"""),"Core Product Support")</f>
        <v>Core Product Support</v>
      </c>
      <c r="D7219" s="1" t="str">
        <f>IFERROR(__xludf.DUMMYFUNCTION("""COMPUTED_VALUE"""),"e49eb420-7bd7-4503-a1d0-35028e015e43")</f>
        <v>e49eb420-7bd7-4503-a1d0-35028e015e43</v>
      </c>
      <c r="E7219" s="1">
        <f>IFERROR(__xludf.DUMMYFUNCTION("""COMPUTED_VALUE"""),5.047314693263E12)</f>
        <v>5047314693263</v>
      </c>
      <c r="F7219" s="1">
        <f>IFERROR(__xludf.DUMMYFUNCTION("""COMPUTED_VALUE"""),0.5)</f>
        <v>0.5</v>
      </c>
      <c r="G7219" s="1"/>
      <c r="H7219" s="3">
        <f>IFERROR(__xludf.DUMMYFUNCTION("""COMPUTED_VALUE"""),0.5)</f>
        <v>0.5</v>
      </c>
      <c r="I7219" s="4">
        <f>IFERROR(__xludf.DUMMYFUNCTION("""COMPUTED_VALUE"""),0.0)</f>
        <v>0</v>
      </c>
      <c r="J7219" s="1" t="str">
        <f>IFERROR(__xludf.DUMMYFUNCTION("""COMPUTED_VALUE"""),"Cate Velasco")</f>
        <v>Cate Velasco</v>
      </c>
      <c r="K7219" s="1" t="str">
        <f>IFERROR(__xludf.DUMMYFUNCTION("""COMPUTED_VALUE"""),"Advanced Product Support")</f>
        <v>Advanced Product Support</v>
      </c>
      <c r="L7219" s="1" t="str">
        <f>IFERROR(__xludf.DUMMYFUNCTION("""COMPUTED_VALUE"""),"CPS Advanced Product Support (APS)")</f>
        <v>CPS Advanced Product Support (APS)</v>
      </c>
    </row>
    <row r="7220">
      <c r="A7220" s="1" t="str">
        <f>IFERROR(__xludf.DUMMYFUNCTION("""COMPUTED_VALUE"""),"2025 Dec")</f>
        <v>2025 Dec</v>
      </c>
      <c r="B7220" s="2">
        <f>IFERROR(__xludf.DUMMYFUNCTION("""COMPUTED_VALUE"""),46006.0)</f>
        <v>46006</v>
      </c>
      <c r="C7220" s="1" t="str">
        <f>IFERROR(__xludf.DUMMYFUNCTION("""COMPUTED_VALUE"""),"Print Support")</f>
        <v>Print Support</v>
      </c>
      <c r="D7220" s="1" t="str">
        <f>IFERROR(__xludf.DUMMYFUNCTION("""COMPUTED_VALUE"""),"03a2ac9e-65a5-409e-851b-a4c93a003187")</f>
        <v>03a2ac9e-65a5-409e-851b-a4c93a003187</v>
      </c>
      <c r="E7220" s="1">
        <f>IFERROR(__xludf.DUMMYFUNCTION("""COMPUTED_VALUE"""),5.202378807439E12)</f>
        <v>5202378807439</v>
      </c>
      <c r="F7220" s="1"/>
      <c r="G7220" s="1"/>
      <c r="H7220" s="3">
        <f>IFERROR(__xludf.DUMMYFUNCTION("""COMPUTED_VALUE"""),0.0)</f>
        <v>0</v>
      </c>
      <c r="I7220" s="4"/>
      <c r="J7220" s="1" t="str">
        <f>IFERROR(__xludf.DUMMYFUNCTION("""COMPUTED_VALUE"""),"Louise Dianne Estrella")</f>
        <v>Louise Dianne Estrella</v>
      </c>
      <c r="K7220" s="1" t="str">
        <f>IFERROR(__xludf.DUMMYFUNCTION("""COMPUTED_VALUE"""),"Print Support PH")</f>
        <v>Print Support PH</v>
      </c>
      <c r="L7220" s="1" t="str">
        <f>IFERROR(__xludf.DUMMYFUNCTION("""COMPUTED_VALUE"""),"Print Print - CHT")</f>
        <v>Print Print - CHT</v>
      </c>
    </row>
    <row r="7221">
      <c r="A7221" s="1" t="str">
        <f>IFERROR(__xludf.DUMMYFUNCTION("""COMPUTED_VALUE"""),"2025 Dec")</f>
        <v>2025 Dec</v>
      </c>
      <c r="B7221" s="2">
        <f>IFERROR(__xludf.DUMMYFUNCTION("""COMPUTED_VALUE"""),46006.0)</f>
        <v>46006</v>
      </c>
      <c r="C7221" s="1" t="str">
        <f>IFERROR(__xludf.DUMMYFUNCTION("""COMPUTED_VALUE"""),"Print Support")</f>
        <v>Print Support</v>
      </c>
      <c r="D7221" s="1" t="str">
        <f>IFERROR(__xludf.DUMMYFUNCTION("""COMPUTED_VALUE"""),"f7d8f8dd-7764-471d-8254-300956d0e1c6")</f>
        <v>f7d8f8dd-7764-471d-8254-300956d0e1c6</v>
      </c>
      <c r="E7221" s="1">
        <f>IFERROR(__xludf.DUMMYFUNCTION("""COMPUTED_VALUE"""),3.61750003915E11)</f>
        <v>361750003915</v>
      </c>
      <c r="F7221" s="1"/>
      <c r="G7221" s="1"/>
      <c r="H7221" s="3">
        <f>IFERROR(__xludf.DUMMYFUNCTION("""COMPUTED_VALUE"""),0.0)</f>
        <v>0</v>
      </c>
      <c r="I7221" s="4"/>
      <c r="J7221" s="1" t="str">
        <f>IFERROR(__xludf.DUMMYFUNCTION("""COMPUTED_VALUE"""),"Ann Dumlao")</f>
        <v>Ann Dumlao</v>
      </c>
      <c r="K7221" s="1" t="str">
        <f>IFERROR(__xludf.DUMMYFUNCTION("""COMPUTED_VALUE"""),"Print Support PH")</f>
        <v>Print Support PH</v>
      </c>
      <c r="L7221" s="1" t="str">
        <f>IFERROR(__xludf.DUMMYFUNCTION("""COMPUTED_VALUE"""),"Print Print - CHT")</f>
        <v>Print Print - CHT</v>
      </c>
    </row>
    <row r="7222">
      <c r="A7222" s="1" t="str">
        <f>IFERROR(__xludf.DUMMYFUNCTION("""COMPUTED_VALUE"""),"2025 Dec")</f>
        <v>2025 Dec</v>
      </c>
      <c r="B7222" s="2">
        <f>IFERROR(__xludf.DUMMYFUNCTION("""COMPUTED_VALUE"""),46006.0)</f>
        <v>46006</v>
      </c>
      <c r="C7222" s="1" t="str">
        <f>IFERROR(__xludf.DUMMYFUNCTION("""COMPUTED_VALUE"""),"Core Product Support")</f>
        <v>Core Product Support</v>
      </c>
      <c r="D7222" s="1" t="str">
        <f>IFERROR(__xludf.DUMMYFUNCTION("""COMPUTED_VALUE"""),"1309ddc0-c081-4df4-b17d-ed2c31b14169")</f>
        <v>1309ddc0-c081-4df4-b17d-ed2c31b14169</v>
      </c>
      <c r="E7222" s="1">
        <f>IFERROR(__xludf.DUMMYFUNCTION("""COMPUTED_VALUE"""),3.61964324516E11)</f>
        <v>361964324516</v>
      </c>
      <c r="F7222" s="1"/>
      <c r="G7222" s="1"/>
      <c r="H7222" s="3">
        <f>IFERROR(__xludf.DUMMYFUNCTION("""COMPUTED_VALUE"""),0.0)</f>
        <v>0</v>
      </c>
      <c r="I7222" s="4"/>
      <c r="J7222" s="1" t="str">
        <f>IFERROR(__xludf.DUMMYFUNCTION("""COMPUTED_VALUE"""),"Ayza Marie Pascual")</f>
        <v>Ayza Marie Pascual</v>
      </c>
      <c r="K7222" s="1" t="str">
        <f>IFERROR(__xludf.DUMMYFUNCTION("""COMPUTED_VALUE"""),"Advanced Billing &amp; Subscriptions")</f>
        <v>Advanced Billing &amp; Subscriptions</v>
      </c>
      <c r="L7222" s="1" t="str">
        <f>IFERROR(__xludf.DUMMYFUNCTION("""COMPUTED_VALUE"""),"CPS Advanced Billing and Subscriptions (ABS)")</f>
        <v>CPS Advanced Billing and Subscriptions (ABS)</v>
      </c>
    </row>
    <row r="7223">
      <c r="A7223" s="1" t="str">
        <f>IFERROR(__xludf.DUMMYFUNCTION("""COMPUTED_VALUE"""),"2025 Dec")</f>
        <v>2025 Dec</v>
      </c>
      <c r="B7223" s="2">
        <f>IFERROR(__xludf.DUMMYFUNCTION("""COMPUTED_VALUE"""),46006.0)</f>
        <v>46006</v>
      </c>
      <c r="C7223" s="1" t="str">
        <f>IFERROR(__xludf.DUMMYFUNCTION("""COMPUTED_VALUE"""),"Admin Support")</f>
        <v>Admin Support</v>
      </c>
      <c r="D7223" s="1" t="str">
        <f>IFERROR(__xludf.DUMMYFUNCTION("""COMPUTED_VALUE"""),"7cdd4051-dd81-4e04-a905-67a7a6826826")</f>
        <v>7cdd4051-dd81-4e04-a905-67a7a6826826</v>
      </c>
      <c r="E7223" s="1">
        <f>IFERROR(__xludf.DUMMYFUNCTION("""COMPUTED_VALUE"""),9.795895003151E12)</f>
        <v>9795895003151</v>
      </c>
      <c r="F7223" s="1"/>
      <c r="G7223" s="1"/>
      <c r="H7223" s="3">
        <f>IFERROR(__xludf.DUMMYFUNCTION("""COMPUTED_VALUE"""),0.0)</f>
        <v>0</v>
      </c>
      <c r="I7223" s="4"/>
      <c r="J7223" s="1" t="str">
        <f>IFERROR(__xludf.DUMMYFUNCTION("""COMPUTED_VALUE"""),"Kelden Laguting")</f>
        <v>Kelden Laguting</v>
      </c>
      <c r="K7223" s="1" t="str">
        <f>IFERROR(__xludf.DUMMYFUNCTION("""COMPUTED_VALUE"""),"Admin Support PH")</f>
        <v>Admin Support PH</v>
      </c>
      <c r="L7223" s="1" t="str">
        <f>IFERROR(__xludf.DUMMYFUNCTION("""COMPUTED_VALUE"""),"Admin PH")</f>
        <v>Admin PH</v>
      </c>
    </row>
    <row r="7224">
      <c r="A7224" s="1" t="str">
        <f>IFERROR(__xludf.DUMMYFUNCTION("""COMPUTED_VALUE"""),"2025 Dec")</f>
        <v>2025 Dec</v>
      </c>
      <c r="B7224" s="2">
        <f>IFERROR(__xludf.DUMMYFUNCTION("""COMPUTED_VALUE"""),46006.0)</f>
        <v>46006</v>
      </c>
      <c r="C7224" s="1" t="str">
        <f>IFERROR(__xludf.DUMMYFUNCTION("""COMPUTED_VALUE"""),"Core Product Support")</f>
        <v>Core Product Support</v>
      </c>
      <c r="D7224" s="1" t="str">
        <f>IFERROR(__xludf.DUMMYFUNCTION("""COMPUTED_VALUE"""),"4829712e-df33-4828-83e5-b005d53d0ece")</f>
        <v>4829712e-df33-4828-83e5-b005d53d0ece</v>
      </c>
      <c r="E7224" s="1">
        <f>IFERROR(__xludf.DUMMYFUNCTION("""COMPUTED_VALUE"""),3.61861297795E11)</f>
        <v>361861297795</v>
      </c>
      <c r="F7224" s="1"/>
      <c r="G7224" s="1">
        <f>IFERROR(__xludf.DUMMYFUNCTION("""COMPUTED_VALUE"""),1.5)</f>
        <v>1.5</v>
      </c>
      <c r="H7224" s="3">
        <f>IFERROR(__xludf.DUMMYFUNCTION("""COMPUTED_VALUE"""),1.5)</f>
        <v>1.5</v>
      </c>
      <c r="I7224" s="4">
        <f>IFERROR(__xludf.DUMMYFUNCTION("""COMPUTED_VALUE"""),1.0)</f>
        <v>1</v>
      </c>
      <c r="J7224" s="1" t="str">
        <f>IFERROR(__xludf.DUMMYFUNCTION("""COMPUTED_VALUE"""),"Jahmie Mae Barrameda")</f>
        <v>Jahmie Mae Barrameda</v>
      </c>
      <c r="K7224" s="1" t="str">
        <f>IFERROR(__xludf.DUMMYFUNCTION("""COMPUTED_VALUE"""),"Advanced Billing &amp; Subscriptions")</f>
        <v>Advanced Billing &amp; Subscriptions</v>
      </c>
      <c r="L7224" s="1" t="str">
        <f>IFERROR(__xludf.DUMMYFUNCTION("""COMPUTED_VALUE"""),"CPS Advanced Billing and Subscriptions (ABS)")</f>
        <v>CPS Advanced Billing and Subscriptions (ABS)</v>
      </c>
    </row>
    <row r="7225">
      <c r="A7225" s="1" t="str">
        <f>IFERROR(__xludf.DUMMYFUNCTION("""COMPUTED_VALUE"""),"2025 Dec")</f>
        <v>2025 Dec</v>
      </c>
      <c r="B7225" s="2">
        <f>IFERROR(__xludf.DUMMYFUNCTION("""COMPUTED_VALUE"""),46006.0)</f>
        <v>46006</v>
      </c>
      <c r="C7225" s="1" t="str">
        <f>IFERROR(__xludf.DUMMYFUNCTION("""COMPUTED_VALUE"""),"Print Support")</f>
        <v>Print Support</v>
      </c>
      <c r="D7225" s="1" t="str">
        <f>IFERROR(__xludf.DUMMYFUNCTION("""COMPUTED_VALUE"""),"4bb09346-5fba-40f0-ac06-0b644e9a6f20")</f>
        <v>4bb09346-5fba-40f0-ac06-0b644e9a6f20</v>
      </c>
      <c r="E7225" s="1"/>
      <c r="F7225" s="1"/>
      <c r="G7225" s="1"/>
      <c r="H7225" s="3">
        <f>IFERROR(__xludf.DUMMYFUNCTION("""COMPUTED_VALUE"""),0.0)</f>
        <v>0</v>
      </c>
      <c r="I7225" s="4"/>
      <c r="J7225" s="1" t="str">
        <f>IFERROR(__xludf.DUMMYFUNCTION("""COMPUTED_VALUE"""),"G-Anne Murillo")</f>
        <v>G-Anne Murillo</v>
      </c>
      <c r="K7225" s="1" t="str">
        <f>IFERROR(__xludf.DUMMYFUNCTION("""COMPUTED_VALUE"""),"Print Design Support")</f>
        <v>Print Design Support</v>
      </c>
      <c r="L7225" s="1" t="str">
        <f>IFERROR(__xludf.DUMMYFUNCTION("""COMPUTED_VALUE"""),"Print Print Design")</f>
        <v>Print Print Design</v>
      </c>
    </row>
    <row r="7226">
      <c r="A7226" s="1" t="str">
        <f>IFERROR(__xludf.DUMMYFUNCTION("""COMPUTED_VALUE"""),"2025 Dec")</f>
        <v>2025 Dec</v>
      </c>
      <c r="B7226" s="2">
        <f>IFERROR(__xludf.DUMMYFUNCTION("""COMPUTED_VALUE"""),46006.0)</f>
        <v>46006</v>
      </c>
      <c r="C7226" s="1" t="str">
        <f>IFERROR(__xludf.DUMMYFUNCTION("""COMPUTED_VALUE"""),"Core Product Support")</f>
        <v>Core Product Support</v>
      </c>
      <c r="D7226" s="1" t="str">
        <f>IFERROR(__xludf.DUMMYFUNCTION("""COMPUTED_VALUE"""),"1eb2b14b-89e0-4d0c-8dba-b1677f4e689a")</f>
        <v>1eb2b14b-89e0-4d0c-8dba-b1677f4e689a</v>
      </c>
      <c r="E7226" s="1">
        <f>IFERROR(__xludf.DUMMYFUNCTION("""COMPUTED_VALUE"""),1.0548589296399E13)</f>
        <v>10548589296399</v>
      </c>
      <c r="F7226" s="1">
        <f>IFERROR(__xludf.DUMMYFUNCTION("""COMPUTED_VALUE"""),0.5)</f>
        <v>0.5</v>
      </c>
      <c r="G7226" s="1">
        <f>IFERROR(__xludf.DUMMYFUNCTION("""COMPUTED_VALUE"""),1.5)</f>
        <v>1.5</v>
      </c>
      <c r="H7226" s="3">
        <f>IFERROR(__xludf.DUMMYFUNCTION("""COMPUTED_VALUE"""),2.0)</f>
        <v>2</v>
      </c>
      <c r="I7226" s="4">
        <f>IFERROR(__xludf.DUMMYFUNCTION("""COMPUTED_VALUE"""),0.75)</f>
        <v>0.75</v>
      </c>
      <c r="J7226" s="1" t="str">
        <f>IFERROR(__xludf.DUMMYFUNCTION("""COMPUTED_VALUE"""),"Jahmie Mae Barrameda")</f>
        <v>Jahmie Mae Barrameda</v>
      </c>
      <c r="K7226" s="1" t="str">
        <f>IFERROR(__xludf.DUMMYFUNCTION("""COMPUTED_VALUE"""),"Advanced Billing &amp; Subscriptions")</f>
        <v>Advanced Billing &amp; Subscriptions</v>
      </c>
      <c r="L7226" s="1" t="str">
        <f>IFERROR(__xludf.DUMMYFUNCTION("""COMPUTED_VALUE"""),"CPS Advanced Billing and Subscriptions (ABS)")</f>
        <v>CPS Advanced Billing and Subscriptions (ABS)</v>
      </c>
    </row>
    <row r="7227">
      <c r="A7227" s="1" t="str">
        <f>IFERROR(__xludf.DUMMYFUNCTION("""COMPUTED_VALUE"""),"2025 Dec")</f>
        <v>2025 Dec</v>
      </c>
      <c r="B7227" s="2">
        <f>IFERROR(__xludf.DUMMYFUNCTION("""COMPUTED_VALUE"""),46006.0)</f>
        <v>46006</v>
      </c>
      <c r="C7227" s="1" t="str">
        <f>IFERROR(__xludf.DUMMYFUNCTION("""COMPUTED_VALUE"""),"Print Support")</f>
        <v>Print Support</v>
      </c>
      <c r="D7227" s="1" t="str">
        <f>IFERROR(__xludf.DUMMYFUNCTION("""COMPUTED_VALUE"""),"02cee4cb-14b3-4217-8b7d-887c2209a7df")</f>
        <v>02cee4cb-14b3-4217-8b7d-887c2209a7df</v>
      </c>
      <c r="E7227" s="1"/>
      <c r="F7227" s="1"/>
      <c r="G7227" s="1"/>
      <c r="H7227" s="3">
        <f>IFERROR(__xludf.DUMMYFUNCTION("""COMPUTED_VALUE"""),0.0)</f>
        <v>0</v>
      </c>
      <c r="I7227" s="4"/>
      <c r="J7227" s="1" t="str">
        <f>IFERROR(__xludf.DUMMYFUNCTION("""COMPUTED_VALUE"""),"Jan Domingo")</f>
        <v>Jan Domingo</v>
      </c>
      <c r="K7227" s="1" t="str">
        <f>IFERROR(__xludf.DUMMYFUNCTION("""COMPUTED_VALUE"""),"Print Design Support")</f>
        <v>Print Design Support</v>
      </c>
      <c r="L7227" s="1" t="str">
        <f>IFERROR(__xludf.DUMMYFUNCTION("""COMPUTED_VALUE"""),"Print Print Design")</f>
        <v>Print Print Design</v>
      </c>
    </row>
    <row r="7228">
      <c r="A7228" s="1" t="str">
        <f>IFERROR(__xludf.DUMMYFUNCTION("""COMPUTED_VALUE"""),"2025 Dec")</f>
        <v>2025 Dec</v>
      </c>
      <c r="B7228" s="2">
        <f>IFERROR(__xludf.DUMMYFUNCTION("""COMPUTED_VALUE"""),46006.0)</f>
        <v>46006</v>
      </c>
      <c r="C7228" s="1" t="str">
        <f>IFERROR(__xludf.DUMMYFUNCTION("""COMPUTED_VALUE"""),"Admin Support")</f>
        <v>Admin Support</v>
      </c>
      <c r="D7228" s="1" t="str">
        <f>IFERROR(__xludf.DUMMYFUNCTION("""COMPUTED_VALUE"""),"7b0ced0a-55fc-49e4-b47c-ffbf2567dce1")</f>
        <v>7b0ced0a-55fc-49e4-b47c-ffbf2567dce1</v>
      </c>
      <c r="E7228" s="1">
        <f>IFERROR(__xludf.DUMMYFUNCTION("""COMPUTED_VALUE"""),3.61725486916E11)</f>
        <v>361725486916</v>
      </c>
      <c r="F7228" s="1"/>
      <c r="G7228" s="1">
        <f>IFERROR(__xludf.DUMMYFUNCTION("""COMPUTED_VALUE"""),5.0)</f>
        <v>5</v>
      </c>
      <c r="H7228" s="3">
        <f>IFERROR(__xludf.DUMMYFUNCTION("""COMPUTED_VALUE"""),5.0)</f>
        <v>5</v>
      </c>
      <c r="I7228" s="4">
        <f>IFERROR(__xludf.DUMMYFUNCTION("""COMPUTED_VALUE"""),1.0)</f>
        <v>1</v>
      </c>
      <c r="J7228" s="1" t="str">
        <f>IFERROR(__xludf.DUMMYFUNCTION("""COMPUTED_VALUE"""),"Rose Gabilan")</f>
        <v>Rose Gabilan</v>
      </c>
      <c r="K7228" s="1" t="str">
        <f>IFERROR(__xludf.DUMMYFUNCTION("""COMPUTED_VALUE"""),"Admin Support PH SSO")</f>
        <v>Admin Support PH SSO</v>
      </c>
      <c r="L7228" s="1" t="str">
        <f>IFERROR(__xludf.DUMMYFUNCTION("""COMPUTED_VALUE"""),"Admin SSO - CHT")</f>
        <v>Admin SSO - CHT</v>
      </c>
    </row>
    <row r="7229">
      <c r="A7229" s="1" t="str">
        <f>IFERROR(__xludf.DUMMYFUNCTION("""COMPUTED_VALUE"""),"2025 Dec")</f>
        <v>2025 Dec</v>
      </c>
      <c r="B7229" s="2">
        <f>IFERROR(__xludf.DUMMYFUNCTION("""COMPUTED_VALUE"""),46006.0)</f>
        <v>46006</v>
      </c>
      <c r="C7229" s="1" t="str">
        <f>IFERROR(__xludf.DUMMYFUNCTION("""COMPUTED_VALUE"""),"Core Product Support")</f>
        <v>Core Product Support</v>
      </c>
      <c r="D7229" s="1" t="str">
        <f>IFERROR(__xludf.DUMMYFUNCTION("""COMPUTED_VALUE"""),"3d997536-cb7f-49c5-af3e-e19fdf30bffc")</f>
        <v>3d997536-cb7f-49c5-af3e-e19fdf30bffc</v>
      </c>
      <c r="E7229" s="1">
        <f>IFERROR(__xludf.DUMMYFUNCTION("""COMPUTED_VALUE"""),5.047288728079E12)</f>
        <v>5047288728079</v>
      </c>
      <c r="F7229" s="1">
        <f>IFERROR(__xludf.DUMMYFUNCTION("""COMPUTED_VALUE"""),0.5)</f>
        <v>0.5</v>
      </c>
      <c r="G7229" s="1">
        <f>IFERROR(__xludf.DUMMYFUNCTION("""COMPUTED_VALUE"""),2.5)</f>
        <v>2.5</v>
      </c>
      <c r="H7229" s="3">
        <f>IFERROR(__xludf.DUMMYFUNCTION("""COMPUTED_VALUE"""),3.0)</f>
        <v>3</v>
      </c>
      <c r="I7229" s="4">
        <f>IFERROR(__xludf.DUMMYFUNCTION("""COMPUTED_VALUE"""),0.8333333333333334)</f>
        <v>0.8333333333</v>
      </c>
      <c r="J7229" s="1" t="str">
        <f>IFERROR(__xludf.DUMMYFUNCTION("""COMPUTED_VALUE"""),"Ellaine Estayo")</f>
        <v>Ellaine Estayo</v>
      </c>
      <c r="K7229" s="1" t="str">
        <f>IFERROR(__xludf.DUMMYFUNCTION("""COMPUTED_VALUE"""),"Core Product Support Escalation Team")</f>
        <v>Core Product Support Escalation Team</v>
      </c>
      <c r="L7229" s="1" t="str">
        <f>IFERROR(__xludf.DUMMYFUNCTION("""COMPUTED_VALUE"""),"CPS Core Product Support Escalations (CPSET)")</f>
        <v>CPS Core Product Support Escalations (CPSET)</v>
      </c>
    </row>
    <row r="7230">
      <c r="A7230" s="1" t="str">
        <f>IFERROR(__xludf.DUMMYFUNCTION("""COMPUTED_VALUE"""),"2025 Dec")</f>
        <v>2025 Dec</v>
      </c>
      <c r="B7230" s="2">
        <f>IFERROR(__xludf.DUMMYFUNCTION("""COMPUTED_VALUE"""),46006.0)</f>
        <v>46006</v>
      </c>
      <c r="C7230" s="1" t="str">
        <f>IFERROR(__xludf.DUMMYFUNCTION("""COMPUTED_VALUE"""),"Admin Support")</f>
        <v>Admin Support</v>
      </c>
      <c r="D7230" s="1" t="str">
        <f>IFERROR(__xludf.DUMMYFUNCTION("""COMPUTED_VALUE"""),"c7dd845d-4621-4bea-affd-b79e038f7157")</f>
        <v>c7dd845d-4621-4bea-affd-b79e038f7157</v>
      </c>
      <c r="E7230" s="1">
        <f>IFERROR(__xludf.DUMMYFUNCTION("""COMPUTED_VALUE"""),3.61733077235E11)</f>
        <v>361733077235</v>
      </c>
      <c r="F7230" s="1"/>
      <c r="G7230" s="1">
        <f>IFERROR(__xludf.DUMMYFUNCTION("""COMPUTED_VALUE"""),1.5)</f>
        <v>1.5</v>
      </c>
      <c r="H7230" s="3">
        <f>IFERROR(__xludf.DUMMYFUNCTION("""COMPUTED_VALUE"""),1.5)</f>
        <v>1.5</v>
      </c>
      <c r="I7230" s="4">
        <f>IFERROR(__xludf.DUMMYFUNCTION("""COMPUTED_VALUE"""),1.0)</f>
        <v>1</v>
      </c>
      <c r="J7230" s="1" t="str">
        <f>IFERROR(__xludf.DUMMYFUNCTION("""COMPUTED_VALUE"""),"Kelden Laguting")</f>
        <v>Kelden Laguting</v>
      </c>
      <c r="K7230" s="1" t="str">
        <f>IFERROR(__xludf.DUMMYFUNCTION("""COMPUTED_VALUE"""),"Admin Support PH")</f>
        <v>Admin Support PH</v>
      </c>
      <c r="L7230" s="1" t="str">
        <f>IFERROR(__xludf.DUMMYFUNCTION("""COMPUTED_VALUE"""),"Admin PH")</f>
        <v>Admin PH</v>
      </c>
    </row>
    <row r="7231">
      <c r="A7231" s="1" t="str">
        <f>IFERROR(__xludf.DUMMYFUNCTION("""COMPUTED_VALUE"""),"2025 Dec")</f>
        <v>2025 Dec</v>
      </c>
      <c r="B7231" s="2">
        <f>IFERROR(__xludf.DUMMYFUNCTION("""COMPUTED_VALUE"""),46006.0)</f>
        <v>46006</v>
      </c>
      <c r="C7231" s="1" t="str">
        <f>IFERROR(__xludf.DUMMYFUNCTION("""COMPUTED_VALUE"""),"Print Support")</f>
        <v>Print Support</v>
      </c>
      <c r="D7231" s="1" t="str">
        <f>IFERROR(__xludf.DUMMYFUNCTION("""COMPUTED_VALUE"""),"2f47c76e-714d-4a76-a0f8-309c2f542347")</f>
        <v>2f47c76e-714d-4a76-a0f8-309c2f542347</v>
      </c>
      <c r="E7231" s="1">
        <f>IFERROR(__xludf.DUMMYFUNCTION("""COMPUTED_VALUE"""),9.795981813775E12)</f>
        <v>9795981813775</v>
      </c>
      <c r="F7231" s="1"/>
      <c r="G7231" s="1"/>
      <c r="H7231" s="3">
        <f>IFERROR(__xludf.DUMMYFUNCTION("""COMPUTED_VALUE"""),0.0)</f>
        <v>0</v>
      </c>
      <c r="I7231" s="4"/>
      <c r="J7231" s="1" t="str">
        <f>IFERROR(__xludf.DUMMYFUNCTION("""COMPUTED_VALUE"""),"Ann Dumlao")</f>
        <v>Ann Dumlao</v>
      </c>
      <c r="K7231" s="1" t="str">
        <f>IFERROR(__xludf.DUMMYFUNCTION("""COMPUTED_VALUE"""),"Print Support PH")</f>
        <v>Print Support PH</v>
      </c>
      <c r="L7231" s="1" t="str">
        <f>IFERROR(__xludf.DUMMYFUNCTION("""COMPUTED_VALUE"""),"Print Print - CHT")</f>
        <v>Print Print - CHT</v>
      </c>
    </row>
    <row r="7232">
      <c r="A7232" s="1" t="str">
        <f>IFERROR(__xludf.DUMMYFUNCTION("""COMPUTED_VALUE"""),"2025 Dec")</f>
        <v>2025 Dec</v>
      </c>
      <c r="B7232" s="2">
        <f>IFERROR(__xludf.DUMMYFUNCTION("""COMPUTED_VALUE"""),46006.0)</f>
        <v>46006</v>
      </c>
      <c r="C7232" s="1" t="str">
        <f>IFERROR(__xludf.DUMMYFUNCTION("""COMPUTED_VALUE"""),"Admin Support")</f>
        <v>Admin Support</v>
      </c>
      <c r="D7232" s="1" t="str">
        <f>IFERROR(__xludf.DUMMYFUNCTION("""COMPUTED_VALUE"""),"7e09e164-9198-4707-9738-44a04cc51b7c")</f>
        <v>7e09e164-9198-4707-9738-44a04cc51b7c</v>
      </c>
      <c r="E7232" s="1">
        <f>IFERROR(__xludf.DUMMYFUNCTION("""COMPUTED_VALUE"""),3.61724965056E11)</f>
        <v>361724965056</v>
      </c>
      <c r="F7232" s="1"/>
      <c r="G7232" s="1"/>
      <c r="H7232" s="3">
        <f>IFERROR(__xludf.DUMMYFUNCTION("""COMPUTED_VALUE"""),0.0)</f>
        <v>0</v>
      </c>
      <c r="I7232" s="4"/>
      <c r="J7232" s="1" t="str">
        <f>IFERROR(__xludf.DUMMYFUNCTION("""COMPUTED_VALUE"""),"Rose Gabilan")</f>
        <v>Rose Gabilan</v>
      </c>
      <c r="K7232" s="1" t="str">
        <f>IFERROR(__xludf.DUMMYFUNCTION("""COMPUTED_VALUE"""),"Admin Support PH SSO")</f>
        <v>Admin Support PH SSO</v>
      </c>
      <c r="L7232" s="1" t="str">
        <f>IFERROR(__xludf.DUMMYFUNCTION("""COMPUTED_VALUE"""),"Admin SSO - CHT")</f>
        <v>Admin SSO - CHT</v>
      </c>
    </row>
    <row r="7233">
      <c r="A7233" s="1" t="str">
        <f>IFERROR(__xludf.DUMMYFUNCTION("""COMPUTED_VALUE"""),"2025 Dec")</f>
        <v>2025 Dec</v>
      </c>
      <c r="B7233" s="2">
        <f>IFERROR(__xludf.DUMMYFUNCTION("""COMPUTED_VALUE"""),46006.0)</f>
        <v>46006</v>
      </c>
      <c r="C7233" s="1" t="str">
        <f>IFERROR(__xludf.DUMMYFUNCTION("""COMPUTED_VALUE"""),"Core Product Support")</f>
        <v>Core Product Support</v>
      </c>
      <c r="D7233" s="1" t="str">
        <f>IFERROR(__xludf.DUMMYFUNCTION("""COMPUTED_VALUE"""),"a75c3ed6-de83-40cb-ad3d-ac0eaa323ceb")</f>
        <v>a75c3ed6-de83-40cb-ad3d-ac0eaa323ceb</v>
      </c>
      <c r="E7233" s="1">
        <f>IFERROR(__xludf.DUMMYFUNCTION("""COMPUTED_VALUE"""),7.631065796495E12)</f>
        <v>7631065796495</v>
      </c>
      <c r="F7233" s="1">
        <f>IFERROR(__xludf.DUMMYFUNCTION("""COMPUTED_VALUE"""),0.5)</f>
        <v>0.5</v>
      </c>
      <c r="G7233" s="1"/>
      <c r="H7233" s="3">
        <f>IFERROR(__xludf.DUMMYFUNCTION("""COMPUTED_VALUE"""),0.5)</f>
        <v>0.5</v>
      </c>
      <c r="I7233" s="4">
        <f>IFERROR(__xludf.DUMMYFUNCTION("""COMPUTED_VALUE"""),0.0)</f>
        <v>0</v>
      </c>
      <c r="J7233" s="1" t="str">
        <f>IFERROR(__xludf.DUMMYFUNCTION("""COMPUTED_VALUE"""),"Marie Mordeno")</f>
        <v>Marie Mordeno</v>
      </c>
      <c r="K7233" s="1" t="str">
        <f>IFERROR(__xludf.DUMMYFUNCTION("""COMPUTED_VALUE"""),"Advanced Billing &amp; Subscriptions")</f>
        <v>Advanced Billing &amp; Subscriptions</v>
      </c>
      <c r="L7233" s="1" t="str">
        <f>IFERROR(__xludf.DUMMYFUNCTION("""COMPUTED_VALUE"""),"CPS Advanced Billing and Subscriptions (ABS)")</f>
        <v>CPS Advanced Billing and Subscriptions (ABS)</v>
      </c>
    </row>
    <row r="7234">
      <c r="A7234" s="1" t="str">
        <f>IFERROR(__xludf.DUMMYFUNCTION("""COMPUTED_VALUE"""),"2025 Dec")</f>
        <v>2025 Dec</v>
      </c>
      <c r="B7234" s="2">
        <f>IFERROR(__xludf.DUMMYFUNCTION("""COMPUTED_VALUE"""),46006.0)</f>
        <v>46006</v>
      </c>
      <c r="C7234" s="1" t="str">
        <f>IFERROR(__xludf.DUMMYFUNCTION("""COMPUTED_VALUE"""),"Print Support")</f>
        <v>Print Support</v>
      </c>
      <c r="D7234" s="1" t="str">
        <f>IFERROR(__xludf.DUMMYFUNCTION("""COMPUTED_VALUE"""),"5edc36fa-9df2-47e0-bbda-2c0b5a323efc")</f>
        <v>5edc36fa-9df2-47e0-bbda-2c0b5a323efc</v>
      </c>
      <c r="E7234" s="1"/>
      <c r="F7234" s="1"/>
      <c r="G7234" s="1"/>
      <c r="H7234" s="3">
        <f>IFERROR(__xludf.DUMMYFUNCTION("""COMPUTED_VALUE"""),0.0)</f>
        <v>0</v>
      </c>
      <c r="I7234" s="4"/>
      <c r="J7234" s="1" t="str">
        <f>IFERROR(__xludf.DUMMYFUNCTION("""COMPUTED_VALUE"""),"Gem Agoncillo")</f>
        <v>Gem Agoncillo</v>
      </c>
      <c r="K7234" s="1" t="str">
        <f>IFERROR(__xludf.DUMMYFUNCTION("""COMPUTED_VALUE"""),"Print Design Support")</f>
        <v>Print Design Support</v>
      </c>
      <c r="L7234" s="1" t="str">
        <f>IFERROR(__xludf.DUMMYFUNCTION("""COMPUTED_VALUE"""),"Print Print Design")</f>
        <v>Print Print Design</v>
      </c>
    </row>
    <row r="7235">
      <c r="A7235" s="1" t="str">
        <f>IFERROR(__xludf.DUMMYFUNCTION("""COMPUTED_VALUE"""),"2025 Dec")</f>
        <v>2025 Dec</v>
      </c>
      <c r="B7235" s="2">
        <f>IFERROR(__xludf.DUMMYFUNCTION("""COMPUTED_VALUE"""),46006.0)</f>
        <v>46006</v>
      </c>
      <c r="C7235" s="1" t="str">
        <f>IFERROR(__xludf.DUMMYFUNCTION("""COMPUTED_VALUE"""),"High Sensitivity Support")</f>
        <v>High Sensitivity Support</v>
      </c>
      <c r="D7235" s="1" t="str">
        <f>IFERROR(__xludf.DUMMYFUNCTION("""COMPUTED_VALUE"""),"19c32062-e149-4a3e-82ea-708be4d86c06")</f>
        <v>19c32062-e149-4a3e-82ea-708be4d86c06</v>
      </c>
      <c r="E7235" s="1">
        <f>IFERROR(__xludf.DUMMYFUNCTION("""COMPUTED_VALUE"""),8.904494969999E12)</f>
        <v>8904494969999</v>
      </c>
      <c r="F7235" s="1"/>
      <c r="G7235" s="1"/>
      <c r="H7235" s="3">
        <f>IFERROR(__xludf.DUMMYFUNCTION("""COMPUTED_VALUE"""),0.0)</f>
        <v>0</v>
      </c>
      <c r="I7235" s="4"/>
      <c r="J7235" s="1" t="str">
        <f>IFERROR(__xludf.DUMMYFUNCTION("""COMPUTED_VALUE"""),"Issi Afable")</f>
        <v>Issi Afable</v>
      </c>
      <c r="K7235" s="1" t="str">
        <f>IFERROR(__xludf.DUMMYFUNCTION("""COMPUTED_VALUE"""),"High Sensitivity Support PH")</f>
        <v>High Sensitivity Support PH</v>
      </c>
      <c r="L7235" s="1" t="str">
        <f>IFERROR(__xludf.DUMMYFUNCTION("""COMPUTED_VALUE"""),"HSS High Sensitivity Support PH - SEE")</f>
        <v>HSS High Sensitivity Support PH - SEE</v>
      </c>
    </row>
    <row r="7236">
      <c r="A7236" s="1" t="str">
        <f>IFERROR(__xludf.DUMMYFUNCTION("""COMPUTED_VALUE"""),"2025 Dec")</f>
        <v>2025 Dec</v>
      </c>
      <c r="B7236" s="2">
        <f>IFERROR(__xludf.DUMMYFUNCTION("""COMPUTED_VALUE"""),46006.0)</f>
        <v>46006</v>
      </c>
      <c r="C7236" s="1" t="str">
        <f>IFERROR(__xludf.DUMMYFUNCTION("""COMPUTED_VALUE"""),"Print Support")</f>
        <v>Print Support</v>
      </c>
      <c r="D7236" s="1" t="str">
        <f>IFERROR(__xludf.DUMMYFUNCTION("""COMPUTED_VALUE"""),"5efa61d3-4fd2-4d01-a492-e08cab6832f9")</f>
        <v>5efa61d3-4fd2-4d01-a492-e08cab6832f9</v>
      </c>
      <c r="E7236" s="1">
        <f>IFERROR(__xludf.DUMMYFUNCTION("""COMPUTED_VALUE"""),5.902015961999E12)</f>
        <v>5902015961999</v>
      </c>
      <c r="F7236" s="1"/>
      <c r="G7236" s="1"/>
      <c r="H7236" s="3">
        <f>IFERROR(__xludf.DUMMYFUNCTION("""COMPUTED_VALUE"""),0.0)</f>
        <v>0</v>
      </c>
      <c r="I7236" s="4"/>
      <c r="J7236" s="1" t="str">
        <f>IFERROR(__xludf.DUMMYFUNCTION("""COMPUTED_VALUE"""),"Jen Momo")</f>
        <v>Jen Momo</v>
      </c>
      <c r="K7236" s="1" t="str">
        <f>IFERROR(__xludf.DUMMYFUNCTION("""COMPUTED_VALUE"""),"Print Support PH")</f>
        <v>Print Support PH</v>
      </c>
      <c r="L7236" s="1" t="str">
        <f>IFERROR(__xludf.DUMMYFUNCTION("""COMPUTED_VALUE"""),"Print Print - CHT")</f>
        <v>Print Print - CHT</v>
      </c>
    </row>
    <row r="7237">
      <c r="A7237" s="1" t="str">
        <f>IFERROR(__xludf.DUMMYFUNCTION("""COMPUTED_VALUE"""),"2025 Dec")</f>
        <v>2025 Dec</v>
      </c>
      <c r="B7237" s="2">
        <f>IFERROR(__xludf.DUMMYFUNCTION("""COMPUTED_VALUE"""),46006.0)</f>
        <v>46006</v>
      </c>
      <c r="C7237" s="1" t="str">
        <f>IFERROR(__xludf.DUMMYFUNCTION("""COMPUTED_VALUE"""),"Core Product Support")</f>
        <v>Core Product Support</v>
      </c>
      <c r="D7237" s="1" t="str">
        <f>IFERROR(__xludf.DUMMYFUNCTION("""COMPUTED_VALUE"""),"1990c5cb-0154-48ce-9bac-f303f8b99ef1")</f>
        <v>1990c5cb-0154-48ce-9bac-f303f8b99ef1</v>
      </c>
      <c r="E7237" s="1">
        <f>IFERROR(__xludf.DUMMYFUNCTION("""COMPUTED_VALUE"""),1.0333018682383E13)</f>
        <v>10333018682383</v>
      </c>
      <c r="F7237" s="1">
        <f>IFERROR(__xludf.DUMMYFUNCTION("""COMPUTED_VALUE"""),0.5)</f>
        <v>0.5</v>
      </c>
      <c r="G7237" s="1"/>
      <c r="H7237" s="3">
        <f>IFERROR(__xludf.DUMMYFUNCTION("""COMPUTED_VALUE"""),0.5)</f>
        <v>0.5</v>
      </c>
      <c r="I7237" s="4">
        <f>IFERROR(__xludf.DUMMYFUNCTION("""COMPUTED_VALUE"""),0.0)</f>
        <v>0</v>
      </c>
      <c r="J7237" s="1" t="str">
        <f>IFERROR(__xludf.DUMMYFUNCTION("""COMPUTED_VALUE"""),"Cate Velasco")</f>
        <v>Cate Velasco</v>
      </c>
      <c r="K7237" s="1" t="str">
        <f>IFERROR(__xludf.DUMMYFUNCTION("""COMPUTED_VALUE"""),"Advanced Product Support")</f>
        <v>Advanced Product Support</v>
      </c>
      <c r="L7237" s="1" t="str">
        <f>IFERROR(__xludf.DUMMYFUNCTION("""COMPUTED_VALUE"""),"CPS Advanced Product Support (APS)")</f>
        <v>CPS Advanced Product Support (APS)</v>
      </c>
    </row>
    <row r="7238">
      <c r="A7238" s="1" t="str">
        <f>IFERROR(__xludf.DUMMYFUNCTION("""COMPUTED_VALUE"""),"2025 Dec")</f>
        <v>2025 Dec</v>
      </c>
      <c r="B7238" s="2">
        <f>IFERROR(__xludf.DUMMYFUNCTION("""COMPUTED_VALUE"""),46006.0)</f>
        <v>46006</v>
      </c>
      <c r="C7238" s="1" t="str">
        <f>IFERROR(__xludf.DUMMYFUNCTION("""COMPUTED_VALUE"""),"Core Product Support")</f>
        <v>Core Product Support</v>
      </c>
      <c r="D7238" s="1" t="str">
        <f>IFERROR(__xludf.DUMMYFUNCTION("""COMPUTED_VALUE"""),"1ee13beb-f5ac-4c80-bcfb-9f0dc190fe68")</f>
        <v>1ee13beb-f5ac-4c80-bcfb-9f0dc190fe68</v>
      </c>
      <c r="E7238" s="1">
        <f>IFERROR(__xludf.DUMMYFUNCTION("""COMPUTED_VALUE"""),3.61725115656E11)</f>
        <v>361725115656</v>
      </c>
      <c r="F7238" s="1">
        <f>IFERROR(__xludf.DUMMYFUNCTION("""COMPUTED_VALUE"""),0.5)</f>
        <v>0.5</v>
      </c>
      <c r="G7238" s="1">
        <f>IFERROR(__xludf.DUMMYFUNCTION("""COMPUTED_VALUE"""),2.5)</f>
        <v>2.5</v>
      </c>
      <c r="H7238" s="3">
        <f>IFERROR(__xludf.DUMMYFUNCTION("""COMPUTED_VALUE"""),3.0)</f>
        <v>3</v>
      </c>
      <c r="I7238" s="4">
        <f>IFERROR(__xludf.DUMMYFUNCTION("""COMPUTED_VALUE"""),0.8333333333333334)</f>
        <v>0.8333333333</v>
      </c>
      <c r="J7238" s="1" t="str">
        <f>IFERROR(__xludf.DUMMYFUNCTION("""COMPUTED_VALUE"""),"Ellaine Estayo")</f>
        <v>Ellaine Estayo</v>
      </c>
      <c r="K7238" s="1" t="str">
        <f>IFERROR(__xludf.DUMMYFUNCTION("""COMPUTED_VALUE"""),"Core Product Support Escalation Team")</f>
        <v>Core Product Support Escalation Team</v>
      </c>
      <c r="L7238" s="1" t="str">
        <f>IFERROR(__xludf.DUMMYFUNCTION("""COMPUTED_VALUE"""),"CPS Core Product Support Escalations (CPSET)")</f>
        <v>CPS Core Product Support Escalations (CPSET)</v>
      </c>
    </row>
    <row r="7239">
      <c r="A7239" s="1" t="str">
        <f>IFERROR(__xludf.DUMMYFUNCTION("""COMPUTED_VALUE"""),"2025 Dec")</f>
        <v>2025 Dec</v>
      </c>
      <c r="B7239" s="2">
        <f>IFERROR(__xludf.DUMMYFUNCTION("""COMPUTED_VALUE"""),46006.0)</f>
        <v>46006</v>
      </c>
      <c r="C7239" s="1" t="str">
        <f>IFERROR(__xludf.DUMMYFUNCTION("""COMPUTED_VALUE"""),"Core Product Support")</f>
        <v>Core Product Support</v>
      </c>
      <c r="D7239" s="1" t="str">
        <f>IFERROR(__xludf.DUMMYFUNCTION("""COMPUTED_VALUE"""),"d625e596-8198-45f9-94ea-d04d6f6a8b27")</f>
        <v>d625e596-8198-45f9-94ea-d04d6f6a8b27</v>
      </c>
      <c r="E7239" s="1">
        <f>IFERROR(__xludf.DUMMYFUNCTION("""COMPUTED_VALUE"""),1.0333049701519E13)</f>
        <v>10333049701519</v>
      </c>
      <c r="F7239" s="1">
        <f>IFERROR(__xludf.DUMMYFUNCTION("""COMPUTED_VALUE"""),0.5)</f>
        <v>0.5</v>
      </c>
      <c r="G7239" s="1"/>
      <c r="H7239" s="3">
        <f>IFERROR(__xludf.DUMMYFUNCTION("""COMPUTED_VALUE"""),0.5)</f>
        <v>0.5</v>
      </c>
      <c r="I7239" s="4">
        <f>IFERROR(__xludf.DUMMYFUNCTION("""COMPUTED_VALUE"""),0.0)</f>
        <v>0</v>
      </c>
      <c r="J7239" s="1" t="str">
        <f>IFERROR(__xludf.DUMMYFUNCTION("""COMPUTED_VALUE"""),"Jelyn Elmido")</f>
        <v>Jelyn Elmido</v>
      </c>
      <c r="K7239" s="1" t="str">
        <f>IFERROR(__xludf.DUMMYFUNCTION("""COMPUTED_VALUE"""),"Advanced Product Support")</f>
        <v>Advanced Product Support</v>
      </c>
      <c r="L7239" s="1" t="str">
        <f>IFERROR(__xludf.DUMMYFUNCTION("""COMPUTED_VALUE"""),"CPS Advanced Product Support (APS)")</f>
        <v>CPS Advanced Product Support (APS)</v>
      </c>
    </row>
    <row r="7240">
      <c r="A7240" s="1" t="str">
        <f>IFERROR(__xludf.DUMMYFUNCTION("""COMPUTED_VALUE"""),"2025 Dec")</f>
        <v>2025 Dec</v>
      </c>
      <c r="B7240" s="2">
        <f>IFERROR(__xludf.DUMMYFUNCTION("""COMPUTED_VALUE"""),46006.0)</f>
        <v>46006</v>
      </c>
      <c r="C7240" s="1" t="str">
        <f>IFERROR(__xludf.DUMMYFUNCTION("""COMPUTED_VALUE"""),"Segment-specific Support")</f>
        <v>Segment-specific Support</v>
      </c>
      <c r="D7240" s="1" t="str">
        <f>IFERROR(__xludf.DUMMYFUNCTION("""COMPUTED_VALUE"""),"c9fa58e5-ccb3-4c72-a2e7-5a6fc2210b69")</f>
        <v>c9fa58e5-ccb3-4c72-a2e7-5a6fc2210b69</v>
      </c>
      <c r="E7240" s="1">
        <f>IFERROR(__xludf.DUMMYFUNCTION("""COMPUTED_VALUE"""),1.1401981299343E13)</f>
        <v>11401981299343</v>
      </c>
      <c r="F7240" s="1"/>
      <c r="G7240" s="1"/>
      <c r="H7240" s="3">
        <f>IFERROR(__xludf.DUMMYFUNCTION("""COMPUTED_VALUE"""),0.0)</f>
        <v>0</v>
      </c>
      <c r="I7240" s="4"/>
      <c r="J7240" s="1" t="str">
        <f>IFERROR(__xludf.DUMMYFUNCTION("""COMPUTED_VALUE"""),"Aileen Dayanghirang")</f>
        <v>Aileen Dayanghirang</v>
      </c>
      <c r="K7240" s="1" t="str">
        <f>IFERROR(__xludf.DUMMYFUNCTION("""COMPUTED_VALUE"""),"Creators Support")</f>
        <v>Creators Support</v>
      </c>
      <c r="L7240" s="1" t="str">
        <f>IFERROR(__xludf.DUMMYFUNCTION("""COMPUTED_VALUE"""),"SSS Creators")</f>
        <v>SSS Creators</v>
      </c>
    </row>
    <row r="7241">
      <c r="A7241" s="1" t="str">
        <f>IFERROR(__xludf.DUMMYFUNCTION("""COMPUTED_VALUE"""),"2025 Dec")</f>
        <v>2025 Dec</v>
      </c>
      <c r="B7241" s="2">
        <f>IFERROR(__xludf.DUMMYFUNCTION("""COMPUTED_VALUE"""),46006.0)</f>
        <v>46006</v>
      </c>
      <c r="C7241" s="1" t="str">
        <f>IFERROR(__xludf.DUMMYFUNCTION("""COMPUTED_VALUE"""),"Admin Support")</f>
        <v>Admin Support</v>
      </c>
      <c r="D7241" s="1" t="str">
        <f>IFERROR(__xludf.DUMMYFUNCTION("""COMPUTED_VALUE"""),"6695b35c-7a53-4eb2-bcfc-9808f8e07dd8")</f>
        <v>6695b35c-7a53-4eb2-bcfc-9808f8e07dd8</v>
      </c>
      <c r="E7241" s="1">
        <f>IFERROR(__xludf.DUMMYFUNCTION("""COMPUTED_VALUE"""),3.61732164295E11)</f>
        <v>361732164295</v>
      </c>
      <c r="F7241" s="1"/>
      <c r="G7241" s="1">
        <f>IFERROR(__xludf.DUMMYFUNCTION("""COMPUTED_VALUE"""),8.25)</f>
        <v>8.25</v>
      </c>
      <c r="H7241" s="3">
        <f>IFERROR(__xludf.DUMMYFUNCTION("""COMPUTED_VALUE"""),8.25)</f>
        <v>8.25</v>
      </c>
      <c r="I7241" s="4">
        <f>IFERROR(__xludf.DUMMYFUNCTION("""COMPUTED_VALUE"""),1.0)</f>
        <v>1</v>
      </c>
      <c r="J7241" s="1" t="str">
        <f>IFERROR(__xludf.DUMMYFUNCTION("""COMPUTED_VALUE"""),"Kelden Laguting")</f>
        <v>Kelden Laguting</v>
      </c>
      <c r="K7241" s="1" t="str">
        <f>IFERROR(__xludf.DUMMYFUNCTION("""COMPUTED_VALUE"""),"Admin Support PH")</f>
        <v>Admin Support PH</v>
      </c>
      <c r="L7241" s="1" t="str">
        <f>IFERROR(__xludf.DUMMYFUNCTION("""COMPUTED_VALUE"""),"Admin PH")</f>
        <v>Admin PH</v>
      </c>
    </row>
    <row r="7242">
      <c r="A7242" s="1" t="str">
        <f>IFERROR(__xludf.DUMMYFUNCTION("""COMPUTED_VALUE"""),"2025 Dec")</f>
        <v>2025 Dec</v>
      </c>
      <c r="B7242" s="2">
        <f>IFERROR(__xludf.DUMMYFUNCTION("""COMPUTED_VALUE"""),46006.0)</f>
        <v>46006</v>
      </c>
      <c r="C7242" s="1" t="str">
        <f>IFERROR(__xludf.DUMMYFUNCTION("""COMPUTED_VALUE"""),"Core Product Support")</f>
        <v>Core Product Support</v>
      </c>
      <c r="D7242" s="1" t="str">
        <f>IFERROR(__xludf.DUMMYFUNCTION("""COMPUTED_VALUE"""),"a460fd1a-1ef6-4034-a4ca-14a4c4765f42")</f>
        <v>a460fd1a-1ef6-4034-a4ca-14a4c4765f42</v>
      </c>
      <c r="E7242" s="1">
        <f>IFERROR(__xludf.DUMMYFUNCTION("""COMPUTED_VALUE"""),9.107766464399E12)</f>
        <v>9107766464399</v>
      </c>
      <c r="F7242" s="1">
        <f>IFERROR(__xludf.DUMMYFUNCTION("""COMPUTED_VALUE"""),0.5)</f>
        <v>0.5</v>
      </c>
      <c r="G7242" s="1"/>
      <c r="H7242" s="3">
        <f>IFERROR(__xludf.DUMMYFUNCTION("""COMPUTED_VALUE"""),0.5)</f>
        <v>0.5</v>
      </c>
      <c r="I7242" s="4">
        <f>IFERROR(__xludf.DUMMYFUNCTION("""COMPUTED_VALUE"""),0.0)</f>
        <v>0</v>
      </c>
      <c r="J7242" s="1" t="str">
        <f>IFERROR(__xludf.DUMMYFUNCTION("""COMPUTED_VALUE"""),"Ana Lazaro")</f>
        <v>Ana Lazaro</v>
      </c>
      <c r="K7242" s="1" t="str">
        <f>IFERROR(__xludf.DUMMYFUNCTION("""COMPUTED_VALUE"""),"Advanced Billing &amp; Subscriptions")</f>
        <v>Advanced Billing &amp; Subscriptions</v>
      </c>
      <c r="L7242" s="1" t="str">
        <f>IFERROR(__xludf.DUMMYFUNCTION("""COMPUTED_VALUE"""),"CPS Advanced Billing and Subscriptions (ABS)")</f>
        <v>CPS Advanced Billing and Subscriptions (ABS)</v>
      </c>
    </row>
    <row r="7243">
      <c r="A7243" s="1" t="str">
        <f>IFERROR(__xludf.DUMMYFUNCTION("""COMPUTED_VALUE"""),"2025 Dec")</f>
        <v>2025 Dec</v>
      </c>
      <c r="B7243" s="2">
        <f>IFERROR(__xludf.DUMMYFUNCTION("""COMPUTED_VALUE"""),46006.0)</f>
        <v>46006</v>
      </c>
      <c r="C7243" s="1" t="str">
        <f>IFERROR(__xludf.DUMMYFUNCTION("""COMPUTED_VALUE"""),"Print Support")</f>
        <v>Print Support</v>
      </c>
      <c r="D7243" s="1" t="str">
        <f>IFERROR(__xludf.DUMMYFUNCTION("""COMPUTED_VALUE"""),"2ffdab50-ba8e-4ff1-a8d9-e609f47d6cbd")</f>
        <v>2ffdab50-ba8e-4ff1-a8d9-e609f47d6cbd</v>
      </c>
      <c r="E7243" s="1">
        <f>IFERROR(__xludf.DUMMYFUNCTION("""COMPUTED_VALUE"""),3.61731515115E11)</f>
        <v>361731515115</v>
      </c>
      <c r="F7243" s="1"/>
      <c r="G7243" s="1"/>
      <c r="H7243" s="3">
        <f>IFERROR(__xludf.DUMMYFUNCTION("""COMPUTED_VALUE"""),0.0)</f>
        <v>0</v>
      </c>
      <c r="I7243" s="4"/>
      <c r="J7243" s="1" t="str">
        <f>IFERROR(__xludf.DUMMYFUNCTION("""COMPUTED_VALUE"""),"Louise Dianne Estrella")</f>
        <v>Louise Dianne Estrella</v>
      </c>
      <c r="K7243" s="1" t="str">
        <f>IFERROR(__xludf.DUMMYFUNCTION("""COMPUTED_VALUE"""),"Print Support PH")</f>
        <v>Print Support PH</v>
      </c>
      <c r="L7243" s="1" t="str">
        <f>IFERROR(__xludf.DUMMYFUNCTION("""COMPUTED_VALUE"""),"Print Print - CHT")</f>
        <v>Print Print - CHT</v>
      </c>
    </row>
    <row r="7244">
      <c r="A7244" s="1" t="str">
        <f>IFERROR(__xludf.DUMMYFUNCTION("""COMPUTED_VALUE"""),"2025 Dec")</f>
        <v>2025 Dec</v>
      </c>
      <c r="B7244" s="2">
        <f>IFERROR(__xludf.DUMMYFUNCTION("""COMPUTED_VALUE"""),46006.0)</f>
        <v>46006</v>
      </c>
      <c r="C7244" s="1" t="str">
        <f>IFERROR(__xludf.DUMMYFUNCTION("""COMPUTED_VALUE"""),"Core Product Support")</f>
        <v>Core Product Support</v>
      </c>
      <c r="D7244" s="1" t="str">
        <f>IFERROR(__xludf.DUMMYFUNCTION("""COMPUTED_VALUE"""),"53c72618-3bf9-4bcf-adf4-39677fd20e1f")</f>
        <v>53c72618-3bf9-4bcf-adf4-39677fd20e1f</v>
      </c>
      <c r="E7244" s="1">
        <f>IFERROR(__xludf.DUMMYFUNCTION("""COMPUTED_VALUE"""),1.1035324543247E13)</f>
        <v>11035324543247</v>
      </c>
      <c r="F7244" s="1">
        <f>IFERROR(__xludf.DUMMYFUNCTION("""COMPUTED_VALUE"""),0.5)</f>
        <v>0.5</v>
      </c>
      <c r="G7244" s="1"/>
      <c r="H7244" s="3">
        <f>IFERROR(__xludf.DUMMYFUNCTION("""COMPUTED_VALUE"""),0.5)</f>
        <v>0.5</v>
      </c>
      <c r="I7244" s="4">
        <f>IFERROR(__xludf.DUMMYFUNCTION("""COMPUTED_VALUE"""),0.0)</f>
        <v>0</v>
      </c>
      <c r="J7244" s="1" t="str">
        <f>IFERROR(__xludf.DUMMYFUNCTION("""COMPUTED_VALUE"""),"Ayza Marie Pascual")</f>
        <v>Ayza Marie Pascual</v>
      </c>
      <c r="K7244" s="1" t="str">
        <f>IFERROR(__xludf.DUMMYFUNCTION("""COMPUTED_VALUE"""),"Advanced Billing &amp; Subscriptions")</f>
        <v>Advanced Billing &amp; Subscriptions</v>
      </c>
      <c r="L7244" s="1" t="str">
        <f>IFERROR(__xludf.DUMMYFUNCTION("""COMPUTED_VALUE"""),"CPS Advanced Billing and Subscriptions (ABS)")</f>
        <v>CPS Advanced Billing and Subscriptions (ABS)</v>
      </c>
    </row>
    <row r="7245">
      <c r="A7245" s="1" t="str">
        <f>IFERROR(__xludf.DUMMYFUNCTION("""COMPUTED_VALUE"""),"2025 Dec")</f>
        <v>2025 Dec</v>
      </c>
      <c r="B7245" s="2">
        <f>IFERROR(__xludf.DUMMYFUNCTION("""COMPUTED_VALUE"""),46006.0)</f>
        <v>46006</v>
      </c>
      <c r="C7245" s="1" t="str">
        <f>IFERROR(__xludf.DUMMYFUNCTION("""COMPUTED_VALUE"""),"Core Product Support")</f>
        <v>Core Product Support</v>
      </c>
      <c r="D7245" s="1" t="str">
        <f>IFERROR(__xludf.DUMMYFUNCTION("""COMPUTED_VALUE"""),"08e80e21-5eab-4b4f-bd2a-c3d833caa4fc")</f>
        <v>08e80e21-5eab-4b4f-bd2a-c3d833caa4fc</v>
      </c>
      <c r="E7245" s="1">
        <f>IFERROR(__xludf.DUMMYFUNCTION("""COMPUTED_VALUE"""),8.409877156495E12)</f>
        <v>8409877156495</v>
      </c>
      <c r="F7245" s="1">
        <f>IFERROR(__xludf.DUMMYFUNCTION("""COMPUTED_VALUE"""),0.5)</f>
        <v>0.5</v>
      </c>
      <c r="G7245" s="1">
        <f>IFERROR(__xludf.DUMMYFUNCTION("""COMPUTED_VALUE"""),1.5)</f>
        <v>1.5</v>
      </c>
      <c r="H7245" s="3">
        <f>IFERROR(__xludf.DUMMYFUNCTION("""COMPUTED_VALUE"""),2.0)</f>
        <v>2</v>
      </c>
      <c r="I7245" s="4">
        <f>IFERROR(__xludf.DUMMYFUNCTION("""COMPUTED_VALUE"""),0.75)</f>
        <v>0.75</v>
      </c>
      <c r="J7245" s="1" t="str">
        <f>IFERROR(__xludf.DUMMYFUNCTION("""COMPUTED_VALUE"""),"Jahmie Mae Barrameda")</f>
        <v>Jahmie Mae Barrameda</v>
      </c>
      <c r="K7245" s="1" t="str">
        <f>IFERROR(__xludf.DUMMYFUNCTION("""COMPUTED_VALUE"""),"Advanced Billing &amp; Subscriptions")</f>
        <v>Advanced Billing &amp; Subscriptions</v>
      </c>
      <c r="L7245" s="1" t="str">
        <f>IFERROR(__xludf.DUMMYFUNCTION("""COMPUTED_VALUE"""),"CPS Advanced Billing and Subscriptions (ABS)")</f>
        <v>CPS Advanced Billing and Subscriptions (ABS)</v>
      </c>
    </row>
    <row r="7246">
      <c r="A7246" s="1" t="str">
        <f>IFERROR(__xludf.DUMMYFUNCTION("""COMPUTED_VALUE"""),"2025 Dec")</f>
        <v>2025 Dec</v>
      </c>
      <c r="B7246" s="2">
        <f>IFERROR(__xludf.DUMMYFUNCTION("""COMPUTED_VALUE"""),46006.0)</f>
        <v>46006</v>
      </c>
      <c r="C7246" s="1" t="str">
        <f>IFERROR(__xludf.DUMMYFUNCTION("""COMPUTED_VALUE"""),"Core Product Support")</f>
        <v>Core Product Support</v>
      </c>
      <c r="D7246" s="1" t="str">
        <f>IFERROR(__xludf.DUMMYFUNCTION("""COMPUTED_VALUE"""),"41e73ce2-bda5-4412-b2d5-381b4a0a0fdd")</f>
        <v>41e73ce2-bda5-4412-b2d5-381b4a0a0fdd</v>
      </c>
      <c r="E7246" s="1">
        <f>IFERROR(__xludf.DUMMYFUNCTION("""COMPUTED_VALUE"""),3.61750008275E11)</f>
        <v>361750008275</v>
      </c>
      <c r="F7246" s="1">
        <f>IFERROR(__xludf.DUMMYFUNCTION("""COMPUTED_VALUE"""),0.5)</f>
        <v>0.5</v>
      </c>
      <c r="G7246" s="1">
        <f>IFERROR(__xludf.DUMMYFUNCTION("""COMPUTED_VALUE"""),2.5)</f>
        <v>2.5</v>
      </c>
      <c r="H7246" s="3">
        <f>IFERROR(__xludf.DUMMYFUNCTION("""COMPUTED_VALUE"""),3.0)</f>
        <v>3</v>
      </c>
      <c r="I7246" s="4">
        <f>IFERROR(__xludf.DUMMYFUNCTION("""COMPUTED_VALUE"""),0.8333333333333334)</f>
        <v>0.8333333333</v>
      </c>
      <c r="J7246" s="1" t="str">
        <f>IFERROR(__xludf.DUMMYFUNCTION("""COMPUTED_VALUE"""),"Bem Launte")</f>
        <v>Bem Launte</v>
      </c>
      <c r="K7246" s="1" t="str">
        <f>IFERROR(__xludf.DUMMYFUNCTION("""COMPUTED_VALUE"""),"Core Product Support Escalation Team")</f>
        <v>Core Product Support Escalation Team</v>
      </c>
      <c r="L7246" s="1" t="str">
        <f>IFERROR(__xludf.DUMMYFUNCTION("""COMPUTED_VALUE"""),"CPS Core Product Support Escalations (CPSET)")</f>
        <v>CPS Core Product Support Escalations (CPSET)</v>
      </c>
    </row>
    <row r="7247">
      <c r="A7247" s="1" t="str">
        <f>IFERROR(__xludf.DUMMYFUNCTION("""COMPUTED_VALUE"""),"2025 Dec")</f>
        <v>2025 Dec</v>
      </c>
      <c r="B7247" s="2">
        <f>IFERROR(__xludf.DUMMYFUNCTION("""COMPUTED_VALUE"""),46006.0)</f>
        <v>46006</v>
      </c>
      <c r="C7247" s="1" t="str">
        <f>IFERROR(__xludf.DUMMYFUNCTION("""COMPUTED_VALUE"""),"Print Support")</f>
        <v>Print Support</v>
      </c>
      <c r="D7247" s="1" t="str">
        <f>IFERROR(__xludf.DUMMYFUNCTION("""COMPUTED_VALUE"""),"a8e62322-b2dc-4c8a-842a-2a259dac6528")</f>
        <v>a8e62322-b2dc-4c8a-842a-2a259dac6528</v>
      </c>
      <c r="E7247" s="1">
        <f>IFERROR(__xludf.DUMMYFUNCTION("""COMPUTED_VALUE"""),9.285106592655E12)</f>
        <v>9285106592655</v>
      </c>
      <c r="F7247" s="1"/>
      <c r="G7247" s="1"/>
      <c r="H7247" s="3">
        <f>IFERROR(__xludf.DUMMYFUNCTION("""COMPUTED_VALUE"""),0.0)</f>
        <v>0</v>
      </c>
      <c r="I7247" s="4"/>
      <c r="J7247" s="1" t="str">
        <f>IFERROR(__xludf.DUMMYFUNCTION("""COMPUTED_VALUE"""),"Althea Mercado")</f>
        <v>Althea Mercado</v>
      </c>
      <c r="K7247" s="1" t="str">
        <f>IFERROR(__xludf.DUMMYFUNCTION("""COMPUTED_VALUE"""),"Print Support PH")</f>
        <v>Print Support PH</v>
      </c>
      <c r="L7247" s="1" t="str">
        <f>IFERROR(__xludf.DUMMYFUNCTION("""COMPUTED_VALUE"""),"Print Print - CHT")</f>
        <v>Print Print - CHT</v>
      </c>
    </row>
    <row r="7248">
      <c r="A7248" s="1" t="str">
        <f>IFERROR(__xludf.DUMMYFUNCTION("""COMPUTED_VALUE"""),"2025 Dec")</f>
        <v>2025 Dec</v>
      </c>
      <c r="B7248" s="2">
        <f>IFERROR(__xludf.DUMMYFUNCTION("""COMPUTED_VALUE"""),46006.0)</f>
        <v>46006</v>
      </c>
      <c r="C7248" s="1" t="str">
        <f>IFERROR(__xludf.DUMMYFUNCTION("""COMPUTED_VALUE"""),"Admin Support")</f>
        <v>Admin Support</v>
      </c>
      <c r="D7248" s="1" t="str">
        <f>IFERROR(__xludf.DUMMYFUNCTION("""COMPUTED_VALUE"""),"ab14ac10-6fdd-4acd-92a0-afc53948f957")</f>
        <v>ab14ac10-6fdd-4acd-92a0-afc53948f957</v>
      </c>
      <c r="E7248" s="1">
        <f>IFERROR(__xludf.DUMMYFUNCTION("""COMPUTED_VALUE"""),3.61731791675E11)</f>
        <v>361731791675</v>
      </c>
      <c r="F7248" s="1"/>
      <c r="G7248" s="1"/>
      <c r="H7248" s="3">
        <f>IFERROR(__xludf.DUMMYFUNCTION("""COMPUTED_VALUE"""),0.0)</f>
        <v>0</v>
      </c>
      <c r="I7248" s="4"/>
      <c r="J7248" s="1" t="str">
        <f>IFERROR(__xludf.DUMMYFUNCTION("""COMPUTED_VALUE"""),"Camille Alvarez")</f>
        <v>Camille Alvarez</v>
      </c>
      <c r="K7248" s="1" t="str">
        <f>IFERROR(__xludf.DUMMYFUNCTION("""COMPUTED_VALUE"""),"Admin Support PH SSO")</f>
        <v>Admin Support PH SSO</v>
      </c>
      <c r="L7248" s="1" t="str">
        <f>IFERROR(__xludf.DUMMYFUNCTION("""COMPUTED_VALUE"""),"Admin SSO - SEE")</f>
        <v>Admin SSO - SEE</v>
      </c>
    </row>
    <row r="7249">
      <c r="A7249" s="1" t="str">
        <f>IFERROR(__xludf.DUMMYFUNCTION("""COMPUTED_VALUE"""),"2025 Dec")</f>
        <v>2025 Dec</v>
      </c>
      <c r="B7249" s="2">
        <f>IFERROR(__xludf.DUMMYFUNCTION("""COMPUTED_VALUE"""),46006.0)</f>
        <v>46006</v>
      </c>
      <c r="C7249" s="1" t="str">
        <f>IFERROR(__xludf.DUMMYFUNCTION("""COMPUTED_VALUE"""),"Segment-specific Support")</f>
        <v>Segment-specific Support</v>
      </c>
      <c r="D7249" s="1" t="str">
        <f>IFERROR(__xludf.DUMMYFUNCTION("""COMPUTED_VALUE"""),"b3a312bb-80a6-4404-a83b-85b5d7be9789")</f>
        <v>b3a312bb-80a6-4404-a83b-85b5d7be9789</v>
      </c>
      <c r="E7249" s="1">
        <f>IFERROR(__xludf.DUMMYFUNCTION("""COMPUTED_VALUE"""),9.903274706831E12)</f>
        <v>9903274706831</v>
      </c>
      <c r="F7249" s="1">
        <f>IFERROR(__xludf.DUMMYFUNCTION("""COMPUTED_VALUE"""),0.5)</f>
        <v>0.5</v>
      </c>
      <c r="G7249" s="1"/>
      <c r="H7249" s="3">
        <f>IFERROR(__xludf.DUMMYFUNCTION("""COMPUTED_VALUE"""),0.5)</f>
        <v>0.5</v>
      </c>
      <c r="I7249" s="4">
        <f>IFERROR(__xludf.DUMMYFUNCTION("""COMPUTED_VALUE"""),0.0)</f>
        <v>0</v>
      </c>
      <c r="J7249" s="1" t="str">
        <f>IFERROR(__xludf.DUMMYFUNCTION("""COMPUTED_VALUE"""),"Jonathan Dimaculangan")</f>
        <v>Jonathan Dimaculangan</v>
      </c>
      <c r="K7249" s="1" t="str">
        <f>IFERROR(__xludf.DUMMYFUNCTION("""COMPUTED_VALUE"""),"Flourish Support")</f>
        <v>Flourish Support</v>
      </c>
      <c r="L7249" s="1" t="str">
        <f>IFERROR(__xludf.DUMMYFUNCTION("""COMPUTED_VALUE"""),"SSS Flourish")</f>
        <v>SSS Flourish</v>
      </c>
    </row>
    <row r="7250">
      <c r="A7250" s="1" t="str">
        <f>IFERROR(__xludf.DUMMYFUNCTION("""COMPUTED_VALUE"""),"2025 Dec")</f>
        <v>2025 Dec</v>
      </c>
      <c r="B7250" s="2">
        <f>IFERROR(__xludf.DUMMYFUNCTION("""COMPUTED_VALUE"""),46006.0)</f>
        <v>46006</v>
      </c>
      <c r="C7250" s="1" t="str">
        <f>IFERROR(__xludf.DUMMYFUNCTION("""COMPUTED_VALUE"""),"Core Product Support")</f>
        <v>Core Product Support</v>
      </c>
      <c r="D7250" s="1" t="str">
        <f>IFERROR(__xludf.DUMMYFUNCTION("""COMPUTED_VALUE"""),"c820bf34-a16a-4ab5-afca-78d6c71226e3")</f>
        <v>c820bf34-a16a-4ab5-afca-78d6c71226e3</v>
      </c>
      <c r="E7250" s="1">
        <f>IFERROR(__xludf.DUMMYFUNCTION("""COMPUTED_VALUE"""),3.61731943295E11)</f>
        <v>361731943295</v>
      </c>
      <c r="F7250" s="1">
        <f>IFERROR(__xludf.DUMMYFUNCTION("""COMPUTED_VALUE"""),0.5)</f>
        <v>0.5</v>
      </c>
      <c r="G7250" s="1">
        <f>IFERROR(__xludf.DUMMYFUNCTION("""COMPUTED_VALUE"""),2.0)</f>
        <v>2</v>
      </c>
      <c r="H7250" s="3">
        <f>IFERROR(__xludf.DUMMYFUNCTION("""COMPUTED_VALUE"""),2.5)</f>
        <v>2.5</v>
      </c>
      <c r="I7250" s="4">
        <f>IFERROR(__xludf.DUMMYFUNCTION("""COMPUTED_VALUE"""),0.8)</f>
        <v>0.8</v>
      </c>
      <c r="J7250" s="1" t="str">
        <f>IFERROR(__xludf.DUMMYFUNCTION("""COMPUTED_VALUE"""),"Bem Launte")</f>
        <v>Bem Launte</v>
      </c>
      <c r="K7250" s="1" t="str">
        <f>IFERROR(__xludf.DUMMYFUNCTION("""COMPUTED_VALUE"""),"Core Product Support Escalation Team")</f>
        <v>Core Product Support Escalation Team</v>
      </c>
      <c r="L7250" s="1" t="str">
        <f>IFERROR(__xludf.DUMMYFUNCTION("""COMPUTED_VALUE"""),"CPS Core Product Support Escalations (CPSET)")</f>
        <v>CPS Core Product Support Escalations (CPSET)</v>
      </c>
    </row>
    <row r="7251">
      <c r="A7251" s="1" t="str">
        <f>IFERROR(__xludf.DUMMYFUNCTION("""COMPUTED_VALUE"""),"2025 Dec")</f>
        <v>2025 Dec</v>
      </c>
      <c r="B7251" s="2">
        <f>IFERROR(__xludf.DUMMYFUNCTION("""COMPUTED_VALUE"""),46006.0)</f>
        <v>46006</v>
      </c>
      <c r="C7251" s="1" t="str">
        <f>IFERROR(__xludf.DUMMYFUNCTION("""COMPUTED_VALUE"""),"Multilingual Support")</f>
        <v>Multilingual Support</v>
      </c>
      <c r="D7251" s="1" t="str">
        <f>IFERROR(__xludf.DUMMYFUNCTION("""COMPUTED_VALUE"""),"283e2e77-f88a-4efa-b94d-fff3a66e663f")</f>
        <v>283e2e77-f88a-4efa-b94d-fff3a66e663f</v>
      </c>
      <c r="E7251" s="1">
        <f>IFERROR(__xludf.DUMMYFUNCTION("""COMPUTED_VALUE"""),3.61731791575E11)</f>
        <v>361731791575</v>
      </c>
      <c r="F7251" s="1"/>
      <c r="G7251" s="1"/>
      <c r="H7251" s="3">
        <f>IFERROR(__xludf.DUMMYFUNCTION("""COMPUTED_VALUE"""),0.0)</f>
        <v>0</v>
      </c>
      <c r="I7251" s="4"/>
      <c r="J7251" s="1" t="str">
        <f>IFERROR(__xludf.DUMMYFUNCTION("""COMPUTED_VALUE"""),"Arlene Maurillo")</f>
        <v>Arlene Maurillo</v>
      </c>
      <c r="K7251" s="1" t="str">
        <f>IFERROR(__xludf.DUMMYFUNCTION("""COMPUTED_VALUE"""),"PHL, Multilingual Support")</f>
        <v>PHL, Multilingual Support</v>
      </c>
      <c r="L7251" s="1" t="str">
        <f>IFERROR(__xludf.DUMMYFUNCTION("""COMPUTED_VALUE"""),"ML French Support")</f>
        <v>ML French Support</v>
      </c>
    </row>
    <row r="7252">
      <c r="A7252" s="1" t="str">
        <f>IFERROR(__xludf.DUMMYFUNCTION("""COMPUTED_VALUE"""),"2025 Dec")</f>
        <v>2025 Dec</v>
      </c>
      <c r="B7252" s="2">
        <f>IFERROR(__xludf.DUMMYFUNCTION("""COMPUTED_VALUE"""),46006.0)</f>
        <v>46006</v>
      </c>
      <c r="C7252" s="1" t="str">
        <f>IFERROR(__xludf.DUMMYFUNCTION("""COMPUTED_VALUE"""),"Print Support")</f>
        <v>Print Support</v>
      </c>
      <c r="D7252" s="1" t="str">
        <f>IFERROR(__xludf.DUMMYFUNCTION("""COMPUTED_VALUE"""),"759bff0c-8571-44a6-ac6a-7e74510a6a62")</f>
        <v>759bff0c-8571-44a6-ac6a-7e74510a6a62</v>
      </c>
      <c r="E7252" s="1">
        <f>IFERROR(__xludf.DUMMYFUNCTION("""COMPUTED_VALUE"""),6.839686960271E12)</f>
        <v>6839686960271</v>
      </c>
      <c r="F7252" s="1"/>
      <c r="G7252" s="1"/>
      <c r="H7252" s="3">
        <f>IFERROR(__xludf.DUMMYFUNCTION("""COMPUTED_VALUE"""),0.0)</f>
        <v>0</v>
      </c>
      <c r="I7252" s="4"/>
      <c r="J7252" s="1" t="str">
        <f>IFERROR(__xludf.DUMMYFUNCTION("""COMPUTED_VALUE"""),"Althea Mercado")</f>
        <v>Althea Mercado</v>
      </c>
      <c r="K7252" s="1" t="str">
        <f>IFERROR(__xludf.DUMMYFUNCTION("""COMPUTED_VALUE"""),"Print Support PH")</f>
        <v>Print Support PH</v>
      </c>
      <c r="L7252" s="1" t="str">
        <f>IFERROR(__xludf.DUMMYFUNCTION("""COMPUTED_VALUE"""),"Print Print - CHT")</f>
        <v>Print Print - CHT</v>
      </c>
    </row>
    <row r="7253">
      <c r="A7253" s="1" t="str">
        <f>IFERROR(__xludf.DUMMYFUNCTION("""COMPUTED_VALUE"""),"2025 Dec")</f>
        <v>2025 Dec</v>
      </c>
      <c r="B7253" s="2">
        <f>IFERROR(__xludf.DUMMYFUNCTION("""COMPUTED_VALUE"""),46006.0)</f>
        <v>46006</v>
      </c>
      <c r="C7253" s="1" t="str">
        <f>IFERROR(__xludf.DUMMYFUNCTION("""COMPUTED_VALUE"""),"Print Support")</f>
        <v>Print Support</v>
      </c>
      <c r="D7253" s="1" t="str">
        <f>IFERROR(__xludf.DUMMYFUNCTION("""COMPUTED_VALUE"""),"435dbe60-cec1-4cb2-b1d3-b030b9d41646")</f>
        <v>435dbe60-cec1-4cb2-b1d3-b030b9d41646</v>
      </c>
      <c r="E7253" s="1">
        <f>IFERROR(__xludf.DUMMYFUNCTION("""COMPUTED_VALUE"""),3.61724666876E11)</f>
        <v>361724666876</v>
      </c>
      <c r="F7253" s="1">
        <f>IFERROR(__xludf.DUMMYFUNCTION("""COMPUTED_VALUE"""),2.0)</f>
        <v>2</v>
      </c>
      <c r="G7253" s="1"/>
      <c r="H7253" s="3">
        <f>IFERROR(__xludf.DUMMYFUNCTION("""COMPUTED_VALUE"""),2.0)</f>
        <v>2</v>
      </c>
      <c r="I7253" s="4">
        <f>IFERROR(__xludf.DUMMYFUNCTION("""COMPUTED_VALUE"""),0.0)</f>
        <v>0</v>
      </c>
      <c r="J7253" s="1" t="str">
        <f>IFERROR(__xludf.DUMMYFUNCTION("""COMPUTED_VALUE"""),"Rae Erlano")</f>
        <v>Rae Erlano</v>
      </c>
      <c r="K7253" s="1" t="str">
        <f>IFERROR(__xludf.DUMMYFUNCTION("""COMPUTED_VALUE"""),"Print Support PH")</f>
        <v>Print Support PH</v>
      </c>
      <c r="L7253" s="1" t="str">
        <f>IFERROR(__xludf.DUMMYFUNCTION("""COMPUTED_VALUE"""),"Print Print - SEE")</f>
        <v>Print Print - SEE</v>
      </c>
    </row>
    <row r="7254">
      <c r="A7254" s="1" t="str">
        <f>IFERROR(__xludf.DUMMYFUNCTION("""COMPUTED_VALUE"""),"2025 Dec")</f>
        <v>2025 Dec</v>
      </c>
      <c r="B7254" s="2">
        <f>IFERROR(__xludf.DUMMYFUNCTION("""COMPUTED_VALUE"""),46006.0)</f>
        <v>46006</v>
      </c>
      <c r="C7254" s="1" t="str">
        <f>IFERROR(__xludf.DUMMYFUNCTION("""COMPUTED_VALUE"""),"Core Product Support")</f>
        <v>Core Product Support</v>
      </c>
      <c r="D7254" s="1" t="str">
        <f>IFERROR(__xludf.DUMMYFUNCTION("""COMPUTED_VALUE"""),"d49e1c15-2cd1-4e35-9b3a-8acda7c42425")</f>
        <v>d49e1c15-2cd1-4e35-9b3a-8acda7c42425</v>
      </c>
      <c r="E7254" s="1">
        <f>IFERROR(__xludf.DUMMYFUNCTION("""COMPUTED_VALUE"""),1.1401961091343E13)</f>
        <v>11401961091343</v>
      </c>
      <c r="F7254" s="1">
        <f>IFERROR(__xludf.DUMMYFUNCTION("""COMPUTED_VALUE"""),0.5)</f>
        <v>0.5</v>
      </c>
      <c r="G7254" s="1"/>
      <c r="H7254" s="3">
        <f>IFERROR(__xludf.DUMMYFUNCTION("""COMPUTED_VALUE"""),0.5)</f>
        <v>0.5</v>
      </c>
      <c r="I7254" s="4">
        <f>IFERROR(__xludf.DUMMYFUNCTION("""COMPUTED_VALUE"""),0.0)</f>
        <v>0</v>
      </c>
      <c r="J7254" s="1" t="str">
        <f>IFERROR(__xludf.DUMMYFUNCTION("""COMPUTED_VALUE"""),"Cate Velasco")</f>
        <v>Cate Velasco</v>
      </c>
      <c r="K7254" s="1" t="str">
        <f>IFERROR(__xludf.DUMMYFUNCTION("""COMPUTED_VALUE"""),"Advanced Product Support")</f>
        <v>Advanced Product Support</v>
      </c>
      <c r="L7254" s="1" t="str">
        <f>IFERROR(__xludf.DUMMYFUNCTION("""COMPUTED_VALUE"""),"CPS Advanced Product Support (APS)")</f>
        <v>CPS Advanced Product Support (APS)</v>
      </c>
    </row>
    <row r="7255">
      <c r="A7255" s="1" t="str">
        <f>IFERROR(__xludf.DUMMYFUNCTION("""COMPUTED_VALUE"""),"2025 Dec")</f>
        <v>2025 Dec</v>
      </c>
      <c r="B7255" s="2">
        <f>IFERROR(__xludf.DUMMYFUNCTION("""COMPUTED_VALUE"""),46006.0)</f>
        <v>46006</v>
      </c>
      <c r="C7255" s="1" t="str">
        <f>IFERROR(__xludf.DUMMYFUNCTION("""COMPUTED_VALUE"""),"Segment-specific Support")</f>
        <v>Segment-specific Support</v>
      </c>
      <c r="D7255" s="1" t="str">
        <f>IFERROR(__xludf.DUMMYFUNCTION("""COMPUTED_VALUE"""),"273af0e8-ae9e-4171-b68c-6f2448bbd29f")</f>
        <v>273af0e8-ae9e-4171-b68c-6f2448bbd29f</v>
      </c>
      <c r="E7255" s="1">
        <f>IFERROR(__xludf.DUMMYFUNCTION("""COMPUTED_VALUE"""),1.1401981037583E13)</f>
        <v>11401981037583</v>
      </c>
      <c r="F7255" s="1"/>
      <c r="G7255" s="1"/>
      <c r="H7255" s="3">
        <f>IFERROR(__xludf.DUMMYFUNCTION("""COMPUTED_VALUE"""),0.0)</f>
        <v>0</v>
      </c>
      <c r="I7255" s="4"/>
      <c r="J7255" s="1" t="str">
        <f>IFERROR(__xludf.DUMMYFUNCTION("""COMPUTED_VALUE"""),"Aileen Dayanghirang")</f>
        <v>Aileen Dayanghirang</v>
      </c>
      <c r="K7255" s="1" t="str">
        <f>IFERROR(__xludf.DUMMYFUNCTION("""COMPUTED_VALUE"""),"Creators Support")</f>
        <v>Creators Support</v>
      </c>
      <c r="L7255" s="1" t="str">
        <f>IFERROR(__xludf.DUMMYFUNCTION("""COMPUTED_VALUE"""),"SSS Creators")</f>
        <v>SSS Creators</v>
      </c>
    </row>
    <row r="7256">
      <c r="A7256" s="1" t="str">
        <f>IFERROR(__xludf.DUMMYFUNCTION("""COMPUTED_VALUE"""),"2025 Dec")</f>
        <v>2025 Dec</v>
      </c>
      <c r="B7256" s="2">
        <f>IFERROR(__xludf.DUMMYFUNCTION("""COMPUTED_VALUE"""),46006.0)</f>
        <v>46006</v>
      </c>
      <c r="C7256" s="1" t="str">
        <f>IFERROR(__xludf.DUMMYFUNCTION("""COMPUTED_VALUE"""),"Admin Support")</f>
        <v>Admin Support</v>
      </c>
      <c r="D7256" s="1" t="str">
        <f>IFERROR(__xludf.DUMMYFUNCTION("""COMPUTED_VALUE"""),"d497a055-f2f2-4063-8890-6c9684355e4c")</f>
        <v>d497a055-f2f2-4063-8890-6c9684355e4c</v>
      </c>
      <c r="E7256" s="1">
        <f>IFERROR(__xludf.DUMMYFUNCTION("""COMPUTED_VALUE"""),3.61731515255E11)</f>
        <v>361731515255</v>
      </c>
      <c r="F7256" s="1"/>
      <c r="G7256" s="1"/>
      <c r="H7256" s="3">
        <f>IFERROR(__xludf.DUMMYFUNCTION("""COMPUTED_VALUE"""),0.0)</f>
        <v>0</v>
      </c>
      <c r="I7256" s="4"/>
      <c r="J7256" s="1" t="str">
        <f>IFERROR(__xludf.DUMMYFUNCTION("""COMPUTED_VALUE"""),"Camille Alvarez")</f>
        <v>Camille Alvarez</v>
      </c>
      <c r="K7256" s="1" t="str">
        <f>IFERROR(__xludf.DUMMYFUNCTION("""COMPUTED_VALUE"""),"Admin Support PH SSO")</f>
        <v>Admin Support PH SSO</v>
      </c>
      <c r="L7256" s="1" t="str">
        <f>IFERROR(__xludf.DUMMYFUNCTION("""COMPUTED_VALUE"""),"Admin SSO - SEE")</f>
        <v>Admin SSO - SEE</v>
      </c>
    </row>
    <row r="7257">
      <c r="A7257" s="1" t="str">
        <f>IFERROR(__xludf.DUMMYFUNCTION("""COMPUTED_VALUE"""),"2025 Dec")</f>
        <v>2025 Dec</v>
      </c>
      <c r="B7257" s="2">
        <f>IFERROR(__xludf.DUMMYFUNCTION("""COMPUTED_VALUE"""),46006.0)</f>
        <v>46006</v>
      </c>
      <c r="C7257" s="1" t="str">
        <f>IFERROR(__xludf.DUMMYFUNCTION("""COMPUTED_VALUE"""),"High Sensitivity Support")</f>
        <v>High Sensitivity Support</v>
      </c>
      <c r="D7257" s="1" t="str">
        <f>IFERROR(__xludf.DUMMYFUNCTION("""COMPUTED_VALUE"""),"725213c8-63bc-41f4-927e-adac2805ced0")</f>
        <v>725213c8-63bc-41f4-927e-adac2805ced0</v>
      </c>
      <c r="E7257" s="1">
        <f>IFERROR(__xludf.DUMMYFUNCTION("""COMPUTED_VALUE"""),3.61688633916E11)</f>
        <v>361688633916</v>
      </c>
      <c r="F7257" s="1">
        <f>IFERROR(__xludf.DUMMYFUNCTION("""COMPUTED_VALUE"""),4.0)</f>
        <v>4</v>
      </c>
      <c r="G7257" s="1"/>
      <c r="H7257" s="3">
        <f>IFERROR(__xludf.DUMMYFUNCTION("""COMPUTED_VALUE"""),4.0)</f>
        <v>4</v>
      </c>
      <c r="I7257" s="4">
        <f>IFERROR(__xludf.DUMMYFUNCTION("""COMPUTED_VALUE"""),0.0)</f>
        <v>0</v>
      </c>
      <c r="J7257" s="1" t="str">
        <f>IFERROR(__xludf.DUMMYFUNCTION("""COMPUTED_VALUE"""),"Xandy Azarcon")</f>
        <v>Xandy Azarcon</v>
      </c>
      <c r="K7257" s="1" t="str">
        <f>IFERROR(__xludf.DUMMYFUNCTION("""COMPUTED_VALUE"""),"High Sensitivity Support PH")</f>
        <v>High Sensitivity Support PH</v>
      </c>
      <c r="L7257" s="1" t="str">
        <f>IFERROR(__xludf.DUMMYFUNCTION("""COMPUTED_VALUE"""),"HSS High Sensitivity Support PH - CHT")</f>
        <v>HSS High Sensitivity Support PH - CHT</v>
      </c>
    </row>
    <row r="7258">
      <c r="A7258" s="1" t="str">
        <f>IFERROR(__xludf.DUMMYFUNCTION("""COMPUTED_VALUE"""),"2025 Dec")</f>
        <v>2025 Dec</v>
      </c>
      <c r="B7258" s="2">
        <f>IFERROR(__xludf.DUMMYFUNCTION("""COMPUTED_VALUE"""),46006.0)</f>
        <v>46006</v>
      </c>
      <c r="C7258" s="1" t="str">
        <f>IFERROR(__xludf.DUMMYFUNCTION("""COMPUTED_VALUE"""),"Print Support")</f>
        <v>Print Support</v>
      </c>
      <c r="D7258" s="1" t="str">
        <f>IFERROR(__xludf.DUMMYFUNCTION("""COMPUTED_VALUE"""),"adc14770-23af-4d9e-965d-0e955af819e0")</f>
        <v>adc14770-23af-4d9e-965d-0e955af819e0</v>
      </c>
      <c r="E7258" s="1">
        <f>IFERROR(__xludf.DUMMYFUNCTION("""COMPUTED_VALUE"""),3.61734092356E11)</f>
        <v>361734092356</v>
      </c>
      <c r="F7258" s="1">
        <f>IFERROR(__xludf.DUMMYFUNCTION("""COMPUTED_VALUE"""),2.0)</f>
        <v>2</v>
      </c>
      <c r="G7258" s="1"/>
      <c r="H7258" s="3">
        <f>IFERROR(__xludf.DUMMYFUNCTION("""COMPUTED_VALUE"""),2.0)</f>
        <v>2</v>
      </c>
      <c r="I7258" s="4">
        <f>IFERROR(__xludf.DUMMYFUNCTION("""COMPUTED_VALUE"""),0.0)</f>
        <v>0</v>
      </c>
      <c r="J7258" s="1" t="str">
        <f>IFERROR(__xludf.DUMMYFUNCTION("""COMPUTED_VALUE"""),"Memae Faustino")</f>
        <v>Memae Faustino</v>
      </c>
      <c r="K7258" s="1" t="str">
        <f>IFERROR(__xludf.DUMMYFUNCTION("""COMPUTED_VALUE"""),"Print Support PH")</f>
        <v>Print Support PH</v>
      </c>
      <c r="L7258" s="1" t="str">
        <f>IFERROR(__xludf.DUMMYFUNCTION("""COMPUTED_VALUE"""),"Print Print - SEE")</f>
        <v>Print Print - SEE</v>
      </c>
    </row>
    <row r="7259">
      <c r="A7259" s="1" t="str">
        <f>IFERROR(__xludf.DUMMYFUNCTION("""COMPUTED_VALUE"""),"2025 Dec")</f>
        <v>2025 Dec</v>
      </c>
      <c r="B7259" s="2">
        <f>IFERROR(__xludf.DUMMYFUNCTION("""COMPUTED_VALUE"""),46006.0)</f>
        <v>46006</v>
      </c>
      <c r="C7259" s="1" t="str">
        <f>IFERROR(__xludf.DUMMYFUNCTION("""COMPUTED_VALUE"""),"High Sensitivity Support")</f>
        <v>High Sensitivity Support</v>
      </c>
      <c r="D7259" s="1" t="str">
        <f>IFERROR(__xludf.DUMMYFUNCTION("""COMPUTED_VALUE"""),"d9cfc12e-6b04-430c-bb3b-22b9d67ee77c")</f>
        <v>d9cfc12e-6b04-430c-bb3b-22b9d67ee77c</v>
      </c>
      <c r="E7259" s="1">
        <f>IFERROR(__xludf.DUMMYFUNCTION("""COMPUTED_VALUE"""),9.795905277839E12)</f>
        <v>9795905277839</v>
      </c>
      <c r="F7259" s="1"/>
      <c r="G7259" s="1"/>
      <c r="H7259" s="3">
        <f>IFERROR(__xludf.DUMMYFUNCTION("""COMPUTED_VALUE"""),0.0)</f>
        <v>0</v>
      </c>
      <c r="I7259" s="4"/>
      <c r="J7259" s="1" t="str">
        <f>IFERROR(__xludf.DUMMYFUNCTION("""COMPUTED_VALUE"""),"Issi Afable")</f>
        <v>Issi Afable</v>
      </c>
      <c r="K7259" s="1" t="str">
        <f>IFERROR(__xludf.DUMMYFUNCTION("""COMPUTED_VALUE"""),"High Sensitivity Support PH")</f>
        <v>High Sensitivity Support PH</v>
      </c>
      <c r="L7259" s="1" t="str">
        <f>IFERROR(__xludf.DUMMYFUNCTION("""COMPUTED_VALUE"""),"HSS High Sensitivity Support PH - SEE")</f>
        <v>HSS High Sensitivity Support PH - SEE</v>
      </c>
    </row>
    <row r="7260">
      <c r="A7260" s="1" t="str">
        <f>IFERROR(__xludf.DUMMYFUNCTION("""COMPUTED_VALUE"""),"2025 Dec")</f>
        <v>2025 Dec</v>
      </c>
      <c r="B7260" s="2">
        <f>IFERROR(__xludf.DUMMYFUNCTION("""COMPUTED_VALUE"""),46006.0)</f>
        <v>46006</v>
      </c>
      <c r="C7260" s="1" t="str">
        <f>IFERROR(__xludf.DUMMYFUNCTION("""COMPUTED_VALUE"""),"Core Product Support")</f>
        <v>Core Product Support</v>
      </c>
      <c r="D7260" s="1" t="str">
        <f>IFERROR(__xludf.DUMMYFUNCTION("""COMPUTED_VALUE"""),"d5b38678-ef33-449e-a4d3-7a7a69f2f5cb")</f>
        <v>d5b38678-ef33-449e-a4d3-7a7a69f2f5cb</v>
      </c>
      <c r="E7260" s="1">
        <f>IFERROR(__xludf.DUMMYFUNCTION("""COMPUTED_VALUE"""),3.61857411736E11)</f>
        <v>361857411736</v>
      </c>
      <c r="F7260" s="1">
        <f>IFERROR(__xludf.DUMMYFUNCTION("""COMPUTED_VALUE"""),0.5)</f>
        <v>0.5</v>
      </c>
      <c r="G7260" s="1"/>
      <c r="H7260" s="3">
        <f>IFERROR(__xludf.DUMMYFUNCTION("""COMPUTED_VALUE"""),0.5)</f>
        <v>0.5</v>
      </c>
      <c r="I7260" s="4">
        <f>IFERROR(__xludf.DUMMYFUNCTION("""COMPUTED_VALUE"""),0.0)</f>
        <v>0</v>
      </c>
      <c r="J7260" s="1" t="str">
        <f>IFERROR(__xludf.DUMMYFUNCTION("""COMPUTED_VALUE"""),"Vianca De Jesus")</f>
        <v>Vianca De Jesus</v>
      </c>
      <c r="K7260" s="1" t="str">
        <f>IFERROR(__xludf.DUMMYFUNCTION("""COMPUTED_VALUE"""),"Advanced Chat Support")</f>
        <v>Advanced Chat Support</v>
      </c>
      <c r="L7260" s="1" t="str">
        <f>IFERROR(__xludf.DUMMYFUNCTION("""COMPUTED_VALUE"""),"CPS Advanced Chat Support (ACS)")</f>
        <v>CPS Advanced Chat Support (ACS)</v>
      </c>
    </row>
    <row r="7261">
      <c r="A7261" s="1" t="str">
        <f>IFERROR(__xludf.DUMMYFUNCTION("""COMPUTED_VALUE"""),"2025 Dec")</f>
        <v>2025 Dec</v>
      </c>
      <c r="B7261" s="2">
        <f>IFERROR(__xludf.DUMMYFUNCTION("""COMPUTED_VALUE"""),46006.0)</f>
        <v>46006</v>
      </c>
      <c r="C7261" s="1" t="str">
        <f>IFERROR(__xludf.DUMMYFUNCTION("""COMPUTED_VALUE"""),"Admin Support")</f>
        <v>Admin Support</v>
      </c>
      <c r="D7261" s="1" t="str">
        <f>IFERROR(__xludf.DUMMYFUNCTION("""COMPUTED_VALUE"""),"65280774-7b68-4e6a-9312-4389148cbc01")</f>
        <v>65280774-7b68-4e6a-9312-4389148cbc01</v>
      </c>
      <c r="E7261" s="1">
        <f>IFERROR(__xludf.DUMMYFUNCTION("""COMPUTED_VALUE"""),1.0548588461839E13)</f>
        <v>10548588461839</v>
      </c>
      <c r="F7261" s="1"/>
      <c r="G7261" s="1">
        <f>IFERROR(__xludf.DUMMYFUNCTION("""COMPUTED_VALUE"""),0.75)</f>
        <v>0.75</v>
      </c>
      <c r="H7261" s="3">
        <f>IFERROR(__xludf.DUMMYFUNCTION("""COMPUTED_VALUE"""),0.75)</f>
        <v>0.75</v>
      </c>
      <c r="I7261" s="4">
        <f>IFERROR(__xludf.DUMMYFUNCTION("""COMPUTED_VALUE"""),1.0)</f>
        <v>1</v>
      </c>
      <c r="J7261" s="1" t="str">
        <f>IFERROR(__xludf.DUMMYFUNCTION("""COMPUTED_VALUE"""),"Pau Palmero")</f>
        <v>Pau Palmero</v>
      </c>
      <c r="K7261" s="1" t="str">
        <f>IFERROR(__xludf.DUMMYFUNCTION("""COMPUTED_VALUE"""),"Admin Support PH CEDD")</f>
        <v>Admin Support PH CEDD</v>
      </c>
      <c r="L7261" s="1" t="str">
        <f>IFERROR(__xludf.DUMMYFUNCTION("""COMPUTED_VALUE"""),"Admin CEDD Apps,Admin CEDD Inbox Mgt")</f>
        <v>Admin CEDD Apps,Admin CEDD Inbox Mgt</v>
      </c>
    </row>
    <row r="7262">
      <c r="A7262" s="1" t="str">
        <f>IFERROR(__xludf.DUMMYFUNCTION("""COMPUTED_VALUE"""),"2025 Dec")</f>
        <v>2025 Dec</v>
      </c>
      <c r="B7262" s="2">
        <f>IFERROR(__xludf.DUMMYFUNCTION("""COMPUTED_VALUE"""),46006.0)</f>
        <v>46006</v>
      </c>
      <c r="C7262" s="1" t="str">
        <f>IFERROR(__xludf.DUMMYFUNCTION("""COMPUTED_VALUE"""),"Core Product Support")</f>
        <v>Core Product Support</v>
      </c>
      <c r="D7262" s="1" t="str">
        <f>IFERROR(__xludf.DUMMYFUNCTION("""COMPUTED_VALUE"""),"0a5a8f36-7865-4df1-a7d1-fdbafdddd3eb")</f>
        <v>0a5a8f36-7865-4df1-a7d1-fdbafdddd3eb</v>
      </c>
      <c r="E7262" s="1">
        <f>IFERROR(__xludf.DUMMYFUNCTION("""COMPUTED_VALUE"""),3.61731792395E11)</f>
        <v>361731792395</v>
      </c>
      <c r="F7262" s="1">
        <f>IFERROR(__xludf.DUMMYFUNCTION("""COMPUTED_VALUE"""),0.5)</f>
        <v>0.5</v>
      </c>
      <c r="G7262" s="1">
        <f>IFERROR(__xludf.DUMMYFUNCTION("""COMPUTED_VALUE"""),2.5)</f>
        <v>2.5</v>
      </c>
      <c r="H7262" s="3">
        <f>IFERROR(__xludf.DUMMYFUNCTION("""COMPUTED_VALUE"""),3.0)</f>
        <v>3</v>
      </c>
      <c r="I7262" s="4">
        <f>IFERROR(__xludf.DUMMYFUNCTION("""COMPUTED_VALUE"""),0.8333333333333334)</f>
        <v>0.8333333333</v>
      </c>
      <c r="J7262" s="1" t="str">
        <f>IFERROR(__xludf.DUMMYFUNCTION("""COMPUTED_VALUE"""),"Sieg Ballelos")</f>
        <v>Sieg Ballelos</v>
      </c>
      <c r="K7262" s="1" t="str">
        <f>IFERROR(__xludf.DUMMYFUNCTION("""COMPUTED_VALUE"""),"Core Product Support Escalation Team")</f>
        <v>Core Product Support Escalation Team</v>
      </c>
      <c r="L7262" s="1" t="str">
        <f>IFERROR(__xludf.DUMMYFUNCTION("""COMPUTED_VALUE"""),"CPS Core Product Support Escalations (CPSET)")</f>
        <v>CPS Core Product Support Escalations (CPSET)</v>
      </c>
    </row>
    <row r="7263">
      <c r="A7263" s="1" t="str">
        <f>IFERROR(__xludf.DUMMYFUNCTION("""COMPUTED_VALUE"""),"2025 Dec")</f>
        <v>2025 Dec</v>
      </c>
      <c r="B7263" s="2">
        <f>IFERROR(__xludf.DUMMYFUNCTION("""COMPUTED_VALUE"""),46006.0)</f>
        <v>46006</v>
      </c>
      <c r="C7263" s="1" t="str">
        <f>IFERROR(__xludf.DUMMYFUNCTION("""COMPUTED_VALUE"""),"Core Product Support")</f>
        <v>Core Product Support</v>
      </c>
      <c r="D7263" s="1" t="str">
        <f>IFERROR(__xludf.DUMMYFUNCTION("""COMPUTED_VALUE"""),"626e971a-a1f2-466b-b3f0-fd32790eb440")</f>
        <v>626e971a-a1f2-466b-b3f0-fd32790eb440</v>
      </c>
      <c r="E7263" s="1">
        <f>IFERROR(__xludf.DUMMYFUNCTION("""COMPUTED_VALUE"""),8.904494781967E12)</f>
        <v>8904494781967</v>
      </c>
      <c r="F7263" s="1"/>
      <c r="G7263" s="1"/>
      <c r="H7263" s="3">
        <f>IFERROR(__xludf.DUMMYFUNCTION("""COMPUTED_VALUE"""),0.0)</f>
        <v>0</v>
      </c>
      <c r="I7263" s="4"/>
      <c r="J7263" s="1" t="str">
        <f>IFERROR(__xludf.DUMMYFUNCTION("""COMPUTED_VALUE"""),"Ana Lazaro")</f>
        <v>Ana Lazaro</v>
      </c>
      <c r="K7263" s="1" t="str">
        <f>IFERROR(__xludf.DUMMYFUNCTION("""COMPUTED_VALUE"""),"Advanced Billing &amp; Subscriptions")</f>
        <v>Advanced Billing &amp; Subscriptions</v>
      </c>
      <c r="L7263" s="1" t="str">
        <f>IFERROR(__xludf.DUMMYFUNCTION("""COMPUTED_VALUE"""),"CPS Advanced Billing and Subscriptions (ABS)")</f>
        <v>CPS Advanced Billing and Subscriptions (ABS)</v>
      </c>
    </row>
    <row r="7264">
      <c r="A7264" s="1" t="str">
        <f>IFERROR(__xludf.DUMMYFUNCTION("""COMPUTED_VALUE"""),"2025 Dec")</f>
        <v>2025 Dec</v>
      </c>
      <c r="B7264" s="2">
        <f>IFERROR(__xludf.DUMMYFUNCTION("""COMPUTED_VALUE"""),46006.0)</f>
        <v>46006</v>
      </c>
      <c r="C7264" s="1" t="str">
        <f>IFERROR(__xludf.DUMMYFUNCTION("""COMPUTED_VALUE"""),"Core Product Support")</f>
        <v>Core Product Support</v>
      </c>
      <c r="D7264" s="1" t="str">
        <f>IFERROR(__xludf.DUMMYFUNCTION("""COMPUTED_VALUE"""),"238df195-1311-420b-9bfc-80204048a0d0")</f>
        <v>238df195-1311-420b-9bfc-80204048a0d0</v>
      </c>
      <c r="E7264" s="1">
        <f>IFERROR(__xludf.DUMMYFUNCTION("""COMPUTED_VALUE"""),1.0548626062351E13)</f>
        <v>10548626062351</v>
      </c>
      <c r="F7264" s="1"/>
      <c r="G7264" s="1"/>
      <c r="H7264" s="3">
        <f>IFERROR(__xludf.DUMMYFUNCTION("""COMPUTED_VALUE"""),0.0)</f>
        <v>0</v>
      </c>
      <c r="I7264" s="4"/>
      <c r="J7264" s="1" t="str">
        <f>IFERROR(__xludf.DUMMYFUNCTION("""COMPUTED_VALUE"""),"Belle Bentazal")</f>
        <v>Belle Bentazal</v>
      </c>
      <c r="K7264" s="1" t="str">
        <f>IFERROR(__xludf.DUMMYFUNCTION("""COMPUTED_VALUE"""),"Advanced Product Support")</f>
        <v>Advanced Product Support</v>
      </c>
      <c r="L7264" s="1" t="str">
        <f>IFERROR(__xludf.DUMMYFUNCTION("""COMPUTED_VALUE"""),"CPS Advanced Product Support (APS)")</f>
        <v>CPS Advanced Product Support (APS)</v>
      </c>
    </row>
    <row r="7265">
      <c r="A7265" s="1" t="str">
        <f>IFERROR(__xludf.DUMMYFUNCTION("""COMPUTED_VALUE"""),"2025 Dec")</f>
        <v>2025 Dec</v>
      </c>
      <c r="B7265" s="2">
        <f>IFERROR(__xludf.DUMMYFUNCTION("""COMPUTED_VALUE"""),46006.0)</f>
        <v>46006</v>
      </c>
      <c r="C7265" s="1" t="str">
        <f>IFERROR(__xludf.DUMMYFUNCTION("""COMPUTED_VALUE"""),"Admin Support")</f>
        <v>Admin Support</v>
      </c>
      <c r="D7265" s="1" t="str">
        <f>IFERROR(__xludf.DUMMYFUNCTION("""COMPUTED_VALUE"""),"4790af32-fa25-48b3-bdc4-76770b6ef929")</f>
        <v>4790af32-fa25-48b3-bdc4-76770b6ef929</v>
      </c>
      <c r="E7265" s="1">
        <f>IFERROR(__xludf.DUMMYFUNCTION("""COMPUTED_VALUE"""),9.107735174799E12)</f>
        <v>9107735174799</v>
      </c>
      <c r="F7265" s="1"/>
      <c r="G7265" s="1"/>
      <c r="H7265" s="3">
        <f>IFERROR(__xludf.DUMMYFUNCTION("""COMPUTED_VALUE"""),0.0)</f>
        <v>0</v>
      </c>
      <c r="I7265" s="4"/>
      <c r="J7265" s="1" t="str">
        <f>IFERROR(__xludf.DUMMYFUNCTION("""COMPUTED_VALUE"""),"Pau Palmero")</f>
        <v>Pau Palmero</v>
      </c>
      <c r="K7265" s="1" t="str">
        <f>IFERROR(__xludf.DUMMYFUNCTION("""COMPUTED_VALUE"""),"Admin Support PH CEDD")</f>
        <v>Admin Support PH CEDD</v>
      </c>
      <c r="L7265" s="1" t="str">
        <f>IFERROR(__xludf.DUMMYFUNCTION("""COMPUTED_VALUE"""),"Admin CEDD Apps,Admin CEDD Inbox Mgt,Admin Rostering")</f>
        <v>Admin CEDD Apps,Admin CEDD Inbox Mgt,Admin Rostering</v>
      </c>
    </row>
    <row r="7266">
      <c r="A7266" s="1" t="str">
        <f>IFERROR(__xludf.DUMMYFUNCTION("""COMPUTED_VALUE"""),"2025 Dec")</f>
        <v>2025 Dec</v>
      </c>
      <c r="B7266" s="2">
        <f>IFERROR(__xludf.DUMMYFUNCTION("""COMPUTED_VALUE"""),46006.0)</f>
        <v>46006</v>
      </c>
      <c r="C7266" s="1" t="str">
        <f>IFERROR(__xludf.DUMMYFUNCTION("""COMPUTED_VALUE"""),"Multilingual Support")</f>
        <v>Multilingual Support</v>
      </c>
      <c r="D7266" s="1" t="str">
        <f>IFERROR(__xludf.DUMMYFUNCTION("""COMPUTED_VALUE"""),"c4abd336-8a5c-43a4-942f-2d3f5b2e85fd")</f>
        <v>c4abd336-8a5c-43a4-942f-2d3f5b2e85fd</v>
      </c>
      <c r="E7266" s="1">
        <f>IFERROR(__xludf.DUMMYFUNCTION("""COMPUTED_VALUE"""),6.936778850319E12)</f>
        <v>6936778850319</v>
      </c>
      <c r="F7266" s="1"/>
      <c r="G7266" s="1"/>
      <c r="H7266" s="3">
        <f>IFERROR(__xludf.DUMMYFUNCTION("""COMPUTED_VALUE"""),0.0)</f>
        <v>0</v>
      </c>
      <c r="I7266" s="4"/>
      <c r="J7266" s="1" t="str">
        <f>IFERROR(__xludf.DUMMYFUNCTION("""COMPUTED_VALUE"""),"Arlene Maurillo")</f>
        <v>Arlene Maurillo</v>
      </c>
      <c r="K7266" s="1" t="str">
        <f>IFERROR(__xludf.DUMMYFUNCTION("""COMPUTED_VALUE"""),"PHL, Multilingual Support")</f>
        <v>PHL, Multilingual Support</v>
      </c>
      <c r="L7266" s="1" t="str">
        <f>IFERROR(__xludf.DUMMYFUNCTION("""COMPUTED_VALUE"""),"ML Japanese Support")</f>
        <v>ML Japanese Support</v>
      </c>
    </row>
    <row r="7267">
      <c r="A7267" s="1" t="str">
        <f>IFERROR(__xludf.DUMMYFUNCTION("""COMPUTED_VALUE"""),"2025 Dec")</f>
        <v>2025 Dec</v>
      </c>
      <c r="B7267" s="2">
        <f>IFERROR(__xludf.DUMMYFUNCTION("""COMPUTED_VALUE"""),46006.0)</f>
        <v>46006</v>
      </c>
      <c r="C7267" s="1" t="str">
        <f>IFERROR(__xludf.DUMMYFUNCTION("""COMPUTED_VALUE"""),"Core Product Support")</f>
        <v>Core Product Support</v>
      </c>
      <c r="D7267" s="1" t="str">
        <f>IFERROR(__xludf.DUMMYFUNCTION("""COMPUTED_VALUE"""),"99085273-2cc4-4932-aad9-eac22f3b9709")</f>
        <v>99085273-2cc4-4932-aad9-eac22f3b9709</v>
      </c>
      <c r="E7267" s="1">
        <f>IFERROR(__xludf.DUMMYFUNCTION("""COMPUTED_VALUE"""),3.61732054935E11)</f>
        <v>361732054935</v>
      </c>
      <c r="F7267" s="1">
        <f>IFERROR(__xludf.DUMMYFUNCTION("""COMPUTED_VALUE"""),0.5)</f>
        <v>0.5</v>
      </c>
      <c r="G7267" s="1"/>
      <c r="H7267" s="3">
        <f>IFERROR(__xludf.DUMMYFUNCTION("""COMPUTED_VALUE"""),0.5)</f>
        <v>0.5</v>
      </c>
      <c r="I7267" s="4">
        <f>IFERROR(__xludf.DUMMYFUNCTION("""COMPUTED_VALUE"""),0.0)</f>
        <v>0</v>
      </c>
      <c r="J7267" s="1" t="str">
        <f>IFERROR(__xludf.DUMMYFUNCTION("""COMPUTED_VALUE"""),"Jem Mondoñedo")</f>
        <v>Jem Mondoñedo</v>
      </c>
      <c r="K7267" s="1" t="str">
        <f>IFERROR(__xludf.DUMMYFUNCTION("""COMPUTED_VALUE"""),"Advanced Chat Support")</f>
        <v>Advanced Chat Support</v>
      </c>
      <c r="L7267" s="1" t="str">
        <f>IFERROR(__xludf.DUMMYFUNCTION("""COMPUTED_VALUE"""),"CPS Advanced Chat Support (ACS)")</f>
        <v>CPS Advanced Chat Support (ACS)</v>
      </c>
    </row>
    <row r="7268">
      <c r="A7268" s="1" t="str">
        <f>IFERROR(__xludf.DUMMYFUNCTION("""COMPUTED_VALUE"""),"2025 Dec")</f>
        <v>2025 Dec</v>
      </c>
      <c r="B7268" s="2">
        <f>IFERROR(__xludf.DUMMYFUNCTION("""COMPUTED_VALUE"""),46006.0)</f>
        <v>46006</v>
      </c>
      <c r="C7268" s="1" t="str">
        <f>IFERROR(__xludf.DUMMYFUNCTION("""COMPUTED_VALUE"""),"Admin Support")</f>
        <v>Admin Support</v>
      </c>
      <c r="D7268" s="1" t="str">
        <f>IFERROR(__xludf.DUMMYFUNCTION("""COMPUTED_VALUE"""),"c4296942-0752-4ab1-a016-50f83ec4677d")</f>
        <v>c4296942-0752-4ab1-a016-50f83ec4677d</v>
      </c>
      <c r="E7268" s="1">
        <f>IFERROR(__xludf.DUMMYFUNCTION("""COMPUTED_VALUE"""),3.61732055015E11)</f>
        <v>361732055015</v>
      </c>
      <c r="F7268" s="1"/>
      <c r="G7268" s="1">
        <f>IFERROR(__xludf.DUMMYFUNCTION("""COMPUTED_VALUE"""),5.25)</f>
        <v>5.25</v>
      </c>
      <c r="H7268" s="3">
        <f>IFERROR(__xludf.DUMMYFUNCTION("""COMPUTED_VALUE"""),5.25)</f>
        <v>5.25</v>
      </c>
      <c r="I7268" s="4">
        <f>IFERROR(__xludf.DUMMYFUNCTION("""COMPUTED_VALUE"""),1.0)</f>
        <v>1</v>
      </c>
      <c r="J7268" s="1" t="str">
        <f>IFERROR(__xludf.DUMMYFUNCTION("""COMPUTED_VALUE"""),"AL Suarez")</f>
        <v>AL Suarez</v>
      </c>
      <c r="K7268" s="1" t="str">
        <f>IFERROR(__xludf.DUMMYFUNCTION("""COMPUTED_VALUE"""),"Admin Support PH")</f>
        <v>Admin Support PH</v>
      </c>
      <c r="L7268" s="1" t="str">
        <f>IFERROR(__xludf.DUMMYFUNCTION("""COMPUTED_VALUE"""),"Admin PH")</f>
        <v>Admin PH</v>
      </c>
    </row>
    <row r="7269">
      <c r="A7269" s="1" t="str">
        <f>IFERROR(__xludf.DUMMYFUNCTION("""COMPUTED_VALUE"""),"2025 Dec")</f>
        <v>2025 Dec</v>
      </c>
      <c r="B7269" s="2">
        <f>IFERROR(__xludf.DUMMYFUNCTION("""COMPUTED_VALUE"""),46006.0)</f>
        <v>46006</v>
      </c>
      <c r="C7269" s="1" t="str">
        <f>IFERROR(__xludf.DUMMYFUNCTION("""COMPUTED_VALUE"""),"Print Support")</f>
        <v>Print Support</v>
      </c>
      <c r="D7269" s="1" t="str">
        <f>IFERROR(__xludf.DUMMYFUNCTION("""COMPUTED_VALUE"""),"e612249c-8f64-415b-befe-bb7e6027b43c")</f>
        <v>e612249c-8f64-415b-befe-bb7e6027b43c</v>
      </c>
      <c r="E7269" s="1">
        <f>IFERROR(__xludf.DUMMYFUNCTION("""COMPUTED_VALUE"""),1.3475806334735E13)</f>
        <v>13475806334735</v>
      </c>
      <c r="F7269" s="1"/>
      <c r="G7269" s="1"/>
      <c r="H7269" s="3">
        <f>IFERROR(__xludf.DUMMYFUNCTION("""COMPUTED_VALUE"""),0.0)</f>
        <v>0</v>
      </c>
      <c r="I7269" s="4"/>
      <c r="J7269" s="1" t="str">
        <f>IFERROR(__xludf.DUMMYFUNCTION("""COMPUTED_VALUE"""),"Rei De Jesus")</f>
        <v>Rei De Jesus</v>
      </c>
      <c r="K7269" s="1" t="str">
        <f>IFERROR(__xludf.DUMMYFUNCTION("""COMPUTED_VALUE"""),"Print Design Support")</f>
        <v>Print Design Support</v>
      </c>
      <c r="L7269" s="1" t="str">
        <f>IFERROR(__xludf.DUMMYFUNCTION("""COMPUTED_VALUE"""),"Print Print Design")</f>
        <v>Print Print Design</v>
      </c>
    </row>
    <row r="7270">
      <c r="A7270" s="1" t="str">
        <f>IFERROR(__xludf.DUMMYFUNCTION("""COMPUTED_VALUE"""),"2025 Dec")</f>
        <v>2025 Dec</v>
      </c>
      <c r="B7270" s="2">
        <f>IFERROR(__xludf.DUMMYFUNCTION("""COMPUTED_VALUE"""),46006.0)</f>
        <v>46006</v>
      </c>
      <c r="C7270" s="1" t="str">
        <f>IFERROR(__xludf.DUMMYFUNCTION("""COMPUTED_VALUE"""),"Core Product Support")</f>
        <v>Core Product Support</v>
      </c>
      <c r="D7270" s="1" t="str">
        <f>IFERROR(__xludf.DUMMYFUNCTION("""COMPUTED_VALUE"""),"3623161b-ff5b-4aee-8826-3d6522587a06")</f>
        <v>3623161b-ff5b-4aee-8826-3d6522587a06</v>
      </c>
      <c r="E7270" s="1"/>
      <c r="F7270" s="1"/>
      <c r="G7270" s="1"/>
      <c r="H7270" s="3">
        <f>IFERROR(__xludf.DUMMYFUNCTION("""COMPUTED_VALUE"""),0.0)</f>
        <v>0</v>
      </c>
      <c r="I7270" s="4"/>
      <c r="J7270" s="1" t="str">
        <f>IFERROR(__xludf.DUMMYFUNCTION("""COMPUTED_VALUE"""),"Marie Mordeno")</f>
        <v>Marie Mordeno</v>
      </c>
      <c r="K7270" s="1" t="str">
        <f>IFERROR(__xludf.DUMMYFUNCTION("""COMPUTED_VALUE"""),"Advanced Billing &amp; Subscriptions")</f>
        <v>Advanced Billing &amp; Subscriptions</v>
      </c>
      <c r="L7270" s="1" t="str">
        <f>IFERROR(__xludf.DUMMYFUNCTION("""COMPUTED_VALUE"""),"CPS Advanced Billing and Subscriptions (ABS)")</f>
        <v>CPS Advanced Billing and Subscriptions (ABS)</v>
      </c>
    </row>
    <row r="7271">
      <c r="A7271" s="1" t="str">
        <f>IFERROR(__xludf.DUMMYFUNCTION("""COMPUTED_VALUE"""),"2025 Dec")</f>
        <v>2025 Dec</v>
      </c>
      <c r="B7271" s="2">
        <f>IFERROR(__xludf.DUMMYFUNCTION("""COMPUTED_VALUE"""),46006.0)</f>
        <v>46006</v>
      </c>
      <c r="C7271" s="1" t="str">
        <f>IFERROR(__xludf.DUMMYFUNCTION("""COMPUTED_VALUE"""),"Admin Support")</f>
        <v>Admin Support</v>
      </c>
      <c r="D7271" s="1" t="str">
        <f>IFERROR(__xludf.DUMMYFUNCTION("""COMPUTED_VALUE"""),"ae4ace4e-6cd8-4a8d-bb18-10768406ce5b")</f>
        <v>ae4ace4e-6cd8-4a8d-bb18-10768406ce5b</v>
      </c>
      <c r="E7271" s="1">
        <f>IFERROR(__xludf.DUMMYFUNCTION("""COMPUTED_VALUE"""),3.61725374736E11)</f>
        <v>361725374736</v>
      </c>
      <c r="F7271" s="1"/>
      <c r="G7271" s="1">
        <f>IFERROR(__xludf.DUMMYFUNCTION("""COMPUTED_VALUE"""),0.25)</f>
        <v>0.25</v>
      </c>
      <c r="H7271" s="3">
        <f>IFERROR(__xludf.DUMMYFUNCTION("""COMPUTED_VALUE"""),0.25)</f>
        <v>0.25</v>
      </c>
      <c r="I7271" s="4">
        <f>IFERROR(__xludf.DUMMYFUNCTION("""COMPUTED_VALUE"""),1.0)</f>
        <v>1</v>
      </c>
      <c r="J7271" s="1" t="str">
        <f>IFERROR(__xludf.DUMMYFUNCTION("""COMPUTED_VALUE"""),"AL Suarez")</f>
        <v>AL Suarez</v>
      </c>
      <c r="K7271" s="1" t="str">
        <f>IFERROR(__xludf.DUMMYFUNCTION("""COMPUTED_VALUE"""),"Admin Support PH")</f>
        <v>Admin Support PH</v>
      </c>
      <c r="L7271" s="1" t="str">
        <f>IFERROR(__xludf.DUMMYFUNCTION("""COMPUTED_VALUE"""),"Admin PH")</f>
        <v>Admin PH</v>
      </c>
    </row>
    <row r="7272">
      <c r="A7272" s="1" t="str">
        <f>IFERROR(__xludf.DUMMYFUNCTION("""COMPUTED_VALUE"""),"2025 Dec")</f>
        <v>2025 Dec</v>
      </c>
      <c r="B7272" s="2">
        <f>IFERROR(__xludf.DUMMYFUNCTION("""COMPUTED_VALUE"""),46006.0)</f>
        <v>46006</v>
      </c>
      <c r="C7272" s="1" t="str">
        <f>IFERROR(__xludf.DUMMYFUNCTION("""COMPUTED_VALUE"""),"Print Support")</f>
        <v>Print Support</v>
      </c>
      <c r="D7272" s="1" t="str">
        <f>IFERROR(__xludf.DUMMYFUNCTION("""COMPUTED_VALUE"""),"099dd243-b724-478e-9692-79686402a18c")</f>
        <v>099dd243-b724-478e-9692-79686402a18c</v>
      </c>
      <c r="E7272" s="1">
        <f>IFERROR(__xludf.DUMMYFUNCTION("""COMPUTED_VALUE"""),3.61731348935E11)</f>
        <v>361731348935</v>
      </c>
      <c r="F7272" s="1">
        <f>IFERROR(__xludf.DUMMYFUNCTION("""COMPUTED_VALUE"""),2.0)</f>
        <v>2</v>
      </c>
      <c r="G7272" s="1"/>
      <c r="H7272" s="3">
        <f>IFERROR(__xludf.DUMMYFUNCTION("""COMPUTED_VALUE"""),2.0)</f>
        <v>2</v>
      </c>
      <c r="I7272" s="4">
        <f>IFERROR(__xludf.DUMMYFUNCTION("""COMPUTED_VALUE"""),0.0)</f>
        <v>0</v>
      </c>
      <c r="J7272" s="1" t="str">
        <f>IFERROR(__xludf.DUMMYFUNCTION("""COMPUTED_VALUE"""),"Memae Faustino")</f>
        <v>Memae Faustino</v>
      </c>
      <c r="K7272" s="1" t="str">
        <f>IFERROR(__xludf.DUMMYFUNCTION("""COMPUTED_VALUE"""),"Print Support PH")</f>
        <v>Print Support PH</v>
      </c>
      <c r="L7272" s="1" t="str">
        <f>IFERROR(__xludf.DUMMYFUNCTION("""COMPUTED_VALUE"""),"Print Print - SEE")</f>
        <v>Print Print - SEE</v>
      </c>
    </row>
    <row r="7273">
      <c r="A7273" s="1" t="str">
        <f>IFERROR(__xludf.DUMMYFUNCTION("""COMPUTED_VALUE"""),"2025 Dec")</f>
        <v>2025 Dec</v>
      </c>
      <c r="B7273" s="2">
        <f>IFERROR(__xludf.DUMMYFUNCTION("""COMPUTED_VALUE"""),46006.0)</f>
        <v>46006</v>
      </c>
      <c r="C7273" s="1" t="str">
        <f>IFERROR(__xludf.DUMMYFUNCTION("""COMPUTED_VALUE"""),"Multilingual Support")</f>
        <v>Multilingual Support</v>
      </c>
      <c r="D7273" s="1" t="str">
        <f>IFERROR(__xludf.DUMMYFUNCTION("""COMPUTED_VALUE"""),"65e111e9-ab12-453f-afa3-155200027cc6")</f>
        <v>65e111e9-ab12-453f-afa3-155200027cc6</v>
      </c>
      <c r="E7273" s="1">
        <f>IFERROR(__xludf.DUMMYFUNCTION("""COMPUTED_VALUE"""),6.392444639375E12)</f>
        <v>6392444639375</v>
      </c>
      <c r="F7273" s="1"/>
      <c r="G7273" s="1"/>
      <c r="H7273" s="3">
        <f>IFERROR(__xludf.DUMMYFUNCTION("""COMPUTED_VALUE"""),0.0)</f>
        <v>0</v>
      </c>
      <c r="I7273" s="4"/>
      <c r="J7273" s="1" t="str">
        <f>IFERROR(__xludf.DUMMYFUNCTION("""COMPUTED_VALUE"""),"Arlene Maurillo")</f>
        <v>Arlene Maurillo</v>
      </c>
      <c r="K7273" s="1" t="str">
        <f>IFERROR(__xludf.DUMMYFUNCTION("""COMPUTED_VALUE"""),"PHL, Multilingual Support")</f>
        <v>PHL, Multilingual Support</v>
      </c>
      <c r="L7273" s="1" t="str">
        <f>IFERROR(__xludf.DUMMYFUNCTION("""COMPUTED_VALUE"""),"ML Portuguese Support")</f>
        <v>ML Portuguese Support</v>
      </c>
    </row>
    <row r="7274">
      <c r="A7274" s="1" t="str">
        <f>IFERROR(__xludf.DUMMYFUNCTION("""COMPUTED_VALUE"""),"2025 Dec")</f>
        <v>2025 Dec</v>
      </c>
      <c r="B7274" s="2">
        <f>IFERROR(__xludf.DUMMYFUNCTION("""COMPUTED_VALUE"""),46006.0)</f>
        <v>46006</v>
      </c>
      <c r="C7274" s="1" t="str">
        <f>IFERROR(__xludf.DUMMYFUNCTION("""COMPUTED_VALUE"""),"Core Product Support")</f>
        <v>Core Product Support</v>
      </c>
      <c r="D7274" s="1" t="str">
        <f>IFERROR(__xludf.DUMMYFUNCTION("""COMPUTED_VALUE"""),"5cc46a1e-c49d-4562-acbb-742a43deb5f7")</f>
        <v>5cc46a1e-c49d-4562-acbb-742a43deb5f7</v>
      </c>
      <c r="E7274" s="1">
        <f>IFERROR(__xludf.DUMMYFUNCTION("""COMPUTED_VALUE"""),1.0548581777679E13)</f>
        <v>10548581777679</v>
      </c>
      <c r="F7274" s="1">
        <f>IFERROR(__xludf.DUMMYFUNCTION("""COMPUTED_VALUE"""),0.5)</f>
        <v>0.5</v>
      </c>
      <c r="G7274" s="1"/>
      <c r="H7274" s="3">
        <f>IFERROR(__xludf.DUMMYFUNCTION("""COMPUTED_VALUE"""),0.5)</f>
        <v>0.5</v>
      </c>
      <c r="I7274" s="4">
        <f>IFERROR(__xludf.DUMMYFUNCTION("""COMPUTED_VALUE"""),0.0)</f>
        <v>0</v>
      </c>
      <c r="J7274" s="1" t="str">
        <f>IFERROR(__xludf.DUMMYFUNCTION("""COMPUTED_VALUE"""),"Jem Mondoñedo")</f>
        <v>Jem Mondoñedo</v>
      </c>
      <c r="K7274" s="1" t="str">
        <f>IFERROR(__xludf.DUMMYFUNCTION("""COMPUTED_VALUE"""),"Advanced Billing &amp; Subscriptions")</f>
        <v>Advanced Billing &amp; Subscriptions</v>
      </c>
      <c r="L7274" s="1" t="str">
        <f>IFERROR(__xludf.DUMMYFUNCTION("""COMPUTED_VALUE"""),"CPS Advanced Billing and Subscriptions (ABS)")</f>
        <v>CPS Advanced Billing and Subscriptions (ABS)</v>
      </c>
    </row>
    <row r="7275">
      <c r="A7275" s="1" t="str">
        <f>IFERROR(__xludf.DUMMYFUNCTION("""COMPUTED_VALUE"""),"2025 Dec")</f>
        <v>2025 Dec</v>
      </c>
      <c r="B7275" s="2">
        <f>IFERROR(__xludf.DUMMYFUNCTION("""COMPUTED_VALUE"""),46006.0)</f>
        <v>46006</v>
      </c>
      <c r="C7275" s="1" t="str">
        <f>IFERROR(__xludf.DUMMYFUNCTION("""COMPUTED_VALUE"""),"Print Support")</f>
        <v>Print Support</v>
      </c>
      <c r="D7275" s="1" t="str">
        <f>IFERROR(__xludf.DUMMYFUNCTION("""COMPUTED_VALUE"""),"1d59ca6e-6219-4532-99a2-f499de8a1287")</f>
        <v>1d59ca6e-6219-4532-99a2-f499de8a1287</v>
      </c>
      <c r="E7275" s="1"/>
      <c r="F7275" s="1"/>
      <c r="G7275" s="1"/>
      <c r="H7275" s="3">
        <f>IFERROR(__xludf.DUMMYFUNCTION("""COMPUTED_VALUE"""),0.0)</f>
        <v>0</v>
      </c>
      <c r="I7275" s="4"/>
      <c r="J7275" s="1" t="str">
        <f>IFERROR(__xludf.DUMMYFUNCTION("""COMPUTED_VALUE"""),"Aliza Dote")</f>
        <v>Aliza Dote</v>
      </c>
      <c r="K7275" s="1" t="str">
        <f>IFERROR(__xludf.DUMMYFUNCTION("""COMPUTED_VALUE"""),"Print Design Support")</f>
        <v>Print Design Support</v>
      </c>
      <c r="L7275" s="1" t="str">
        <f>IFERROR(__xludf.DUMMYFUNCTION("""COMPUTED_VALUE"""),"Print Print Design")</f>
        <v>Print Print Design</v>
      </c>
    </row>
    <row r="7276">
      <c r="A7276" s="1" t="str">
        <f>IFERROR(__xludf.DUMMYFUNCTION("""COMPUTED_VALUE"""),"2025 Dec")</f>
        <v>2025 Dec</v>
      </c>
      <c r="B7276" s="2">
        <f>IFERROR(__xludf.DUMMYFUNCTION("""COMPUTED_VALUE"""),46006.0)</f>
        <v>46006</v>
      </c>
      <c r="C7276" s="1" t="str">
        <f>IFERROR(__xludf.DUMMYFUNCTION("""COMPUTED_VALUE"""),"Print Support")</f>
        <v>Print Support</v>
      </c>
      <c r="D7276" s="1" t="str">
        <f>IFERROR(__xludf.DUMMYFUNCTION("""COMPUTED_VALUE"""),"3eea6a70-1d1f-4def-93fa-d9de190c7fd7")</f>
        <v>3eea6a70-1d1f-4def-93fa-d9de190c7fd7</v>
      </c>
      <c r="E7276" s="1">
        <f>IFERROR(__xludf.DUMMYFUNCTION("""COMPUTED_VALUE"""),3.61726424736E11)</f>
        <v>361726424736</v>
      </c>
      <c r="F7276" s="1">
        <f>IFERROR(__xludf.DUMMYFUNCTION("""COMPUTED_VALUE"""),2.0)</f>
        <v>2</v>
      </c>
      <c r="G7276" s="1"/>
      <c r="H7276" s="3">
        <f>IFERROR(__xludf.DUMMYFUNCTION("""COMPUTED_VALUE"""),2.0)</f>
        <v>2</v>
      </c>
      <c r="I7276" s="4">
        <f>IFERROR(__xludf.DUMMYFUNCTION("""COMPUTED_VALUE"""),0.0)</f>
        <v>0</v>
      </c>
      <c r="J7276" s="1" t="str">
        <f>IFERROR(__xludf.DUMMYFUNCTION("""COMPUTED_VALUE"""),"Memae Faustino")</f>
        <v>Memae Faustino</v>
      </c>
      <c r="K7276" s="1" t="str">
        <f>IFERROR(__xludf.DUMMYFUNCTION("""COMPUTED_VALUE"""),"Print Support PH")</f>
        <v>Print Support PH</v>
      </c>
      <c r="L7276" s="1" t="str">
        <f>IFERROR(__xludf.DUMMYFUNCTION("""COMPUTED_VALUE"""),"Print Print - SEE")</f>
        <v>Print Print - SEE</v>
      </c>
    </row>
    <row r="7277">
      <c r="A7277" s="1" t="str">
        <f>IFERROR(__xludf.DUMMYFUNCTION("""COMPUTED_VALUE"""),"2025 Dec")</f>
        <v>2025 Dec</v>
      </c>
      <c r="B7277" s="2">
        <f>IFERROR(__xludf.DUMMYFUNCTION("""COMPUTED_VALUE"""),46006.0)</f>
        <v>46006</v>
      </c>
      <c r="C7277" s="1" t="str">
        <f>IFERROR(__xludf.DUMMYFUNCTION("""COMPUTED_VALUE"""),"High Sensitivity Support")</f>
        <v>High Sensitivity Support</v>
      </c>
      <c r="D7277" s="1" t="str">
        <f>IFERROR(__xludf.DUMMYFUNCTION("""COMPUTED_VALUE"""),"10c46fa3-c076-41b6-9aad-4ec7c4a07294")</f>
        <v>10c46fa3-c076-41b6-9aad-4ec7c4a07294</v>
      </c>
      <c r="E7277" s="1">
        <f>IFERROR(__xludf.DUMMYFUNCTION("""COMPUTED_VALUE"""),7.235815910671E12)</f>
        <v>7235815910671</v>
      </c>
      <c r="F7277" s="1"/>
      <c r="G7277" s="1"/>
      <c r="H7277" s="3">
        <f>IFERROR(__xludf.DUMMYFUNCTION("""COMPUTED_VALUE"""),0.0)</f>
        <v>0</v>
      </c>
      <c r="I7277" s="4"/>
      <c r="J7277" s="1" t="str">
        <f>IFERROR(__xludf.DUMMYFUNCTION("""COMPUTED_VALUE"""),"Xandy Azarcon")</f>
        <v>Xandy Azarcon</v>
      </c>
      <c r="K7277" s="1" t="str">
        <f>IFERROR(__xludf.DUMMYFUNCTION("""COMPUTED_VALUE"""),"High Sensitivity Support PH")</f>
        <v>High Sensitivity Support PH</v>
      </c>
      <c r="L7277" s="1" t="str">
        <f>IFERROR(__xludf.DUMMYFUNCTION("""COMPUTED_VALUE"""),"HSS High Sensitivity Support PH - CHT")</f>
        <v>HSS High Sensitivity Support PH - CHT</v>
      </c>
    </row>
    <row r="7278">
      <c r="A7278" s="1" t="str">
        <f>IFERROR(__xludf.DUMMYFUNCTION("""COMPUTED_VALUE"""),"2025 Dec")</f>
        <v>2025 Dec</v>
      </c>
      <c r="B7278" s="2">
        <f>IFERROR(__xludf.DUMMYFUNCTION("""COMPUTED_VALUE"""),46006.0)</f>
        <v>46006</v>
      </c>
      <c r="C7278" s="1" t="str">
        <f>IFERROR(__xludf.DUMMYFUNCTION("""COMPUTED_VALUE"""),"Core Product Support")</f>
        <v>Core Product Support</v>
      </c>
      <c r="D7278" s="1" t="str">
        <f>IFERROR(__xludf.DUMMYFUNCTION("""COMPUTED_VALUE"""),"cf4102e5-f522-43ac-bf51-15cc96666fde")</f>
        <v>cf4102e5-f522-43ac-bf51-15cc96666fde</v>
      </c>
      <c r="E7278" s="1"/>
      <c r="F7278" s="1">
        <f>IFERROR(__xludf.DUMMYFUNCTION("""COMPUTED_VALUE"""),0.5)</f>
        <v>0.5</v>
      </c>
      <c r="G7278" s="1"/>
      <c r="H7278" s="3">
        <f>IFERROR(__xludf.DUMMYFUNCTION("""COMPUTED_VALUE"""),0.5)</f>
        <v>0.5</v>
      </c>
      <c r="I7278" s="4">
        <f>IFERROR(__xludf.DUMMYFUNCTION("""COMPUTED_VALUE"""),0.0)</f>
        <v>0</v>
      </c>
      <c r="J7278" s="1" t="str">
        <f>IFERROR(__xludf.DUMMYFUNCTION("""COMPUTED_VALUE"""),"Mikhaela Decangchon")</f>
        <v>Mikhaela Decangchon</v>
      </c>
      <c r="K7278" s="1" t="str">
        <f>IFERROR(__xludf.DUMMYFUNCTION("""COMPUTED_VALUE"""),"Advanced Product Support")</f>
        <v>Advanced Product Support</v>
      </c>
      <c r="L7278" s="1" t="str">
        <f>IFERROR(__xludf.DUMMYFUNCTION("""COMPUTED_VALUE"""),"CPS Advanced Product Support (APS)")</f>
        <v>CPS Advanced Product Support (APS)</v>
      </c>
    </row>
    <row r="7279">
      <c r="A7279" s="1" t="str">
        <f>IFERROR(__xludf.DUMMYFUNCTION("""COMPUTED_VALUE"""),"2025 Dec")</f>
        <v>2025 Dec</v>
      </c>
      <c r="B7279" s="2">
        <f>IFERROR(__xludf.DUMMYFUNCTION("""COMPUTED_VALUE"""),46006.0)</f>
        <v>46006</v>
      </c>
      <c r="C7279" s="1" t="str">
        <f>IFERROR(__xludf.DUMMYFUNCTION("""COMPUTED_VALUE"""),"Core Product Support")</f>
        <v>Core Product Support</v>
      </c>
      <c r="D7279" s="1" t="str">
        <f>IFERROR(__xludf.DUMMYFUNCTION("""COMPUTED_VALUE"""),"b0e1557c-d0d9-4265-a67b-f94aae240d24")</f>
        <v>b0e1557c-d0d9-4265-a67b-f94aae240d24</v>
      </c>
      <c r="E7279" s="1">
        <f>IFERROR(__xludf.DUMMYFUNCTION("""COMPUTED_VALUE"""),8.519267619343E12)</f>
        <v>8519267619343</v>
      </c>
      <c r="F7279" s="1">
        <f>IFERROR(__xludf.DUMMYFUNCTION("""COMPUTED_VALUE"""),0.5)</f>
        <v>0.5</v>
      </c>
      <c r="G7279" s="1">
        <f>IFERROR(__xludf.DUMMYFUNCTION("""COMPUTED_VALUE"""),1.5)</f>
        <v>1.5</v>
      </c>
      <c r="H7279" s="3">
        <f>IFERROR(__xludf.DUMMYFUNCTION("""COMPUTED_VALUE"""),2.0)</f>
        <v>2</v>
      </c>
      <c r="I7279" s="4">
        <f>IFERROR(__xludf.DUMMYFUNCTION("""COMPUTED_VALUE"""),0.75)</f>
        <v>0.75</v>
      </c>
      <c r="J7279" s="1" t="str">
        <f>IFERROR(__xludf.DUMMYFUNCTION("""COMPUTED_VALUE"""),"Jahmie Mae Barrameda")</f>
        <v>Jahmie Mae Barrameda</v>
      </c>
      <c r="K7279" s="1" t="str">
        <f>IFERROR(__xludf.DUMMYFUNCTION("""COMPUTED_VALUE"""),"Advanced Billing &amp; Subscriptions")</f>
        <v>Advanced Billing &amp; Subscriptions</v>
      </c>
      <c r="L7279" s="1" t="str">
        <f>IFERROR(__xludf.DUMMYFUNCTION("""COMPUTED_VALUE"""),"CPS Advanced Billing and Subscriptions (ABS)")</f>
        <v>CPS Advanced Billing and Subscriptions (ABS)</v>
      </c>
    </row>
    <row r="7280">
      <c r="A7280" s="1" t="str">
        <f>IFERROR(__xludf.DUMMYFUNCTION("""COMPUTED_VALUE"""),"2025 Dec")</f>
        <v>2025 Dec</v>
      </c>
      <c r="B7280" s="2">
        <f>IFERROR(__xludf.DUMMYFUNCTION("""COMPUTED_VALUE"""),46006.0)</f>
        <v>46006</v>
      </c>
      <c r="C7280" s="1" t="str">
        <f>IFERROR(__xludf.DUMMYFUNCTION("""COMPUTED_VALUE"""),"Core Product Support")</f>
        <v>Core Product Support</v>
      </c>
      <c r="D7280" s="1" t="str">
        <f>IFERROR(__xludf.DUMMYFUNCTION("""COMPUTED_VALUE"""),"042e5ee4-7da0-42f9-92d0-d66496630cb9")</f>
        <v>042e5ee4-7da0-42f9-92d0-d66496630cb9</v>
      </c>
      <c r="E7280" s="1">
        <f>IFERROR(__xludf.DUMMYFUNCTION("""COMPUTED_VALUE"""),3.61861298335E11)</f>
        <v>361861298335</v>
      </c>
      <c r="F7280" s="1"/>
      <c r="G7280" s="1">
        <f>IFERROR(__xludf.DUMMYFUNCTION("""COMPUTED_VALUE"""),1.5)</f>
        <v>1.5</v>
      </c>
      <c r="H7280" s="3">
        <f>IFERROR(__xludf.DUMMYFUNCTION("""COMPUTED_VALUE"""),1.5)</f>
        <v>1.5</v>
      </c>
      <c r="I7280" s="4">
        <f>IFERROR(__xludf.DUMMYFUNCTION("""COMPUTED_VALUE"""),1.0)</f>
        <v>1</v>
      </c>
      <c r="J7280" s="1" t="str">
        <f>IFERROR(__xludf.DUMMYFUNCTION("""COMPUTED_VALUE"""),"Renette Bok")</f>
        <v>Renette Bok</v>
      </c>
      <c r="K7280" s="1" t="str">
        <f>IFERROR(__xludf.DUMMYFUNCTION("""COMPUTED_VALUE"""),"Advanced Billing &amp; Subscriptions")</f>
        <v>Advanced Billing &amp; Subscriptions</v>
      </c>
      <c r="L7280" s="1" t="str">
        <f>IFERROR(__xludf.DUMMYFUNCTION("""COMPUTED_VALUE"""),"CPS Advanced Billing and Subscriptions (ABS)")</f>
        <v>CPS Advanced Billing and Subscriptions (ABS)</v>
      </c>
    </row>
    <row r="7281">
      <c r="A7281" s="1" t="str">
        <f>IFERROR(__xludf.DUMMYFUNCTION("""COMPUTED_VALUE"""),"2025 Dec")</f>
        <v>2025 Dec</v>
      </c>
      <c r="B7281" s="2">
        <f>IFERROR(__xludf.DUMMYFUNCTION("""COMPUTED_VALUE"""),46006.0)</f>
        <v>46006</v>
      </c>
      <c r="C7281" s="1" t="str">
        <f>IFERROR(__xludf.DUMMYFUNCTION("""COMPUTED_VALUE"""),"Core Product Support")</f>
        <v>Core Product Support</v>
      </c>
      <c r="D7281" s="1" t="str">
        <f>IFERROR(__xludf.DUMMYFUNCTION("""COMPUTED_VALUE"""),"0cc61976-099e-4704-9248-c0d612333122")</f>
        <v>0cc61976-099e-4704-9248-c0d612333122</v>
      </c>
      <c r="E7281" s="1">
        <f>IFERROR(__xludf.DUMMYFUNCTION("""COMPUTED_VALUE"""),4.502607605263E12)</f>
        <v>4502607605263</v>
      </c>
      <c r="F7281" s="1">
        <f>IFERROR(__xludf.DUMMYFUNCTION("""COMPUTED_VALUE"""),0.5)</f>
        <v>0.5</v>
      </c>
      <c r="G7281" s="1">
        <f>IFERROR(__xludf.DUMMYFUNCTION("""COMPUTED_VALUE"""),2.5)</f>
        <v>2.5</v>
      </c>
      <c r="H7281" s="3">
        <f>IFERROR(__xludf.DUMMYFUNCTION("""COMPUTED_VALUE"""),3.0)</f>
        <v>3</v>
      </c>
      <c r="I7281" s="4">
        <f>IFERROR(__xludf.DUMMYFUNCTION("""COMPUTED_VALUE"""),0.8333333333333334)</f>
        <v>0.8333333333</v>
      </c>
      <c r="J7281" s="1" t="str">
        <f>IFERROR(__xludf.DUMMYFUNCTION("""COMPUTED_VALUE"""),"Ellaine Estayo")</f>
        <v>Ellaine Estayo</v>
      </c>
      <c r="K7281" s="1" t="str">
        <f>IFERROR(__xludf.DUMMYFUNCTION("""COMPUTED_VALUE"""),"Core Product Support Escalation Team")</f>
        <v>Core Product Support Escalation Team</v>
      </c>
      <c r="L7281" s="1" t="str">
        <f>IFERROR(__xludf.DUMMYFUNCTION("""COMPUTED_VALUE"""),"CPS Core Product Support Escalations (CPSET)")</f>
        <v>CPS Core Product Support Escalations (CPSET)</v>
      </c>
    </row>
    <row r="7282">
      <c r="A7282" s="1" t="str">
        <f>IFERROR(__xludf.DUMMYFUNCTION("""COMPUTED_VALUE"""),"2025 Dec")</f>
        <v>2025 Dec</v>
      </c>
      <c r="B7282" s="2">
        <f>IFERROR(__xludf.DUMMYFUNCTION("""COMPUTED_VALUE"""),46006.0)</f>
        <v>46006</v>
      </c>
      <c r="C7282" s="1" t="str">
        <f>IFERROR(__xludf.DUMMYFUNCTION("""COMPUTED_VALUE"""),"Print Support")</f>
        <v>Print Support</v>
      </c>
      <c r="D7282" s="1" t="str">
        <f>IFERROR(__xludf.DUMMYFUNCTION("""COMPUTED_VALUE"""),"1eb6d900-9254-4ad7-b5e2-1f27f00e2077")</f>
        <v>1eb6d900-9254-4ad7-b5e2-1f27f00e2077</v>
      </c>
      <c r="E7282" s="1">
        <f>IFERROR(__xludf.DUMMYFUNCTION("""COMPUTED_VALUE"""),1.3477715168271E13)</f>
        <v>13477715168271</v>
      </c>
      <c r="F7282" s="1"/>
      <c r="G7282" s="1"/>
      <c r="H7282" s="3">
        <f>IFERROR(__xludf.DUMMYFUNCTION("""COMPUTED_VALUE"""),0.0)</f>
        <v>0</v>
      </c>
      <c r="I7282" s="4"/>
      <c r="J7282" s="1" t="str">
        <f>IFERROR(__xludf.DUMMYFUNCTION("""COMPUTED_VALUE"""),"Jan Domingo")</f>
        <v>Jan Domingo</v>
      </c>
      <c r="K7282" s="1" t="str">
        <f>IFERROR(__xludf.DUMMYFUNCTION("""COMPUTED_VALUE"""),"Print Design Support")</f>
        <v>Print Design Support</v>
      </c>
      <c r="L7282" s="1" t="str">
        <f>IFERROR(__xludf.DUMMYFUNCTION("""COMPUTED_VALUE"""),"Print Print Design")</f>
        <v>Print Print Design</v>
      </c>
    </row>
    <row r="7283">
      <c r="A7283" s="1" t="str">
        <f>IFERROR(__xludf.DUMMYFUNCTION("""COMPUTED_VALUE"""),"2025 Dec")</f>
        <v>2025 Dec</v>
      </c>
      <c r="B7283" s="2">
        <f>IFERROR(__xludf.DUMMYFUNCTION("""COMPUTED_VALUE"""),46006.0)</f>
        <v>46006</v>
      </c>
      <c r="C7283" s="1" t="str">
        <f>IFERROR(__xludf.DUMMYFUNCTION("""COMPUTED_VALUE"""),"Core Product Support")</f>
        <v>Core Product Support</v>
      </c>
      <c r="D7283" s="1" t="str">
        <f>IFERROR(__xludf.DUMMYFUNCTION("""COMPUTED_VALUE"""),"fb4299a4-0e59-4c64-8fbb-5fd3f6a3cb3e")</f>
        <v>fb4299a4-0e59-4c64-8fbb-5fd3f6a3cb3e</v>
      </c>
      <c r="E7283" s="1">
        <f>IFERROR(__xludf.DUMMYFUNCTION("""COMPUTED_VALUE"""),3.61964324536E11)</f>
        <v>361964324536</v>
      </c>
      <c r="F7283" s="1">
        <f>IFERROR(__xludf.DUMMYFUNCTION("""COMPUTED_VALUE"""),0.5)</f>
        <v>0.5</v>
      </c>
      <c r="G7283" s="1">
        <f>IFERROR(__xludf.DUMMYFUNCTION("""COMPUTED_VALUE"""),2.5)</f>
        <v>2.5</v>
      </c>
      <c r="H7283" s="3">
        <f>IFERROR(__xludf.DUMMYFUNCTION("""COMPUTED_VALUE"""),3.0)</f>
        <v>3</v>
      </c>
      <c r="I7283" s="4">
        <f>IFERROR(__xludf.DUMMYFUNCTION("""COMPUTED_VALUE"""),0.8333333333333334)</f>
        <v>0.8333333333</v>
      </c>
      <c r="J7283" s="1" t="str">
        <f>IFERROR(__xludf.DUMMYFUNCTION("""COMPUTED_VALUE"""),"Sieg Ballelos")</f>
        <v>Sieg Ballelos</v>
      </c>
      <c r="K7283" s="1" t="str">
        <f>IFERROR(__xludf.DUMMYFUNCTION("""COMPUTED_VALUE"""),"Core Product Support Escalation Team")</f>
        <v>Core Product Support Escalation Team</v>
      </c>
      <c r="L7283" s="1" t="str">
        <f>IFERROR(__xludf.DUMMYFUNCTION("""COMPUTED_VALUE"""),"CPS Core Product Support Escalations (CPSET)")</f>
        <v>CPS Core Product Support Escalations (CPSET)</v>
      </c>
    </row>
    <row r="7284">
      <c r="A7284" s="1" t="str">
        <f>IFERROR(__xludf.DUMMYFUNCTION("""COMPUTED_VALUE"""),"2025 Dec")</f>
        <v>2025 Dec</v>
      </c>
      <c r="B7284" s="2">
        <f>IFERROR(__xludf.DUMMYFUNCTION("""COMPUTED_VALUE"""),46006.0)</f>
        <v>46006</v>
      </c>
      <c r="C7284" s="1" t="str">
        <f>IFERROR(__xludf.DUMMYFUNCTION("""COMPUTED_VALUE"""),"Admin Support")</f>
        <v>Admin Support</v>
      </c>
      <c r="D7284" s="1" t="str">
        <f>IFERROR(__xludf.DUMMYFUNCTION("""COMPUTED_VALUE"""),"b9737663-79f8-4cad-a8f9-6db9a37d36bf")</f>
        <v>b9737663-79f8-4cad-a8f9-6db9a37d36bf</v>
      </c>
      <c r="E7284" s="1">
        <f>IFERROR(__xludf.DUMMYFUNCTION("""COMPUTED_VALUE"""),3.61726427416E11)</f>
        <v>361726427416</v>
      </c>
      <c r="F7284" s="1"/>
      <c r="G7284" s="1"/>
      <c r="H7284" s="3">
        <f>IFERROR(__xludf.DUMMYFUNCTION("""COMPUTED_VALUE"""),0.0)</f>
        <v>0</v>
      </c>
      <c r="I7284" s="4"/>
      <c r="J7284" s="1" t="str">
        <f>IFERROR(__xludf.DUMMYFUNCTION("""COMPUTED_VALUE"""),"Camille Alvarez")</f>
        <v>Camille Alvarez</v>
      </c>
      <c r="K7284" s="1" t="str">
        <f>IFERROR(__xludf.DUMMYFUNCTION("""COMPUTED_VALUE"""),"Admin Support PH SSO")</f>
        <v>Admin Support PH SSO</v>
      </c>
      <c r="L7284" s="1" t="str">
        <f>IFERROR(__xludf.DUMMYFUNCTION("""COMPUTED_VALUE"""),"Admin SSO - SEE")</f>
        <v>Admin SSO - SEE</v>
      </c>
    </row>
    <row r="7285">
      <c r="A7285" s="1" t="str">
        <f>IFERROR(__xludf.DUMMYFUNCTION("""COMPUTED_VALUE"""),"2025 Dec")</f>
        <v>2025 Dec</v>
      </c>
      <c r="B7285" s="2">
        <f>IFERROR(__xludf.DUMMYFUNCTION("""COMPUTED_VALUE"""),46006.0)</f>
        <v>46006</v>
      </c>
      <c r="C7285" s="1" t="str">
        <f>IFERROR(__xludf.DUMMYFUNCTION("""COMPUTED_VALUE"""),"Core Product Support")</f>
        <v>Core Product Support</v>
      </c>
      <c r="D7285" s="1" t="str">
        <f>IFERROR(__xludf.DUMMYFUNCTION("""COMPUTED_VALUE"""),"253d67a9-d468-454b-b17c-b16b05cc6794")</f>
        <v>253d67a9-d468-454b-b17c-b16b05cc6794</v>
      </c>
      <c r="E7285" s="1">
        <f>IFERROR(__xludf.DUMMYFUNCTION("""COMPUTED_VALUE"""),1.0333034131599E13)</f>
        <v>10333034131599</v>
      </c>
      <c r="F7285" s="1">
        <f>IFERROR(__xludf.DUMMYFUNCTION("""COMPUTED_VALUE"""),0.5)</f>
        <v>0.5</v>
      </c>
      <c r="G7285" s="1"/>
      <c r="H7285" s="3">
        <f>IFERROR(__xludf.DUMMYFUNCTION("""COMPUTED_VALUE"""),0.5)</f>
        <v>0.5</v>
      </c>
      <c r="I7285" s="4">
        <f>IFERROR(__xludf.DUMMYFUNCTION("""COMPUTED_VALUE"""),0.0)</f>
        <v>0</v>
      </c>
      <c r="J7285" s="1" t="str">
        <f>IFERROR(__xludf.DUMMYFUNCTION("""COMPUTED_VALUE"""),"Marie Mordeno")</f>
        <v>Marie Mordeno</v>
      </c>
      <c r="K7285" s="1" t="str">
        <f>IFERROR(__xludf.DUMMYFUNCTION("""COMPUTED_VALUE"""),"Advanced Billing &amp; Subscriptions")</f>
        <v>Advanced Billing &amp; Subscriptions</v>
      </c>
      <c r="L7285" s="1" t="str">
        <f>IFERROR(__xludf.DUMMYFUNCTION("""COMPUTED_VALUE"""),"CPS Advanced Billing and Subscriptions (ABS)")</f>
        <v>CPS Advanced Billing and Subscriptions (ABS)</v>
      </c>
    </row>
    <row r="7286">
      <c r="A7286" s="1" t="str">
        <f>IFERROR(__xludf.DUMMYFUNCTION("""COMPUTED_VALUE"""),"2025 Dec")</f>
        <v>2025 Dec</v>
      </c>
      <c r="B7286" s="2">
        <f>IFERROR(__xludf.DUMMYFUNCTION("""COMPUTED_VALUE"""),46006.0)</f>
        <v>46006</v>
      </c>
      <c r="C7286" s="1" t="str">
        <f>IFERROR(__xludf.DUMMYFUNCTION("""COMPUTED_VALUE"""),"Core Product Support")</f>
        <v>Core Product Support</v>
      </c>
      <c r="D7286" s="1" t="str">
        <f>IFERROR(__xludf.DUMMYFUNCTION("""COMPUTED_VALUE"""),"e2ffb663-8d10-4463-8bb8-3bd130fdce1c")</f>
        <v>e2ffb663-8d10-4463-8bb8-3bd130fdce1c</v>
      </c>
      <c r="E7286" s="1">
        <f>IFERROR(__xludf.DUMMYFUNCTION("""COMPUTED_VALUE"""),1.1279730843407E13)</f>
        <v>11279730843407</v>
      </c>
      <c r="F7286" s="1">
        <f>IFERROR(__xludf.DUMMYFUNCTION("""COMPUTED_VALUE"""),0.5)</f>
        <v>0.5</v>
      </c>
      <c r="G7286" s="1"/>
      <c r="H7286" s="3">
        <f>IFERROR(__xludf.DUMMYFUNCTION("""COMPUTED_VALUE"""),0.5)</f>
        <v>0.5</v>
      </c>
      <c r="I7286" s="4">
        <f>IFERROR(__xludf.DUMMYFUNCTION("""COMPUTED_VALUE"""),0.0)</f>
        <v>0</v>
      </c>
      <c r="J7286" s="1" t="str">
        <f>IFERROR(__xludf.DUMMYFUNCTION("""COMPUTED_VALUE"""),"Ayza Marie Pascual")</f>
        <v>Ayza Marie Pascual</v>
      </c>
      <c r="K7286" s="1" t="str">
        <f>IFERROR(__xludf.DUMMYFUNCTION("""COMPUTED_VALUE"""),"Advanced Billing &amp; Subscriptions")</f>
        <v>Advanced Billing &amp; Subscriptions</v>
      </c>
      <c r="L7286" s="1" t="str">
        <f>IFERROR(__xludf.DUMMYFUNCTION("""COMPUTED_VALUE"""),"CPS Advanced Billing and Subscriptions (ABS)")</f>
        <v>CPS Advanced Billing and Subscriptions (ABS)</v>
      </c>
    </row>
    <row r="7287">
      <c r="A7287" s="1" t="str">
        <f>IFERROR(__xludf.DUMMYFUNCTION("""COMPUTED_VALUE"""),"2025 Dec")</f>
        <v>2025 Dec</v>
      </c>
      <c r="B7287" s="2">
        <f>IFERROR(__xludf.DUMMYFUNCTION("""COMPUTED_VALUE"""),46006.0)</f>
        <v>46006</v>
      </c>
      <c r="C7287" s="1" t="str">
        <f>IFERROR(__xludf.DUMMYFUNCTION("""COMPUTED_VALUE"""),"Core Product Support")</f>
        <v>Core Product Support</v>
      </c>
      <c r="D7287" s="1" t="str">
        <f>IFERROR(__xludf.DUMMYFUNCTION("""COMPUTED_VALUE"""),"1a6492df-fa9a-416f-b1d1-da6edc22036f")</f>
        <v>1a6492df-fa9a-416f-b1d1-da6edc22036f</v>
      </c>
      <c r="E7287" s="1">
        <f>IFERROR(__xludf.DUMMYFUNCTION("""COMPUTED_VALUE"""),7.874569114383E12)</f>
        <v>7874569114383</v>
      </c>
      <c r="F7287" s="1">
        <f>IFERROR(__xludf.DUMMYFUNCTION("""COMPUTED_VALUE"""),0.5)</f>
        <v>0.5</v>
      </c>
      <c r="G7287" s="1"/>
      <c r="H7287" s="3">
        <f>IFERROR(__xludf.DUMMYFUNCTION("""COMPUTED_VALUE"""),0.5)</f>
        <v>0.5</v>
      </c>
      <c r="I7287" s="4">
        <f>IFERROR(__xludf.DUMMYFUNCTION("""COMPUTED_VALUE"""),0.0)</f>
        <v>0</v>
      </c>
      <c r="J7287" s="1" t="str">
        <f>IFERROR(__xludf.DUMMYFUNCTION("""COMPUTED_VALUE"""),"Ana Lazaro")</f>
        <v>Ana Lazaro</v>
      </c>
      <c r="K7287" s="1" t="str">
        <f>IFERROR(__xludf.DUMMYFUNCTION("""COMPUTED_VALUE"""),"Advanced Billing &amp; Subscriptions")</f>
        <v>Advanced Billing &amp; Subscriptions</v>
      </c>
      <c r="L7287" s="1" t="str">
        <f>IFERROR(__xludf.DUMMYFUNCTION("""COMPUTED_VALUE"""),"CPS Advanced Billing and Subscriptions (ABS)")</f>
        <v>CPS Advanced Billing and Subscriptions (ABS)</v>
      </c>
    </row>
    <row r="7288">
      <c r="A7288" s="1" t="str">
        <f>IFERROR(__xludf.DUMMYFUNCTION("""COMPUTED_VALUE"""),"2025 Dec")</f>
        <v>2025 Dec</v>
      </c>
      <c r="B7288" s="2">
        <f>IFERROR(__xludf.DUMMYFUNCTION("""COMPUTED_VALUE"""),46006.0)</f>
        <v>46006</v>
      </c>
      <c r="C7288" s="1" t="str">
        <f>IFERROR(__xludf.DUMMYFUNCTION("""COMPUTED_VALUE"""),"High Sensitivity Support")</f>
        <v>High Sensitivity Support</v>
      </c>
      <c r="D7288" s="1" t="str">
        <f>IFERROR(__xludf.DUMMYFUNCTION("""COMPUTED_VALUE"""),"8b075f45-27b1-469e-bbc3-e97261e6934d")</f>
        <v>8b075f45-27b1-469e-bbc3-e97261e6934d</v>
      </c>
      <c r="E7288" s="1">
        <f>IFERROR(__xludf.DUMMYFUNCTION("""COMPUTED_VALUE"""),5.202423769487E12)</f>
        <v>5202423769487</v>
      </c>
      <c r="F7288" s="1">
        <f>IFERROR(__xludf.DUMMYFUNCTION("""COMPUTED_VALUE"""),4.0)</f>
        <v>4</v>
      </c>
      <c r="G7288" s="1"/>
      <c r="H7288" s="3">
        <f>IFERROR(__xludf.DUMMYFUNCTION("""COMPUTED_VALUE"""),4.0)</f>
        <v>4</v>
      </c>
      <c r="I7288" s="4">
        <f>IFERROR(__xludf.DUMMYFUNCTION("""COMPUTED_VALUE"""),0.0)</f>
        <v>0</v>
      </c>
      <c r="J7288" s="1" t="str">
        <f>IFERROR(__xludf.DUMMYFUNCTION("""COMPUTED_VALUE"""),"Rex Villamor")</f>
        <v>Rex Villamor</v>
      </c>
      <c r="K7288" s="1" t="str">
        <f>IFERROR(__xludf.DUMMYFUNCTION("""COMPUTED_VALUE"""),"High Sensitivity Support PH")</f>
        <v>High Sensitivity Support PH</v>
      </c>
      <c r="L7288" s="1" t="str">
        <f>IFERROR(__xludf.DUMMYFUNCTION("""COMPUTED_VALUE"""),"HSS High Sensitivity Support PH - CHT")</f>
        <v>HSS High Sensitivity Support PH - CHT</v>
      </c>
    </row>
    <row r="7289">
      <c r="A7289" s="1" t="str">
        <f>IFERROR(__xludf.DUMMYFUNCTION("""COMPUTED_VALUE"""),"2025 Dec")</f>
        <v>2025 Dec</v>
      </c>
      <c r="B7289" s="2">
        <f>IFERROR(__xludf.DUMMYFUNCTION("""COMPUTED_VALUE"""),46006.0)</f>
        <v>46006</v>
      </c>
      <c r="C7289" s="1" t="str">
        <f>IFERROR(__xludf.DUMMYFUNCTION("""COMPUTED_VALUE"""),"Core Product Support")</f>
        <v>Core Product Support</v>
      </c>
      <c r="D7289" s="1" t="str">
        <f>IFERROR(__xludf.DUMMYFUNCTION("""COMPUTED_VALUE"""),"50f6ee84-cef1-4ed8-84ed-42a64211811d")</f>
        <v>50f6ee84-cef1-4ed8-84ed-42a64211811d</v>
      </c>
      <c r="E7289" s="1">
        <f>IFERROR(__xludf.DUMMYFUNCTION("""COMPUTED_VALUE"""),3.61688608636E11)</f>
        <v>361688608636</v>
      </c>
      <c r="F7289" s="1">
        <f>IFERROR(__xludf.DUMMYFUNCTION("""COMPUTED_VALUE"""),1.0)</f>
        <v>1</v>
      </c>
      <c r="G7289" s="1">
        <f>IFERROR(__xludf.DUMMYFUNCTION("""COMPUTED_VALUE"""),2.5)</f>
        <v>2.5</v>
      </c>
      <c r="H7289" s="3">
        <f>IFERROR(__xludf.DUMMYFUNCTION("""COMPUTED_VALUE"""),3.5)</f>
        <v>3.5</v>
      </c>
      <c r="I7289" s="4">
        <f>IFERROR(__xludf.DUMMYFUNCTION("""COMPUTED_VALUE"""),0.7142857142857143)</f>
        <v>0.7142857143</v>
      </c>
      <c r="J7289" s="1" t="str">
        <f>IFERROR(__xludf.DUMMYFUNCTION("""COMPUTED_VALUE"""),"Sieg Ballelos")</f>
        <v>Sieg Ballelos</v>
      </c>
      <c r="K7289" s="1" t="str">
        <f>IFERROR(__xludf.DUMMYFUNCTION("""COMPUTED_VALUE"""),"Core Product Support Escalation Team")</f>
        <v>Core Product Support Escalation Team</v>
      </c>
      <c r="L7289" s="1" t="str">
        <f>IFERROR(__xludf.DUMMYFUNCTION("""COMPUTED_VALUE"""),"CPS Core Product Support Escalations (CPSET)")</f>
        <v>CPS Core Product Support Escalations (CPSET)</v>
      </c>
    </row>
    <row r="7290">
      <c r="A7290" s="1" t="str">
        <f>IFERROR(__xludf.DUMMYFUNCTION("""COMPUTED_VALUE"""),"2025 Dec")</f>
        <v>2025 Dec</v>
      </c>
      <c r="B7290" s="2">
        <f>IFERROR(__xludf.DUMMYFUNCTION("""COMPUTED_VALUE"""),46006.0)</f>
        <v>46006</v>
      </c>
      <c r="C7290" s="1" t="str">
        <f>IFERROR(__xludf.DUMMYFUNCTION("""COMPUTED_VALUE"""),"Segment-specific Support")</f>
        <v>Segment-specific Support</v>
      </c>
      <c r="D7290" s="1" t="str">
        <f>IFERROR(__xludf.DUMMYFUNCTION("""COMPUTED_VALUE"""),"68027150-37ee-48bc-8dee-e459591aca37")</f>
        <v>68027150-37ee-48bc-8dee-e459591aca37</v>
      </c>
      <c r="E7290" s="1">
        <f>IFERROR(__xludf.DUMMYFUNCTION("""COMPUTED_VALUE"""),9.586408606607E12)</f>
        <v>9586408606607</v>
      </c>
      <c r="F7290" s="1"/>
      <c r="G7290" s="1"/>
      <c r="H7290" s="3">
        <f>IFERROR(__xludf.DUMMYFUNCTION("""COMPUTED_VALUE"""),0.0)</f>
        <v>0</v>
      </c>
      <c r="I7290" s="4"/>
      <c r="J7290" s="1" t="str">
        <f>IFERROR(__xludf.DUMMYFUNCTION("""COMPUTED_VALUE"""),"Tash Kelly")</f>
        <v>Tash Kelly</v>
      </c>
      <c r="K7290" s="1" t="str">
        <f>IFERROR(__xludf.DUMMYFUNCTION("""COMPUTED_VALUE"""),"Affinity Support")</f>
        <v>Affinity Support</v>
      </c>
      <c r="L7290" s="1" t="str">
        <f>IFERROR(__xludf.DUMMYFUNCTION("""COMPUTED_VALUE"""),"SSS Affinity")</f>
        <v>SSS Affinity</v>
      </c>
    </row>
    <row r="7291">
      <c r="A7291" s="1" t="str">
        <f>IFERROR(__xludf.DUMMYFUNCTION("""COMPUTED_VALUE"""),"2025 Dec")</f>
        <v>2025 Dec</v>
      </c>
      <c r="B7291" s="2">
        <f>IFERROR(__xludf.DUMMYFUNCTION("""COMPUTED_VALUE"""),46006.0)</f>
        <v>46006</v>
      </c>
      <c r="C7291" s="1" t="str">
        <f>IFERROR(__xludf.DUMMYFUNCTION("""COMPUTED_VALUE"""),"Core Product Support")</f>
        <v>Core Product Support</v>
      </c>
      <c r="D7291" s="1" t="str">
        <f>IFERROR(__xludf.DUMMYFUNCTION("""COMPUTED_VALUE"""),"2417322d-d75a-4184-9e3c-95ae48393a05")</f>
        <v>2417322d-d75a-4184-9e3c-95ae48393a05</v>
      </c>
      <c r="E7291" s="1">
        <f>IFERROR(__xludf.DUMMYFUNCTION("""COMPUTED_VALUE"""),3.61861297995E11)</f>
        <v>361861297995</v>
      </c>
      <c r="F7291" s="1">
        <f>IFERROR(__xludf.DUMMYFUNCTION("""COMPUTED_VALUE"""),0.5)</f>
        <v>0.5</v>
      </c>
      <c r="G7291" s="1"/>
      <c r="H7291" s="3">
        <f>IFERROR(__xludf.DUMMYFUNCTION("""COMPUTED_VALUE"""),0.5)</f>
        <v>0.5</v>
      </c>
      <c r="I7291" s="4">
        <f>IFERROR(__xludf.DUMMYFUNCTION("""COMPUTED_VALUE"""),0.0)</f>
        <v>0</v>
      </c>
      <c r="J7291" s="1" t="str">
        <f>IFERROR(__xludf.DUMMYFUNCTION("""COMPUTED_VALUE"""),"Jem Mondoñedo")</f>
        <v>Jem Mondoñedo</v>
      </c>
      <c r="K7291" s="1" t="str">
        <f>IFERROR(__xludf.DUMMYFUNCTION("""COMPUTED_VALUE"""),"Advanced Chat Support")</f>
        <v>Advanced Chat Support</v>
      </c>
      <c r="L7291" s="1" t="str">
        <f>IFERROR(__xludf.DUMMYFUNCTION("""COMPUTED_VALUE"""),"CPS Advanced Chat Support (ACS)")</f>
        <v>CPS Advanced Chat Support (ACS)</v>
      </c>
    </row>
    <row r="7292">
      <c r="A7292" s="1" t="str">
        <f>IFERROR(__xludf.DUMMYFUNCTION("""COMPUTED_VALUE"""),"2025 Dec")</f>
        <v>2025 Dec</v>
      </c>
      <c r="B7292" s="2">
        <f>IFERROR(__xludf.DUMMYFUNCTION("""COMPUTED_VALUE"""),46006.0)</f>
        <v>46006</v>
      </c>
      <c r="C7292" s="1" t="str">
        <f>IFERROR(__xludf.DUMMYFUNCTION("""COMPUTED_VALUE"""),"Segment-specific Support")</f>
        <v>Segment-specific Support</v>
      </c>
      <c r="D7292" s="1" t="str">
        <f>IFERROR(__xludf.DUMMYFUNCTION("""COMPUTED_VALUE"""),"4cae5e1d-2159-4afc-b9cd-a826e7f3982e")</f>
        <v>4cae5e1d-2159-4afc-b9cd-a826e7f3982e</v>
      </c>
      <c r="E7292" s="1">
        <f>IFERROR(__xludf.DUMMYFUNCTION("""COMPUTED_VALUE"""),3.61726424816E11)</f>
        <v>361726424816</v>
      </c>
      <c r="F7292" s="1"/>
      <c r="G7292" s="1"/>
      <c r="H7292" s="3">
        <f>IFERROR(__xludf.DUMMYFUNCTION("""COMPUTED_VALUE"""),0.0)</f>
        <v>0</v>
      </c>
      <c r="I7292" s="4"/>
      <c r="J7292" s="1" t="str">
        <f>IFERROR(__xludf.DUMMYFUNCTION("""COMPUTED_VALUE"""),"Aileen Dayanghirang")</f>
        <v>Aileen Dayanghirang</v>
      </c>
      <c r="K7292" s="1" t="str">
        <f>IFERROR(__xludf.DUMMYFUNCTION("""COMPUTED_VALUE"""),"Creators Support")</f>
        <v>Creators Support</v>
      </c>
      <c r="L7292" s="1" t="str">
        <f>IFERROR(__xludf.DUMMYFUNCTION("""COMPUTED_VALUE"""),"SSS Creators")</f>
        <v>SSS Creators</v>
      </c>
    </row>
    <row r="7293">
      <c r="A7293" s="1" t="str">
        <f>IFERROR(__xludf.DUMMYFUNCTION("""COMPUTED_VALUE"""),"2025 Dec")</f>
        <v>2025 Dec</v>
      </c>
      <c r="B7293" s="2">
        <f>IFERROR(__xludf.DUMMYFUNCTION("""COMPUTED_VALUE"""),46006.0)</f>
        <v>46006</v>
      </c>
      <c r="C7293" s="1" t="str">
        <f>IFERROR(__xludf.DUMMYFUNCTION("""COMPUTED_VALUE"""),"Core Product Support")</f>
        <v>Core Product Support</v>
      </c>
      <c r="D7293" s="1" t="str">
        <f>IFERROR(__xludf.DUMMYFUNCTION("""COMPUTED_VALUE"""),"ecc3a54c-2b13-4ea5-ad1e-96b8b278e7da")</f>
        <v>ecc3a54c-2b13-4ea5-ad1e-96b8b278e7da</v>
      </c>
      <c r="E7293" s="1">
        <f>IFERROR(__xludf.DUMMYFUNCTION("""COMPUTED_VALUE"""),1.0333050571535E13)</f>
        <v>10333050571535</v>
      </c>
      <c r="F7293" s="1">
        <f>IFERROR(__xludf.DUMMYFUNCTION("""COMPUTED_VALUE"""),0.5)</f>
        <v>0.5</v>
      </c>
      <c r="G7293" s="1"/>
      <c r="H7293" s="3">
        <f>IFERROR(__xludf.DUMMYFUNCTION("""COMPUTED_VALUE"""),0.5)</f>
        <v>0.5</v>
      </c>
      <c r="I7293" s="4">
        <f>IFERROR(__xludf.DUMMYFUNCTION("""COMPUTED_VALUE"""),0.0)</f>
        <v>0</v>
      </c>
      <c r="J7293" s="1" t="str">
        <f>IFERROR(__xludf.DUMMYFUNCTION("""COMPUTED_VALUE"""),"Mikhaela Decangchon")</f>
        <v>Mikhaela Decangchon</v>
      </c>
      <c r="K7293" s="1" t="str">
        <f>IFERROR(__xludf.DUMMYFUNCTION("""COMPUTED_VALUE"""),"Advanced Product Support")</f>
        <v>Advanced Product Support</v>
      </c>
      <c r="L7293" s="1" t="str">
        <f>IFERROR(__xludf.DUMMYFUNCTION("""COMPUTED_VALUE"""),"CPS Advanced Product Support (APS)")</f>
        <v>CPS Advanced Product Support (APS)</v>
      </c>
    </row>
    <row r="7294">
      <c r="A7294" s="1" t="str">
        <f>IFERROR(__xludf.DUMMYFUNCTION("""COMPUTED_VALUE"""),"2025 Dec")</f>
        <v>2025 Dec</v>
      </c>
      <c r="B7294" s="2">
        <f>IFERROR(__xludf.DUMMYFUNCTION("""COMPUTED_VALUE"""),46006.0)</f>
        <v>46006</v>
      </c>
      <c r="C7294" s="1" t="str">
        <f>IFERROR(__xludf.DUMMYFUNCTION("""COMPUTED_VALUE"""),"Print Support")</f>
        <v>Print Support</v>
      </c>
      <c r="D7294" s="1" t="str">
        <f>IFERROR(__xludf.DUMMYFUNCTION("""COMPUTED_VALUE"""),"c6cec3c3-9fe7-48ea-b63e-7658cdee4747")</f>
        <v>c6cec3c3-9fe7-48ea-b63e-7658cdee4747</v>
      </c>
      <c r="E7294" s="1">
        <f>IFERROR(__xludf.DUMMYFUNCTION("""COMPUTED_VALUE"""),5.901960272783E12)</f>
        <v>5901960272783</v>
      </c>
      <c r="F7294" s="1"/>
      <c r="G7294" s="1"/>
      <c r="H7294" s="3">
        <f>IFERROR(__xludf.DUMMYFUNCTION("""COMPUTED_VALUE"""),0.0)</f>
        <v>0</v>
      </c>
      <c r="I7294" s="4"/>
      <c r="J7294" s="1" t="str">
        <f>IFERROR(__xludf.DUMMYFUNCTION("""COMPUTED_VALUE"""),"Aliza Dote")</f>
        <v>Aliza Dote</v>
      </c>
      <c r="K7294" s="1" t="str">
        <f>IFERROR(__xludf.DUMMYFUNCTION("""COMPUTED_VALUE"""),"Print Design Support")</f>
        <v>Print Design Support</v>
      </c>
      <c r="L7294" s="1" t="str">
        <f>IFERROR(__xludf.DUMMYFUNCTION("""COMPUTED_VALUE"""),"Print Print Design")</f>
        <v>Print Print Design</v>
      </c>
    </row>
    <row r="7295">
      <c r="A7295" s="1" t="str">
        <f>IFERROR(__xludf.DUMMYFUNCTION("""COMPUTED_VALUE"""),"2025 Dec")</f>
        <v>2025 Dec</v>
      </c>
      <c r="B7295" s="2">
        <f>IFERROR(__xludf.DUMMYFUNCTION("""COMPUTED_VALUE"""),46006.0)</f>
        <v>46006</v>
      </c>
      <c r="C7295" s="1" t="str">
        <f>IFERROR(__xludf.DUMMYFUNCTION("""COMPUTED_VALUE"""),"Admin Support")</f>
        <v>Admin Support</v>
      </c>
      <c r="D7295" s="1" t="str">
        <f>IFERROR(__xludf.DUMMYFUNCTION("""COMPUTED_VALUE"""),"f1bbdd3e-ea42-496f-87a0-14d656a67a92")</f>
        <v>f1bbdd3e-ea42-496f-87a0-14d656a67a92</v>
      </c>
      <c r="E7295" s="1">
        <f>IFERROR(__xludf.DUMMYFUNCTION("""COMPUTED_VALUE"""),5.563904587279E12)</f>
        <v>5563904587279</v>
      </c>
      <c r="F7295" s="1">
        <f>IFERROR(__xludf.DUMMYFUNCTION("""COMPUTED_VALUE"""),1.5)</f>
        <v>1.5</v>
      </c>
      <c r="G7295" s="1"/>
      <c r="H7295" s="3">
        <f>IFERROR(__xludf.DUMMYFUNCTION("""COMPUTED_VALUE"""),1.5)</f>
        <v>1.5</v>
      </c>
      <c r="I7295" s="4">
        <f>IFERROR(__xludf.DUMMYFUNCTION("""COMPUTED_VALUE"""),0.0)</f>
        <v>0</v>
      </c>
      <c r="J7295" s="1" t="str">
        <f>IFERROR(__xludf.DUMMYFUNCTION("""COMPUTED_VALUE"""),"Tash Kelly")</f>
        <v>Tash Kelly</v>
      </c>
      <c r="K7295" s="1" t="str">
        <f>IFERROR(__xludf.DUMMYFUNCTION("""COMPUTED_VALUE"""),"Admin Support NA")</f>
        <v>Admin Support NA</v>
      </c>
      <c r="L7295" s="1" t="str">
        <f>IFERROR(__xludf.DUMMYFUNCTION("""COMPUTED_VALUE"""),"Admin NA")</f>
        <v>Admin NA</v>
      </c>
    </row>
    <row r="7296">
      <c r="A7296" s="1" t="str">
        <f>IFERROR(__xludf.DUMMYFUNCTION("""COMPUTED_VALUE"""),"2025 Dec")</f>
        <v>2025 Dec</v>
      </c>
      <c r="B7296" s="2">
        <f>IFERROR(__xludf.DUMMYFUNCTION("""COMPUTED_VALUE"""),46006.0)</f>
        <v>46006</v>
      </c>
      <c r="C7296" s="1" t="str">
        <f>IFERROR(__xludf.DUMMYFUNCTION("""COMPUTED_VALUE"""),"Core Product Support")</f>
        <v>Core Product Support</v>
      </c>
      <c r="D7296" s="1" t="str">
        <f>IFERROR(__xludf.DUMMYFUNCTION("""COMPUTED_VALUE"""),"3146744a-956c-4560-bc5a-70bcebe20785")</f>
        <v>3146744a-956c-4560-bc5a-70bcebe20785</v>
      </c>
      <c r="E7296" s="1">
        <f>IFERROR(__xludf.DUMMYFUNCTION("""COMPUTED_VALUE"""),3.61861297835E11)</f>
        <v>361861297835</v>
      </c>
      <c r="F7296" s="1">
        <f>IFERROR(__xludf.DUMMYFUNCTION("""COMPUTED_VALUE"""),0.5)</f>
        <v>0.5</v>
      </c>
      <c r="G7296" s="1"/>
      <c r="H7296" s="3">
        <f>IFERROR(__xludf.DUMMYFUNCTION("""COMPUTED_VALUE"""),0.5)</f>
        <v>0.5</v>
      </c>
      <c r="I7296" s="4">
        <f>IFERROR(__xludf.DUMMYFUNCTION("""COMPUTED_VALUE"""),0.0)</f>
        <v>0</v>
      </c>
      <c r="J7296" s="1" t="str">
        <f>IFERROR(__xludf.DUMMYFUNCTION("""COMPUTED_VALUE"""),"Jem Mondoñedo")</f>
        <v>Jem Mondoñedo</v>
      </c>
      <c r="K7296" s="1" t="str">
        <f>IFERROR(__xludf.DUMMYFUNCTION("""COMPUTED_VALUE"""),"Advanced Chat Support")</f>
        <v>Advanced Chat Support</v>
      </c>
      <c r="L7296" s="1" t="str">
        <f>IFERROR(__xludf.DUMMYFUNCTION("""COMPUTED_VALUE"""),"CPS Advanced Chat Support (ACS)")</f>
        <v>CPS Advanced Chat Support (ACS)</v>
      </c>
    </row>
    <row r="7297">
      <c r="A7297" s="1" t="str">
        <f>IFERROR(__xludf.DUMMYFUNCTION("""COMPUTED_VALUE"""),"2025 Dec")</f>
        <v>2025 Dec</v>
      </c>
      <c r="B7297" s="2">
        <f>IFERROR(__xludf.DUMMYFUNCTION("""COMPUTED_VALUE"""),46006.0)</f>
        <v>46006</v>
      </c>
      <c r="C7297" s="1" t="str">
        <f>IFERROR(__xludf.DUMMYFUNCTION("""COMPUTED_VALUE"""),"Print Support")</f>
        <v>Print Support</v>
      </c>
      <c r="D7297" s="1" t="str">
        <f>IFERROR(__xludf.DUMMYFUNCTION("""COMPUTED_VALUE"""),"30527ca4-aa21-4ba1-bf53-3e00c15dfada")</f>
        <v>30527ca4-aa21-4ba1-bf53-3e00c15dfada</v>
      </c>
      <c r="E7297" s="1">
        <f>IFERROR(__xludf.DUMMYFUNCTION("""COMPUTED_VALUE"""),5.359149526287E12)</f>
        <v>5359149526287</v>
      </c>
      <c r="F7297" s="1"/>
      <c r="G7297" s="1"/>
      <c r="H7297" s="3">
        <f>IFERROR(__xludf.DUMMYFUNCTION("""COMPUTED_VALUE"""),0.0)</f>
        <v>0</v>
      </c>
      <c r="I7297" s="4"/>
      <c r="J7297" s="1" t="str">
        <f>IFERROR(__xludf.DUMMYFUNCTION("""COMPUTED_VALUE"""),"Rae Erlano")</f>
        <v>Rae Erlano</v>
      </c>
      <c r="K7297" s="1" t="str">
        <f>IFERROR(__xludf.DUMMYFUNCTION("""COMPUTED_VALUE"""),"Print Support PH")</f>
        <v>Print Support PH</v>
      </c>
      <c r="L7297" s="1" t="str">
        <f>IFERROR(__xludf.DUMMYFUNCTION("""COMPUTED_VALUE"""),"Print Print - CHT")</f>
        <v>Print Print - CHT</v>
      </c>
    </row>
    <row r="7298">
      <c r="A7298" s="1" t="str">
        <f>IFERROR(__xludf.DUMMYFUNCTION("""COMPUTED_VALUE"""),"2025 Dec")</f>
        <v>2025 Dec</v>
      </c>
      <c r="B7298" s="2">
        <f>IFERROR(__xludf.DUMMYFUNCTION("""COMPUTED_VALUE"""),46006.0)</f>
        <v>46006</v>
      </c>
      <c r="C7298" s="1" t="str">
        <f>IFERROR(__xludf.DUMMYFUNCTION("""COMPUTED_VALUE"""),"High Sensitivity Support")</f>
        <v>High Sensitivity Support</v>
      </c>
      <c r="D7298" s="1" t="str">
        <f>IFERROR(__xludf.DUMMYFUNCTION("""COMPUTED_VALUE"""),"ed28aa1c-230f-414c-b415-191d703a8bac")</f>
        <v>ed28aa1c-230f-414c-b415-191d703a8bac</v>
      </c>
      <c r="E7298" s="1">
        <f>IFERROR(__xludf.DUMMYFUNCTION("""COMPUTED_VALUE"""),8.409870322319E12)</f>
        <v>8409870322319</v>
      </c>
      <c r="F7298" s="1">
        <f>IFERROR(__xludf.DUMMYFUNCTION("""COMPUTED_VALUE"""),4.0)</f>
        <v>4</v>
      </c>
      <c r="G7298" s="1"/>
      <c r="H7298" s="3">
        <f>IFERROR(__xludf.DUMMYFUNCTION("""COMPUTED_VALUE"""),4.0)</f>
        <v>4</v>
      </c>
      <c r="I7298" s="4">
        <f>IFERROR(__xludf.DUMMYFUNCTION("""COMPUTED_VALUE"""),0.0)</f>
        <v>0</v>
      </c>
      <c r="J7298" s="1" t="str">
        <f>IFERROR(__xludf.DUMMYFUNCTION("""COMPUTED_VALUE"""),"Rossheen Pura")</f>
        <v>Rossheen Pura</v>
      </c>
      <c r="K7298" s="1" t="str">
        <f>IFERROR(__xludf.DUMMYFUNCTION("""COMPUTED_VALUE"""),"High Sensitivity Support PH")</f>
        <v>High Sensitivity Support PH</v>
      </c>
      <c r="L7298" s="1" t="str">
        <f>IFERROR(__xludf.DUMMYFUNCTION("""COMPUTED_VALUE"""),"HSS High Sensitivity Support PH - CHT")</f>
        <v>HSS High Sensitivity Support PH - CHT</v>
      </c>
    </row>
    <row r="7299">
      <c r="A7299" s="1" t="str">
        <f>IFERROR(__xludf.DUMMYFUNCTION("""COMPUTED_VALUE"""),"2025 Dec")</f>
        <v>2025 Dec</v>
      </c>
      <c r="B7299" s="2">
        <f>IFERROR(__xludf.DUMMYFUNCTION("""COMPUTED_VALUE"""),46006.0)</f>
        <v>46006</v>
      </c>
      <c r="C7299" s="1" t="str">
        <f>IFERROR(__xludf.DUMMYFUNCTION("""COMPUTED_VALUE"""),"Segment-specific Support")</f>
        <v>Segment-specific Support</v>
      </c>
      <c r="D7299" s="1" t="str">
        <f>IFERROR(__xludf.DUMMYFUNCTION("""COMPUTED_VALUE"""),"df9ba7dd-188f-4978-8344-eb262fcbed64")</f>
        <v>df9ba7dd-188f-4978-8344-eb262fcbed64</v>
      </c>
      <c r="E7299" s="1">
        <f>IFERROR(__xludf.DUMMYFUNCTION("""COMPUTED_VALUE"""),5.729839272719E12)</f>
        <v>5729839272719</v>
      </c>
      <c r="F7299" s="1"/>
      <c r="G7299" s="1"/>
      <c r="H7299" s="3">
        <f>IFERROR(__xludf.DUMMYFUNCTION("""COMPUTED_VALUE"""),0.0)</f>
        <v>0</v>
      </c>
      <c r="I7299" s="4"/>
      <c r="J7299" s="1" t="str">
        <f>IFERROR(__xludf.DUMMYFUNCTION("""COMPUTED_VALUE"""),"Tash Kelly")</f>
        <v>Tash Kelly</v>
      </c>
      <c r="K7299" s="1" t="str">
        <f>IFERROR(__xludf.DUMMYFUNCTION("""COMPUTED_VALUE"""),"Affinity Support")</f>
        <v>Affinity Support</v>
      </c>
      <c r="L7299" s="1" t="str">
        <f>IFERROR(__xludf.DUMMYFUNCTION("""COMPUTED_VALUE"""),"SSS Affinity")</f>
        <v>SSS Affinity</v>
      </c>
    </row>
    <row r="7300">
      <c r="A7300" s="1" t="str">
        <f>IFERROR(__xludf.DUMMYFUNCTION("""COMPUTED_VALUE"""),"2025 Dec")</f>
        <v>2025 Dec</v>
      </c>
      <c r="B7300" s="2">
        <f>IFERROR(__xludf.DUMMYFUNCTION("""COMPUTED_VALUE"""),46006.0)</f>
        <v>46006</v>
      </c>
      <c r="C7300" s="1" t="str">
        <f>IFERROR(__xludf.DUMMYFUNCTION("""COMPUTED_VALUE"""),"Print Support")</f>
        <v>Print Support</v>
      </c>
      <c r="D7300" s="1" t="str">
        <f>IFERROR(__xludf.DUMMYFUNCTION("""COMPUTED_VALUE"""),"438e36b3-4d38-44fd-b78d-2f3e27dfd609")</f>
        <v>438e36b3-4d38-44fd-b78d-2f3e27dfd609</v>
      </c>
      <c r="E7300" s="1">
        <f>IFERROR(__xludf.DUMMYFUNCTION("""COMPUTED_VALUE"""),5.359189606799E12)</f>
        <v>5359189606799</v>
      </c>
      <c r="F7300" s="1"/>
      <c r="G7300" s="1"/>
      <c r="H7300" s="3">
        <f>IFERROR(__xludf.DUMMYFUNCTION("""COMPUTED_VALUE"""),0.0)</f>
        <v>0</v>
      </c>
      <c r="I7300" s="4"/>
      <c r="J7300" s="1" t="str">
        <f>IFERROR(__xludf.DUMMYFUNCTION("""COMPUTED_VALUE"""),"Rae Erlano")</f>
        <v>Rae Erlano</v>
      </c>
      <c r="K7300" s="1" t="str">
        <f>IFERROR(__xludf.DUMMYFUNCTION("""COMPUTED_VALUE"""),"Print Support PH")</f>
        <v>Print Support PH</v>
      </c>
      <c r="L7300" s="1" t="str">
        <f>IFERROR(__xludf.DUMMYFUNCTION("""COMPUTED_VALUE"""),"Print Print - CHT")</f>
        <v>Print Print - CHT</v>
      </c>
    </row>
    <row r="7301">
      <c r="A7301" s="1" t="str">
        <f>IFERROR(__xludf.DUMMYFUNCTION("""COMPUTED_VALUE"""),"2025 Dec")</f>
        <v>2025 Dec</v>
      </c>
      <c r="B7301" s="2">
        <f>IFERROR(__xludf.DUMMYFUNCTION("""COMPUTED_VALUE"""),46006.0)</f>
        <v>46006</v>
      </c>
      <c r="C7301" s="1" t="str">
        <f>IFERROR(__xludf.DUMMYFUNCTION("""COMPUTED_VALUE"""),"Admin Support")</f>
        <v>Admin Support</v>
      </c>
      <c r="D7301" s="1" t="str">
        <f>IFERROR(__xludf.DUMMYFUNCTION("""COMPUTED_VALUE"""),"d7fa60f7-5345-4940-b70f-a9ee1e24882e")</f>
        <v>d7fa60f7-5345-4940-b70f-a9ee1e24882e</v>
      </c>
      <c r="E7301" s="1">
        <f>IFERROR(__xludf.DUMMYFUNCTION("""COMPUTED_VALUE"""),3.61731792375E11)</f>
        <v>361731792375</v>
      </c>
      <c r="F7301" s="1"/>
      <c r="G7301" s="1"/>
      <c r="H7301" s="3">
        <f>IFERROR(__xludf.DUMMYFUNCTION("""COMPUTED_VALUE"""),0.0)</f>
        <v>0</v>
      </c>
      <c r="I7301" s="4"/>
      <c r="J7301" s="1" t="str">
        <f>IFERROR(__xludf.DUMMYFUNCTION("""COMPUTED_VALUE"""),"Karla Mananghaya")</f>
        <v>Karla Mananghaya</v>
      </c>
      <c r="K7301" s="1" t="str">
        <f>IFERROR(__xludf.DUMMYFUNCTION("""COMPUTED_VALUE"""),"Admin Support PH")</f>
        <v>Admin Support PH</v>
      </c>
      <c r="L7301" s="1" t="str">
        <f>IFERROR(__xludf.DUMMYFUNCTION("""COMPUTED_VALUE"""),"Admin - SEE")</f>
        <v>Admin - SEE</v>
      </c>
    </row>
    <row r="7302">
      <c r="A7302" s="1" t="str">
        <f>IFERROR(__xludf.DUMMYFUNCTION("""COMPUTED_VALUE"""),"2025 Dec")</f>
        <v>2025 Dec</v>
      </c>
      <c r="B7302" s="2">
        <f>IFERROR(__xludf.DUMMYFUNCTION("""COMPUTED_VALUE"""),46006.0)</f>
        <v>46006</v>
      </c>
      <c r="C7302" s="1" t="str">
        <f>IFERROR(__xludf.DUMMYFUNCTION("""COMPUTED_VALUE"""),"Core Product Support")</f>
        <v>Core Product Support</v>
      </c>
      <c r="D7302" s="1" t="str">
        <f>IFERROR(__xludf.DUMMYFUNCTION("""COMPUTED_VALUE"""),"5a22b3ea-0755-416b-a006-f5a0d4b19aba")</f>
        <v>5a22b3ea-0755-416b-a006-f5a0d4b19aba</v>
      </c>
      <c r="E7302" s="1">
        <f>IFERROR(__xludf.DUMMYFUNCTION("""COMPUTED_VALUE"""),5.202392949391E12)</f>
        <v>5202392949391</v>
      </c>
      <c r="F7302" s="1">
        <f>IFERROR(__xludf.DUMMYFUNCTION("""COMPUTED_VALUE"""),0.5)</f>
        <v>0.5</v>
      </c>
      <c r="G7302" s="1">
        <f>IFERROR(__xludf.DUMMYFUNCTION("""COMPUTED_VALUE"""),2.5)</f>
        <v>2.5</v>
      </c>
      <c r="H7302" s="3">
        <f>IFERROR(__xludf.DUMMYFUNCTION("""COMPUTED_VALUE"""),3.0)</f>
        <v>3</v>
      </c>
      <c r="I7302" s="4">
        <f>IFERROR(__xludf.DUMMYFUNCTION("""COMPUTED_VALUE"""),0.8333333333333334)</f>
        <v>0.8333333333</v>
      </c>
      <c r="J7302" s="1" t="str">
        <f>IFERROR(__xludf.DUMMYFUNCTION("""COMPUTED_VALUE"""),"Sieg Ballelos")</f>
        <v>Sieg Ballelos</v>
      </c>
      <c r="K7302" s="1" t="str">
        <f>IFERROR(__xludf.DUMMYFUNCTION("""COMPUTED_VALUE"""),"Core Product Support Escalation Team")</f>
        <v>Core Product Support Escalation Team</v>
      </c>
      <c r="L7302" s="1" t="str">
        <f>IFERROR(__xludf.DUMMYFUNCTION("""COMPUTED_VALUE"""),"CPS Core Product Support Escalations (CPSET)")</f>
        <v>CPS Core Product Support Escalations (CPSET)</v>
      </c>
    </row>
    <row r="7303">
      <c r="A7303" s="1" t="str">
        <f>IFERROR(__xludf.DUMMYFUNCTION("""COMPUTED_VALUE"""),"2025 Dec")</f>
        <v>2025 Dec</v>
      </c>
      <c r="B7303" s="2">
        <f>IFERROR(__xludf.DUMMYFUNCTION("""COMPUTED_VALUE"""),46006.0)</f>
        <v>46006</v>
      </c>
      <c r="C7303" s="1" t="str">
        <f>IFERROR(__xludf.DUMMYFUNCTION("""COMPUTED_VALUE"""),"Core Product Support")</f>
        <v>Core Product Support</v>
      </c>
      <c r="D7303" s="1" t="str">
        <f>IFERROR(__xludf.DUMMYFUNCTION("""COMPUTED_VALUE"""),"0ae24c9b-6172-4326-bb51-99cd5756da29")</f>
        <v>0ae24c9b-6172-4326-bb51-99cd5756da29</v>
      </c>
      <c r="E7303" s="1">
        <f>IFERROR(__xludf.DUMMYFUNCTION("""COMPUTED_VALUE"""),8.904479838351E12)</f>
        <v>8904479838351</v>
      </c>
      <c r="F7303" s="1">
        <f>IFERROR(__xludf.DUMMYFUNCTION("""COMPUTED_VALUE"""),0.5)</f>
        <v>0.5</v>
      </c>
      <c r="G7303" s="1"/>
      <c r="H7303" s="3">
        <f>IFERROR(__xludf.DUMMYFUNCTION("""COMPUTED_VALUE"""),0.5)</f>
        <v>0.5</v>
      </c>
      <c r="I7303" s="4">
        <f>IFERROR(__xludf.DUMMYFUNCTION("""COMPUTED_VALUE"""),0.0)</f>
        <v>0</v>
      </c>
      <c r="J7303" s="1" t="str">
        <f>IFERROR(__xludf.DUMMYFUNCTION("""COMPUTED_VALUE"""),"Ana Lazaro")</f>
        <v>Ana Lazaro</v>
      </c>
      <c r="K7303" s="1" t="str">
        <f>IFERROR(__xludf.DUMMYFUNCTION("""COMPUTED_VALUE"""),"Advanced Billing &amp; Subscriptions")</f>
        <v>Advanced Billing &amp; Subscriptions</v>
      </c>
      <c r="L7303" s="1" t="str">
        <f>IFERROR(__xludf.DUMMYFUNCTION("""COMPUTED_VALUE"""),"CPS Advanced Billing and Subscriptions (ABS)")</f>
        <v>CPS Advanced Billing and Subscriptions (ABS)</v>
      </c>
    </row>
    <row r="7304">
      <c r="A7304" s="1" t="str">
        <f>IFERROR(__xludf.DUMMYFUNCTION("""COMPUTED_VALUE"""),"2025 Dec")</f>
        <v>2025 Dec</v>
      </c>
      <c r="B7304" s="2">
        <f>IFERROR(__xludf.DUMMYFUNCTION("""COMPUTED_VALUE"""),46006.0)</f>
        <v>46006</v>
      </c>
      <c r="C7304" s="1" t="str">
        <f>IFERROR(__xludf.DUMMYFUNCTION("""COMPUTED_VALUE"""),"Segment-specific Support")</f>
        <v>Segment-specific Support</v>
      </c>
      <c r="D7304" s="1" t="str">
        <f>IFERROR(__xludf.DUMMYFUNCTION("""COMPUTED_VALUE"""),"702a1682-65ec-47f2-b736-d60aecc92e68")</f>
        <v>702a1682-65ec-47f2-b736-d60aecc92e68</v>
      </c>
      <c r="E7304" s="1">
        <f>IFERROR(__xludf.DUMMYFUNCTION("""COMPUTED_VALUE"""),3.61726425496E11)</f>
        <v>361726425496</v>
      </c>
      <c r="F7304" s="1"/>
      <c r="G7304" s="1"/>
      <c r="H7304" s="3">
        <f>IFERROR(__xludf.DUMMYFUNCTION("""COMPUTED_VALUE"""),0.0)</f>
        <v>0</v>
      </c>
      <c r="I7304" s="4"/>
      <c r="J7304" s="1" t="str">
        <f>IFERROR(__xludf.DUMMYFUNCTION("""COMPUTED_VALUE"""),"Aileen Dayanghirang")</f>
        <v>Aileen Dayanghirang</v>
      </c>
      <c r="K7304" s="1" t="str">
        <f>IFERROR(__xludf.DUMMYFUNCTION("""COMPUTED_VALUE"""),"Creators Support")</f>
        <v>Creators Support</v>
      </c>
      <c r="L7304" s="1" t="str">
        <f>IFERROR(__xludf.DUMMYFUNCTION("""COMPUTED_VALUE"""),"SSS Creators")</f>
        <v>SSS Creators</v>
      </c>
    </row>
    <row r="7305">
      <c r="A7305" s="1" t="str">
        <f>IFERROR(__xludf.DUMMYFUNCTION("""COMPUTED_VALUE"""),"2025 Dec")</f>
        <v>2025 Dec</v>
      </c>
      <c r="B7305" s="2">
        <f>IFERROR(__xludf.DUMMYFUNCTION("""COMPUTED_VALUE"""),46006.0)</f>
        <v>46006</v>
      </c>
      <c r="C7305" s="1" t="str">
        <f>IFERROR(__xludf.DUMMYFUNCTION("""COMPUTED_VALUE"""),"Print Support")</f>
        <v>Print Support</v>
      </c>
      <c r="D7305" s="1" t="str">
        <f>IFERROR(__xludf.DUMMYFUNCTION("""COMPUTED_VALUE"""),"5b9a60b0-b877-48e1-8013-eb7cdd15bd64")</f>
        <v>5b9a60b0-b877-48e1-8013-eb7cdd15bd64</v>
      </c>
      <c r="E7305" s="1">
        <f>IFERROR(__xludf.DUMMYFUNCTION("""COMPUTED_VALUE"""),3.61825394516E11)</f>
        <v>361825394516</v>
      </c>
      <c r="F7305" s="1"/>
      <c r="G7305" s="1"/>
      <c r="H7305" s="3">
        <f>IFERROR(__xludf.DUMMYFUNCTION("""COMPUTED_VALUE"""),0.0)</f>
        <v>0</v>
      </c>
      <c r="I7305" s="4"/>
      <c r="J7305" s="1" t="str">
        <f>IFERROR(__xludf.DUMMYFUNCTION("""COMPUTED_VALUE"""),"G-Anne Murillo")</f>
        <v>G-Anne Murillo</v>
      </c>
      <c r="K7305" s="1" t="str">
        <f>IFERROR(__xludf.DUMMYFUNCTION("""COMPUTED_VALUE"""),"Print Design Support")</f>
        <v>Print Design Support</v>
      </c>
      <c r="L7305" s="1" t="str">
        <f>IFERROR(__xludf.DUMMYFUNCTION("""COMPUTED_VALUE"""),"Print Print Design")</f>
        <v>Print Print Design</v>
      </c>
    </row>
    <row r="7306">
      <c r="A7306" s="1" t="str">
        <f>IFERROR(__xludf.DUMMYFUNCTION("""COMPUTED_VALUE"""),"2025 Dec")</f>
        <v>2025 Dec</v>
      </c>
      <c r="B7306" s="2">
        <f>IFERROR(__xludf.DUMMYFUNCTION("""COMPUTED_VALUE"""),46006.0)</f>
        <v>46006</v>
      </c>
      <c r="C7306" s="1" t="str">
        <f>IFERROR(__xludf.DUMMYFUNCTION("""COMPUTED_VALUE"""),"Print Support")</f>
        <v>Print Support</v>
      </c>
      <c r="D7306" s="1" t="str">
        <f>IFERROR(__xludf.DUMMYFUNCTION("""COMPUTED_VALUE"""),"582c23f3-af21-4402-83b6-920f8fd6fe88")</f>
        <v>582c23f3-af21-4402-83b6-920f8fd6fe88</v>
      </c>
      <c r="E7306" s="1">
        <f>IFERROR(__xludf.DUMMYFUNCTION("""COMPUTED_VALUE"""),5.566843512207E12)</f>
        <v>5566843512207</v>
      </c>
      <c r="F7306" s="1"/>
      <c r="G7306" s="1"/>
      <c r="H7306" s="3">
        <f>IFERROR(__xludf.DUMMYFUNCTION("""COMPUTED_VALUE"""),0.0)</f>
        <v>0</v>
      </c>
      <c r="I7306" s="4"/>
      <c r="J7306" s="1" t="str">
        <f>IFERROR(__xludf.DUMMYFUNCTION("""COMPUTED_VALUE"""),"Ann Dumlao")</f>
        <v>Ann Dumlao</v>
      </c>
      <c r="K7306" s="1" t="str">
        <f>IFERROR(__xludf.DUMMYFUNCTION("""COMPUTED_VALUE"""),"Print Support PH")</f>
        <v>Print Support PH</v>
      </c>
      <c r="L7306" s="1" t="str">
        <f>IFERROR(__xludf.DUMMYFUNCTION("""COMPUTED_VALUE"""),"Print Print - CHT")</f>
        <v>Print Print - CHT</v>
      </c>
    </row>
    <row r="7307">
      <c r="A7307" s="1" t="str">
        <f>IFERROR(__xludf.DUMMYFUNCTION("""COMPUTED_VALUE"""),"2025 Dec")</f>
        <v>2025 Dec</v>
      </c>
      <c r="B7307" s="2">
        <f>IFERROR(__xludf.DUMMYFUNCTION("""COMPUTED_VALUE"""),46006.0)</f>
        <v>46006</v>
      </c>
      <c r="C7307" s="1" t="str">
        <f>IFERROR(__xludf.DUMMYFUNCTION("""COMPUTED_VALUE"""),"Multilingual Support")</f>
        <v>Multilingual Support</v>
      </c>
      <c r="D7307" s="1" t="str">
        <f>IFERROR(__xludf.DUMMYFUNCTION("""COMPUTED_VALUE"""),"a08e6c23-8f56-4eb2-a86d-ff398e709601")</f>
        <v>a08e6c23-8f56-4eb2-a86d-ff398e709601</v>
      </c>
      <c r="E7307" s="1">
        <f>IFERROR(__xludf.DUMMYFUNCTION("""COMPUTED_VALUE"""),3.61744520136E11)</f>
        <v>361744520136</v>
      </c>
      <c r="F7307" s="1"/>
      <c r="G7307" s="1"/>
      <c r="H7307" s="3">
        <f>IFERROR(__xludf.DUMMYFUNCTION("""COMPUTED_VALUE"""),0.0)</f>
        <v>0</v>
      </c>
      <c r="I7307" s="4"/>
      <c r="J7307" s="1" t="str">
        <f>IFERROR(__xludf.DUMMYFUNCTION("""COMPUTED_VALUE"""),"Arlene Maurillo")</f>
        <v>Arlene Maurillo</v>
      </c>
      <c r="K7307" s="1" t="str">
        <f>IFERROR(__xludf.DUMMYFUNCTION("""COMPUTED_VALUE"""),"PHL, Multilingual Support")</f>
        <v>PHL, Multilingual Support</v>
      </c>
      <c r="L7307" s="1" t="str">
        <f>IFERROR(__xludf.DUMMYFUNCTION("""COMPUTED_VALUE"""),"ML Spanish Support")</f>
        <v>ML Spanish Support</v>
      </c>
    </row>
    <row r="7308">
      <c r="A7308" s="1" t="str">
        <f>IFERROR(__xludf.DUMMYFUNCTION("""COMPUTED_VALUE"""),"2025 Dec")</f>
        <v>2025 Dec</v>
      </c>
      <c r="B7308" s="2">
        <f>IFERROR(__xludf.DUMMYFUNCTION("""COMPUTED_VALUE"""),46006.0)</f>
        <v>46006</v>
      </c>
      <c r="C7308" s="1" t="str">
        <f>IFERROR(__xludf.DUMMYFUNCTION("""COMPUTED_VALUE"""),"Core Product Support")</f>
        <v>Core Product Support</v>
      </c>
      <c r="D7308" s="1" t="str">
        <f>IFERROR(__xludf.DUMMYFUNCTION("""COMPUTED_VALUE"""),"9160bc84-9174-4736-bd46-926c52c66223")</f>
        <v>9160bc84-9174-4736-bd46-926c52c66223</v>
      </c>
      <c r="E7308" s="1">
        <f>IFERROR(__xludf.DUMMYFUNCTION("""COMPUTED_VALUE"""),3.61731516675E11)</f>
        <v>361731516675</v>
      </c>
      <c r="F7308" s="1">
        <f>IFERROR(__xludf.DUMMYFUNCTION("""COMPUTED_VALUE"""),0.5)</f>
        <v>0.5</v>
      </c>
      <c r="G7308" s="1"/>
      <c r="H7308" s="3">
        <f>IFERROR(__xludf.DUMMYFUNCTION("""COMPUTED_VALUE"""),0.5)</f>
        <v>0.5</v>
      </c>
      <c r="I7308" s="4">
        <f>IFERROR(__xludf.DUMMYFUNCTION("""COMPUTED_VALUE"""),0.0)</f>
        <v>0</v>
      </c>
      <c r="J7308" s="1" t="str">
        <f>IFERROR(__xludf.DUMMYFUNCTION("""COMPUTED_VALUE"""),"Marie Mordeno")</f>
        <v>Marie Mordeno</v>
      </c>
      <c r="K7308" s="1" t="str">
        <f>IFERROR(__xludf.DUMMYFUNCTION("""COMPUTED_VALUE"""),"Advanced Billing &amp; Subscriptions")</f>
        <v>Advanced Billing &amp; Subscriptions</v>
      </c>
      <c r="L7308" s="1" t="str">
        <f>IFERROR(__xludf.DUMMYFUNCTION("""COMPUTED_VALUE"""),"CPS Advanced Billing and Subscriptions (ABS)")</f>
        <v>CPS Advanced Billing and Subscriptions (ABS)</v>
      </c>
    </row>
    <row r="7309">
      <c r="A7309" s="1" t="str">
        <f>IFERROR(__xludf.DUMMYFUNCTION("""COMPUTED_VALUE"""),"2025 Dec")</f>
        <v>2025 Dec</v>
      </c>
      <c r="B7309" s="2">
        <f>IFERROR(__xludf.DUMMYFUNCTION("""COMPUTED_VALUE"""),46006.0)</f>
        <v>46006</v>
      </c>
      <c r="C7309" s="1" t="str">
        <f>IFERROR(__xludf.DUMMYFUNCTION("""COMPUTED_VALUE"""),"Core Product Support")</f>
        <v>Core Product Support</v>
      </c>
      <c r="D7309" s="1" t="str">
        <f>IFERROR(__xludf.DUMMYFUNCTION("""COMPUTED_VALUE"""),"4db6d8c1-797e-4f39-9494-3babf0366bc0")</f>
        <v>4db6d8c1-797e-4f39-9494-3babf0366bc0</v>
      </c>
      <c r="E7309" s="1">
        <f>IFERROR(__xludf.DUMMYFUNCTION("""COMPUTED_VALUE"""),3.61731943715E11)</f>
        <v>361731943715</v>
      </c>
      <c r="F7309" s="1">
        <f>IFERROR(__xludf.DUMMYFUNCTION("""COMPUTED_VALUE"""),0.5)</f>
        <v>0.5</v>
      </c>
      <c r="G7309" s="1">
        <f>IFERROR(__xludf.DUMMYFUNCTION("""COMPUTED_VALUE"""),2.5)</f>
        <v>2.5</v>
      </c>
      <c r="H7309" s="3">
        <f>IFERROR(__xludf.DUMMYFUNCTION("""COMPUTED_VALUE"""),3.0)</f>
        <v>3</v>
      </c>
      <c r="I7309" s="4">
        <f>IFERROR(__xludf.DUMMYFUNCTION("""COMPUTED_VALUE"""),0.8333333333333334)</f>
        <v>0.8333333333</v>
      </c>
      <c r="J7309" s="1" t="str">
        <f>IFERROR(__xludf.DUMMYFUNCTION("""COMPUTED_VALUE"""),"Sieg Ballelos")</f>
        <v>Sieg Ballelos</v>
      </c>
      <c r="K7309" s="1" t="str">
        <f>IFERROR(__xludf.DUMMYFUNCTION("""COMPUTED_VALUE"""),"Core Product Support Escalation Team")</f>
        <v>Core Product Support Escalation Team</v>
      </c>
      <c r="L7309" s="1" t="str">
        <f>IFERROR(__xludf.DUMMYFUNCTION("""COMPUTED_VALUE"""),"CPS Core Product Support Escalations (CPSET)")</f>
        <v>CPS Core Product Support Escalations (CPSET)</v>
      </c>
    </row>
    <row r="7310">
      <c r="A7310" s="1" t="str">
        <f>IFERROR(__xludf.DUMMYFUNCTION("""COMPUTED_VALUE"""),"2025 Dec")</f>
        <v>2025 Dec</v>
      </c>
      <c r="B7310" s="2">
        <f>IFERROR(__xludf.DUMMYFUNCTION("""COMPUTED_VALUE"""),46006.0)</f>
        <v>46006</v>
      </c>
      <c r="C7310" s="1" t="str">
        <f>IFERROR(__xludf.DUMMYFUNCTION("""COMPUTED_VALUE"""),"Core Product Support")</f>
        <v>Core Product Support</v>
      </c>
      <c r="D7310" s="1" t="str">
        <f>IFERROR(__xludf.DUMMYFUNCTION("""COMPUTED_VALUE"""),"961e0a53-62a6-4087-8811-6449381daa52")</f>
        <v>961e0a53-62a6-4087-8811-6449381daa52</v>
      </c>
      <c r="E7310" s="1">
        <f>IFERROR(__xludf.DUMMYFUNCTION("""COMPUTED_VALUE"""),3.61694638315E11)</f>
        <v>361694638315</v>
      </c>
      <c r="F7310" s="1">
        <f>IFERROR(__xludf.DUMMYFUNCTION("""COMPUTED_VALUE"""),0.5)</f>
        <v>0.5</v>
      </c>
      <c r="G7310" s="1">
        <f>IFERROR(__xludf.DUMMYFUNCTION("""COMPUTED_VALUE"""),2.0)</f>
        <v>2</v>
      </c>
      <c r="H7310" s="3">
        <f>IFERROR(__xludf.DUMMYFUNCTION("""COMPUTED_VALUE"""),2.5)</f>
        <v>2.5</v>
      </c>
      <c r="I7310" s="4">
        <f>IFERROR(__xludf.DUMMYFUNCTION("""COMPUTED_VALUE"""),0.8)</f>
        <v>0.8</v>
      </c>
      <c r="J7310" s="1" t="str">
        <f>IFERROR(__xludf.DUMMYFUNCTION("""COMPUTED_VALUE"""),"Ellaine Estayo")</f>
        <v>Ellaine Estayo</v>
      </c>
      <c r="K7310" s="1" t="str">
        <f>IFERROR(__xludf.DUMMYFUNCTION("""COMPUTED_VALUE"""),"Core Product Support Escalation Team")</f>
        <v>Core Product Support Escalation Team</v>
      </c>
      <c r="L7310" s="1" t="str">
        <f>IFERROR(__xludf.DUMMYFUNCTION("""COMPUTED_VALUE"""),"CPS Core Product Support Escalations (CPSET)")</f>
        <v>CPS Core Product Support Escalations (CPSET)</v>
      </c>
    </row>
    <row r="7311">
      <c r="A7311" s="1" t="str">
        <f>IFERROR(__xludf.DUMMYFUNCTION("""COMPUTED_VALUE"""),"2025 Dec")</f>
        <v>2025 Dec</v>
      </c>
      <c r="B7311" s="2">
        <f>IFERROR(__xludf.DUMMYFUNCTION("""COMPUTED_VALUE"""),46006.0)</f>
        <v>46006</v>
      </c>
      <c r="C7311" s="1" t="str">
        <f>IFERROR(__xludf.DUMMYFUNCTION("""COMPUTED_VALUE"""),"High Sensitivity Support")</f>
        <v>High Sensitivity Support</v>
      </c>
      <c r="D7311" s="1" t="str">
        <f>IFERROR(__xludf.DUMMYFUNCTION("""COMPUTED_VALUE"""),"50f4f34a-5f46-4ee9-a2ab-686901231801")</f>
        <v>50f4f34a-5f46-4ee9-a2ab-686901231801</v>
      </c>
      <c r="E7311" s="1">
        <f>IFERROR(__xludf.DUMMYFUNCTION("""COMPUTED_VALUE"""),1.0548602304527E13)</f>
        <v>10548602304527</v>
      </c>
      <c r="F7311" s="1">
        <f>IFERROR(__xludf.DUMMYFUNCTION("""COMPUTED_VALUE"""),3.0)</f>
        <v>3</v>
      </c>
      <c r="G7311" s="1"/>
      <c r="H7311" s="3">
        <f>IFERROR(__xludf.DUMMYFUNCTION("""COMPUTED_VALUE"""),3.0)</f>
        <v>3</v>
      </c>
      <c r="I7311" s="4">
        <f>IFERROR(__xludf.DUMMYFUNCTION("""COMPUTED_VALUE"""),0.0)</f>
        <v>0</v>
      </c>
      <c r="J7311" s="1" t="str">
        <f>IFERROR(__xludf.DUMMYFUNCTION("""COMPUTED_VALUE"""),"Rossheen Pura")</f>
        <v>Rossheen Pura</v>
      </c>
      <c r="K7311" s="1" t="str">
        <f>IFERROR(__xludf.DUMMYFUNCTION("""COMPUTED_VALUE"""),"High Sensitivity Support PH")</f>
        <v>High Sensitivity Support PH</v>
      </c>
      <c r="L7311" s="1" t="str">
        <f>IFERROR(__xludf.DUMMYFUNCTION("""COMPUTED_VALUE"""),"HSS High Sensitivity Support PH - CHT")</f>
        <v>HSS High Sensitivity Support PH - CHT</v>
      </c>
    </row>
    <row r="7312">
      <c r="A7312" s="1" t="str">
        <f>IFERROR(__xludf.DUMMYFUNCTION("""COMPUTED_VALUE"""),"2025 Dec")</f>
        <v>2025 Dec</v>
      </c>
      <c r="B7312" s="2">
        <f>IFERROR(__xludf.DUMMYFUNCTION("""COMPUTED_VALUE"""),46006.0)</f>
        <v>46006</v>
      </c>
      <c r="C7312" s="1" t="str">
        <f>IFERROR(__xludf.DUMMYFUNCTION("""COMPUTED_VALUE"""),"Print Support")</f>
        <v>Print Support</v>
      </c>
      <c r="D7312" s="1" t="str">
        <f>IFERROR(__xludf.DUMMYFUNCTION("""COMPUTED_VALUE"""),"4b906fe3-66c8-454a-a7d0-1f50f4b6cdf4")</f>
        <v>4b906fe3-66c8-454a-a7d0-1f50f4b6cdf4</v>
      </c>
      <c r="E7312" s="1">
        <f>IFERROR(__xludf.DUMMYFUNCTION("""COMPUTED_VALUE"""),3.61825398056E11)</f>
        <v>361825398056</v>
      </c>
      <c r="F7312" s="1"/>
      <c r="G7312" s="1"/>
      <c r="H7312" s="3">
        <f>IFERROR(__xludf.DUMMYFUNCTION("""COMPUTED_VALUE"""),0.0)</f>
        <v>0</v>
      </c>
      <c r="I7312" s="4"/>
      <c r="J7312" s="1" t="str">
        <f>IFERROR(__xludf.DUMMYFUNCTION("""COMPUTED_VALUE"""),"Rei De Jesus")</f>
        <v>Rei De Jesus</v>
      </c>
      <c r="K7312" s="1" t="str">
        <f>IFERROR(__xludf.DUMMYFUNCTION("""COMPUTED_VALUE"""),"Print Design Support")</f>
        <v>Print Design Support</v>
      </c>
      <c r="L7312" s="1" t="str">
        <f>IFERROR(__xludf.DUMMYFUNCTION("""COMPUTED_VALUE"""),"Print Print Design")</f>
        <v>Print Print Design</v>
      </c>
    </row>
    <row r="7313">
      <c r="A7313" s="1" t="str">
        <f>IFERROR(__xludf.DUMMYFUNCTION("""COMPUTED_VALUE"""),"2025 Dec")</f>
        <v>2025 Dec</v>
      </c>
      <c r="B7313" s="2">
        <f>IFERROR(__xludf.DUMMYFUNCTION("""COMPUTED_VALUE"""),46006.0)</f>
        <v>46006</v>
      </c>
      <c r="C7313" s="1" t="str">
        <f>IFERROR(__xludf.DUMMYFUNCTION("""COMPUTED_VALUE"""),"Core Product Support")</f>
        <v>Core Product Support</v>
      </c>
      <c r="D7313" s="1" t="str">
        <f>IFERROR(__xludf.DUMMYFUNCTION("""COMPUTED_VALUE"""),"7f8ea57d-3bc6-435c-ac89-36216f416d2b")</f>
        <v>7f8ea57d-3bc6-435c-ac89-36216f416d2b</v>
      </c>
      <c r="E7313" s="1">
        <f>IFERROR(__xludf.DUMMYFUNCTION("""COMPUTED_VALUE"""),5.202392782223E12)</f>
        <v>5202392782223</v>
      </c>
      <c r="F7313" s="1">
        <f>IFERROR(__xludf.DUMMYFUNCTION("""COMPUTED_VALUE"""),0.5)</f>
        <v>0.5</v>
      </c>
      <c r="G7313" s="1">
        <f>IFERROR(__xludf.DUMMYFUNCTION("""COMPUTED_VALUE"""),1.5)</f>
        <v>1.5</v>
      </c>
      <c r="H7313" s="3">
        <f>IFERROR(__xludf.DUMMYFUNCTION("""COMPUTED_VALUE"""),2.0)</f>
        <v>2</v>
      </c>
      <c r="I7313" s="4">
        <f>IFERROR(__xludf.DUMMYFUNCTION("""COMPUTED_VALUE"""),0.75)</f>
        <v>0.75</v>
      </c>
      <c r="J7313" s="1" t="str">
        <f>IFERROR(__xludf.DUMMYFUNCTION("""COMPUTED_VALUE"""),"Renette Bok")</f>
        <v>Renette Bok</v>
      </c>
      <c r="K7313" s="1" t="str">
        <f>IFERROR(__xludf.DUMMYFUNCTION("""COMPUTED_VALUE"""),"Advanced Billing &amp; Subscriptions")</f>
        <v>Advanced Billing &amp; Subscriptions</v>
      </c>
      <c r="L7313" s="1" t="str">
        <f>IFERROR(__xludf.DUMMYFUNCTION("""COMPUTED_VALUE"""),"CPS Advanced Billing and Subscriptions (ABS)")</f>
        <v>CPS Advanced Billing and Subscriptions (ABS)</v>
      </c>
    </row>
    <row r="7314">
      <c r="A7314" s="1" t="str">
        <f>IFERROR(__xludf.DUMMYFUNCTION("""COMPUTED_VALUE"""),"2025 Dec")</f>
        <v>2025 Dec</v>
      </c>
      <c r="B7314" s="2">
        <f>IFERROR(__xludf.DUMMYFUNCTION("""COMPUTED_VALUE"""),46006.0)</f>
        <v>46006</v>
      </c>
      <c r="C7314" s="1" t="str">
        <f>IFERROR(__xludf.DUMMYFUNCTION("""COMPUTED_VALUE"""),"Core Product Support")</f>
        <v>Core Product Support</v>
      </c>
      <c r="D7314" s="1" t="str">
        <f>IFERROR(__xludf.DUMMYFUNCTION("""COMPUTED_VALUE"""),"5aed746e-cb5c-469a-8821-9e6506c7b9e6")</f>
        <v>5aed746e-cb5c-469a-8821-9e6506c7b9e6</v>
      </c>
      <c r="E7314" s="1">
        <f>IFERROR(__xludf.DUMMYFUNCTION("""COMPUTED_VALUE"""),3.61731350535E11)</f>
        <v>361731350535</v>
      </c>
      <c r="F7314" s="1">
        <f>IFERROR(__xludf.DUMMYFUNCTION("""COMPUTED_VALUE"""),0.5)</f>
        <v>0.5</v>
      </c>
      <c r="G7314" s="1"/>
      <c r="H7314" s="3">
        <f>IFERROR(__xludf.DUMMYFUNCTION("""COMPUTED_VALUE"""),0.5)</f>
        <v>0.5</v>
      </c>
      <c r="I7314" s="4">
        <f>IFERROR(__xludf.DUMMYFUNCTION("""COMPUTED_VALUE"""),0.0)</f>
        <v>0</v>
      </c>
      <c r="J7314" s="1" t="str">
        <f>IFERROR(__xludf.DUMMYFUNCTION("""COMPUTED_VALUE"""),"Vinz Lazaro")</f>
        <v>Vinz Lazaro</v>
      </c>
      <c r="K7314" s="1" t="str">
        <f>IFERROR(__xludf.DUMMYFUNCTION("""COMPUTED_VALUE"""),"Advanced Product Support")</f>
        <v>Advanced Product Support</v>
      </c>
      <c r="L7314" s="1" t="str">
        <f>IFERROR(__xludf.DUMMYFUNCTION("""COMPUTED_VALUE"""),"CPS Advanced Product Support (APS)")</f>
        <v>CPS Advanced Product Support (APS)</v>
      </c>
    </row>
    <row r="7315">
      <c r="A7315" s="1" t="str">
        <f>IFERROR(__xludf.DUMMYFUNCTION("""COMPUTED_VALUE"""),"2025 Dec")</f>
        <v>2025 Dec</v>
      </c>
      <c r="B7315" s="2">
        <f>IFERROR(__xludf.DUMMYFUNCTION("""COMPUTED_VALUE"""),46006.0)</f>
        <v>46006</v>
      </c>
      <c r="C7315" s="1" t="str">
        <f>IFERROR(__xludf.DUMMYFUNCTION("""COMPUTED_VALUE"""),"Core Product Support")</f>
        <v>Core Product Support</v>
      </c>
      <c r="D7315" s="1" t="str">
        <f>IFERROR(__xludf.DUMMYFUNCTION("""COMPUTED_VALUE"""),"a5566f0b-0c7b-4dd5-a5bf-cc571ed45f36")</f>
        <v>a5566f0b-0c7b-4dd5-a5bf-cc571ed45f36</v>
      </c>
      <c r="E7315" s="1">
        <f>IFERROR(__xludf.DUMMYFUNCTION("""COMPUTED_VALUE"""),1.0333033796879E13)</f>
        <v>10333033796879</v>
      </c>
      <c r="F7315" s="1">
        <f>IFERROR(__xludf.DUMMYFUNCTION("""COMPUTED_VALUE"""),0.5)</f>
        <v>0.5</v>
      </c>
      <c r="G7315" s="1"/>
      <c r="H7315" s="3">
        <f>IFERROR(__xludf.DUMMYFUNCTION("""COMPUTED_VALUE"""),0.5)</f>
        <v>0.5</v>
      </c>
      <c r="I7315" s="4">
        <f>IFERROR(__xludf.DUMMYFUNCTION("""COMPUTED_VALUE"""),0.0)</f>
        <v>0</v>
      </c>
      <c r="J7315" s="1" t="str">
        <f>IFERROR(__xludf.DUMMYFUNCTION("""COMPUTED_VALUE"""),"Jelyn Elmido")</f>
        <v>Jelyn Elmido</v>
      </c>
      <c r="K7315" s="1" t="str">
        <f>IFERROR(__xludf.DUMMYFUNCTION("""COMPUTED_VALUE"""),"Advanced Product Support")</f>
        <v>Advanced Product Support</v>
      </c>
      <c r="L7315" s="1" t="str">
        <f>IFERROR(__xludf.DUMMYFUNCTION("""COMPUTED_VALUE"""),"CPS Advanced Product Support (APS)")</f>
        <v>CPS Advanced Product Support (APS)</v>
      </c>
    </row>
    <row r="7316">
      <c r="A7316" s="1" t="str">
        <f>IFERROR(__xludf.DUMMYFUNCTION("""COMPUTED_VALUE"""),"2025 Dec")</f>
        <v>2025 Dec</v>
      </c>
      <c r="B7316" s="2">
        <f>IFERROR(__xludf.DUMMYFUNCTION("""COMPUTED_VALUE"""),46006.0)</f>
        <v>46006</v>
      </c>
      <c r="C7316" s="1" t="str">
        <f>IFERROR(__xludf.DUMMYFUNCTION("""COMPUTED_VALUE"""),"Core Product Support")</f>
        <v>Core Product Support</v>
      </c>
      <c r="D7316" s="1" t="str">
        <f>IFERROR(__xludf.DUMMYFUNCTION("""COMPUTED_VALUE"""),"98f36067-d801-431b-ba9a-fcb9a6ae433a")</f>
        <v>98f36067-d801-431b-ba9a-fcb9a6ae433a</v>
      </c>
      <c r="E7316" s="1">
        <f>IFERROR(__xludf.DUMMYFUNCTION("""COMPUTED_VALUE"""),3.61731350795E11)</f>
        <v>361731350795</v>
      </c>
      <c r="F7316" s="1"/>
      <c r="G7316" s="1"/>
      <c r="H7316" s="3">
        <f>IFERROR(__xludf.DUMMYFUNCTION("""COMPUTED_VALUE"""),0.0)</f>
        <v>0</v>
      </c>
      <c r="I7316" s="4"/>
      <c r="J7316" s="1" t="str">
        <f>IFERROR(__xludf.DUMMYFUNCTION("""COMPUTED_VALUE"""),"Jem Mondoñedo")</f>
        <v>Jem Mondoñedo</v>
      </c>
      <c r="K7316" s="1" t="str">
        <f>IFERROR(__xludf.DUMMYFUNCTION("""COMPUTED_VALUE"""),"Advanced Chat Support")</f>
        <v>Advanced Chat Support</v>
      </c>
      <c r="L7316" s="1" t="str">
        <f>IFERROR(__xludf.DUMMYFUNCTION("""COMPUTED_VALUE"""),"CPS Advanced Chat Support (ACS)")</f>
        <v>CPS Advanced Chat Support (ACS)</v>
      </c>
    </row>
    <row r="7317">
      <c r="A7317" s="1" t="str">
        <f>IFERROR(__xludf.DUMMYFUNCTION("""COMPUTED_VALUE"""),"2025 Dec")</f>
        <v>2025 Dec</v>
      </c>
      <c r="B7317" s="2">
        <f>IFERROR(__xludf.DUMMYFUNCTION("""COMPUTED_VALUE"""),46006.0)</f>
        <v>46006</v>
      </c>
      <c r="C7317" s="1" t="str">
        <f>IFERROR(__xludf.DUMMYFUNCTION("""COMPUTED_VALUE"""),"Core Product Support")</f>
        <v>Core Product Support</v>
      </c>
      <c r="D7317" s="1" t="str">
        <f>IFERROR(__xludf.DUMMYFUNCTION("""COMPUTED_VALUE"""),"7d586eb5-1b74-4e56-b56f-6c2807700cb7")</f>
        <v>7d586eb5-1b74-4e56-b56f-6c2807700cb7</v>
      </c>
      <c r="E7317" s="1">
        <f>IFERROR(__xludf.DUMMYFUNCTION("""COMPUTED_VALUE"""),5.202378938383E12)</f>
        <v>5202378938383</v>
      </c>
      <c r="F7317" s="1">
        <f>IFERROR(__xludf.DUMMYFUNCTION("""COMPUTED_VALUE"""),0.5)</f>
        <v>0.5</v>
      </c>
      <c r="G7317" s="1">
        <f>IFERROR(__xludf.DUMMYFUNCTION("""COMPUTED_VALUE"""),2.5)</f>
        <v>2.5</v>
      </c>
      <c r="H7317" s="3">
        <f>IFERROR(__xludf.DUMMYFUNCTION("""COMPUTED_VALUE"""),3.0)</f>
        <v>3</v>
      </c>
      <c r="I7317" s="4">
        <f>IFERROR(__xludf.DUMMYFUNCTION("""COMPUTED_VALUE"""),0.8333333333333334)</f>
        <v>0.8333333333</v>
      </c>
      <c r="J7317" s="1" t="str">
        <f>IFERROR(__xludf.DUMMYFUNCTION("""COMPUTED_VALUE"""),"Sieg Ballelos")</f>
        <v>Sieg Ballelos</v>
      </c>
      <c r="K7317" s="1" t="str">
        <f>IFERROR(__xludf.DUMMYFUNCTION("""COMPUTED_VALUE"""),"Core Product Support Escalation Team")</f>
        <v>Core Product Support Escalation Team</v>
      </c>
      <c r="L7317" s="1" t="str">
        <f>IFERROR(__xludf.DUMMYFUNCTION("""COMPUTED_VALUE"""),"CPS Core Product Support Escalations (CPSET)")</f>
        <v>CPS Core Product Support Escalations (CPSET)</v>
      </c>
    </row>
    <row r="7318">
      <c r="A7318" s="1" t="str">
        <f>IFERROR(__xludf.DUMMYFUNCTION("""COMPUTED_VALUE"""),"2025 Dec")</f>
        <v>2025 Dec</v>
      </c>
      <c r="B7318" s="2">
        <f>IFERROR(__xludf.DUMMYFUNCTION("""COMPUTED_VALUE"""),46006.0)</f>
        <v>46006</v>
      </c>
      <c r="C7318" s="1" t="str">
        <f>IFERROR(__xludf.DUMMYFUNCTION("""COMPUTED_VALUE"""),"Core Product Support")</f>
        <v>Core Product Support</v>
      </c>
      <c r="D7318" s="1" t="str">
        <f>IFERROR(__xludf.DUMMYFUNCTION("""COMPUTED_VALUE"""),"c7d7e66b-4dfe-47b9-a47f-66af76d8fb19")</f>
        <v>c7d7e66b-4dfe-47b9-a47f-66af76d8fb19</v>
      </c>
      <c r="E7318" s="1">
        <f>IFERROR(__xludf.DUMMYFUNCTION("""COMPUTED_VALUE"""),1.1401981374607E13)</f>
        <v>11401981374607</v>
      </c>
      <c r="F7318" s="1">
        <f>IFERROR(__xludf.DUMMYFUNCTION("""COMPUTED_VALUE"""),0.5)</f>
        <v>0.5</v>
      </c>
      <c r="G7318" s="1"/>
      <c r="H7318" s="3">
        <f>IFERROR(__xludf.DUMMYFUNCTION("""COMPUTED_VALUE"""),0.5)</f>
        <v>0.5</v>
      </c>
      <c r="I7318" s="4">
        <f>IFERROR(__xludf.DUMMYFUNCTION("""COMPUTED_VALUE"""),0.0)</f>
        <v>0</v>
      </c>
      <c r="J7318" s="1" t="str">
        <f>IFERROR(__xludf.DUMMYFUNCTION("""COMPUTED_VALUE"""),"Jelyn Elmido")</f>
        <v>Jelyn Elmido</v>
      </c>
      <c r="K7318" s="1" t="str">
        <f>IFERROR(__xludf.DUMMYFUNCTION("""COMPUTED_VALUE"""),"Advanced Product Support")</f>
        <v>Advanced Product Support</v>
      </c>
      <c r="L7318" s="1" t="str">
        <f>IFERROR(__xludf.DUMMYFUNCTION("""COMPUTED_VALUE"""),"CPS Advanced Product Support (APS)")</f>
        <v>CPS Advanced Product Support (APS)</v>
      </c>
    </row>
    <row r="7319">
      <c r="A7319" s="1" t="str">
        <f>IFERROR(__xludf.DUMMYFUNCTION("""COMPUTED_VALUE"""),"2025 Dec")</f>
        <v>2025 Dec</v>
      </c>
      <c r="B7319" s="2">
        <f>IFERROR(__xludf.DUMMYFUNCTION("""COMPUTED_VALUE"""),46006.0)</f>
        <v>46006</v>
      </c>
      <c r="C7319" s="1" t="str">
        <f>IFERROR(__xludf.DUMMYFUNCTION("""COMPUTED_VALUE"""),"Print Support")</f>
        <v>Print Support</v>
      </c>
      <c r="D7319" s="1" t="str">
        <f>IFERROR(__xludf.DUMMYFUNCTION("""COMPUTED_VALUE"""),"10b96ef4-077e-4868-9c27-17d96d8b4f68")</f>
        <v>10b96ef4-077e-4868-9c27-17d96d8b4f68</v>
      </c>
      <c r="E7319" s="1">
        <f>IFERROR(__xludf.DUMMYFUNCTION("""COMPUTED_VALUE"""),3.61744117796E11)</f>
        <v>361744117796</v>
      </c>
      <c r="F7319" s="1"/>
      <c r="G7319" s="1"/>
      <c r="H7319" s="3">
        <f>IFERROR(__xludf.DUMMYFUNCTION("""COMPUTED_VALUE"""),0.0)</f>
        <v>0</v>
      </c>
      <c r="I7319" s="4"/>
      <c r="J7319" s="1" t="str">
        <f>IFERROR(__xludf.DUMMYFUNCTION("""COMPUTED_VALUE"""),"Jen Momo")</f>
        <v>Jen Momo</v>
      </c>
      <c r="K7319" s="1" t="str">
        <f>IFERROR(__xludf.DUMMYFUNCTION("""COMPUTED_VALUE"""),"Print Support PH")</f>
        <v>Print Support PH</v>
      </c>
      <c r="L7319" s="1" t="str">
        <f>IFERROR(__xludf.DUMMYFUNCTION("""COMPUTED_VALUE"""),"Print Print - CHT")</f>
        <v>Print Print - CHT</v>
      </c>
    </row>
    <row r="7320">
      <c r="A7320" s="1" t="str">
        <f>IFERROR(__xludf.DUMMYFUNCTION("""COMPUTED_VALUE"""),"2025 Dec")</f>
        <v>2025 Dec</v>
      </c>
      <c r="B7320" s="2">
        <f>IFERROR(__xludf.DUMMYFUNCTION("""COMPUTED_VALUE"""),46006.0)</f>
        <v>46006</v>
      </c>
      <c r="C7320" s="1" t="str">
        <f>IFERROR(__xludf.DUMMYFUNCTION("""COMPUTED_VALUE"""),"Print Support")</f>
        <v>Print Support</v>
      </c>
      <c r="D7320" s="1" t="str">
        <f>IFERROR(__xludf.DUMMYFUNCTION("""COMPUTED_VALUE"""),"12eca747-9244-47cb-894e-d3c873c08566")</f>
        <v>12eca747-9244-47cb-894e-d3c873c08566</v>
      </c>
      <c r="E7320" s="1">
        <f>IFERROR(__xludf.DUMMYFUNCTION("""COMPUTED_VALUE"""),1.0548625681423E13)</f>
        <v>10548625681423</v>
      </c>
      <c r="F7320" s="1"/>
      <c r="G7320" s="1"/>
      <c r="H7320" s="3">
        <f>IFERROR(__xludf.DUMMYFUNCTION("""COMPUTED_VALUE"""),0.0)</f>
        <v>0</v>
      </c>
      <c r="I7320" s="4"/>
      <c r="J7320" s="1" t="str">
        <f>IFERROR(__xludf.DUMMYFUNCTION("""COMPUTED_VALUE"""),"Ann Dumlao")</f>
        <v>Ann Dumlao</v>
      </c>
      <c r="K7320" s="1" t="str">
        <f>IFERROR(__xludf.DUMMYFUNCTION("""COMPUTED_VALUE"""),"Print Support PH")</f>
        <v>Print Support PH</v>
      </c>
      <c r="L7320" s="1" t="str">
        <f>IFERROR(__xludf.DUMMYFUNCTION("""COMPUTED_VALUE"""),"Print Print - CHT")</f>
        <v>Print Print - CHT</v>
      </c>
    </row>
    <row r="7321">
      <c r="A7321" s="1" t="str">
        <f>IFERROR(__xludf.DUMMYFUNCTION("""COMPUTED_VALUE"""),"2025 Dec")</f>
        <v>2025 Dec</v>
      </c>
      <c r="B7321" s="2">
        <f>IFERROR(__xludf.DUMMYFUNCTION("""COMPUTED_VALUE"""),46006.0)</f>
        <v>46006</v>
      </c>
      <c r="C7321" s="1" t="str">
        <f>IFERROR(__xludf.DUMMYFUNCTION("""COMPUTED_VALUE"""),"Multilingual Support")</f>
        <v>Multilingual Support</v>
      </c>
      <c r="D7321" s="1" t="str">
        <f>IFERROR(__xludf.DUMMYFUNCTION("""COMPUTED_VALUE"""),"757d9757-27bf-49d1-a07c-15a426289b02")</f>
        <v>757d9757-27bf-49d1-a07c-15a426289b02</v>
      </c>
      <c r="E7321" s="1">
        <f>IFERROR(__xludf.DUMMYFUNCTION("""COMPUTED_VALUE"""),1.1819962468111E13)</f>
        <v>11819962468111</v>
      </c>
      <c r="F7321" s="1"/>
      <c r="G7321" s="1"/>
      <c r="H7321" s="3">
        <f>IFERROR(__xludf.DUMMYFUNCTION("""COMPUTED_VALUE"""),0.0)</f>
        <v>0</v>
      </c>
      <c r="I7321" s="4"/>
      <c r="J7321" s="1" t="str">
        <f>IFERROR(__xludf.DUMMYFUNCTION("""COMPUTED_VALUE"""),"Arlene Maurillo")</f>
        <v>Arlene Maurillo</v>
      </c>
      <c r="K7321" s="1" t="str">
        <f>IFERROR(__xludf.DUMMYFUNCTION("""COMPUTED_VALUE"""),"PHL, Multilingual Support")</f>
        <v>PHL, Multilingual Support</v>
      </c>
      <c r="L7321" s="1" t="str">
        <f>IFERROR(__xludf.DUMMYFUNCTION("""COMPUTED_VALUE"""),"ML Spanish Support")</f>
        <v>ML Spanish Support</v>
      </c>
    </row>
    <row r="7322">
      <c r="A7322" s="1" t="str">
        <f>IFERROR(__xludf.DUMMYFUNCTION("""COMPUTED_VALUE"""),"2025 Dec")</f>
        <v>2025 Dec</v>
      </c>
      <c r="B7322" s="2">
        <f>IFERROR(__xludf.DUMMYFUNCTION("""COMPUTED_VALUE"""),46006.0)</f>
        <v>46006</v>
      </c>
      <c r="C7322" s="1" t="str">
        <f>IFERROR(__xludf.DUMMYFUNCTION("""COMPUTED_VALUE"""),"Core Product Support")</f>
        <v>Core Product Support</v>
      </c>
      <c r="D7322" s="1" t="str">
        <f>IFERROR(__xludf.DUMMYFUNCTION("""COMPUTED_VALUE"""),"a3fade96-9131-4bb4-90c2-f54d385ec4bf")</f>
        <v>a3fade96-9131-4bb4-90c2-f54d385ec4bf</v>
      </c>
      <c r="E7322" s="1">
        <f>IFERROR(__xludf.DUMMYFUNCTION("""COMPUTED_VALUE"""),3.61724829156E11)</f>
        <v>361724829156</v>
      </c>
      <c r="F7322" s="1"/>
      <c r="G7322" s="1">
        <f>IFERROR(__xludf.DUMMYFUNCTION("""COMPUTED_VALUE"""),0.5)</f>
        <v>0.5</v>
      </c>
      <c r="H7322" s="3">
        <f>IFERROR(__xludf.DUMMYFUNCTION("""COMPUTED_VALUE"""),0.5)</f>
        <v>0.5</v>
      </c>
      <c r="I7322" s="4">
        <f>IFERROR(__xludf.DUMMYFUNCTION("""COMPUTED_VALUE"""),1.0)</f>
        <v>1</v>
      </c>
      <c r="J7322" s="1" t="str">
        <f>IFERROR(__xludf.DUMMYFUNCTION("""COMPUTED_VALUE"""),"Sieg Ballelos")</f>
        <v>Sieg Ballelos</v>
      </c>
      <c r="K7322" s="1" t="str">
        <f>IFERROR(__xludf.DUMMYFUNCTION("""COMPUTED_VALUE"""),"Core Product Support Escalation Team")</f>
        <v>Core Product Support Escalation Team</v>
      </c>
      <c r="L7322" s="1" t="str">
        <f>IFERROR(__xludf.DUMMYFUNCTION("""COMPUTED_VALUE"""),"CPS Core Product Support Escalations (CPSET)")</f>
        <v>CPS Core Product Support Escalations (CPSET)</v>
      </c>
    </row>
    <row r="7323">
      <c r="A7323" s="1" t="str">
        <f>IFERROR(__xludf.DUMMYFUNCTION("""COMPUTED_VALUE"""),"2025 Dec")</f>
        <v>2025 Dec</v>
      </c>
      <c r="B7323" s="2">
        <f>IFERROR(__xludf.DUMMYFUNCTION("""COMPUTED_VALUE"""),46006.0)</f>
        <v>46006</v>
      </c>
      <c r="C7323" s="1" t="str">
        <f>IFERROR(__xludf.DUMMYFUNCTION("""COMPUTED_VALUE"""),"Admin Support")</f>
        <v>Admin Support</v>
      </c>
      <c r="D7323" s="1" t="str">
        <f>IFERROR(__xludf.DUMMYFUNCTION("""COMPUTED_VALUE"""),"09d87fc9-bd97-4b66-b6e5-fc2d50b135a4")</f>
        <v>09d87fc9-bd97-4b66-b6e5-fc2d50b135a4</v>
      </c>
      <c r="E7323" s="1">
        <f>IFERROR(__xludf.DUMMYFUNCTION("""COMPUTED_VALUE"""),3.61725260596E11)</f>
        <v>361725260596</v>
      </c>
      <c r="F7323" s="1"/>
      <c r="G7323" s="1">
        <f>IFERROR(__xludf.DUMMYFUNCTION("""COMPUTED_VALUE"""),5.25)</f>
        <v>5.25</v>
      </c>
      <c r="H7323" s="3">
        <f>IFERROR(__xludf.DUMMYFUNCTION("""COMPUTED_VALUE"""),5.25)</f>
        <v>5.25</v>
      </c>
      <c r="I7323" s="4">
        <f>IFERROR(__xludf.DUMMYFUNCTION("""COMPUTED_VALUE"""),1.0)</f>
        <v>1</v>
      </c>
      <c r="J7323" s="1" t="str">
        <f>IFERROR(__xludf.DUMMYFUNCTION("""COMPUTED_VALUE"""),"AL Suarez")</f>
        <v>AL Suarez</v>
      </c>
      <c r="K7323" s="1" t="str">
        <f>IFERROR(__xludf.DUMMYFUNCTION("""COMPUTED_VALUE"""),"Admin Support PH")</f>
        <v>Admin Support PH</v>
      </c>
      <c r="L7323" s="1" t="str">
        <f>IFERROR(__xludf.DUMMYFUNCTION("""COMPUTED_VALUE"""),"Admin PH")</f>
        <v>Admin PH</v>
      </c>
    </row>
    <row r="7324">
      <c r="A7324" s="1" t="str">
        <f>IFERROR(__xludf.DUMMYFUNCTION("""COMPUTED_VALUE"""),"2025 Dec")</f>
        <v>2025 Dec</v>
      </c>
      <c r="B7324" s="2">
        <f>IFERROR(__xludf.DUMMYFUNCTION("""COMPUTED_VALUE"""),46006.0)</f>
        <v>46006</v>
      </c>
      <c r="C7324" s="1" t="str">
        <f>IFERROR(__xludf.DUMMYFUNCTION("""COMPUTED_VALUE"""),"Core Product Support")</f>
        <v>Core Product Support</v>
      </c>
      <c r="D7324" s="1" t="str">
        <f>IFERROR(__xludf.DUMMYFUNCTION("""COMPUTED_VALUE"""),"f955e205-68df-47fa-8f47-3ee8758dc76e")</f>
        <v>f955e205-68df-47fa-8f47-3ee8758dc76e</v>
      </c>
      <c r="E7324" s="1">
        <f>IFERROR(__xludf.DUMMYFUNCTION("""COMPUTED_VALUE"""),6.839679630095E12)</f>
        <v>6839679630095</v>
      </c>
      <c r="F7324" s="1"/>
      <c r="G7324" s="1"/>
      <c r="H7324" s="3">
        <f>IFERROR(__xludf.DUMMYFUNCTION("""COMPUTED_VALUE"""),0.0)</f>
        <v>0</v>
      </c>
      <c r="I7324" s="4"/>
      <c r="J7324" s="1" t="str">
        <f>IFERROR(__xludf.DUMMYFUNCTION("""COMPUTED_VALUE"""),"Ayza Marie Pascual")</f>
        <v>Ayza Marie Pascual</v>
      </c>
      <c r="K7324" s="1" t="str">
        <f>IFERROR(__xludf.DUMMYFUNCTION("""COMPUTED_VALUE"""),"Advanced Billing &amp; Subscriptions")</f>
        <v>Advanced Billing &amp; Subscriptions</v>
      </c>
      <c r="L7324" s="1" t="str">
        <f>IFERROR(__xludf.DUMMYFUNCTION("""COMPUTED_VALUE"""),"CPS Advanced Billing and Subscriptions (ABS)")</f>
        <v>CPS Advanced Billing and Subscriptions (ABS)</v>
      </c>
    </row>
    <row r="7325">
      <c r="A7325" s="1" t="str">
        <f>IFERROR(__xludf.DUMMYFUNCTION("""COMPUTED_VALUE"""),"2025 Dec")</f>
        <v>2025 Dec</v>
      </c>
      <c r="B7325" s="2">
        <f>IFERROR(__xludf.DUMMYFUNCTION("""COMPUTED_VALUE"""),46006.0)</f>
        <v>46006</v>
      </c>
      <c r="C7325" s="1" t="str">
        <f>IFERROR(__xludf.DUMMYFUNCTION("""COMPUTED_VALUE"""),"Core Product Support")</f>
        <v>Core Product Support</v>
      </c>
      <c r="D7325" s="1" t="str">
        <f>IFERROR(__xludf.DUMMYFUNCTION("""COMPUTED_VALUE"""),"00be8036-de23-4dcc-a683-b039df965fa3")</f>
        <v>00be8036-de23-4dcc-a683-b039df965fa3</v>
      </c>
      <c r="E7325" s="1">
        <f>IFERROR(__xludf.DUMMYFUNCTION("""COMPUTED_VALUE"""),3.61861298295E11)</f>
        <v>361861298295</v>
      </c>
      <c r="F7325" s="1">
        <f>IFERROR(__xludf.DUMMYFUNCTION("""COMPUTED_VALUE"""),0.5)</f>
        <v>0.5</v>
      </c>
      <c r="G7325" s="1">
        <f>IFERROR(__xludf.DUMMYFUNCTION("""COMPUTED_VALUE"""),2.5)</f>
        <v>2.5</v>
      </c>
      <c r="H7325" s="3">
        <f>IFERROR(__xludf.DUMMYFUNCTION("""COMPUTED_VALUE"""),3.0)</f>
        <v>3</v>
      </c>
      <c r="I7325" s="4">
        <f>IFERROR(__xludf.DUMMYFUNCTION("""COMPUTED_VALUE"""),0.8333333333333334)</f>
        <v>0.8333333333</v>
      </c>
      <c r="J7325" s="1" t="str">
        <f>IFERROR(__xludf.DUMMYFUNCTION("""COMPUTED_VALUE"""),"Ellaine Estayo")</f>
        <v>Ellaine Estayo</v>
      </c>
      <c r="K7325" s="1" t="str">
        <f>IFERROR(__xludf.DUMMYFUNCTION("""COMPUTED_VALUE"""),"Core Product Support Escalation Team")</f>
        <v>Core Product Support Escalation Team</v>
      </c>
      <c r="L7325" s="1" t="str">
        <f>IFERROR(__xludf.DUMMYFUNCTION("""COMPUTED_VALUE"""),"CPS Core Product Support Escalations (CPSET)")</f>
        <v>CPS Core Product Support Escalations (CPSET)</v>
      </c>
    </row>
    <row r="7326">
      <c r="A7326" s="1" t="str">
        <f>IFERROR(__xludf.DUMMYFUNCTION("""COMPUTED_VALUE"""),"2025 Dec")</f>
        <v>2025 Dec</v>
      </c>
      <c r="B7326" s="2">
        <f>IFERROR(__xludf.DUMMYFUNCTION("""COMPUTED_VALUE"""),46006.0)</f>
        <v>46006</v>
      </c>
      <c r="C7326" s="1" t="str">
        <f>IFERROR(__xludf.DUMMYFUNCTION("""COMPUTED_VALUE"""),"Core Product Support")</f>
        <v>Core Product Support</v>
      </c>
      <c r="D7326" s="1" t="str">
        <f>IFERROR(__xludf.DUMMYFUNCTION("""COMPUTED_VALUE"""),"5f0096f6-f7a7-4fe8-ac45-0435aaacdfb4")</f>
        <v>5f0096f6-f7a7-4fe8-ac45-0435aaacdfb4</v>
      </c>
      <c r="E7326" s="1">
        <f>IFERROR(__xludf.DUMMYFUNCTION("""COMPUTED_VALUE"""),1.1035371839887E13)</f>
        <v>11035371839887</v>
      </c>
      <c r="F7326" s="1"/>
      <c r="G7326" s="1"/>
      <c r="H7326" s="3">
        <f>IFERROR(__xludf.DUMMYFUNCTION("""COMPUTED_VALUE"""),0.0)</f>
        <v>0</v>
      </c>
      <c r="I7326" s="4"/>
      <c r="J7326" s="1" t="str">
        <f>IFERROR(__xludf.DUMMYFUNCTION("""COMPUTED_VALUE"""),"Ayza Marie Pascual")</f>
        <v>Ayza Marie Pascual</v>
      </c>
      <c r="K7326" s="1" t="str">
        <f>IFERROR(__xludf.DUMMYFUNCTION("""COMPUTED_VALUE"""),"Advanced Billing &amp; Subscriptions")</f>
        <v>Advanced Billing &amp; Subscriptions</v>
      </c>
      <c r="L7326" s="1" t="str">
        <f>IFERROR(__xludf.DUMMYFUNCTION("""COMPUTED_VALUE"""),"CPS Advanced Billing and Subscriptions (ABS)")</f>
        <v>CPS Advanced Billing and Subscriptions (ABS)</v>
      </c>
    </row>
    <row r="7327">
      <c r="A7327" s="1" t="str">
        <f>IFERROR(__xludf.DUMMYFUNCTION("""COMPUTED_VALUE"""),"2025 Dec")</f>
        <v>2025 Dec</v>
      </c>
      <c r="B7327" s="2">
        <f>IFERROR(__xludf.DUMMYFUNCTION("""COMPUTED_VALUE"""),46006.0)</f>
        <v>46006</v>
      </c>
      <c r="C7327" s="1" t="str">
        <f>IFERROR(__xludf.DUMMYFUNCTION("""COMPUTED_VALUE"""),"Print Support")</f>
        <v>Print Support</v>
      </c>
      <c r="D7327" s="1" t="str">
        <f>IFERROR(__xludf.DUMMYFUNCTION("""COMPUTED_VALUE"""),"a5b6f808-7e87-4668-a7a6-2faa138923c8")</f>
        <v>a5b6f808-7e87-4668-a7a6-2faa138923c8</v>
      </c>
      <c r="E7327" s="1">
        <f>IFERROR(__xludf.DUMMYFUNCTION("""COMPUTED_VALUE"""),1.1279766049295E13)</f>
        <v>11279766049295</v>
      </c>
      <c r="F7327" s="1"/>
      <c r="G7327" s="1"/>
      <c r="H7327" s="3">
        <f>IFERROR(__xludf.DUMMYFUNCTION("""COMPUTED_VALUE"""),0.0)</f>
        <v>0</v>
      </c>
      <c r="I7327" s="4"/>
      <c r="J7327" s="1" t="str">
        <f>IFERROR(__xludf.DUMMYFUNCTION("""COMPUTED_VALUE"""),"Jen Momo")</f>
        <v>Jen Momo</v>
      </c>
      <c r="K7327" s="1" t="str">
        <f>IFERROR(__xludf.DUMMYFUNCTION("""COMPUTED_VALUE"""),"Print Support PH")</f>
        <v>Print Support PH</v>
      </c>
      <c r="L7327" s="1" t="str">
        <f>IFERROR(__xludf.DUMMYFUNCTION("""COMPUTED_VALUE"""),"Print Print - CHT")</f>
        <v>Print Print - CHT</v>
      </c>
    </row>
    <row r="7328">
      <c r="A7328" s="1" t="str">
        <f>IFERROR(__xludf.DUMMYFUNCTION("""COMPUTED_VALUE"""),"2025 Dec")</f>
        <v>2025 Dec</v>
      </c>
      <c r="B7328" s="2">
        <f>IFERROR(__xludf.DUMMYFUNCTION("""COMPUTED_VALUE"""),46006.0)</f>
        <v>46006</v>
      </c>
      <c r="C7328" s="1" t="str">
        <f>IFERROR(__xludf.DUMMYFUNCTION("""COMPUTED_VALUE"""),"Core Product Support")</f>
        <v>Core Product Support</v>
      </c>
      <c r="D7328" s="1" t="str">
        <f>IFERROR(__xludf.DUMMYFUNCTION("""COMPUTED_VALUE"""),"e930b948-a2f3-4c3f-8b54-7ddcb5c13c7b")</f>
        <v>e930b948-a2f3-4c3f-8b54-7ddcb5c13c7b</v>
      </c>
      <c r="E7328" s="1">
        <f>IFERROR(__xludf.DUMMYFUNCTION("""COMPUTED_VALUE"""),3.61725113576E11)</f>
        <v>361725113576</v>
      </c>
      <c r="F7328" s="1"/>
      <c r="G7328" s="1"/>
      <c r="H7328" s="3">
        <f>IFERROR(__xludf.DUMMYFUNCTION("""COMPUTED_VALUE"""),0.0)</f>
        <v>0</v>
      </c>
      <c r="I7328" s="4"/>
      <c r="J7328" s="1" t="str">
        <f>IFERROR(__xludf.DUMMYFUNCTION("""COMPUTED_VALUE"""),"Ellaine Estayo")</f>
        <v>Ellaine Estayo</v>
      </c>
      <c r="K7328" s="1" t="str">
        <f>IFERROR(__xludf.DUMMYFUNCTION("""COMPUTED_VALUE"""),"Core Product Support Escalation Team")</f>
        <v>Core Product Support Escalation Team</v>
      </c>
      <c r="L7328" s="1" t="str">
        <f>IFERROR(__xludf.DUMMYFUNCTION("""COMPUTED_VALUE"""),"CPS Core Product Support Escalations (CPSET)")</f>
        <v>CPS Core Product Support Escalations (CPSET)</v>
      </c>
    </row>
    <row r="7329">
      <c r="A7329" s="1" t="str">
        <f>IFERROR(__xludf.DUMMYFUNCTION("""COMPUTED_VALUE"""),"2025 Dec")</f>
        <v>2025 Dec</v>
      </c>
      <c r="B7329" s="2">
        <f>IFERROR(__xludf.DUMMYFUNCTION("""COMPUTED_VALUE"""),46006.0)</f>
        <v>46006</v>
      </c>
      <c r="C7329" s="1" t="str">
        <f>IFERROR(__xludf.DUMMYFUNCTION("""COMPUTED_VALUE"""),"Print Support")</f>
        <v>Print Support</v>
      </c>
      <c r="D7329" s="1" t="str">
        <f>IFERROR(__xludf.DUMMYFUNCTION("""COMPUTED_VALUE"""),"b5bf3764-4c76-47b7-b10d-b1f8e9a0087e")</f>
        <v>b5bf3764-4c76-47b7-b10d-b1f8e9a0087e</v>
      </c>
      <c r="E7329" s="1">
        <f>IFERROR(__xludf.DUMMYFUNCTION("""COMPUTED_VALUE"""),6.839674714895E12)</f>
        <v>6839674714895</v>
      </c>
      <c r="F7329" s="1"/>
      <c r="G7329" s="1"/>
      <c r="H7329" s="3">
        <f>IFERROR(__xludf.DUMMYFUNCTION("""COMPUTED_VALUE"""),0.0)</f>
        <v>0</v>
      </c>
      <c r="I7329" s="4"/>
      <c r="J7329" s="1" t="str">
        <f>IFERROR(__xludf.DUMMYFUNCTION("""COMPUTED_VALUE"""),"Aliza Dote")</f>
        <v>Aliza Dote</v>
      </c>
      <c r="K7329" s="1" t="str">
        <f>IFERROR(__xludf.DUMMYFUNCTION("""COMPUTED_VALUE"""),"Print Design Support")</f>
        <v>Print Design Support</v>
      </c>
      <c r="L7329" s="1" t="str">
        <f>IFERROR(__xludf.DUMMYFUNCTION("""COMPUTED_VALUE"""),"Print Print Design")</f>
        <v>Print Print Design</v>
      </c>
    </row>
    <row r="7330">
      <c r="A7330" s="1" t="str">
        <f>IFERROR(__xludf.DUMMYFUNCTION("""COMPUTED_VALUE"""),"2025 Dec")</f>
        <v>2025 Dec</v>
      </c>
      <c r="B7330" s="2">
        <f>IFERROR(__xludf.DUMMYFUNCTION("""COMPUTED_VALUE"""),46006.0)</f>
        <v>46006</v>
      </c>
      <c r="C7330" s="1" t="str">
        <f>IFERROR(__xludf.DUMMYFUNCTION("""COMPUTED_VALUE"""),"Admin Support")</f>
        <v>Admin Support</v>
      </c>
      <c r="D7330" s="1" t="str">
        <f>IFERROR(__xludf.DUMMYFUNCTION("""COMPUTED_VALUE"""),"d50b210b-01b8-4681-be11-0604b6046af3")</f>
        <v>d50b210b-01b8-4681-be11-0604b6046af3</v>
      </c>
      <c r="E7330" s="1">
        <f>IFERROR(__xludf.DUMMYFUNCTION("""COMPUTED_VALUE"""),1.0333049788943E13)</f>
        <v>10333049788943</v>
      </c>
      <c r="F7330" s="1"/>
      <c r="G7330" s="1">
        <f>IFERROR(__xludf.DUMMYFUNCTION("""COMPUTED_VALUE"""),5.0)</f>
        <v>5</v>
      </c>
      <c r="H7330" s="3">
        <f>IFERROR(__xludf.DUMMYFUNCTION("""COMPUTED_VALUE"""),5.0)</f>
        <v>5</v>
      </c>
      <c r="I7330" s="4">
        <f>IFERROR(__xludf.DUMMYFUNCTION("""COMPUTED_VALUE"""),1.0)</f>
        <v>1</v>
      </c>
      <c r="J7330" s="1" t="str">
        <f>IFERROR(__xludf.DUMMYFUNCTION("""COMPUTED_VALUE"""),"AL Suarez")</f>
        <v>AL Suarez</v>
      </c>
      <c r="K7330" s="1" t="str">
        <f>IFERROR(__xludf.DUMMYFUNCTION("""COMPUTED_VALUE"""),"Advanced Product Support")</f>
        <v>Advanced Product Support</v>
      </c>
      <c r="L7330" s="1" t="str">
        <f>IFERROR(__xludf.DUMMYFUNCTION("""COMPUTED_VALUE"""),"CPS Advanced Product Support (APS)")</f>
        <v>CPS Advanced Product Support (APS)</v>
      </c>
    </row>
    <row r="7331">
      <c r="A7331" s="1" t="str">
        <f>IFERROR(__xludf.DUMMYFUNCTION("""COMPUTED_VALUE"""),"2025 Dec")</f>
        <v>2025 Dec</v>
      </c>
      <c r="B7331" s="2">
        <f>IFERROR(__xludf.DUMMYFUNCTION("""COMPUTED_VALUE"""),46006.0)</f>
        <v>46006</v>
      </c>
      <c r="C7331" s="1" t="str">
        <f>IFERROR(__xludf.DUMMYFUNCTION("""COMPUTED_VALUE"""),"High Sensitivity Support")</f>
        <v>High Sensitivity Support</v>
      </c>
      <c r="D7331" s="1" t="str">
        <f>IFERROR(__xludf.DUMMYFUNCTION("""COMPUTED_VALUE"""),"bdf574f0-069d-4493-a93e-73eb74edd906")</f>
        <v>bdf574f0-069d-4493-a93e-73eb74edd906</v>
      </c>
      <c r="E7331" s="1">
        <f>IFERROR(__xludf.DUMMYFUNCTION("""COMPUTED_VALUE"""),3.61725261136E11)</f>
        <v>361725261136</v>
      </c>
      <c r="F7331" s="1">
        <f>IFERROR(__xludf.DUMMYFUNCTION("""COMPUTED_VALUE"""),4.0)</f>
        <v>4</v>
      </c>
      <c r="G7331" s="1"/>
      <c r="H7331" s="3">
        <f>IFERROR(__xludf.DUMMYFUNCTION("""COMPUTED_VALUE"""),4.0)</f>
        <v>4</v>
      </c>
      <c r="I7331" s="4">
        <f>IFERROR(__xludf.DUMMYFUNCTION("""COMPUTED_VALUE"""),0.0)</f>
        <v>0</v>
      </c>
      <c r="J7331" s="1" t="str">
        <f>IFERROR(__xludf.DUMMYFUNCTION("""COMPUTED_VALUE"""),"Rex Villamor")</f>
        <v>Rex Villamor</v>
      </c>
      <c r="K7331" s="1" t="str">
        <f>IFERROR(__xludf.DUMMYFUNCTION("""COMPUTED_VALUE"""),"High Sensitivity Support PH")</f>
        <v>High Sensitivity Support PH</v>
      </c>
      <c r="L7331" s="1" t="str">
        <f>IFERROR(__xludf.DUMMYFUNCTION("""COMPUTED_VALUE"""),"HSS High Sensitivity Support PH - CHT")</f>
        <v>HSS High Sensitivity Support PH - CHT</v>
      </c>
    </row>
    <row r="7332">
      <c r="A7332" s="1" t="str">
        <f>IFERROR(__xludf.DUMMYFUNCTION("""COMPUTED_VALUE"""),"2025 Dec")</f>
        <v>2025 Dec</v>
      </c>
      <c r="B7332" s="2">
        <f>IFERROR(__xludf.DUMMYFUNCTION("""COMPUTED_VALUE"""),46006.0)</f>
        <v>46006</v>
      </c>
      <c r="C7332" s="1" t="str">
        <f>IFERROR(__xludf.DUMMYFUNCTION("""COMPUTED_VALUE"""),"Core Product Support")</f>
        <v>Core Product Support</v>
      </c>
      <c r="D7332" s="1" t="str">
        <f>IFERROR(__xludf.DUMMYFUNCTION("""COMPUTED_VALUE"""),"1f5a4168-ecb9-42df-a403-8c86095beba7")</f>
        <v>1f5a4168-ecb9-42df-a403-8c86095beba7</v>
      </c>
      <c r="E7332" s="1"/>
      <c r="F7332" s="1">
        <f>IFERROR(__xludf.DUMMYFUNCTION("""COMPUTED_VALUE"""),0.5)</f>
        <v>0.5</v>
      </c>
      <c r="G7332" s="1"/>
      <c r="H7332" s="3">
        <f>IFERROR(__xludf.DUMMYFUNCTION("""COMPUTED_VALUE"""),0.5)</f>
        <v>0.5</v>
      </c>
      <c r="I7332" s="4">
        <f>IFERROR(__xludf.DUMMYFUNCTION("""COMPUTED_VALUE"""),0.0)</f>
        <v>0</v>
      </c>
      <c r="J7332" s="1" t="str">
        <f>IFERROR(__xludf.DUMMYFUNCTION("""COMPUTED_VALUE"""),"Mikhaela Decangchon")</f>
        <v>Mikhaela Decangchon</v>
      </c>
      <c r="K7332" s="1" t="str">
        <f>IFERROR(__xludf.DUMMYFUNCTION("""COMPUTED_VALUE"""),"Advanced Product Support")</f>
        <v>Advanced Product Support</v>
      </c>
      <c r="L7332" s="1" t="str">
        <f>IFERROR(__xludf.DUMMYFUNCTION("""COMPUTED_VALUE"""),"CPS Advanced Product Support (APS)")</f>
        <v>CPS Advanced Product Support (APS)</v>
      </c>
    </row>
    <row r="7333">
      <c r="A7333" s="1" t="str">
        <f>IFERROR(__xludf.DUMMYFUNCTION("""COMPUTED_VALUE"""),"2025 Dec")</f>
        <v>2025 Dec</v>
      </c>
      <c r="B7333" s="2">
        <f>IFERROR(__xludf.DUMMYFUNCTION("""COMPUTED_VALUE"""),46006.0)</f>
        <v>46006</v>
      </c>
      <c r="C7333" s="1" t="str">
        <f>IFERROR(__xludf.DUMMYFUNCTION("""COMPUTED_VALUE"""),"Admin Support")</f>
        <v>Admin Support</v>
      </c>
      <c r="D7333" s="1" t="str">
        <f>IFERROR(__xludf.DUMMYFUNCTION("""COMPUTED_VALUE"""),"a404c935-ed2c-453c-a3d5-0af18b23cb55")</f>
        <v>a404c935-ed2c-453c-a3d5-0af18b23cb55</v>
      </c>
      <c r="E7333" s="1">
        <f>IFERROR(__xludf.DUMMYFUNCTION("""COMPUTED_VALUE"""),3.61731792475E11)</f>
        <v>361731792475</v>
      </c>
      <c r="F7333" s="1"/>
      <c r="G7333" s="1">
        <f>IFERROR(__xludf.DUMMYFUNCTION("""COMPUTED_VALUE"""),12.0)</f>
        <v>12</v>
      </c>
      <c r="H7333" s="3">
        <f>IFERROR(__xludf.DUMMYFUNCTION("""COMPUTED_VALUE"""),12.0)</f>
        <v>12</v>
      </c>
      <c r="I7333" s="4">
        <f>IFERROR(__xludf.DUMMYFUNCTION("""COMPUTED_VALUE"""),1.0)</f>
        <v>1</v>
      </c>
      <c r="J7333" s="1" t="str">
        <f>IFERROR(__xludf.DUMMYFUNCTION("""COMPUTED_VALUE"""),"Karla Mananghaya")</f>
        <v>Karla Mananghaya</v>
      </c>
      <c r="K7333" s="1" t="str">
        <f>IFERROR(__xludf.DUMMYFUNCTION("""COMPUTED_VALUE"""),"Back of House Operations PH")</f>
        <v>Back of House Operations PH</v>
      </c>
      <c r="L7333" s="1" t="str">
        <f>IFERROR(__xludf.DUMMYFUNCTION("""COMPUTED_VALUE"""),"BoHO SEE")</f>
        <v>BoHO SEE</v>
      </c>
    </row>
    <row r="7334">
      <c r="A7334" s="1" t="str">
        <f>IFERROR(__xludf.DUMMYFUNCTION("""COMPUTED_VALUE"""),"2025 Dec")</f>
        <v>2025 Dec</v>
      </c>
      <c r="B7334" s="2">
        <f>IFERROR(__xludf.DUMMYFUNCTION("""COMPUTED_VALUE"""),46006.0)</f>
        <v>46006</v>
      </c>
      <c r="C7334" s="1" t="str">
        <f>IFERROR(__xludf.DUMMYFUNCTION("""COMPUTED_VALUE"""),"Print Support")</f>
        <v>Print Support</v>
      </c>
      <c r="D7334" s="1" t="str">
        <f>IFERROR(__xludf.DUMMYFUNCTION("""COMPUTED_VALUE"""),"d34aba25-1e55-4f8e-b85b-ef3d3928a2d3")</f>
        <v>d34aba25-1e55-4f8e-b85b-ef3d3928a2d3</v>
      </c>
      <c r="E7334" s="1">
        <f>IFERROR(__xludf.DUMMYFUNCTION("""COMPUTED_VALUE"""),5.566810533775E12)</f>
        <v>5566810533775</v>
      </c>
      <c r="F7334" s="1"/>
      <c r="G7334" s="1"/>
      <c r="H7334" s="3">
        <f>IFERROR(__xludf.DUMMYFUNCTION("""COMPUTED_VALUE"""),0.0)</f>
        <v>0</v>
      </c>
      <c r="I7334" s="4"/>
      <c r="J7334" s="1" t="str">
        <f>IFERROR(__xludf.DUMMYFUNCTION("""COMPUTED_VALUE"""),"Althea Mercado")</f>
        <v>Althea Mercado</v>
      </c>
      <c r="K7334" s="1" t="str">
        <f>IFERROR(__xludf.DUMMYFUNCTION("""COMPUTED_VALUE"""),"Print Support PH")</f>
        <v>Print Support PH</v>
      </c>
      <c r="L7334" s="1" t="str">
        <f>IFERROR(__xludf.DUMMYFUNCTION("""COMPUTED_VALUE"""),"Print Print - CHT")</f>
        <v>Print Print - CHT</v>
      </c>
    </row>
    <row r="7335">
      <c r="A7335" s="1" t="str">
        <f>IFERROR(__xludf.DUMMYFUNCTION("""COMPUTED_VALUE"""),"2025 Dec")</f>
        <v>2025 Dec</v>
      </c>
      <c r="B7335" s="2">
        <f>IFERROR(__xludf.DUMMYFUNCTION("""COMPUTED_VALUE"""),46006.0)</f>
        <v>46006</v>
      </c>
      <c r="C7335" s="1" t="str">
        <f>IFERROR(__xludf.DUMMYFUNCTION("""COMPUTED_VALUE"""),"Core Product Support")</f>
        <v>Core Product Support</v>
      </c>
      <c r="D7335" s="1" t="str">
        <f>IFERROR(__xludf.DUMMYFUNCTION("""COMPUTED_VALUE"""),"c5ba42b5-b56e-4880-adbe-57292f722509")</f>
        <v>c5ba42b5-b56e-4880-adbe-57292f722509</v>
      </c>
      <c r="E7335" s="1">
        <f>IFERROR(__xludf.DUMMYFUNCTION("""COMPUTED_VALUE"""),1.1401945362575E13)</f>
        <v>11401945362575</v>
      </c>
      <c r="F7335" s="1">
        <f>IFERROR(__xludf.DUMMYFUNCTION("""COMPUTED_VALUE"""),0.5)</f>
        <v>0.5</v>
      </c>
      <c r="G7335" s="1"/>
      <c r="H7335" s="3">
        <f>IFERROR(__xludf.DUMMYFUNCTION("""COMPUTED_VALUE"""),0.5)</f>
        <v>0.5</v>
      </c>
      <c r="I7335" s="4">
        <f>IFERROR(__xludf.DUMMYFUNCTION("""COMPUTED_VALUE"""),0.0)</f>
        <v>0</v>
      </c>
      <c r="J7335" s="1" t="str">
        <f>IFERROR(__xludf.DUMMYFUNCTION("""COMPUTED_VALUE"""),"Ayza Marie Pascual")</f>
        <v>Ayza Marie Pascual</v>
      </c>
      <c r="K7335" s="1" t="str">
        <f>IFERROR(__xludf.DUMMYFUNCTION("""COMPUTED_VALUE"""),"Advanced Billing &amp; Subscriptions")</f>
        <v>Advanced Billing &amp; Subscriptions</v>
      </c>
      <c r="L7335" s="1" t="str">
        <f>IFERROR(__xludf.DUMMYFUNCTION("""COMPUTED_VALUE"""),"CPS Advanced Billing and Subscriptions (ABS)")</f>
        <v>CPS Advanced Billing and Subscriptions (ABS)</v>
      </c>
    </row>
    <row r="7336">
      <c r="A7336" s="1" t="str">
        <f>IFERROR(__xludf.DUMMYFUNCTION("""COMPUTED_VALUE"""),"2025 Dec")</f>
        <v>2025 Dec</v>
      </c>
      <c r="B7336" s="2">
        <f>IFERROR(__xludf.DUMMYFUNCTION("""COMPUTED_VALUE"""),46006.0)</f>
        <v>46006</v>
      </c>
      <c r="C7336" s="1" t="str">
        <f>IFERROR(__xludf.DUMMYFUNCTION("""COMPUTED_VALUE"""),"Print Support")</f>
        <v>Print Support</v>
      </c>
      <c r="D7336" s="1" t="str">
        <f>IFERROR(__xludf.DUMMYFUNCTION("""COMPUTED_VALUE"""),"f154e992-ffb0-484a-b731-9da1092e886a")</f>
        <v>f154e992-ffb0-484a-b731-9da1092e886a</v>
      </c>
      <c r="E7336" s="1"/>
      <c r="F7336" s="1"/>
      <c r="G7336" s="1"/>
      <c r="H7336" s="3">
        <f>IFERROR(__xludf.DUMMYFUNCTION("""COMPUTED_VALUE"""),0.0)</f>
        <v>0</v>
      </c>
      <c r="I7336" s="4"/>
      <c r="J7336" s="1" t="str">
        <f>IFERROR(__xludf.DUMMYFUNCTION("""COMPUTED_VALUE"""),"Gem Agoncillo")</f>
        <v>Gem Agoncillo</v>
      </c>
      <c r="K7336" s="1" t="str">
        <f>IFERROR(__xludf.DUMMYFUNCTION("""COMPUTED_VALUE"""),"Print Design Support")</f>
        <v>Print Design Support</v>
      </c>
      <c r="L7336" s="1" t="str">
        <f>IFERROR(__xludf.DUMMYFUNCTION("""COMPUTED_VALUE"""),"Print Print Design")</f>
        <v>Print Print Design</v>
      </c>
    </row>
    <row r="7337">
      <c r="A7337" s="1" t="str">
        <f>IFERROR(__xludf.DUMMYFUNCTION("""COMPUTED_VALUE"""),"2025 Dec")</f>
        <v>2025 Dec</v>
      </c>
      <c r="B7337" s="2">
        <f>IFERROR(__xludf.DUMMYFUNCTION("""COMPUTED_VALUE"""),46006.0)</f>
        <v>46006</v>
      </c>
      <c r="C7337" s="1" t="str">
        <f>IFERROR(__xludf.DUMMYFUNCTION("""COMPUTED_VALUE"""),"Core Product Support")</f>
        <v>Core Product Support</v>
      </c>
      <c r="D7337" s="1" t="str">
        <f>IFERROR(__xludf.DUMMYFUNCTION("""COMPUTED_VALUE"""),"123e8c80-f84d-46ba-8ddf-e514a808d270")</f>
        <v>123e8c80-f84d-46ba-8ddf-e514a808d270</v>
      </c>
      <c r="E7337" s="1">
        <f>IFERROR(__xludf.DUMMYFUNCTION("""COMPUTED_VALUE"""),7.235815845903E12)</f>
        <v>7235815845903</v>
      </c>
      <c r="F7337" s="1">
        <f>IFERROR(__xludf.DUMMYFUNCTION("""COMPUTED_VALUE"""),0.5)</f>
        <v>0.5</v>
      </c>
      <c r="G7337" s="1"/>
      <c r="H7337" s="3">
        <f>IFERROR(__xludf.DUMMYFUNCTION("""COMPUTED_VALUE"""),0.5)</f>
        <v>0.5</v>
      </c>
      <c r="I7337" s="4">
        <f>IFERROR(__xludf.DUMMYFUNCTION("""COMPUTED_VALUE"""),0.0)</f>
        <v>0</v>
      </c>
      <c r="J7337" s="1" t="str">
        <f>IFERROR(__xludf.DUMMYFUNCTION("""COMPUTED_VALUE"""),"Marie Mordeno")</f>
        <v>Marie Mordeno</v>
      </c>
      <c r="K7337" s="1" t="str">
        <f>IFERROR(__xludf.DUMMYFUNCTION("""COMPUTED_VALUE"""),"Advanced Billing &amp; Subscriptions")</f>
        <v>Advanced Billing &amp; Subscriptions</v>
      </c>
      <c r="L7337" s="1" t="str">
        <f>IFERROR(__xludf.DUMMYFUNCTION("""COMPUTED_VALUE"""),"CPS Advanced Billing and Subscriptions (ABS)")</f>
        <v>CPS Advanced Billing and Subscriptions (ABS)</v>
      </c>
    </row>
    <row r="7338">
      <c r="A7338" s="1" t="str">
        <f>IFERROR(__xludf.DUMMYFUNCTION("""COMPUTED_VALUE"""),"2025 Dec")</f>
        <v>2025 Dec</v>
      </c>
      <c r="B7338" s="2">
        <f>IFERROR(__xludf.DUMMYFUNCTION("""COMPUTED_VALUE"""),46006.0)</f>
        <v>46006</v>
      </c>
      <c r="C7338" s="1" t="str">
        <f>IFERROR(__xludf.DUMMYFUNCTION("""COMPUTED_VALUE"""),"High Sensitivity Support")</f>
        <v>High Sensitivity Support</v>
      </c>
      <c r="D7338" s="1" t="str">
        <f>IFERROR(__xludf.DUMMYFUNCTION("""COMPUTED_VALUE"""),"12813a5b-5274-49dd-9f6b-59da40c97ee7")</f>
        <v>12813a5b-5274-49dd-9f6b-59da40c97ee7</v>
      </c>
      <c r="E7338" s="1">
        <f>IFERROR(__xludf.DUMMYFUNCTION("""COMPUTED_VALUE"""),9.795905227023E12)</f>
        <v>9795905227023</v>
      </c>
      <c r="F7338" s="1">
        <f>IFERROR(__xludf.DUMMYFUNCTION("""COMPUTED_VALUE"""),4.0)</f>
        <v>4</v>
      </c>
      <c r="G7338" s="1"/>
      <c r="H7338" s="3">
        <f>IFERROR(__xludf.DUMMYFUNCTION("""COMPUTED_VALUE"""),4.0)</f>
        <v>4</v>
      </c>
      <c r="I7338" s="4">
        <f>IFERROR(__xludf.DUMMYFUNCTION("""COMPUTED_VALUE"""),0.0)</f>
        <v>0</v>
      </c>
      <c r="J7338" s="1" t="str">
        <f>IFERROR(__xludf.DUMMYFUNCTION("""COMPUTED_VALUE"""),"Xandy Azarcon")</f>
        <v>Xandy Azarcon</v>
      </c>
      <c r="K7338" s="1" t="str">
        <f>IFERROR(__xludf.DUMMYFUNCTION("""COMPUTED_VALUE"""),"High Sensitivity Support PH")</f>
        <v>High Sensitivity Support PH</v>
      </c>
      <c r="L7338" s="1" t="str">
        <f>IFERROR(__xludf.DUMMYFUNCTION("""COMPUTED_VALUE"""),"HSS High Sensitivity Support PH - CHT")</f>
        <v>HSS High Sensitivity Support PH - CHT</v>
      </c>
    </row>
    <row r="7339">
      <c r="A7339" s="1" t="str">
        <f>IFERROR(__xludf.DUMMYFUNCTION("""COMPUTED_VALUE"""),"2025 Dec")</f>
        <v>2025 Dec</v>
      </c>
      <c r="B7339" s="2">
        <f>IFERROR(__xludf.DUMMYFUNCTION("""COMPUTED_VALUE"""),46006.0)</f>
        <v>46006</v>
      </c>
      <c r="C7339" s="1" t="str">
        <f>IFERROR(__xludf.DUMMYFUNCTION("""COMPUTED_VALUE"""),"Admin Support")</f>
        <v>Admin Support</v>
      </c>
      <c r="D7339" s="1" t="str">
        <f>IFERROR(__xludf.DUMMYFUNCTION("""COMPUTED_VALUE"""),"3a47626d-5d83-4eb3-99f0-da594375a7a4")</f>
        <v>3a47626d-5d83-4eb3-99f0-da594375a7a4</v>
      </c>
      <c r="E7339" s="1">
        <f>IFERROR(__xludf.DUMMYFUNCTION("""COMPUTED_VALUE"""),3.61731944855E11)</f>
        <v>361731944855</v>
      </c>
      <c r="F7339" s="1"/>
      <c r="G7339" s="1">
        <f>IFERROR(__xludf.DUMMYFUNCTION("""COMPUTED_VALUE"""),0.75)</f>
        <v>0.75</v>
      </c>
      <c r="H7339" s="3">
        <f>IFERROR(__xludf.DUMMYFUNCTION("""COMPUTED_VALUE"""),0.75)</f>
        <v>0.75</v>
      </c>
      <c r="I7339" s="4">
        <f>IFERROR(__xludf.DUMMYFUNCTION("""COMPUTED_VALUE"""),1.0)</f>
        <v>1</v>
      </c>
      <c r="J7339" s="1" t="str">
        <f>IFERROR(__xludf.DUMMYFUNCTION("""COMPUTED_VALUE"""),"Pau Palmero")</f>
        <v>Pau Palmero</v>
      </c>
      <c r="K7339" s="1" t="str">
        <f>IFERROR(__xludf.DUMMYFUNCTION("""COMPUTED_VALUE"""),"Admin Support PH CEDD")</f>
        <v>Admin Support PH CEDD</v>
      </c>
      <c r="L7339" s="1" t="str">
        <f>IFERROR(__xludf.DUMMYFUNCTION("""COMPUTED_VALUE"""),"Admin CEDD Apps,Admin CEDD Inbox Mgt")</f>
        <v>Admin CEDD Apps,Admin CEDD Inbox Mgt</v>
      </c>
    </row>
    <row r="7340">
      <c r="A7340" s="1" t="str">
        <f>IFERROR(__xludf.DUMMYFUNCTION("""COMPUTED_VALUE"""),"2025 Dec")</f>
        <v>2025 Dec</v>
      </c>
      <c r="B7340" s="2">
        <f>IFERROR(__xludf.DUMMYFUNCTION("""COMPUTED_VALUE"""),46006.0)</f>
        <v>46006</v>
      </c>
      <c r="C7340" s="1" t="str">
        <f>IFERROR(__xludf.DUMMYFUNCTION("""COMPUTED_VALUE"""),"Core Product Support")</f>
        <v>Core Product Support</v>
      </c>
      <c r="D7340" s="1" t="str">
        <f>IFERROR(__xludf.DUMMYFUNCTION("""COMPUTED_VALUE"""),"4ab45a4c-a376-4058-a184-5b3f466a5947")</f>
        <v>4ab45a4c-a376-4058-a184-5b3f466a5947</v>
      </c>
      <c r="E7340" s="1">
        <f>IFERROR(__xludf.DUMMYFUNCTION("""COMPUTED_VALUE"""),4.967084440335E12)</f>
        <v>4967084440335</v>
      </c>
      <c r="F7340" s="1">
        <f>IFERROR(__xludf.DUMMYFUNCTION("""COMPUTED_VALUE"""),0.5)</f>
        <v>0.5</v>
      </c>
      <c r="G7340" s="1"/>
      <c r="H7340" s="3">
        <f>IFERROR(__xludf.DUMMYFUNCTION("""COMPUTED_VALUE"""),0.5)</f>
        <v>0.5</v>
      </c>
      <c r="I7340" s="4">
        <f>IFERROR(__xludf.DUMMYFUNCTION("""COMPUTED_VALUE"""),0.0)</f>
        <v>0</v>
      </c>
      <c r="J7340" s="1" t="str">
        <f>IFERROR(__xludf.DUMMYFUNCTION("""COMPUTED_VALUE"""),"Vianca De Jesus")</f>
        <v>Vianca De Jesus</v>
      </c>
      <c r="K7340" s="1" t="str">
        <f>IFERROR(__xludf.DUMMYFUNCTION("""COMPUTED_VALUE"""),"Advanced Chat Support")</f>
        <v>Advanced Chat Support</v>
      </c>
      <c r="L7340" s="1" t="str">
        <f>IFERROR(__xludf.DUMMYFUNCTION("""COMPUTED_VALUE"""),"CPS Advanced Chat Support (ACS)")</f>
        <v>CPS Advanced Chat Support (ACS)</v>
      </c>
    </row>
    <row r="7341">
      <c r="A7341" s="1" t="str">
        <f>IFERROR(__xludf.DUMMYFUNCTION("""COMPUTED_VALUE"""),"2025 Dec")</f>
        <v>2025 Dec</v>
      </c>
      <c r="B7341" s="2">
        <f>IFERROR(__xludf.DUMMYFUNCTION("""COMPUTED_VALUE"""),46006.0)</f>
        <v>46006</v>
      </c>
      <c r="C7341" s="1" t="str">
        <f>IFERROR(__xludf.DUMMYFUNCTION("""COMPUTED_VALUE"""),"Print Support")</f>
        <v>Print Support</v>
      </c>
      <c r="D7341" s="1" t="str">
        <f>IFERROR(__xludf.DUMMYFUNCTION("""COMPUTED_VALUE"""),"73b91882-25ef-4c9c-8b6f-9152a825d832")</f>
        <v>73b91882-25ef-4c9c-8b6f-9152a825d832</v>
      </c>
      <c r="E7341" s="1">
        <f>IFERROR(__xludf.DUMMYFUNCTION("""COMPUTED_VALUE"""),3.61825397936E11)</f>
        <v>361825397936</v>
      </c>
      <c r="F7341" s="1"/>
      <c r="G7341" s="1"/>
      <c r="H7341" s="3">
        <f>IFERROR(__xludf.DUMMYFUNCTION("""COMPUTED_VALUE"""),0.0)</f>
        <v>0</v>
      </c>
      <c r="I7341" s="4"/>
      <c r="J7341" s="1" t="str">
        <f>IFERROR(__xludf.DUMMYFUNCTION("""COMPUTED_VALUE"""),"Jan Domingo")</f>
        <v>Jan Domingo</v>
      </c>
      <c r="K7341" s="1" t="str">
        <f>IFERROR(__xludf.DUMMYFUNCTION("""COMPUTED_VALUE"""),"Print Design Support")</f>
        <v>Print Design Support</v>
      </c>
      <c r="L7341" s="1" t="str">
        <f>IFERROR(__xludf.DUMMYFUNCTION("""COMPUTED_VALUE"""),"Print Print Design")</f>
        <v>Print Print Design</v>
      </c>
    </row>
    <row r="7342">
      <c r="A7342" s="1" t="str">
        <f>IFERROR(__xludf.DUMMYFUNCTION("""COMPUTED_VALUE"""),"2025 Dec")</f>
        <v>2025 Dec</v>
      </c>
      <c r="B7342" s="2">
        <f>IFERROR(__xludf.DUMMYFUNCTION("""COMPUTED_VALUE"""),46006.0)</f>
        <v>46006</v>
      </c>
      <c r="C7342" s="1" t="str">
        <f>IFERROR(__xludf.DUMMYFUNCTION("""COMPUTED_VALUE"""),"Core Product Support")</f>
        <v>Core Product Support</v>
      </c>
      <c r="D7342" s="1" t="str">
        <f>IFERROR(__xludf.DUMMYFUNCTION("""COMPUTED_VALUE"""),"75169e9a-969f-480f-aae4-eff49591cf56")</f>
        <v>75169e9a-969f-480f-aae4-eff49591cf56</v>
      </c>
      <c r="E7342" s="1"/>
      <c r="F7342" s="1">
        <f>IFERROR(__xludf.DUMMYFUNCTION("""COMPUTED_VALUE"""),0.5)</f>
        <v>0.5</v>
      </c>
      <c r="G7342" s="1"/>
      <c r="H7342" s="3">
        <f>IFERROR(__xludf.DUMMYFUNCTION("""COMPUTED_VALUE"""),0.5)</f>
        <v>0.5</v>
      </c>
      <c r="I7342" s="4">
        <f>IFERROR(__xludf.DUMMYFUNCTION("""COMPUTED_VALUE"""),0.0)</f>
        <v>0</v>
      </c>
      <c r="J7342" s="1" t="str">
        <f>IFERROR(__xludf.DUMMYFUNCTION("""COMPUTED_VALUE"""),"Jelyn Elmido")</f>
        <v>Jelyn Elmido</v>
      </c>
      <c r="K7342" s="1" t="str">
        <f>IFERROR(__xludf.DUMMYFUNCTION("""COMPUTED_VALUE"""),"Advanced Product Support")</f>
        <v>Advanced Product Support</v>
      </c>
      <c r="L7342" s="1" t="str">
        <f>IFERROR(__xludf.DUMMYFUNCTION("""COMPUTED_VALUE"""),"CPS Advanced Product Support (APS)")</f>
        <v>CPS Advanced Product Support (APS)</v>
      </c>
    </row>
    <row r="7343">
      <c r="A7343" s="1" t="str">
        <f>IFERROR(__xludf.DUMMYFUNCTION("""COMPUTED_VALUE"""),"2025 Dec")</f>
        <v>2025 Dec</v>
      </c>
      <c r="B7343" s="2">
        <f>IFERROR(__xludf.DUMMYFUNCTION("""COMPUTED_VALUE"""),46006.0)</f>
        <v>46006</v>
      </c>
      <c r="C7343" s="1" t="str">
        <f>IFERROR(__xludf.DUMMYFUNCTION("""COMPUTED_VALUE"""),"Core Product Support")</f>
        <v>Core Product Support</v>
      </c>
      <c r="D7343" s="1" t="str">
        <f>IFERROR(__xludf.DUMMYFUNCTION("""COMPUTED_VALUE"""),"d235389b-3321-47e0-9816-c2275d682304")</f>
        <v>d235389b-3321-47e0-9816-c2275d682304</v>
      </c>
      <c r="E7343" s="1">
        <f>IFERROR(__xludf.DUMMYFUNCTION("""COMPUTED_VALUE"""),5.202378916623E12)</f>
        <v>5202378916623</v>
      </c>
      <c r="F7343" s="1">
        <f>IFERROR(__xludf.DUMMYFUNCTION("""COMPUTED_VALUE"""),0.5)</f>
        <v>0.5</v>
      </c>
      <c r="G7343" s="1">
        <f>IFERROR(__xludf.DUMMYFUNCTION("""COMPUTED_VALUE"""),1.5)</f>
        <v>1.5</v>
      </c>
      <c r="H7343" s="3">
        <f>IFERROR(__xludf.DUMMYFUNCTION("""COMPUTED_VALUE"""),2.0)</f>
        <v>2</v>
      </c>
      <c r="I7343" s="4">
        <f>IFERROR(__xludf.DUMMYFUNCTION("""COMPUTED_VALUE"""),0.75)</f>
        <v>0.75</v>
      </c>
      <c r="J7343" s="1" t="str">
        <f>IFERROR(__xludf.DUMMYFUNCTION("""COMPUTED_VALUE"""),"Renette Bok")</f>
        <v>Renette Bok</v>
      </c>
      <c r="K7343" s="1" t="str">
        <f>IFERROR(__xludf.DUMMYFUNCTION("""COMPUTED_VALUE"""),"Advanced Billing &amp; Subscriptions")</f>
        <v>Advanced Billing &amp; Subscriptions</v>
      </c>
      <c r="L7343" s="1" t="str">
        <f>IFERROR(__xludf.DUMMYFUNCTION("""COMPUTED_VALUE"""),"CPS Advanced Billing and Subscriptions (ABS)")</f>
        <v>CPS Advanced Billing and Subscriptions (ABS)</v>
      </c>
    </row>
    <row r="7344">
      <c r="A7344" s="1" t="str">
        <f>IFERROR(__xludf.DUMMYFUNCTION("""COMPUTED_VALUE"""),"2025 Dec")</f>
        <v>2025 Dec</v>
      </c>
      <c r="B7344" s="2">
        <f>IFERROR(__xludf.DUMMYFUNCTION("""COMPUTED_VALUE"""),46006.0)</f>
        <v>46006</v>
      </c>
      <c r="C7344" s="1" t="str">
        <f>IFERROR(__xludf.DUMMYFUNCTION("""COMPUTED_VALUE"""),"Core Product Support")</f>
        <v>Core Product Support</v>
      </c>
      <c r="D7344" s="1" t="str">
        <f>IFERROR(__xludf.DUMMYFUNCTION("""COMPUTED_VALUE"""),"e5eebde5-1bdf-4fc4-a4e5-e5f13689363d")</f>
        <v>e5eebde5-1bdf-4fc4-a4e5-e5f13689363d</v>
      </c>
      <c r="E7344" s="1">
        <f>IFERROR(__xludf.DUMMYFUNCTION("""COMPUTED_VALUE"""),8.303581036047E12)</f>
        <v>8303581036047</v>
      </c>
      <c r="F7344" s="1"/>
      <c r="G7344" s="1"/>
      <c r="H7344" s="3">
        <f>IFERROR(__xludf.DUMMYFUNCTION("""COMPUTED_VALUE"""),0.0)</f>
        <v>0</v>
      </c>
      <c r="I7344" s="4"/>
      <c r="J7344" s="1" t="str">
        <f>IFERROR(__xludf.DUMMYFUNCTION("""COMPUTED_VALUE"""),"Jelyn Elmido")</f>
        <v>Jelyn Elmido</v>
      </c>
      <c r="K7344" s="1" t="str">
        <f>IFERROR(__xludf.DUMMYFUNCTION("""COMPUTED_VALUE"""),"Advanced Product Support")</f>
        <v>Advanced Product Support</v>
      </c>
      <c r="L7344" s="1" t="str">
        <f>IFERROR(__xludf.DUMMYFUNCTION("""COMPUTED_VALUE"""),"CPS Advanced Product Support (APS)")</f>
        <v>CPS Advanced Product Support (APS)</v>
      </c>
    </row>
    <row r="7345">
      <c r="A7345" s="1" t="str">
        <f>IFERROR(__xludf.DUMMYFUNCTION("""COMPUTED_VALUE"""),"2025 Dec")</f>
        <v>2025 Dec</v>
      </c>
      <c r="B7345" s="2">
        <f>IFERROR(__xludf.DUMMYFUNCTION("""COMPUTED_VALUE"""),46006.0)</f>
        <v>46006</v>
      </c>
      <c r="C7345" s="1" t="str">
        <f>IFERROR(__xludf.DUMMYFUNCTION("""COMPUTED_VALUE"""),"Admin Support")</f>
        <v>Admin Support</v>
      </c>
      <c r="D7345" s="1" t="str">
        <f>IFERROR(__xludf.DUMMYFUNCTION("""COMPUTED_VALUE"""),"298d5f55-b7f6-4164-b84e-face9b3cbecb")</f>
        <v>298d5f55-b7f6-4164-b84e-face9b3cbecb</v>
      </c>
      <c r="E7345" s="1">
        <f>IFERROR(__xludf.DUMMYFUNCTION("""COMPUTED_VALUE"""),6.182237177103E12)</f>
        <v>6182237177103</v>
      </c>
      <c r="F7345" s="1"/>
      <c r="G7345" s="1">
        <f>IFERROR(__xludf.DUMMYFUNCTION("""COMPUTED_VALUE"""),0.25)</f>
        <v>0.25</v>
      </c>
      <c r="H7345" s="3">
        <f>IFERROR(__xludf.DUMMYFUNCTION("""COMPUTED_VALUE"""),0.25)</f>
        <v>0.25</v>
      </c>
      <c r="I7345" s="4">
        <f>IFERROR(__xludf.DUMMYFUNCTION("""COMPUTED_VALUE"""),1.0)</f>
        <v>1</v>
      </c>
      <c r="J7345" s="1" t="str">
        <f>IFERROR(__xludf.DUMMYFUNCTION("""COMPUTED_VALUE"""),"AL Suarez")</f>
        <v>AL Suarez</v>
      </c>
      <c r="K7345" s="1" t="str">
        <f>IFERROR(__xludf.DUMMYFUNCTION("""COMPUTED_VALUE"""),"Admin Support PH")</f>
        <v>Admin Support PH</v>
      </c>
      <c r="L7345" s="1" t="str">
        <f>IFERROR(__xludf.DUMMYFUNCTION("""COMPUTED_VALUE"""),"Admin PH")</f>
        <v>Admin PH</v>
      </c>
    </row>
    <row r="7346">
      <c r="A7346" s="1" t="str">
        <f>IFERROR(__xludf.DUMMYFUNCTION("""COMPUTED_VALUE"""),"2025 Dec")</f>
        <v>2025 Dec</v>
      </c>
      <c r="B7346" s="2">
        <f>IFERROR(__xludf.DUMMYFUNCTION("""COMPUTED_VALUE"""),46006.0)</f>
        <v>46006</v>
      </c>
      <c r="C7346" s="1" t="str">
        <f>IFERROR(__xludf.DUMMYFUNCTION("""COMPUTED_VALUE"""),"Admin Support")</f>
        <v>Admin Support</v>
      </c>
      <c r="D7346" s="1" t="str">
        <f>IFERROR(__xludf.DUMMYFUNCTION("""COMPUTED_VALUE"""),"bb9992e4-86b4-4be4-9177-e09f03299559")</f>
        <v>bb9992e4-86b4-4be4-9177-e09f03299559</v>
      </c>
      <c r="E7346" s="1">
        <f>IFERROR(__xludf.DUMMYFUNCTION("""COMPUTED_VALUE"""),3.61724830696E11)</f>
        <v>361724830696</v>
      </c>
      <c r="F7346" s="1"/>
      <c r="G7346" s="1">
        <f>IFERROR(__xludf.DUMMYFUNCTION("""COMPUTED_VALUE"""),1.5)</f>
        <v>1.5</v>
      </c>
      <c r="H7346" s="3">
        <f>IFERROR(__xludf.DUMMYFUNCTION("""COMPUTED_VALUE"""),1.5)</f>
        <v>1.5</v>
      </c>
      <c r="I7346" s="4">
        <f>IFERROR(__xludf.DUMMYFUNCTION("""COMPUTED_VALUE"""),1.0)</f>
        <v>1</v>
      </c>
      <c r="J7346" s="1" t="str">
        <f>IFERROR(__xludf.DUMMYFUNCTION("""COMPUTED_VALUE"""),"Rose Gabilan")</f>
        <v>Rose Gabilan</v>
      </c>
      <c r="K7346" s="1" t="str">
        <f>IFERROR(__xludf.DUMMYFUNCTION("""COMPUTED_VALUE"""),"Admin Support PH SSO")</f>
        <v>Admin Support PH SSO</v>
      </c>
      <c r="L7346" s="1" t="str">
        <f>IFERROR(__xludf.DUMMYFUNCTION("""COMPUTED_VALUE"""),"Admin SSO - CHT")</f>
        <v>Admin SSO - CHT</v>
      </c>
    </row>
    <row r="7347">
      <c r="A7347" s="1" t="str">
        <f>IFERROR(__xludf.DUMMYFUNCTION("""COMPUTED_VALUE"""),"2025 Dec")</f>
        <v>2025 Dec</v>
      </c>
      <c r="B7347" s="2">
        <f>IFERROR(__xludf.DUMMYFUNCTION("""COMPUTED_VALUE"""),46006.0)</f>
        <v>46006</v>
      </c>
      <c r="C7347" s="1" t="str">
        <f>IFERROR(__xludf.DUMMYFUNCTION("""COMPUTED_VALUE"""),"Core Product Support")</f>
        <v>Core Product Support</v>
      </c>
      <c r="D7347" s="1" t="str">
        <f>IFERROR(__xludf.DUMMYFUNCTION("""COMPUTED_VALUE"""),"1fa942bd-1815-4054-9636-810d3c7d937c")</f>
        <v>1fa942bd-1815-4054-9636-810d3c7d937c</v>
      </c>
      <c r="E7347" s="1">
        <f>IFERROR(__xludf.DUMMYFUNCTION("""COMPUTED_VALUE"""),3.61731348455E11)</f>
        <v>361731348455</v>
      </c>
      <c r="F7347" s="1">
        <f>IFERROR(__xludf.DUMMYFUNCTION("""COMPUTED_VALUE"""),0.5)</f>
        <v>0.5</v>
      </c>
      <c r="G7347" s="1">
        <f>IFERROR(__xludf.DUMMYFUNCTION("""COMPUTED_VALUE"""),2.0)</f>
        <v>2</v>
      </c>
      <c r="H7347" s="3">
        <f>IFERROR(__xludf.DUMMYFUNCTION("""COMPUTED_VALUE"""),2.5)</f>
        <v>2.5</v>
      </c>
      <c r="I7347" s="4">
        <f>IFERROR(__xludf.DUMMYFUNCTION("""COMPUTED_VALUE"""),0.8)</f>
        <v>0.8</v>
      </c>
      <c r="J7347" s="1" t="str">
        <f>IFERROR(__xludf.DUMMYFUNCTION("""COMPUTED_VALUE"""),"Sieg Ballelos")</f>
        <v>Sieg Ballelos</v>
      </c>
      <c r="K7347" s="1" t="str">
        <f>IFERROR(__xludf.DUMMYFUNCTION("""COMPUTED_VALUE"""),"Core Product Support Escalation Team")</f>
        <v>Core Product Support Escalation Team</v>
      </c>
      <c r="L7347" s="1" t="str">
        <f>IFERROR(__xludf.DUMMYFUNCTION("""COMPUTED_VALUE"""),"CPS Core Product Support Escalations (CPSET)")</f>
        <v>CPS Core Product Support Escalations (CPSET)</v>
      </c>
    </row>
    <row r="7348">
      <c r="A7348" s="1" t="str">
        <f>IFERROR(__xludf.DUMMYFUNCTION("""COMPUTED_VALUE"""),"2025 Dec")</f>
        <v>2025 Dec</v>
      </c>
      <c r="B7348" s="2">
        <f>IFERROR(__xludf.DUMMYFUNCTION("""COMPUTED_VALUE"""),46006.0)</f>
        <v>46006</v>
      </c>
      <c r="C7348" s="1" t="str">
        <f>IFERROR(__xludf.DUMMYFUNCTION("""COMPUTED_VALUE"""),"Core Product Support")</f>
        <v>Core Product Support</v>
      </c>
      <c r="D7348" s="1" t="str">
        <f>IFERROR(__xludf.DUMMYFUNCTION("""COMPUTED_VALUE"""),"b366931c-0597-40c7-babb-0a89ffc75e01")</f>
        <v>b366931c-0597-40c7-babb-0a89ffc75e01</v>
      </c>
      <c r="E7348" s="1"/>
      <c r="F7348" s="1">
        <f>IFERROR(__xludf.DUMMYFUNCTION("""COMPUTED_VALUE"""),0.5)</f>
        <v>0.5</v>
      </c>
      <c r="G7348" s="1"/>
      <c r="H7348" s="3">
        <f>IFERROR(__xludf.DUMMYFUNCTION("""COMPUTED_VALUE"""),0.5)</f>
        <v>0.5</v>
      </c>
      <c r="I7348" s="4">
        <f>IFERROR(__xludf.DUMMYFUNCTION("""COMPUTED_VALUE"""),0.0)</f>
        <v>0</v>
      </c>
      <c r="J7348" s="1" t="str">
        <f>IFERROR(__xludf.DUMMYFUNCTION("""COMPUTED_VALUE"""),"Marie Mordeno")</f>
        <v>Marie Mordeno</v>
      </c>
      <c r="K7348" s="1" t="str">
        <f>IFERROR(__xludf.DUMMYFUNCTION("""COMPUTED_VALUE"""),"Advanced Billing &amp; Subscriptions")</f>
        <v>Advanced Billing &amp; Subscriptions</v>
      </c>
      <c r="L7348" s="1" t="str">
        <f>IFERROR(__xludf.DUMMYFUNCTION("""COMPUTED_VALUE"""),"CPS Advanced Billing and Subscriptions (ABS)")</f>
        <v>CPS Advanced Billing and Subscriptions (ABS)</v>
      </c>
    </row>
    <row r="7349">
      <c r="A7349" s="1" t="str">
        <f>IFERROR(__xludf.DUMMYFUNCTION("""COMPUTED_VALUE"""),"2025 Dec")</f>
        <v>2025 Dec</v>
      </c>
      <c r="B7349" s="2">
        <f>IFERROR(__xludf.DUMMYFUNCTION("""COMPUTED_VALUE"""),46006.0)</f>
        <v>46006</v>
      </c>
      <c r="C7349" s="1" t="str">
        <f>IFERROR(__xludf.DUMMYFUNCTION("""COMPUTED_VALUE"""),"Core Product Support")</f>
        <v>Core Product Support</v>
      </c>
      <c r="D7349" s="1" t="str">
        <f>IFERROR(__xludf.DUMMYFUNCTION("""COMPUTED_VALUE"""),"d8cafb49-0513-4066-8298-8198c1c303c8")</f>
        <v>d8cafb49-0513-4066-8298-8198c1c303c8</v>
      </c>
      <c r="E7349" s="1">
        <f>IFERROR(__xludf.DUMMYFUNCTION("""COMPUTED_VALUE"""),5.566859239951E12)</f>
        <v>5566859239951</v>
      </c>
      <c r="F7349" s="1"/>
      <c r="G7349" s="1">
        <f>IFERROR(__xludf.DUMMYFUNCTION("""COMPUTED_VALUE"""),1.5)</f>
        <v>1.5</v>
      </c>
      <c r="H7349" s="3">
        <f>IFERROR(__xludf.DUMMYFUNCTION("""COMPUTED_VALUE"""),1.5)</f>
        <v>1.5</v>
      </c>
      <c r="I7349" s="4">
        <f>IFERROR(__xludf.DUMMYFUNCTION("""COMPUTED_VALUE"""),1.0)</f>
        <v>1</v>
      </c>
      <c r="J7349" s="1" t="str">
        <f>IFERROR(__xludf.DUMMYFUNCTION("""COMPUTED_VALUE"""),"Jahmie Mae Barrameda")</f>
        <v>Jahmie Mae Barrameda</v>
      </c>
      <c r="K7349" s="1" t="str">
        <f>IFERROR(__xludf.DUMMYFUNCTION("""COMPUTED_VALUE"""),"Advanced Billing &amp; Subscriptions")</f>
        <v>Advanced Billing &amp; Subscriptions</v>
      </c>
      <c r="L7349" s="1" t="str">
        <f>IFERROR(__xludf.DUMMYFUNCTION("""COMPUTED_VALUE"""),"CPS Advanced Billing and Subscriptions (ABS)")</f>
        <v>CPS Advanced Billing and Subscriptions (ABS)</v>
      </c>
    </row>
    <row r="7350">
      <c r="A7350" s="1" t="str">
        <f>IFERROR(__xludf.DUMMYFUNCTION("""COMPUTED_VALUE"""),"2025 Dec")</f>
        <v>2025 Dec</v>
      </c>
      <c r="B7350" s="2">
        <f>IFERROR(__xludf.DUMMYFUNCTION("""COMPUTED_VALUE"""),46006.0)</f>
        <v>46006</v>
      </c>
      <c r="C7350" s="1" t="str">
        <f>IFERROR(__xludf.DUMMYFUNCTION("""COMPUTED_VALUE"""),"Print Support")</f>
        <v>Print Support</v>
      </c>
      <c r="D7350" s="1" t="str">
        <f>IFERROR(__xludf.DUMMYFUNCTION("""COMPUTED_VALUE"""),"b38dd32d-e840-4454-9bff-9270032e26ec")</f>
        <v>b38dd32d-e840-4454-9bff-9270032e26ec</v>
      </c>
      <c r="E7350" s="1">
        <f>IFERROR(__xludf.DUMMYFUNCTION("""COMPUTED_VALUE"""),1.1279671882767E13)</f>
        <v>11279671882767</v>
      </c>
      <c r="F7350" s="1"/>
      <c r="G7350" s="1"/>
      <c r="H7350" s="3">
        <f>IFERROR(__xludf.DUMMYFUNCTION("""COMPUTED_VALUE"""),0.0)</f>
        <v>0</v>
      </c>
      <c r="I7350" s="4"/>
      <c r="J7350" s="1" t="str">
        <f>IFERROR(__xludf.DUMMYFUNCTION("""COMPUTED_VALUE"""),"Jen Momo")</f>
        <v>Jen Momo</v>
      </c>
      <c r="K7350" s="1" t="str">
        <f>IFERROR(__xludf.DUMMYFUNCTION("""COMPUTED_VALUE"""),"Print Support PH")</f>
        <v>Print Support PH</v>
      </c>
      <c r="L7350" s="1" t="str">
        <f>IFERROR(__xludf.DUMMYFUNCTION("""COMPUTED_VALUE"""),"Print Print - CHT")</f>
        <v>Print Print - CHT</v>
      </c>
    </row>
    <row r="7351">
      <c r="A7351" s="1" t="str">
        <f>IFERROR(__xludf.DUMMYFUNCTION("""COMPUTED_VALUE"""),"2025 Dec")</f>
        <v>2025 Dec</v>
      </c>
      <c r="B7351" s="2">
        <f>IFERROR(__xludf.DUMMYFUNCTION("""COMPUTED_VALUE"""),46006.0)</f>
        <v>46006</v>
      </c>
      <c r="C7351" s="1" t="str">
        <f>IFERROR(__xludf.DUMMYFUNCTION("""COMPUTED_VALUE"""),"Print Support")</f>
        <v>Print Support</v>
      </c>
      <c r="D7351" s="1" t="str">
        <f>IFERROR(__xludf.DUMMYFUNCTION("""COMPUTED_VALUE"""),"f6ab909a-8fae-4139-af23-d06c28a32b8c")</f>
        <v>f6ab909a-8fae-4139-af23-d06c28a32b8c</v>
      </c>
      <c r="E7351" s="1">
        <f>IFERROR(__xludf.DUMMYFUNCTION("""COMPUTED_VALUE"""),3.61724667376E11)</f>
        <v>361724667376</v>
      </c>
      <c r="F7351" s="1"/>
      <c r="G7351" s="1"/>
      <c r="H7351" s="3">
        <f>IFERROR(__xludf.DUMMYFUNCTION("""COMPUTED_VALUE"""),0.0)</f>
        <v>0</v>
      </c>
      <c r="I7351" s="4"/>
      <c r="J7351" s="1" t="str">
        <f>IFERROR(__xludf.DUMMYFUNCTION("""COMPUTED_VALUE"""),"Ann Dumlao")</f>
        <v>Ann Dumlao</v>
      </c>
      <c r="K7351" s="1" t="str">
        <f>IFERROR(__xludf.DUMMYFUNCTION("""COMPUTED_VALUE"""),"Print Support PH")</f>
        <v>Print Support PH</v>
      </c>
      <c r="L7351" s="1" t="str">
        <f>IFERROR(__xludf.DUMMYFUNCTION("""COMPUTED_VALUE"""),"Print Print - CHT")</f>
        <v>Print Print - CHT</v>
      </c>
    </row>
    <row r="7352">
      <c r="A7352" s="1" t="str">
        <f>IFERROR(__xludf.DUMMYFUNCTION("""COMPUTED_VALUE"""),"2025 Dec")</f>
        <v>2025 Dec</v>
      </c>
      <c r="B7352" s="2">
        <f>IFERROR(__xludf.DUMMYFUNCTION("""COMPUTED_VALUE"""),46006.0)</f>
        <v>46006</v>
      </c>
      <c r="C7352" s="1" t="str">
        <f>IFERROR(__xludf.DUMMYFUNCTION("""COMPUTED_VALUE"""),"Admin Support")</f>
        <v>Admin Support</v>
      </c>
      <c r="D7352" s="1" t="str">
        <f>IFERROR(__xludf.DUMMYFUNCTION("""COMPUTED_VALUE"""),"2440a395-2ee9-49c8-95dd-ec980955ac7b")</f>
        <v>2440a395-2ee9-49c8-95dd-ec980955ac7b</v>
      </c>
      <c r="E7352" s="1">
        <f>IFERROR(__xludf.DUMMYFUNCTION("""COMPUTED_VALUE"""),3.61725375656E11)</f>
        <v>361725375656</v>
      </c>
      <c r="F7352" s="1"/>
      <c r="G7352" s="1"/>
      <c r="H7352" s="3">
        <f>IFERROR(__xludf.DUMMYFUNCTION("""COMPUTED_VALUE"""),0.0)</f>
        <v>0</v>
      </c>
      <c r="I7352" s="4"/>
      <c r="J7352" s="1" t="str">
        <f>IFERROR(__xludf.DUMMYFUNCTION("""COMPUTED_VALUE"""),"Karla Mananghaya")</f>
        <v>Karla Mananghaya</v>
      </c>
      <c r="K7352" s="1" t="str">
        <f>IFERROR(__xludf.DUMMYFUNCTION("""COMPUTED_VALUE"""),"Back of House Operations PH")</f>
        <v>Back of House Operations PH</v>
      </c>
      <c r="L7352" s="1" t="str">
        <f>IFERROR(__xludf.DUMMYFUNCTION("""COMPUTED_VALUE"""),"BoHO SEE")</f>
        <v>BoHO SEE</v>
      </c>
    </row>
    <row r="7353">
      <c r="A7353" s="1" t="str">
        <f>IFERROR(__xludf.DUMMYFUNCTION("""COMPUTED_VALUE"""),"2025 Dec")</f>
        <v>2025 Dec</v>
      </c>
      <c r="B7353" s="2">
        <f>IFERROR(__xludf.DUMMYFUNCTION("""COMPUTED_VALUE"""),46006.0)</f>
        <v>46006</v>
      </c>
      <c r="C7353" s="1" t="str">
        <f>IFERROR(__xludf.DUMMYFUNCTION("""COMPUTED_VALUE"""),"High Sensitivity Support")</f>
        <v>High Sensitivity Support</v>
      </c>
      <c r="D7353" s="1" t="str">
        <f>IFERROR(__xludf.DUMMYFUNCTION("""COMPUTED_VALUE"""),"0bb396c0-8b48-4382-addc-66818b7167ec")</f>
        <v>0bb396c0-8b48-4382-addc-66818b7167ec</v>
      </c>
      <c r="E7353" s="1">
        <f>IFERROR(__xludf.DUMMYFUNCTION("""COMPUTED_VALUE"""),5.566867976335E12)</f>
        <v>5566867976335</v>
      </c>
      <c r="F7353" s="1"/>
      <c r="G7353" s="1"/>
      <c r="H7353" s="3">
        <f>IFERROR(__xludf.DUMMYFUNCTION("""COMPUTED_VALUE"""),0.0)</f>
        <v>0</v>
      </c>
      <c r="I7353" s="4"/>
      <c r="J7353" s="1" t="str">
        <f>IFERROR(__xludf.DUMMYFUNCTION("""COMPUTED_VALUE"""),"Issi Afable")</f>
        <v>Issi Afable</v>
      </c>
      <c r="K7353" s="1" t="str">
        <f>IFERROR(__xludf.DUMMYFUNCTION("""COMPUTED_VALUE"""),"High Sensitivity Support PH")</f>
        <v>High Sensitivity Support PH</v>
      </c>
      <c r="L7353" s="1" t="str">
        <f>IFERROR(__xludf.DUMMYFUNCTION("""COMPUTED_VALUE"""),"HSS High Sensitivity Support PH - SEE")</f>
        <v>HSS High Sensitivity Support PH - SEE</v>
      </c>
    </row>
    <row r="7354">
      <c r="A7354" s="1" t="str">
        <f>IFERROR(__xludf.DUMMYFUNCTION("""COMPUTED_VALUE"""),"2025 Dec")</f>
        <v>2025 Dec</v>
      </c>
      <c r="B7354" s="2">
        <f>IFERROR(__xludf.DUMMYFUNCTION("""COMPUTED_VALUE"""),46006.0)</f>
        <v>46006</v>
      </c>
      <c r="C7354" s="1" t="str">
        <f>IFERROR(__xludf.DUMMYFUNCTION("""COMPUTED_VALUE"""),"Print Support")</f>
        <v>Print Support</v>
      </c>
      <c r="D7354" s="1" t="str">
        <f>IFERROR(__xludf.DUMMYFUNCTION("""COMPUTED_VALUE"""),"bfafe2d2-bab4-4d76-87e0-5b42d5285805")</f>
        <v>bfafe2d2-bab4-4d76-87e0-5b42d5285805</v>
      </c>
      <c r="E7354" s="1">
        <f>IFERROR(__xludf.DUMMYFUNCTION("""COMPUTED_VALUE"""),5.202379009423E12)</f>
        <v>5202379009423</v>
      </c>
      <c r="F7354" s="1"/>
      <c r="G7354" s="1"/>
      <c r="H7354" s="3">
        <f>IFERROR(__xludf.DUMMYFUNCTION("""COMPUTED_VALUE"""),0.0)</f>
        <v>0</v>
      </c>
      <c r="I7354" s="4"/>
      <c r="J7354" s="1" t="str">
        <f>IFERROR(__xludf.DUMMYFUNCTION("""COMPUTED_VALUE"""),"Althea Mercado")</f>
        <v>Althea Mercado</v>
      </c>
      <c r="K7354" s="1" t="str">
        <f>IFERROR(__xludf.DUMMYFUNCTION("""COMPUTED_VALUE"""),"Print Support PH")</f>
        <v>Print Support PH</v>
      </c>
      <c r="L7354" s="1" t="str">
        <f>IFERROR(__xludf.DUMMYFUNCTION("""COMPUTED_VALUE"""),"Print Print - CHT")</f>
        <v>Print Print - CHT</v>
      </c>
    </row>
    <row r="7355">
      <c r="A7355" s="1" t="str">
        <f>IFERROR(__xludf.DUMMYFUNCTION("""COMPUTED_VALUE"""),"2025 Dec")</f>
        <v>2025 Dec</v>
      </c>
      <c r="B7355" s="2">
        <f>IFERROR(__xludf.DUMMYFUNCTION("""COMPUTED_VALUE"""),46006.0)</f>
        <v>46006</v>
      </c>
      <c r="C7355" s="1" t="str">
        <f>IFERROR(__xludf.DUMMYFUNCTION("""COMPUTED_VALUE"""),"Core Product Support")</f>
        <v>Core Product Support</v>
      </c>
      <c r="D7355" s="1" t="str">
        <f>IFERROR(__xludf.DUMMYFUNCTION("""COMPUTED_VALUE"""),"c0f3492c-b6e0-4663-88e9-07ef49890f6a")</f>
        <v>c0f3492c-b6e0-4663-88e9-07ef49890f6a</v>
      </c>
      <c r="E7355" s="1">
        <f>IFERROR(__xludf.DUMMYFUNCTION("""COMPUTED_VALUE"""),7.437401161487E12)</f>
        <v>7437401161487</v>
      </c>
      <c r="F7355" s="1">
        <f>IFERROR(__xludf.DUMMYFUNCTION("""COMPUTED_VALUE"""),0.5)</f>
        <v>0.5</v>
      </c>
      <c r="G7355" s="1">
        <f>IFERROR(__xludf.DUMMYFUNCTION("""COMPUTED_VALUE"""),1.5)</f>
        <v>1.5</v>
      </c>
      <c r="H7355" s="3">
        <f>IFERROR(__xludf.DUMMYFUNCTION("""COMPUTED_VALUE"""),2.0)</f>
        <v>2</v>
      </c>
      <c r="I7355" s="4">
        <f>IFERROR(__xludf.DUMMYFUNCTION("""COMPUTED_VALUE"""),0.75)</f>
        <v>0.75</v>
      </c>
      <c r="J7355" s="1" t="str">
        <f>IFERROR(__xludf.DUMMYFUNCTION("""COMPUTED_VALUE"""),"Renette Bok")</f>
        <v>Renette Bok</v>
      </c>
      <c r="K7355" s="1" t="str">
        <f>IFERROR(__xludf.DUMMYFUNCTION("""COMPUTED_VALUE"""),"Advanced Billing &amp; Subscriptions")</f>
        <v>Advanced Billing &amp; Subscriptions</v>
      </c>
      <c r="L7355" s="1" t="str">
        <f>IFERROR(__xludf.DUMMYFUNCTION("""COMPUTED_VALUE"""),"CPS Advanced Billing and Subscriptions (ABS)")</f>
        <v>CPS Advanced Billing and Subscriptions (ABS)</v>
      </c>
    </row>
    <row r="7356">
      <c r="A7356" s="1" t="str">
        <f>IFERROR(__xludf.DUMMYFUNCTION("""COMPUTED_VALUE"""),"2025 Dec")</f>
        <v>2025 Dec</v>
      </c>
      <c r="B7356" s="2">
        <f>IFERROR(__xludf.DUMMYFUNCTION("""COMPUTED_VALUE"""),46006.0)</f>
        <v>46006</v>
      </c>
      <c r="C7356" s="1" t="str">
        <f>IFERROR(__xludf.DUMMYFUNCTION("""COMPUTED_VALUE"""),"Core Product Support")</f>
        <v>Core Product Support</v>
      </c>
      <c r="D7356" s="1" t="str">
        <f>IFERROR(__xludf.DUMMYFUNCTION("""COMPUTED_VALUE"""),"3335501a-b303-4b1b-b874-e502875b9c00")</f>
        <v>3335501a-b303-4b1b-b874-e502875b9c00</v>
      </c>
      <c r="E7356" s="1">
        <f>IFERROR(__xludf.DUMMYFUNCTION("""COMPUTED_VALUE"""),5.901973624079E12)</f>
        <v>5901973624079</v>
      </c>
      <c r="F7356" s="1">
        <f>IFERROR(__xludf.DUMMYFUNCTION("""COMPUTED_VALUE"""),0.5)</f>
        <v>0.5</v>
      </c>
      <c r="G7356" s="1">
        <f>IFERROR(__xludf.DUMMYFUNCTION("""COMPUTED_VALUE"""),2.5)</f>
        <v>2.5</v>
      </c>
      <c r="H7356" s="3">
        <f>IFERROR(__xludf.DUMMYFUNCTION("""COMPUTED_VALUE"""),3.0)</f>
        <v>3</v>
      </c>
      <c r="I7356" s="4">
        <f>IFERROR(__xludf.DUMMYFUNCTION("""COMPUTED_VALUE"""),0.8333333333333334)</f>
        <v>0.8333333333</v>
      </c>
      <c r="J7356" s="1" t="str">
        <f>IFERROR(__xludf.DUMMYFUNCTION("""COMPUTED_VALUE"""),"Bem Launte")</f>
        <v>Bem Launte</v>
      </c>
      <c r="K7356" s="1" t="str">
        <f>IFERROR(__xludf.DUMMYFUNCTION("""COMPUTED_VALUE"""),"Core Product Support Escalation Team")</f>
        <v>Core Product Support Escalation Team</v>
      </c>
      <c r="L7356" s="1" t="str">
        <f>IFERROR(__xludf.DUMMYFUNCTION("""COMPUTED_VALUE"""),"CPS Core Product Support Escalations (CPSET)")</f>
        <v>CPS Core Product Support Escalations (CPSET)</v>
      </c>
    </row>
    <row r="7357">
      <c r="A7357" s="1" t="str">
        <f>IFERROR(__xludf.DUMMYFUNCTION("""COMPUTED_VALUE"""),"2025 Dec")</f>
        <v>2025 Dec</v>
      </c>
      <c r="B7357" s="2">
        <f>IFERROR(__xludf.DUMMYFUNCTION("""COMPUTED_VALUE"""),46006.0)</f>
        <v>46006</v>
      </c>
      <c r="C7357" s="1" t="str">
        <f>IFERROR(__xludf.DUMMYFUNCTION("""COMPUTED_VALUE"""),"Print Support")</f>
        <v>Print Support</v>
      </c>
      <c r="D7357" s="1" t="str">
        <f>IFERROR(__xludf.DUMMYFUNCTION("""COMPUTED_VALUE"""),"81f19830-f845-4879-96ee-0654dc8f6f68")</f>
        <v>81f19830-f845-4879-96ee-0654dc8f6f68</v>
      </c>
      <c r="E7357" s="1">
        <f>IFERROR(__xludf.DUMMYFUNCTION("""COMPUTED_VALUE"""),3.61750058635E11)</f>
        <v>361750058635</v>
      </c>
      <c r="F7357" s="1"/>
      <c r="G7357" s="1"/>
      <c r="H7357" s="3">
        <f>IFERROR(__xludf.DUMMYFUNCTION("""COMPUTED_VALUE"""),0.0)</f>
        <v>0</v>
      </c>
      <c r="I7357" s="4"/>
      <c r="J7357" s="1" t="str">
        <f>IFERROR(__xludf.DUMMYFUNCTION("""COMPUTED_VALUE"""),"Rae Erlano")</f>
        <v>Rae Erlano</v>
      </c>
      <c r="K7357" s="1" t="str">
        <f>IFERROR(__xludf.DUMMYFUNCTION("""COMPUTED_VALUE"""),"Print Support PH")</f>
        <v>Print Support PH</v>
      </c>
      <c r="L7357" s="1" t="str">
        <f>IFERROR(__xludf.DUMMYFUNCTION("""COMPUTED_VALUE"""),"Print Print - CHT")</f>
        <v>Print Print - CHT</v>
      </c>
    </row>
    <row r="7358">
      <c r="A7358" s="1" t="str">
        <f>IFERROR(__xludf.DUMMYFUNCTION("""COMPUTED_VALUE"""),"2025 Dec")</f>
        <v>2025 Dec</v>
      </c>
      <c r="B7358" s="2">
        <f>IFERROR(__xludf.DUMMYFUNCTION("""COMPUTED_VALUE"""),46006.0)</f>
        <v>46006</v>
      </c>
      <c r="C7358" s="1" t="str">
        <f>IFERROR(__xludf.DUMMYFUNCTION("""COMPUTED_VALUE"""),"Core Product Support")</f>
        <v>Core Product Support</v>
      </c>
      <c r="D7358" s="1" t="str">
        <f>IFERROR(__xludf.DUMMYFUNCTION("""COMPUTED_VALUE"""),"2e981db7-61ee-4b53-aef6-4c4cc65464d7")</f>
        <v>2e981db7-61ee-4b53-aef6-4c4cc65464d7</v>
      </c>
      <c r="E7358" s="1">
        <f>IFERROR(__xludf.DUMMYFUNCTION("""COMPUTED_VALUE"""),8.904435850895E12)</f>
        <v>8904435850895</v>
      </c>
      <c r="F7358" s="1">
        <f>IFERROR(__xludf.DUMMYFUNCTION("""COMPUTED_VALUE"""),0.5)</f>
        <v>0.5</v>
      </c>
      <c r="G7358" s="1"/>
      <c r="H7358" s="3">
        <f>IFERROR(__xludf.DUMMYFUNCTION("""COMPUTED_VALUE"""),0.5)</f>
        <v>0.5</v>
      </c>
      <c r="I7358" s="4">
        <f>IFERROR(__xludf.DUMMYFUNCTION("""COMPUTED_VALUE"""),0.0)</f>
        <v>0</v>
      </c>
      <c r="J7358" s="1" t="str">
        <f>IFERROR(__xludf.DUMMYFUNCTION("""COMPUTED_VALUE"""),"Mikhaela Decangchon")</f>
        <v>Mikhaela Decangchon</v>
      </c>
      <c r="K7358" s="1" t="str">
        <f>IFERROR(__xludf.DUMMYFUNCTION("""COMPUTED_VALUE"""),"Advanced Product Support")</f>
        <v>Advanced Product Support</v>
      </c>
      <c r="L7358" s="1" t="str">
        <f>IFERROR(__xludf.DUMMYFUNCTION("""COMPUTED_VALUE"""),"CPS Advanced Product Support (APS)")</f>
        <v>CPS Advanced Product Support (APS)</v>
      </c>
    </row>
    <row r="7359">
      <c r="A7359" s="1" t="str">
        <f>IFERROR(__xludf.DUMMYFUNCTION("""COMPUTED_VALUE"""),"2025 Dec")</f>
        <v>2025 Dec</v>
      </c>
      <c r="B7359" s="2">
        <f>IFERROR(__xludf.DUMMYFUNCTION("""COMPUTED_VALUE"""),46006.0)</f>
        <v>46006</v>
      </c>
      <c r="C7359" s="1" t="str">
        <f>IFERROR(__xludf.DUMMYFUNCTION("""COMPUTED_VALUE"""),"Segment-specific Support")</f>
        <v>Segment-specific Support</v>
      </c>
      <c r="D7359" s="1" t="str">
        <f>IFERROR(__xludf.DUMMYFUNCTION("""COMPUTED_VALUE"""),"a9175f4e-c2a3-4f80-bd6c-76adc2cfcef8")</f>
        <v>a9175f4e-c2a3-4f80-bd6c-76adc2cfcef8</v>
      </c>
      <c r="E7359" s="1">
        <f>IFERROR(__xludf.DUMMYFUNCTION("""COMPUTED_VALUE"""),5.359144633743E12)</f>
        <v>5359144633743</v>
      </c>
      <c r="F7359" s="1"/>
      <c r="G7359" s="1"/>
      <c r="H7359" s="3">
        <f>IFERROR(__xludf.DUMMYFUNCTION("""COMPUTED_VALUE"""),0.0)</f>
        <v>0</v>
      </c>
      <c r="I7359" s="4"/>
      <c r="J7359" s="1" t="str">
        <f>IFERROR(__xludf.DUMMYFUNCTION("""COMPUTED_VALUE"""),"Tash Kelly")</f>
        <v>Tash Kelly</v>
      </c>
      <c r="K7359" s="1" t="str">
        <f>IFERROR(__xludf.DUMMYFUNCTION("""COMPUTED_VALUE"""),"Affinity Support")</f>
        <v>Affinity Support</v>
      </c>
      <c r="L7359" s="1" t="str">
        <f>IFERROR(__xludf.DUMMYFUNCTION("""COMPUTED_VALUE"""),"SSS Affinity")</f>
        <v>SSS Affinity</v>
      </c>
    </row>
    <row r="7360">
      <c r="A7360" s="1" t="str">
        <f>IFERROR(__xludf.DUMMYFUNCTION("""COMPUTED_VALUE"""),"2025 Dec")</f>
        <v>2025 Dec</v>
      </c>
      <c r="B7360" s="2">
        <f>IFERROR(__xludf.DUMMYFUNCTION("""COMPUTED_VALUE"""),46006.0)</f>
        <v>46006</v>
      </c>
      <c r="C7360" s="1" t="str">
        <f>IFERROR(__xludf.DUMMYFUNCTION("""COMPUTED_VALUE"""),"Print Support")</f>
        <v>Print Support</v>
      </c>
      <c r="D7360" s="1" t="str">
        <f>IFERROR(__xludf.DUMMYFUNCTION("""COMPUTED_VALUE"""),"c099fecd-f2e4-4b33-8ba3-1c6779033d42")</f>
        <v>c099fecd-f2e4-4b33-8ba3-1c6779033d42</v>
      </c>
      <c r="E7360" s="1">
        <f>IFERROR(__xludf.DUMMYFUNCTION("""COMPUTED_VALUE"""),5.901988081807E12)</f>
        <v>5901988081807</v>
      </c>
      <c r="F7360" s="1"/>
      <c r="G7360" s="1"/>
      <c r="H7360" s="3">
        <f>IFERROR(__xludf.DUMMYFUNCTION("""COMPUTED_VALUE"""),0.0)</f>
        <v>0</v>
      </c>
      <c r="I7360" s="4"/>
      <c r="J7360" s="1" t="str">
        <f>IFERROR(__xludf.DUMMYFUNCTION("""COMPUTED_VALUE"""),"Rae Erlano")</f>
        <v>Rae Erlano</v>
      </c>
      <c r="K7360" s="1" t="str">
        <f>IFERROR(__xludf.DUMMYFUNCTION("""COMPUTED_VALUE"""),"Print Support PH")</f>
        <v>Print Support PH</v>
      </c>
      <c r="L7360" s="1" t="str">
        <f>IFERROR(__xludf.DUMMYFUNCTION("""COMPUTED_VALUE"""),"Print Print - CHT")</f>
        <v>Print Print - CHT</v>
      </c>
    </row>
    <row r="7361">
      <c r="A7361" s="1" t="str">
        <f>IFERROR(__xludf.DUMMYFUNCTION("""COMPUTED_VALUE"""),"2025 Dec")</f>
        <v>2025 Dec</v>
      </c>
      <c r="B7361" s="2">
        <f>IFERROR(__xludf.DUMMYFUNCTION("""COMPUTED_VALUE"""),46006.0)</f>
        <v>46006</v>
      </c>
      <c r="C7361" s="1" t="str">
        <f>IFERROR(__xludf.DUMMYFUNCTION("""COMPUTED_VALUE"""),"Print Support")</f>
        <v>Print Support</v>
      </c>
      <c r="D7361" s="1" t="str">
        <f>IFERROR(__xludf.DUMMYFUNCTION("""COMPUTED_VALUE"""),"f49619b0-d053-442f-946d-b652dbfb2703")</f>
        <v>f49619b0-d053-442f-946d-b652dbfb2703</v>
      </c>
      <c r="E7361" s="1"/>
      <c r="F7361" s="1"/>
      <c r="G7361" s="1"/>
      <c r="H7361" s="3">
        <f>IFERROR(__xludf.DUMMYFUNCTION("""COMPUTED_VALUE"""),0.0)</f>
        <v>0</v>
      </c>
      <c r="I7361" s="4"/>
      <c r="J7361" s="1" t="str">
        <f>IFERROR(__xludf.DUMMYFUNCTION("""COMPUTED_VALUE"""),"Aliza Dote")</f>
        <v>Aliza Dote</v>
      </c>
      <c r="K7361" s="1" t="str">
        <f>IFERROR(__xludf.DUMMYFUNCTION("""COMPUTED_VALUE"""),"Print Design Support")</f>
        <v>Print Design Support</v>
      </c>
      <c r="L7361" s="1" t="str">
        <f>IFERROR(__xludf.DUMMYFUNCTION("""COMPUTED_VALUE"""),"Print Print Design")</f>
        <v>Print Print Design</v>
      </c>
    </row>
    <row r="7362">
      <c r="A7362" s="1" t="str">
        <f>IFERROR(__xludf.DUMMYFUNCTION("""COMPUTED_VALUE"""),"2025 Dec")</f>
        <v>2025 Dec</v>
      </c>
      <c r="B7362" s="2">
        <f>IFERROR(__xludf.DUMMYFUNCTION("""COMPUTED_VALUE"""),46006.0)</f>
        <v>46006</v>
      </c>
      <c r="C7362" s="1" t="str">
        <f>IFERROR(__xludf.DUMMYFUNCTION("""COMPUTED_VALUE"""),"Core Product Support")</f>
        <v>Core Product Support</v>
      </c>
      <c r="D7362" s="1" t="str">
        <f>IFERROR(__xludf.DUMMYFUNCTION("""COMPUTED_VALUE"""),"34b01611-0778-4238-845c-71a5fb4b19f1")</f>
        <v>34b01611-0778-4238-845c-71a5fb4b19f1</v>
      </c>
      <c r="E7362" s="1">
        <f>IFERROR(__xludf.DUMMYFUNCTION("""COMPUTED_VALUE"""),1.0005722473615E13)</f>
        <v>10005722473615</v>
      </c>
      <c r="F7362" s="1">
        <f>IFERROR(__xludf.DUMMYFUNCTION("""COMPUTED_VALUE"""),0.5)</f>
        <v>0.5</v>
      </c>
      <c r="G7362" s="1"/>
      <c r="H7362" s="3">
        <f>IFERROR(__xludf.DUMMYFUNCTION("""COMPUTED_VALUE"""),0.5)</f>
        <v>0.5</v>
      </c>
      <c r="I7362" s="4">
        <f>IFERROR(__xludf.DUMMYFUNCTION("""COMPUTED_VALUE"""),0.0)</f>
        <v>0</v>
      </c>
      <c r="J7362" s="1" t="str">
        <f>IFERROR(__xludf.DUMMYFUNCTION("""COMPUTED_VALUE"""),"Vianca De Jesus")</f>
        <v>Vianca De Jesus</v>
      </c>
      <c r="K7362" s="1" t="str">
        <f>IFERROR(__xludf.DUMMYFUNCTION("""COMPUTED_VALUE"""),"Advanced Billing &amp; Subscriptions")</f>
        <v>Advanced Billing &amp; Subscriptions</v>
      </c>
      <c r="L7362" s="1" t="str">
        <f>IFERROR(__xludf.DUMMYFUNCTION("""COMPUTED_VALUE"""),"CPS Advanced Billing and Subscriptions (ABS)")</f>
        <v>CPS Advanced Billing and Subscriptions (ABS)</v>
      </c>
    </row>
    <row r="7363">
      <c r="A7363" s="1" t="str">
        <f>IFERROR(__xludf.DUMMYFUNCTION("""COMPUTED_VALUE"""),"2025 Dec")</f>
        <v>2025 Dec</v>
      </c>
      <c r="B7363" s="2">
        <f>IFERROR(__xludf.DUMMYFUNCTION("""COMPUTED_VALUE"""),46006.0)</f>
        <v>46006</v>
      </c>
      <c r="C7363" s="1" t="str">
        <f>IFERROR(__xludf.DUMMYFUNCTION("""COMPUTED_VALUE"""),"Core Product Support")</f>
        <v>Core Product Support</v>
      </c>
      <c r="D7363" s="1" t="str">
        <f>IFERROR(__xludf.DUMMYFUNCTION("""COMPUTED_VALUE"""),"29f1cfbb-326c-4f39-b32d-9350f380b21a")</f>
        <v>29f1cfbb-326c-4f39-b32d-9350f380b21a</v>
      </c>
      <c r="E7363" s="1">
        <f>IFERROR(__xludf.DUMMYFUNCTION("""COMPUTED_VALUE"""),3.61732161455E11)</f>
        <v>361732161455</v>
      </c>
      <c r="F7363" s="1"/>
      <c r="G7363" s="1">
        <f>IFERROR(__xludf.DUMMYFUNCTION("""COMPUTED_VALUE"""),1.5)</f>
        <v>1.5</v>
      </c>
      <c r="H7363" s="3">
        <f>IFERROR(__xludf.DUMMYFUNCTION("""COMPUTED_VALUE"""),1.5)</f>
        <v>1.5</v>
      </c>
      <c r="I7363" s="4">
        <f>IFERROR(__xludf.DUMMYFUNCTION("""COMPUTED_VALUE"""),1.0)</f>
        <v>1</v>
      </c>
      <c r="J7363" s="1" t="str">
        <f>IFERROR(__xludf.DUMMYFUNCTION("""COMPUTED_VALUE"""),"Bem Launte")</f>
        <v>Bem Launte</v>
      </c>
      <c r="K7363" s="1" t="str">
        <f>IFERROR(__xludf.DUMMYFUNCTION("""COMPUTED_VALUE"""),"Core Product Support Escalation Team")</f>
        <v>Core Product Support Escalation Team</v>
      </c>
      <c r="L7363" s="1" t="str">
        <f>IFERROR(__xludf.DUMMYFUNCTION("""COMPUTED_VALUE"""),"CPS Core Product Support Escalations (CPSET)")</f>
        <v>CPS Core Product Support Escalations (CPSET)</v>
      </c>
    </row>
    <row r="7364">
      <c r="A7364" s="1" t="str">
        <f>IFERROR(__xludf.DUMMYFUNCTION("""COMPUTED_VALUE"""),"2025 Dec")</f>
        <v>2025 Dec</v>
      </c>
      <c r="B7364" s="2">
        <f>IFERROR(__xludf.DUMMYFUNCTION("""COMPUTED_VALUE"""),46006.0)</f>
        <v>46006</v>
      </c>
      <c r="C7364" s="1" t="str">
        <f>IFERROR(__xludf.DUMMYFUNCTION("""COMPUTED_VALUE"""),"Print Support")</f>
        <v>Print Support</v>
      </c>
      <c r="D7364" s="1" t="str">
        <f>IFERROR(__xludf.DUMMYFUNCTION("""COMPUTED_VALUE"""),"e7288a86-def8-455e-9571-0e09ee52eb10")</f>
        <v>e7288a86-def8-455e-9571-0e09ee52eb10</v>
      </c>
      <c r="E7364" s="1">
        <f>IFERROR(__xludf.DUMMYFUNCTION("""COMPUTED_VALUE"""),5.566843775631E12)</f>
        <v>5566843775631</v>
      </c>
      <c r="F7364" s="1"/>
      <c r="G7364" s="1"/>
      <c r="H7364" s="3">
        <f>IFERROR(__xludf.DUMMYFUNCTION("""COMPUTED_VALUE"""),0.0)</f>
        <v>0</v>
      </c>
      <c r="I7364" s="4"/>
      <c r="J7364" s="1" t="str">
        <f>IFERROR(__xludf.DUMMYFUNCTION("""COMPUTED_VALUE"""),"Rae Erlano")</f>
        <v>Rae Erlano</v>
      </c>
      <c r="K7364" s="1" t="str">
        <f>IFERROR(__xludf.DUMMYFUNCTION("""COMPUTED_VALUE"""),"Print Support PH")</f>
        <v>Print Support PH</v>
      </c>
      <c r="L7364" s="1" t="str">
        <f>IFERROR(__xludf.DUMMYFUNCTION("""COMPUTED_VALUE"""),"Print Print - CHT")</f>
        <v>Print Print - CHT</v>
      </c>
    </row>
    <row r="7365">
      <c r="A7365" s="1" t="str">
        <f>IFERROR(__xludf.DUMMYFUNCTION("""COMPUTED_VALUE"""),"2025 Dec")</f>
        <v>2025 Dec</v>
      </c>
      <c r="B7365" s="2">
        <f>IFERROR(__xludf.DUMMYFUNCTION("""COMPUTED_VALUE"""),46006.0)</f>
        <v>46006</v>
      </c>
      <c r="C7365" s="1" t="str">
        <f>IFERROR(__xludf.DUMMYFUNCTION("""COMPUTED_VALUE"""),"Admin Support")</f>
        <v>Admin Support</v>
      </c>
      <c r="D7365" s="1" t="str">
        <f>IFERROR(__xludf.DUMMYFUNCTION("""COMPUTED_VALUE"""),"c771ba05-3c70-40d0-afa5-186bade746f2")</f>
        <v>c771ba05-3c70-40d0-afa5-186bade746f2</v>
      </c>
      <c r="E7365" s="1">
        <f>IFERROR(__xludf.DUMMYFUNCTION("""COMPUTED_VALUE"""),7.437392979983E12)</f>
        <v>7437392979983</v>
      </c>
      <c r="F7365" s="1"/>
      <c r="G7365" s="1"/>
      <c r="H7365" s="3">
        <f>IFERROR(__xludf.DUMMYFUNCTION("""COMPUTED_VALUE"""),0.0)</f>
        <v>0</v>
      </c>
      <c r="I7365" s="4"/>
      <c r="J7365" s="1" t="str">
        <f>IFERROR(__xludf.DUMMYFUNCTION("""COMPUTED_VALUE"""),"Rose Gabilan")</f>
        <v>Rose Gabilan</v>
      </c>
      <c r="K7365" s="1" t="str">
        <f>IFERROR(__xludf.DUMMYFUNCTION("""COMPUTED_VALUE"""),"Admin Support PH SSO")</f>
        <v>Admin Support PH SSO</v>
      </c>
      <c r="L7365" s="1" t="str">
        <f>IFERROR(__xludf.DUMMYFUNCTION("""COMPUTED_VALUE"""),"Admin SSO - CHT")</f>
        <v>Admin SSO - CHT</v>
      </c>
    </row>
    <row r="7366">
      <c r="A7366" s="1" t="str">
        <f>IFERROR(__xludf.DUMMYFUNCTION("""COMPUTED_VALUE"""),"2025 Dec")</f>
        <v>2025 Dec</v>
      </c>
      <c r="B7366" s="2">
        <f>IFERROR(__xludf.DUMMYFUNCTION("""COMPUTED_VALUE"""),46006.0)</f>
        <v>46006</v>
      </c>
      <c r="C7366" s="1" t="str">
        <f>IFERROR(__xludf.DUMMYFUNCTION("""COMPUTED_VALUE"""),"Admin Support")</f>
        <v>Admin Support</v>
      </c>
      <c r="D7366" s="1" t="str">
        <f>IFERROR(__xludf.DUMMYFUNCTION("""COMPUTED_VALUE"""),"5e57a2c8-fe7b-40fb-b179-0090e8e3060b")</f>
        <v>5e57a2c8-fe7b-40fb-b179-0090e8e3060b</v>
      </c>
      <c r="E7366" s="1">
        <f>IFERROR(__xludf.DUMMYFUNCTION("""COMPUTED_VALUE"""),3.61733079315E11)</f>
        <v>361733079315</v>
      </c>
      <c r="F7366" s="1"/>
      <c r="G7366" s="1">
        <f>IFERROR(__xludf.DUMMYFUNCTION("""COMPUTED_VALUE"""),1.5)</f>
        <v>1.5</v>
      </c>
      <c r="H7366" s="3">
        <f>IFERROR(__xludf.DUMMYFUNCTION("""COMPUTED_VALUE"""),1.5)</f>
        <v>1.5</v>
      </c>
      <c r="I7366" s="4">
        <f>IFERROR(__xludf.DUMMYFUNCTION("""COMPUTED_VALUE"""),1.0)</f>
        <v>1</v>
      </c>
      <c r="J7366" s="1" t="str">
        <f>IFERROR(__xludf.DUMMYFUNCTION("""COMPUTED_VALUE"""),"Kelden Laguting")</f>
        <v>Kelden Laguting</v>
      </c>
      <c r="K7366" s="1" t="str">
        <f>IFERROR(__xludf.DUMMYFUNCTION("""COMPUTED_VALUE"""),"Admin Support PH")</f>
        <v>Admin Support PH</v>
      </c>
      <c r="L7366" s="1" t="str">
        <f>IFERROR(__xludf.DUMMYFUNCTION("""COMPUTED_VALUE"""),"Admin PH")</f>
        <v>Admin PH</v>
      </c>
    </row>
    <row r="7367">
      <c r="A7367" s="1" t="str">
        <f>IFERROR(__xludf.DUMMYFUNCTION("""COMPUTED_VALUE"""),"2025 Dec")</f>
        <v>2025 Dec</v>
      </c>
      <c r="B7367" s="2">
        <f>IFERROR(__xludf.DUMMYFUNCTION("""COMPUTED_VALUE"""),46006.0)</f>
        <v>46006</v>
      </c>
      <c r="C7367" s="1" t="str">
        <f>IFERROR(__xludf.DUMMYFUNCTION("""COMPUTED_VALUE"""),"High Sensitivity Support")</f>
        <v>High Sensitivity Support</v>
      </c>
      <c r="D7367" s="1" t="str">
        <f>IFERROR(__xludf.DUMMYFUNCTION("""COMPUTED_VALUE"""),"b7fd1097-c419-4ccc-9d67-4b66f71021a1")</f>
        <v>b7fd1097-c419-4ccc-9d67-4b66f71021a1</v>
      </c>
      <c r="E7367" s="1">
        <f>IFERROR(__xludf.DUMMYFUNCTION("""COMPUTED_VALUE"""),8.139562541455E12)</f>
        <v>8139562541455</v>
      </c>
      <c r="F7367" s="1">
        <f>IFERROR(__xludf.DUMMYFUNCTION("""COMPUTED_VALUE"""),4.0)</f>
        <v>4</v>
      </c>
      <c r="G7367" s="1"/>
      <c r="H7367" s="3">
        <f>IFERROR(__xludf.DUMMYFUNCTION("""COMPUTED_VALUE"""),4.0)</f>
        <v>4</v>
      </c>
      <c r="I7367" s="4">
        <f>IFERROR(__xludf.DUMMYFUNCTION("""COMPUTED_VALUE"""),0.0)</f>
        <v>0</v>
      </c>
      <c r="J7367" s="1" t="str">
        <f>IFERROR(__xludf.DUMMYFUNCTION("""COMPUTED_VALUE"""),"Rossheen Pura")</f>
        <v>Rossheen Pura</v>
      </c>
      <c r="K7367" s="1" t="str">
        <f>IFERROR(__xludf.DUMMYFUNCTION("""COMPUTED_VALUE"""),"High Sensitivity Support PH")</f>
        <v>High Sensitivity Support PH</v>
      </c>
      <c r="L7367" s="1" t="str">
        <f>IFERROR(__xludf.DUMMYFUNCTION("""COMPUTED_VALUE"""),"HSS High Sensitivity Support PH - CHT")</f>
        <v>HSS High Sensitivity Support PH - CHT</v>
      </c>
    </row>
    <row r="7368">
      <c r="A7368" s="1" t="str">
        <f>IFERROR(__xludf.DUMMYFUNCTION("""COMPUTED_VALUE"""),"2025 Dec")</f>
        <v>2025 Dec</v>
      </c>
      <c r="B7368" s="2">
        <f>IFERROR(__xludf.DUMMYFUNCTION("""COMPUTED_VALUE"""),46006.0)</f>
        <v>46006</v>
      </c>
      <c r="C7368" s="1" t="str">
        <f>IFERROR(__xludf.DUMMYFUNCTION("""COMPUTED_VALUE"""),"Core Product Support")</f>
        <v>Core Product Support</v>
      </c>
      <c r="D7368" s="1" t="str">
        <f>IFERROR(__xludf.DUMMYFUNCTION("""COMPUTED_VALUE"""),"20080360-d6b6-487a-ad2b-4d92f14a3e3a")</f>
        <v>20080360-d6b6-487a-ad2b-4d92f14a3e3a</v>
      </c>
      <c r="E7368" s="1">
        <f>IFERROR(__xludf.DUMMYFUNCTION("""COMPUTED_VALUE"""),5.901973593231E12)</f>
        <v>5901973593231</v>
      </c>
      <c r="F7368" s="1">
        <f>IFERROR(__xludf.DUMMYFUNCTION("""COMPUTED_VALUE"""),0.5)</f>
        <v>0.5</v>
      </c>
      <c r="G7368" s="1"/>
      <c r="H7368" s="3">
        <f>IFERROR(__xludf.DUMMYFUNCTION("""COMPUTED_VALUE"""),0.5)</f>
        <v>0.5</v>
      </c>
      <c r="I7368" s="4">
        <f>IFERROR(__xludf.DUMMYFUNCTION("""COMPUTED_VALUE"""),0.0)</f>
        <v>0</v>
      </c>
      <c r="J7368" s="1" t="str">
        <f>IFERROR(__xludf.DUMMYFUNCTION("""COMPUTED_VALUE"""),"Jelyn Elmido")</f>
        <v>Jelyn Elmido</v>
      </c>
      <c r="K7368" s="1" t="str">
        <f>IFERROR(__xludf.DUMMYFUNCTION("""COMPUTED_VALUE"""),"Advanced Product Support")</f>
        <v>Advanced Product Support</v>
      </c>
      <c r="L7368" s="1" t="str">
        <f>IFERROR(__xludf.DUMMYFUNCTION("""COMPUTED_VALUE"""),"CPS Advanced Product Support (APS)")</f>
        <v>CPS Advanced Product Support (APS)</v>
      </c>
    </row>
    <row r="7369">
      <c r="A7369" s="1" t="str">
        <f>IFERROR(__xludf.DUMMYFUNCTION("""COMPUTED_VALUE"""),"2025 Dec")</f>
        <v>2025 Dec</v>
      </c>
      <c r="B7369" s="2">
        <f>IFERROR(__xludf.DUMMYFUNCTION("""COMPUTED_VALUE"""),46006.0)</f>
        <v>46006</v>
      </c>
      <c r="C7369" s="1" t="str">
        <f>IFERROR(__xludf.DUMMYFUNCTION("""COMPUTED_VALUE"""),"High Sensitivity Support")</f>
        <v>High Sensitivity Support</v>
      </c>
      <c r="D7369" s="1" t="str">
        <f>IFERROR(__xludf.DUMMYFUNCTION("""COMPUTED_VALUE"""),"27bbaf2c-6971-4b55-91a0-193260eb00dd")</f>
        <v>27bbaf2c-6971-4b55-91a0-193260eb00dd</v>
      </c>
      <c r="E7369" s="1">
        <f>IFERROR(__xludf.DUMMYFUNCTION("""COMPUTED_VALUE"""),5.202441057551E12)</f>
        <v>5202441057551</v>
      </c>
      <c r="F7369" s="1">
        <f>IFERROR(__xludf.DUMMYFUNCTION("""COMPUTED_VALUE"""),4.0)</f>
        <v>4</v>
      </c>
      <c r="G7369" s="1"/>
      <c r="H7369" s="3">
        <f>IFERROR(__xludf.DUMMYFUNCTION("""COMPUTED_VALUE"""),4.0)</f>
        <v>4</v>
      </c>
      <c r="I7369" s="4">
        <f>IFERROR(__xludf.DUMMYFUNCTION("""COMPUTED_VALUE"""),0.0)</f>
        <v>0</v>
      </c>
      <c r="J7369" s="1" t="str">
        <f>IFERROR(__xludf.DUMMYFUNCTION("""COMPUTED_VALUE"""),"Xandy Azarcon")</f>
        <v>Xandy Azarcon</v>
      </c>
      <c r="K7369" s="1" t="str">
        <f>IFERROR(__xludf.DUMMYFUNCTION("""COMPUTED_VALUE"""),"High Sensitivity Support PH")</f>
        <v>High Sensitivity Support PH</v>
      </c>
      <c r="L7369" s="1" t="str">
        <f>IFERROR(__xludf.DUMMYFUNCTION("""COMPUTED_VALUE"""),"HSS High Sensitivity Support PH - CHT")</f>
        <v>HSS High Sensitivity Support PH - CHT</v>
      </c>
    </row>
    <row r="7370">
      <c r="A7370" s="1" t="str">
        <f>IFERROR(__xludf.DUMMYFUNCTION("""COMPUTED_VALUE"""),"2025 Dec")</f>
        <v>2025 Dec</v>
      </c>
      <c r="B7370" s="2">
        <f>IFERROR(__xludf.DUMMYFUNCTION("""COMPUTED_VALUE"""),46006.0)</f>
        <v>46006</v>
      </c>
      <c r="C7370" s="1" t="str">
        <f>IFERROR(__xludf.DUMMYFUNCTION("""COMPUTED_VALUE"""),"Core Product Support")</f>
        <v>Core Product Support</v>
      </c>
      <c r="D7370" s="1" t="str">
        <f>IFERROR(__xludf.DUMMYFUNCTION("""COMPUTED_VALUE"""),"426201d1-0b5d-4900-95cc-7a8b0c35e471")</f>
        <v>426201d1-0b5d-4900-95cc-7a8b0c35e471</v>
      </c>
      <c r="E7370" s="1">
        <f>IFERROR(__xludf.DUMMYFUNCTION("""COMPUTED_VALUE"""),7.235417174415E12)</f>
        <v>7235417174415</v>
      </c>
      <c r="F7370" s="1">
        <f>IFERROR(__xludf.DUMMYFUNCTION("""COMPUTED_VALUE"""),0.5)</f>
        <v>0.5</v>
      </c>
      <c r="G7370" s="1"/>
      <c r="H7370" s="3">
        <f>IFERROR(__xludf.DUMMYFUNCTION("""COMPUTED_VALUE"""),0.5)</f>
        <v>0.5</v>
      </c>
      <c r="I7370" s="4">
        <f>IFERROR(__xludf.DUMMYFUNCTION("""COMPUTED_VALUE"""),0.0)</f>
        <v>0</v>
      </c>
      <c r="J7370" s="1" t="str">
        <f>IFERROR(__xludf.DUMMYFUNCTION("""COMPUTED_VALUE"""),"Ana Lazaro")</f>
        <v>Ana Lazaro</v>
      </c>
      <c r="K7370" s="1" t="str">
        <f>IFERROR(__xludf.DUMMYFUNCTION("""COMPUTED_VALUE"""),"Advanced Billing &amp; Subscriptions")</f>
        <v>Advanced Billing &amp; Subscriptions</v>
      </c>
      <c r="L7370" s="1" t="str">
        <f>IFERROR(__xludf.DUMMYFUNCTION("""COMPUTED_VALUE"""),"CPS Advanced Billing and Subscriptions (ABS)")</f>
        <v>CPS Advanced Billing and Subscriptions (ABS)</v>
      </c>
    </row>
    <row r="7371">
      <c r="A7371" s="1" t="str">
        <f>IFERROR(__xludf.DUMMYFUNCTION("""COMPUTED_VALUE"""),"2025 Dec")</f>
        <v>2025 Dec</v>
      </c>
      <c r="B7371" s="2">
        <f>IFERROR(__xludf.DUMMYFUNCTION("""COMPUTED_VALUE"""),46006.0)</f>
        <v>46006</v>
      </c>
      <c r="C7371" s="1" t="str">
        <f>IFERROR(__xludf.DUMMYFUNCTION("""COMPUTED_VALUE"""),"Print Support")</f>
        <v>Print Support</v>
      </c>
      <c r="D7371" s="1" t="str">
        <f>IFERROR(__xludf.DUMMYFUNCTION("""COMPUTED_VALUE"""),"ae33c457-9730-4b61-af51-a03edb80253a")</f>
        <v>ae33c457-9730-4b61-af51-a03edb80253a</v>
      </c>
      <c r="E7371" s="1">
        <f>IFERROR(__xludf.DUMMYFUNCTION("""COMPUTED_VALUE"""),3.61733077175E11)</f>
        <v>361733077175</v>
      </c>
      <c r="F7371" s="1"/>
      <c r="G7371" s="1"/>
      <c r="H7371" s="3">
        <f>IFERROR(__xludf.DUMMYFUNCTION("""COMPUTED_VALUE"""),0.0)</f>
        <v>0</v>
      </c>
      <c r="I7371" s="4"/>
      <c r="J7371" s="1" t="str">
        <f>IFERROR(__xludf.DUMMYFUNCTION("""COMPUTED_VALUE"""),"Ann Dumlao")</f>
        <v>Ann Dumlao</v>
      </c>
      <c r="K7371" s="1" t="str">
        <f>IFERROR(__xludf.DUMMYFUNCTION("""COMPUTED_VALUE"""),"Print Support PH")</f>
        <v>Print Support PH</v>
      </c>
      <c r="L7371" s="1" t="str">
        <f>IFERROR(__xludf.DUMMYFUNCTION("""COMPUTED_VALUE"""),"Print Print - CHT")</f>
        <v>Print Print - CHT</v>
      </c>
    </row>
    <row r="7372">
      <c r="A7372" s="1" t="str">
        <f>IFERROR(__xludf.DUMMYFUNCTION("""COMPUTED_VALUE"""),"2025 Dec")</f>
        <v>2025 Dec</v>
      </c>
      <c r="B7372" s="2">
        <f>IFERROR(__xludf.DUMMYFUNCTION("""COMPUTED_VALUE"""),46006.0)</f>
        <v>46006</v>
      </c>
      <c r="C7372" s="1" t="str">
        <f>IFERROR(__xludf.DUMMYFUNCTION("""COMPUTED_VALUE"""),"Core Product Support")</f>
        <v>Core Product Support</v>
      </c>
      <c r="D7372" s="1" t="str">
        <f>IFERROR(__xludf.DUMMYFUNCTION("""COMPUTED_VALUE"""),"2436b15f-d23f-4ea2-bd46-0852b5df957c")</f>
        <v>2436b15f-d23f-4ea2-bd46-0852b5df957c</v>
      </c>
      <c r="E7372" s="1">
        <f>IFERROR(__xludf.DUMMYFUNCTION("""COMPUTED_VALUE"""),3.61731349115E11)</f>
        <v>361731349115</v>
      </c>
      <c r="F7372" s="1">
        <f>IFERROR(__xludf.DUMMYFUNCTION("""COMPUTED_VALUE"""),0.5)</f>
        <v>0.5</v>
      </c>
      <c r="G7372" s="1"/>
      <c r="H7372" s="3">
        <f>IFERROR(__xludf.DUMMYFUNCTION("""COMPUTED_VALUE"""),0.5)</f>
        <v>0.5</v>
      </c>
      <c r="I7372" s="4">
        <f>IFERROR(__xludf.DUMMYFUNCTION("""COMPUTED_VALUE"""),0.0)</f>
        <v>0</v>
      </c>
      <c r="J7372" s="1" t="str">
        <f>IFERROR(__xludf.DUMMYFUNCTION("""COMPUTED_VALUE"""),"Vinz Lazaro")</f>
        <v>Vinz Lazaro</v>
      </c>
      <c r="K7372" s="1" t="str">
        <f>IFERROR(__xludf.DUMMYFUNCTION("""COMPUTED_VALUE"""),"Advanced Product Support")</f>
        <v>Advanced Product Support</v>
      </c>
      <c r="L7372" s="1" t="str">
        <f>IFERROR(__xludf.DUMMYFUNCTION("""COMPUTED_VALUE"""),"CPS Advanced Product Support (APS)")</f>
        <v>CPS Advanced Product Support (APS)</v>
      </c>
    </row>
    <row r="7373">
      <c r="A7373" s="1" t="str">
        <f>IFERROR(__xludf.DUMMYFUNCTION("""COMPUTED_VALUE"""),"2025 Dec")</f>
        <v>2025 Dec</v>
      </c>
      <c r="B7373" s="2">
        <f>IFERROR(__xludf.DUMMYFUNCTION("""COMPUTED_VALUE"""),46006.0)</f>
        <v>46006</v>
      </c>
      <c r="C7373" s="1" t="str">
        <f>IFERROR(__xludf.DUMMYFUNCTION("""COMPUTED_VALUE"""),"High Sensitivity Support")</f>
        <v>High Sensitivity Support</v>
      </c>
      <c r="D7373" s="1" t="str">
        <f>IFERROR(__xludf.DUMMYFUNCTION("""COMPUTED_VALUE"""),"3a5a6ab5-8abf-422b-9670-8975c03a0818")</f>
        <v>3a5a6ab5-8abf-422b-9670-8975c03a0818</v>
      </c>
      <c r="E7373" s="1">
        <f>IFERROR(__xludf.DUMMYFUNCTION("""COMPUTED_VALUE"""),3.61725260976E11)</f>
        <v>361725260976</v>
      </c>
      <c r="F7373" s="1">
        <f>IFERROR(__xludf.DUMMYFUNCTION("""COMPUTED_VALUE"""),4.0)</f>
        <v>4</v>
      </c>
      <c r="G7373" s="1"/>
      <c r="H7373" s="3">
        <f>IFERROR(__xludf.DUMMYFUNCTION("""COMPUTED_VALUE"""),4.0)</f>
        <v>4</v>
      </c>
      <c r="I7373" s="4">
        <f>IFERROR(__xludf.DUMMYFUNCTION("""COMPUTED_VALUE"""),0.0)</f>
        <v>0</v>
      </c>
      <c r="J7373" s="1" t="str">
        <f>IFERROR(__xludf.DUMMYFUNCTION("""COMPUTED_VALUE"""),"Rossheen Pura")</f>
        <v>Rossheen Pura</v>
      </c>
      <c r="K7373" s="1" t="str">
        <f>IFERROR(__xludf.DUMMYFUNCTION("""COMPUTED_VALUE"""),"High Sensitivity Support PH")</f>
        <v>High Sensitivity Support PH</v>
      </c>
      <c r="L7373" s="1" t="str">
        <f>IFERROR(__xludf.DUMMYFUNCTION("""COMPUTED_VALUE"""),"HSS High Sensitivity Support PH - CHT")</f>
        <v>HSS High Sensitivity Support PH - CHT</v>
      </c>
    </row>
    <row r="7374">
      <c r="A7374" s="1" t="str">
        <f>IFERROR(__xludf.DUMMYFUNCTION("""COMPUTED_VALUE"""),"2025 Dec")</f>
        <v>2025 Dec</v>
      </c>
      <c r="B7374" s="2">
        <f>IFERROR(__xludf.DUMMYFUNCTION("""COMPUTED_VALUE"""),46006.0)</f>
        <v>46006</v>
      </c>
      <c r="C7374" s="1" t="str">
        <f>IFERROR(__xludf.DUMMYFUNCTION("""COMPUTED_VALUE"""),"Core Product Support")</f>
        <v>Core Product Support</v>
      </c>
      <c r="D7374" s="1" t="str">
        <f>IFERROR(__xludf.DUMMYFUNCTION("""COMPUTED_VALUE"""),"ec2c53f2-66fa-462e-9ac9-b9e626e485b4")</f>
        <v>ec2c53f2-66fa-462e-9ac9-b9e626e485b4</v>
      </c>
      <c r="E7374" s="1">
        <f>IFERROR(__xludf.DUMMYFUNCTION("""COMPUTED_VALUE"""),5.047318720783E12)</f>
        <v>5047318720783</v>
      </c>
      <c r="F7374" s="1">
        <f>IFERROR(__xludf.DUMMYFUNCTION("""COMPUTED_VALUE"""),0.5)</f>
        <v>0.5</v>
      </c>
      <c r="G7374" s="1"/>
      <c r="H7374" s="3">
        <f>IFERROR(__xludf.DUMMYFUNCTION("""COMPUTED_VALUE"""),0.5)</f>
        <v>0.5</v>
      </c>
      <c r="I7374" s="4">
        <f>IFERROR(__xludf.DUMMYFUNCTION("""COMPUTED_VALUE"""),0.0)</f>
        <v>0</v>
      </c>
      <c r="J7374" s="1" t="str">
        <f>IFERROR(__xludf.DUMMYFUNCTION("""COMPUTED_VALUE"""),"Vinz Lazaro")</f>
        <v>Vinz Lazaro</v>
      </c>
      <c r="K7374" s="1" t="str">
        <f>IFERROR(__xludf.DUMMYFUNCTION("""COMPUTED_VALUE"""),"Advanced Product Support")</f>
        <v>Advanced Product Support</v>
      </c>
      <c r="L7374" s="1" t="str">
        <f>IFERROR(__xludf.DUMMYFUNCTION("""COMPUTED_VALUE"""),"CPS Advanced Product Support (APS)")</f>
        <v>CPS Advanced Product Support (APS)</v>
      </c>
    </row>
    <row r="7375">
      <c r="A7375" s="1" t="str">
        <f>IFERROR(__xludf.DUMMYFUNCTION("""COMPUTED_VALUE"""),"2025 Dec")</f>
        <v>2025 Dec</v>
      </c>
      <c r="B7375" s="2">
        <f>IFERROR(__xludf.DUMMYFUNCTION("""COMPUTED_VALUE"""),46006.0)</f>
        <v>46006</v>
      </c>
      <c r="C7375" s="1" t="str">
        <f>IFERROR(__xludf.DUMMYFUNCTION("""COMPUTED_VALUE"""),"High Sensitivity Support")</f>
        <v>High Sensitivity Support</v>
      </c>
      <c r="D7375" s="1" t="str">
        <f>IFERROR(__xludf.DUMMYFUNCTION("""COMPUTED_VALUE"""),"ac409d1d-146f-4f2e-97cf-ac668184be31")</f>
        <v>ac409d1d-146f-4f2e-97cf-ac668184be31</v>
      </c>
      <c r="E7375" s="1">
        <f>IFERROR(__xludf.DUMMYFUNCTION("""COMPUTED_VALUE"""),9.285050515215E12)</f>
        <v>9285050515215</v>
      </c>
      <c r="F7375" s="1">
        <f>IFERROR(__xludf.DUMMYFUNCTION("""COMPUTED_VALUE"""),4.0)</f>
        <v>4</v>
      </c>
      <c r="G7375" s="1"/>
      <c r="H7375" s="3">
        <f>IFERROR(__xludf.DUMMYFUNCTION("""COMPUTED_VALUE"""),4.0)</f>
        <v>4</v>
      </c>
      <c r="I7375" s="4">
        <f>IFERROR(__xludf.DUMMYFUNCTION("""COMPUTED_VALUE"""),0.0)</f>
        <v>0</v>
      </c>
      <c r="J7375" s="1" t="str">
        <f>IFERROR(__xludf.DUMMYFUNCTION("""COMPUTED_VALUE"""),"Xandy Azarcon")</f>
        <v>Xandy Azarcon</v>
      </c>
      <c r="K7375" s="1" t="str">
        <f>IFERROR(__xludf.DUMMYFUNCTION("""COMPUTED_VALUE"""),"High Sensitivity Support PH")</f>
        <v>High Sensitivity Support PH</v>
      </c>
      <c r="L7375" s="1" t="str">
        <f>IFERROR(__xludf.DUMMYFUNCTION("""COMPUTED_VALUE"""),"HSS High Sensitivity Support PH - CHT")</f>
        <v>HSS High Sensitivity Support PH - CHT</v>
      </c>
    </row>
    <row r="7376">
      <c r="A7376" s="1" t="str">
        <f>IFERROR(__xludf.DUMMYFUNCTION("""COMPUTED_VALUE"""),"2025 Dec")</f>
        <v>2025 Dec</v>
      </c>
      <c r="B7376" s="2">
        <f>IFERROR(__xludf.DUMMYFUNCTION("""COMPUTED_VALUE"""),46006.0)</f>
        <v>46006</v>
      </c>
      <c r="C7376" s="1" t="str">
        <f>IFERROR(__xludf.DUMMYFUNCTION("""COMPUTED_VALUE"""),"Admin Support")</f>
        <v>Admin Support</v>
      </c>
      <c r="D7376" s="1" t="str">
        <f>IFERROR(__xludf.DUMMYFUNCTION("""COMPUTED_VALUE"""),"390ace33-d7f9-4dda-8f95-3d06e72320ce")</f>
        <v>390ace33-d7f9-4dda-8f95-3d06e72320ce</v>
      </c>
      <c r="E7376" s="1">
        <f>IFERROR(__xludf.DUMMYFUNCTION("""COMPUTED_VALUE"""),3.61724963216E11)</f>
        <v>361724963216</v>
      </c>
      <c r="F7376" s="1"/>
      <c r="G7376" s="1"/>
      <c r="H7376" s="3">
        <f>IFERROR(__xludf.DUMMYFUNCTION("""COMPUTED_VALUE"""),0.0)</f>
        <v>0</v>
      </c>
      <c r="I7376" s="4"/>
      <c r="J7376" s="1" t="str">
        <f>IFERROR(__xludf.DUMMYFUNCTION("""COMPUTED_VALUE"""),"Karla Mananghaya")</f>
        <v>Karla Mananghaya</v>
      </c>
      <c r="K7376" s="1" t="str">
        <f>IFERROR(__xludf.DUMMYFUNCTION("""COMPUTED_VALUE"""),"Admin Support PH")</f>
        <v>Admin Support PH</v>
      </c>
      <c r="L7376" s="1" t="str">
        <f>IFERROR(__xludf.DUMMYFUNCTION("""COMPUTED_VALUE"""),"Admin - SEE")</f>
        <v>Admin - SEE</v>
      </c>
    </row>
    <row r="7377">
      <c r="A7377" s="1" t="str">
        <f>IFERROR(__xludf.DUMMYFUNCTION("""COMPUTED_VALUE"""),"2025 Dec")</f>
        <v>2025 Dec</v>
      </c>
      <c r="B7377" s="2">
        <f>IFERROR(__xludf.DUMMYFUNCTION("""COMPUTED_VALUE"""),46006.0)</f>
        <v>46006</v>
      </c>
      <c r="C7377" s="1" t="str">
        <f>IFERROR(__xludf.DUMMYFUNCTION("""COMPUTED_VALUE"""),"Core Product Support")</f>
        <v>Core Product Support</v>
      </c>
      <c r="D7377" s="1" t="str">
        <f>IFERROR(__xludf.DUMMYFUNCTION("""COMPUTED_VALUE"""),"4213e169-349c-47c9-b613-f4356c986a3d")</f>
        <v>4213e169-349c-47c9-b613-f4356c986a3d</v>
      </c>
      <c r="E7377" s="1">
        <f>IFERROR(__xludf.DUMMYFUNCTION("""COMPUTED_VALUE"""),1.0548588312463E13)</f>
        <v>10548588312463</v>
      </c>
      <c r="F7377" s="1">
        <f>IFERROR(__xludf.DUMMYFUNCTION("""COMPUTED_VALUE"""),0.5)</f>
        <v>0.5</v>
      </c>
      <c r="G7377" s="1"/>
      <c r="H7377" s="3">
        <f>IFERROR(__xludf.DUMMYFUNCTION("""COMPUTED_VALUE"""),0.5)</f>
        <v>0.5</v>
      </c>
      <c r="I7377" s="4">
        <f>IFERROR(__xludf.DUMMYFUNCTION("""COMPUTED_VALUE"""),0.0)</f>
        <v>0</v>
      </c>
      <c r="J7377" s="1" t="str">
        <f>IFERROR(__xludf.DUMMYFUNCTION("""COMPUTED_VALUE"""),"Belle Bentazal")</f>
        <v>Belle Bentazal</v>
      </c>
      <c r="K7377" s="1" t="str">
        <f>IFERROR(__xludf.DUMMYFUNCTION("""COMPUTED_VALUE"""),"Advanced Product Support")</f>
        <v>Advanced Product Support</v>
      </c>
      <c r="L7377" s="1" t="str">
        <f>IFERROR(__xludf.DUMMYFUNCTION("""COMPUTED_VALUE"""),"CPS Advanced Product Support (APS)")</f>
        <v>CPS Advanced Product Support (APS)</v>
      </c>
    </row>
    <row r="7378">
      <c r="A7378" s="1" t="str">
        <f>IFERROR(__xludf.DUMMYFUNCTION("""COMPUTED_VALUE"""),"2025 Dec")</f>
        <v>2025 Dec</v>
      </c>
      <c r="B7378" s="2">
        <f>IFERROR(__xludf.DUMMYFUNCTION("""COMPUTED_VALUE"""),46006.0)</f>
        <v>46006</v>
      </c>
      <c r="C7378" s="1" t="str">
        <f>IFERROR(__xludf.DUMMYFUNCTION("""COMPUTED_VALUE"""),"Core Product Support")</f>
        <v>Core Product Support</v>
      </c>
      <c r="D7378" s="1" t="str">
        <f>IFERROR(__xludf.DUMMYFUNCTION("""COMPUTED_VALUE"""),"3d49537c-dbf0-4f04-896b-1d3cc141a183")</f>
        <v>3d49537c-dbf0-4f04-896b-1d3cc141a183</v>
      </c>
      <c r="E7378" s="1">
        <f>IFERROR(__xludf.DUMMYFUNCTION("""COMPUTED_VALUE"""),5.901988041103E12)</f>
        <v>5901988041103</v>
      </c>
      <c r="F7378" s="1">
        <f>IFERROR(__xludf.DUMMYFUNCTION("""COMPUTED_VALUE"""),0.5)</f>
        <v>0.5</v>
      </c>
      <c r="G7378" s="1"/>
      <c r="H7378" s="3">
        <f>IFERROR(__xludf.DUMMYFUNCTION("""COMPUTED_VALUE"""),0.5)</f>
        <v>0.5</v>
      </c>
      <c r="I7378" s="4">
        <f>IFERROR(__xludf.DUMMYFUNCTION("""COMPUTED_VALUE"""),0.0)</f>
        <v>0</v>
      </c>
      <c r="J7378" s="1" t="str">
        <f>IFERROR(__xludf.DUMMYFUNCTION("""COMPUTED_VALUE"""),"Vianca De Jesus")</f>
        <v>Vianca De Jesus</v>
      </c>
      <c r="K7378" s="1" t="str">
        <f>IFERROR(__xludf.DUMMYFUNCTION("""COMPUTED_VALUE"""),"Advanced Chat Support")</f>
        <v>Advanced Chat Support</v>
      </c>
      <c r="L7378" s="1" t="str">
        <f>IFERROR(__xludf.DUMMYFUNCTION("""COMPUTED_VALUE"""),"CPS Advanced Chat Support (ACS)")</f>
        <v>CPS Advanced Chat Support (ACS)</v>
      </c>
    </row>
    <row r="7379">
      <c r="A7379" s="1" t="str">
        <f>IFERROR(__xludf.DUMMYFUNCTION("""COMPUTED_VALUE"""),"2025 Dec")</f>
        <v>2025 Dec</v>
      </c>
      <c r="B7379" s="2">
        <f>IFERROR(__xludf.DUMMYFUNCTION("""COMPUTED_VALUE"""),46006.0)</f>
        <v>46006</v>
      </c>
      <c r="C7379" s="1" t="str">
        <f>IFERROR(__xludf.DUMMYFUNCTION("""COMPUTED_VALUE"""),"Core Product Support")</f>
        <v>Core Product Support</v>
      </c>
      <c r="D7379" s="1" t="str">
        <f>IFERROR(__xludf.DUMMYFUNCTION("""COMPUTED_VALUE"""),"b5f49a72-6ea0-44a0-8325-970c0e83dea7")</f>
        <v>b5f49a72-6ea0-44a0-8325-970c0e83dea7</v>
      </c>
      <c r="E7379" s="1">
        <f>IFERROR(__xludf.DUMMYFUNCTION("""COMPUTED_VALUE"""),9.586408388239E12)</f>
        <v>9586408388239</v>
      </c>
      <c r="F7379" s="1">
        <f>IFERROR(__xludf.DUMMYFUNCTION("""COMPUTED_VALUE"""),0.5)</f>
        <v>0.5</v>
      </c>
      <c r="G7379" s="1"/>
      <c r="H7379" s="3">
        <f>IFERROR(__xludf.DUMMYFUNCTION("""COMPUTED_VALUE"""),0.5)</f>
        <v>0.5</v>
      </c>
      <c r="I7379" s="4">
        <f>IFERROR(__xludf.DUMMYFUNCTION("""COMPUTED_VALUE"""),0.0)</f>
        <v>0</v>
      </c>
      <c r="J7379" s="1" t="str">
        <f>IFERROR(__xludf.DUMMYFUNCTION("""COMPUTED_VALUE"""),"Belle Bentazal")</f>
        <v>Belle Bentazal</v>
      </c>
      <c r="K7379" s="1" t="str">
        <f>IFERROR(__xludf.DUMMYFUNCTION("""COMPUTED_VALUE"""),"Advanced Product Support")</f>
        <v>Advanced Product Support</v>
      </c>
      <c r="L7379" s="1" t="str">
        <f>IFERROR(__xludf.DUMMYFUNCTION("""COMPUTED_VALUE"""),"CPS Advanced Product Support (APS)")</f>
        <v>CPS Advanced Product Support (APS)</v>
      </c>
    </row>
    <row r="7380">
      <c r="A7380" s="1" t="str">
        <f>IFERROR(__xludf.DUMMYFUNCTION("""COMPUTED_VALUE"""),"2025 Dec")</f>
        <v>2025 Dec</v>
      </c>
      <c r="B7380" s="2">
        <f>IFERROR(__xludf.DUMMYFUNCTION("""COMPUTED_VALUE"""),46006.0)</f>
        <v>46006</v>
      </c>
      <c r="C7380" s="1" t="str">
        <f>IFERROR(__xludf.DUMMYFUNCTION("""COMPUTED_VALUE"""),"Admin Support")</f>
        <v>Admin Support</v>
      </c>
      <c r="D7380" s="1" t="str">
        <f>IFERROR(__xludf.DUMMYFUNCTION("""COMPUTED_VALUE"""),"3960812e-748b-47a3-8dea-3a0c6b21aee1")</f>
        <v>3960812e-748b-47a3-8dea-3a0c6b21aee1</v>
      </c>
      <c r="E7380" s="1">
        <f>IFERROR(__xludf.DUMMYFUNCTION("""COMPUTED_VALUE"""),9.107749076367E12)</f>
        <v>9107749076367</v>
      </c>
      <c r="F7380" s="1"/>
      <c r="G7380" s="1"/>
      <c r="H7380" s="3">
        <f>IFERROR(__xludf.DUMMYFUNCTION("""COMPUTED_VALUE"""),0.0)</f>
        <v>0</v>
      </c>
      <c r="I7380" s="4"/>
      <c r="J7380" s="1" t="str">
        <f>IFERROR(__xludf.DUMMYFUNCTION("""COMPUTED_VALUE"""),"Pau Palmero")</f>
        <v>Pau Palmero</v>
      </c>
      <c r="K7380" s="1" t="str">
        <f>IFERROR(__xludf.DUMMYFUNCTION("""COMPUTED_VALUE"""),"Admin Support PH CEDD")</f>
        <v>Admin Support PH CEDD</v>
      </c>
      <c r="L7380" s="1" t="str">
        <f>IFERROR(__xludf.DUMMYFUNCTION("""COMPUTED_VALUE"""),"Admin CEDD Apps,Admin CEDD Inbox Mgt")</f>
        <v>Admin CEDD Apps,Admin CEDD Inbox Mgt</v>
      </c>
    </row>
    <row r="7381">
      <c r="A7381" s="1" t="str">
        <f>IFERROR(__xludf.DUMMYFUNCTION("""COMPUTED_VALUE"""),"2025 Dec")</f>
        <v>2025 Dec</v>
      </c>
      <c r="B7381" s="2">
        <f>IFERROR(__xludf.DUMMYFUNCTION("""COMPUTED_VALUE"""),46006.0)</f>
        <v>46006</v>
      </c>
      <c r="C7381" s="1" t="str">
        <f>IFERROR(__xludf.DUMMYFUNCTION("""COMPUTED_VALUE"""),"Segment-specific Support")</f>
        <v>Segment-specific Support</v>
      </c>
      <c r="D7381" s="1" t="str">
        <f>IFERROR(__xludf.DUMMYFUNCTION("""COMPUTED_VALUE"""),"0519f8dd-38e2-4c44-b925-77b43587196d")</f>
        <v>0519f8dd-38e2-4c44-b925-77b43587196d</v>
      </c>
      <c r="E7381" s="1">
        <f>IFERROR(__xludf.DUMMYFUNCTION("""COMPUTED_VALUE"""),3.61731348815E11)</f>
        <v>361731348815</v>
      </c>
      <c r="F7381" s="1"/>
      <c r="G7381" s="1"/>
      <c r="H7381" s="3">
        <f>IFERROR(__xludf.DUMMYFUNCTION("""COMPUTED_VALUE"""),0.0)</f>
        <v>0</v>
      </c>
      <c r="I7381" s="4"/>
      <c r="J7381" s="1" t="str">
        <f>IFERROR(__xludf.DUMMYFUNCTION("""COMPUTED_VALUE"""),"Aileen Dayanghirang")</f>
        <v>Aileen Dayanghirang</v>
      </c>
      <c r="K7381" s="1" t="str">
        <f>IFERROR(__xludf.DUMMYFUNCTION("""COMPUTED_VALUE"""),"Creators Support")</f>
        <v>Creators Support</v>
      </c>
      <c r="L7381" s="1" t="str">
        <f>IFERROR(__xludf.DUMMYFUNCTION("""COMPUTED_VALUE"""),"SSS Creators")</f>
        <v>SSS Creators</v>
      </c>
    </row>
    <row r="7382">
      <c r="A7382" s="1" t="str">
        <f>IFERROR(__xludf.DUMMYFUNCTION("""COMPUTED_VALUE"""),"2025 Dec")</f>
        <v>2025 Dec</v>
      </c>
      <c r="B7382" s="2">
        <f>IFERROR(__xludf.DUMMYFUNCTION("""COMPUTED_VALUE"""),46006.0)</f>
        <v>46006</v>
      </c>
      <c r="C7382" s="1" t="str">
        <f>IFERROR(__xludf.DUMMYFUNCTION("""COMPUTED_VALUE"""),"Core Product Support")</f>
        <v>Core Product Support</v>
      </c>
      <c r="D7382" s="1" t="str">
        <f>IFERROR(__xludf.DUMMYFUNCTION("""COMPUTED_VALUE"""),"3ea48634-b6a2-4b3f-b17e-bc63a77dd069")</f>
        <v>3ea48634-b6a2-4b3f-b17e-bc63a77dd069</v>
      </c>
      <c r="E7382" s="1">
        <f>IFERROR(__xludf.DUMMYFUNCTION("""COMPUTED_VALUE"""),3.61969384715E11)</f>
        <v>361969384715</v>
      </c>
      <c r="F7382" s="1">
        <f>IFERROR(__xludf.DUMMYFUNCTION("""COMPUTED_VALUE"""),0.5)</f>
        <v>0.5</v>
      </c>
      <c r="G7382" s="1"/>
      <c r="H7382" s="3">
        <f>IFERROR(__xludf.DUMMYFUNCTION("""COMPUTED_VALUE"""),0.5)</f>
        <v>0.5</v>
      </c>
      <c r="I7382" s="4">
        <f>IFERROR(__xludf.DUMMYFUNCTION("""COMPUTED_VALUE"""),0.0)</f>
        <v>0</v>
      </c>
      <c r="J7382" s="1" t="str">
        <f>IFERROR(__xludf.DUMMYFUNCTION("""COMPUTED_VALUE"""),"Vianca De Jesus")</f>
        <v>Vianca De Jesus</v>
      </c>
      <c r="K7382" s="1" t="str">
        <f>IFERROR(__xludf.DUMMYFUNCTION("""COMPUTED_VALUE"""),"Advanced Chat Support")</f>
        <v>Advanced Chat Support</v>
      </c>
      <c r="L7382" s="1" t="str">
        <f>IFERROR(__xludf.DUMMYFUNCTION("""COMPUTED_VALUE"""),"CPS Advanced Chat Support (ACS)")</f>
        <v>CPS Advanced Chat Support (ACS)</v>
      </c>
    </row>
    <row r="7383">
      <c r="A7383" s="1" t="str">
        <f>IFERROR(__xludf.DUMMYFUNCTION("""COMPUTED_VALUE"""),"2025 Dec")</f>
        <v>2025 Dec</v>
      </c>
      <c r="B7383" s="2">
        <f>IFERROR(__xludf.DUMMYFUNCTION("""COMPUTED_VALUE"""),46006.0)</f>
        <v>46006</v>
      </c>
      <c r="C7383" s="1" t="str">
        <f>IFERROR(__xludf.DUMMYFUNCTION("""COMPUTED_VALUE"""),"Print Support")</f>
        <v>Print Support</v>
      </c>
      <c r="D7383" s="1" t="str">
        <f>IFERROR(__xludf.DUMMYFUNCTION("""COMPUTED_VALUE"""),"5957e659-d004-4b50-a833-96d89b506744")</f>
        <v>5957e659-d004-4b50-a833-96d89b506744</v>
      </c>
      <c r="E7383" s="1">
        <f>IFERROR(__xludf.DUMMYFUNCTION("""COMPUTED_VALUE"""),1.3475786244239E13)</f>
        <v>13475786244239</v>
      </c>
      <c r="F7383" s="1"/>
      <c r="G7383" s="1"/>
      <c r="H7383" s="3">
        <f>IFERROR(__xludf.DUMMYFUNCTION("""COMPUTED_VALUE"""),0.0)</f>
        <v>0</v>
      </c>
      <c r="I7383" s="4"/>
      <c r="J7383" s="1" t="str">
        <f>IFERROR(__xludf.DUMMYFUNCTION("""COMPUTED_VALUE"""),"Gem Agoncillo")</f>
        <v>Gem Agoncillo</v>
      </c>
      <c r="K7383" s="1" t="str">
        <f>IFERROR(__xludf.DUMMYFUNCTION("""COMPUTED_VALUE"""),"Print Design Support")</f>
        <v>Print Design Support</v>
      </c>
      <c r="L7383" s="1" t="str">
        <f>IFERROR(__xludf.DUMMYFUNCTION("""COMPUTED_VALUE"""),"Print Print Design")</f>
        <v>Print Print Design</v>
      </c>
    </row>
    <row r="7384">
      <c r="A7384" s="1" t="str">
        <f>IFERROR(__xludf.DUMMYFUNCTION("""COMPUTED_VALUE"""),"2025 Dec")</f>
        <v>2025 Dec</v>
      </c>
      <c r="B7384" s="2">
        <f>IFERROR(__xludf.DUMMYFUNCTION("""COMPUTED_VALUE"""),46006.0)</f>
        <v>46006</v>
      </c>
      <c r="C7384" s="1" t="str">
        <f>IFERROR(__xludf.DUMMYFUNCTION("""COMPUTED_VALUE"""),"Admin Support")</f>
        <v>Admin Support</v>
      </c>
      <c r="D7384" s="1" t="str">
        <f>IFERROR(__xludf.DUMMYFUNCTION("""COMPUTED_VALUE"""),"aba1b506-4ed6-4f4a-abad-f264703b1937")</f>
        <v>aba1b506-4ed6-4f4a-abad-f264703b1937</v>
      </c>
      <c r="E7384" s="1">
        <f>IFERROR(__xludf.DUMMYFUNCTION("""COMPUTED_VALUE"""),9.684963584655E12)</f>
        <v>9684963584655</v>
      </c>
      <c r="F7384" s="1">
        <f>IFERROR(__xludf.DUMMYFUNCTION("""COMPUTED_VALUE"""),0.5)</f>
        <v>0.5</v>
      </c>
      <c r="G7384" s="1"/>
      <c r="H7384" s="3">
        <f>IFERROR(__xludf.DUMMYFUNCTION("""COMPUTED_VALUE"""),0.5)</f>
        <v>0.5</v>
      </c>
      <c r="I7384" s="4">
        <f>IFERROR(__xludf.DUMMYFUNCTION("""COMPUTED_VALUE"""),0.0)</f>
        <v>0</v>
      </c>
      <c r="J7384" s="1" t="str">
        <f>IFERROR(__xludf.DUMMYFUNCTION("""COMPUTED_VALUE"""),"Tash Kelly")</f>
        <v>Tash Kelly</v>
      </c>
      <c r="K7384" s="1" t="str">
        <f>IFERROR(__xludf.DUMMYFUNCTION("""COMPUTED_VALUE"""),"Admin Support NA")</f>
        <v>Admin Support NA</v>
      </c>
      <c r="L7384" s="1" t="str">
        <f>IFERROR(__xludf.DUMMYFUNCTION("""COMPUTED_VALUE"""),"Admin NA")</f>
        <v>Admin NA</v>
      </c>
    </row>
    <row r="7385">
      <c r="A7385" s="1" t="str">
        <f>IFERROR(__xludf.DUMMYFUNCTION("""COMPUTED_VALUE"""),"2025 Dec")</f>
        <v>2025 Dec</v>
      </c>
      <c r="B7385" s="2">
        <f>IFERROR(__xludf.DUMMYFUNCTION("""COMPUTED_VALUE"""),46006.0)</f>
        <v>46006</v>
      </c>
      <c r="C7385" s="1" t="str">
        <f>IFERROR(__xludf.DUMMYFUNCTION("""COMPUTED_VALUE"""),"High Sensitivity Support")</f>
        <v>High Sensitivity Support</v>
      </c>
      <c r="D7385" s="1" t="str">
        <f>IFERROR(__xludf.DUMMYFUNCTION("""COMPUTED_VALUE"""),"1b0e8a89-47b2-4607-8a32-61610d221409")</f>
        <v>1b0e8a89-47b2-4607-8a32-61610d221409</v>
      </c>
      <c r="E7385" s="1">
        <f>IFERROR(__xludf.DUMMYFUNCTION("""COMPUTED_VALUE"""),9.107749325455E12)</f>
        <v>9107749325455</v>
      </c>
      <c r="F7385" s="1">
        <f>IFERROR(__xludf.DUMMYFUNCTION("""COMPUTED_VALUE"""),4.0)</f>
        <v>4</v>
      </c>
      <c r="G7385" s="1"/>
      <c r="H7385" s="3">
        <f>IFERROR(__xludf.DUMMYFUNCTION("""COMPUTED_VALUE"""),4.0)</f>
        <v>4</v>
      </c>
      <c r="I7385" s="4">
        <f>IFERROR(__xludf.DUMMYFUNCTION("""COMPUTED_VALUE"""),0.0)</f>
        <v>0</v>
      </c>
      <c r="J7385" s="1" t="str">
        <f>IFERROR(__xludf.DUMMYFUNCTION("""COMPUTED_VALUE"""),"Rex Villamor")</f>
        <v>Rex Villamor</v>
      </c>
      <c r="K7385" s="1" t="str">
        <f>IFERROR(__xludf.DUMMYFUNCTION("""COMPUTED_VALUE"""),"High Sensitivity Support PH")</f>
        <v>High Sensitivity Support PH</v>
      </c>
      <c r="L7385" s="1" t="str">
        <f>IFERROR(__xludf.DUMMYFUNCTION("""COMPUTED_VALUE"""),"HSS High Sensitivity Support PH - CHT")</f>
        <v>HSS High Sensitivity Support PH - CHT</v>
      </c>
    </row>
    <row r="7386">
      <c r="A7386" s="1" t="str">
        <f>IFERROR(__xludf.DUMMYFUNCTION("""COMPUTED_VALUE"""),"2025 Dec")</f>
        <v>2025 Dec</v>
      </c>
      <c r="B7386" s="2">
        <f>IFERROR(__xludf.DUMMYFUNCTION("""COMPUTED_VALUE"""),46006.0)</f>
        <v>46006</v>
      </c>
      <c r="C7386" s="1" t="str">
        <f>IFERROR(__xludf.DUMMYFUNCTION("""COMPUTED_VALUE"""),"Core Product Support")</f>
        <v>Core Product Support</v>
      </c>
      <c r="D7386" s="1" t="str">
        <f>IFERROR(__xludf.DUMMYFUNCTION("""COMPUTED_VALUE"""),"34f2d71e-2948-4046-b11a-6ec3d91fb2f7")</f>
        <v>34f2d71e-2948-4046-b11a-6ec3d91fb2f7</v>
      </c>
      <c r="E7386" s="1">
        <f>IFERROR(__xludf.DUMMYFUNCTION("""COMPUTED_VALUE"""),3.61725261076E11)</f>
        <v>361725261076</v>
      </c>
      <c r="F7386" s="1">
        <f>IFERROR(__xludf.DUMMYFUNCTION("""COMPUTED_VALUE"""),0.5)</f>
        <v>0.5</v>
      </c>
      <c r="G7386" s="1">
        <f>IFERROR(__xludf.DUMMYFUNCTION("""COMPUTED_VALUE"""),2.5)</f>
        <v>2.5</v>
      </c>
      <c r="H7386" s="3">
        <f>IFERROR(__xludf.DUMMYFUNCTION("""COMPUTED_VALUE"""),3.0)</f>
        <v>3</v>
      </c>
      <c r="I7386" s="4">
        <f>IFERROR(__xludf.DUMMYFUNCTION("""COMPUTED_VALUE"""),0.8333333333333334)</f>
        <v>0.8333333333</v>
      </c>
      <c r="J7386" s="1" t="str">
        <f>IFERROR(__xludf.DUMMYFUNCTION("""COMPUTED_VALUE"""),"Bem Launte")</f>
        <v>Bem Launte</v>
      </c>
      <c r="K7386" s="1" t="str">
        <f>IFERROR(__xludf.DUMMYFUNCTION("""COMPUTED_VALUE"""),"Core Product Support Escalation Team")</f>
        <v>Core Product Support Escalation Team</v>
      </c>
      <c r="L7386" s="1" t="str">
        <f>IFERROR(__xludf.DUMMYFUNCTION("""COMPUTED_VALUE"""),"CPS Core Product Support Escalations (CPSET)")</f>
        <v>CPS Core Product Support Escalations (CPSET)</v>
      </c>
    </row>
    <row r="7387">
      <c r="A7387" s="1" t="str">
        <f>IFERROR(__xludf.DUMMYFUNCTION("""COMPUTED_VALUE"""),"2025 Dec")</f>
        <v>2025 Dec</v>
      </c>
      <c r="B7387" s="2">
        <f>IFERROR(__xludf.DUMMYFUNCTION("""COMPUTED_VALUE"""),46006.0)</f>
        <v>46006</v>
      </c>
      <c r="C7387" s="1" t="str">
        <f>IFERROR(__xludf.DUMMYFUNCTION("""COMPUTED_VALUE"""),"Core Product Support")</f>
        <v>Core Product Support</v>
      </c>
      <c r="D7387" s="1" t="str">
        <f>IFERROR(__xludf.DUMMYFUNCTION("""COMPUTED_VALUE"""),"d0bf168c-4c21-43be-abef-2d821133980c")</f>
        <v>d0bf168c-4c21-43be-abef-2d821133980c</v>
      </c>
      <c r="E7387" s="1">
        <f>IFERROR(__xludf.DUMMYFUNCTION("""COMPUTED_VALUE"""),7.437371735567E12)</f>
        <v>7437371735567</v>
      </c>
      <c r="F7387" s="1">
        <f>IFERROR(__xludf.DUMMYFUNCTION("""COMPUTED_VALUE"""),0.5)</f>
        <v>0.5</v>
      </c>
      <c r="G7387" s="1">
        <f>IFERROR(__xludf.DUMMYFUNCTION("""COMPUTED_VALUE"""),1.5)</f>
        <v>1.5</v>
      </c>
      <c r="H7387" s="3">
        <f>IFERROR(__xludf.DUMMYFUNCTION("""COMPUTED_VALUE"""),2.0)</f>
        <v>2</v>
      </c>
      <c r="I7387" s="4">
        <f>IFERROR(__xludf.DUMMYFUNCTION("""COMPUTED_VALUE"""),0.75)</f>
        <v>0.75</v>
      </c>
      <c r="J7387" s="1" t="str">
        <f>IFERROR(__xludf.DUMMYFUNCTION("""COMPUTED_VALUE"""),"Renette Bok")</f>
        <v>Renette Bok</v>
      </c>
      <c r="K7387" s="1" t="str">
        <f>IFERROR(__xludf.DUMMYFUNCTION("""COMPUTED_VALUE"""),"Advanced Billing &amp; Subscriptions")</f>
        <v>Advanced Billing &amp; Subscriptions</v>
      </c>
      <c r="L7387" s="1" t="str">
        <f>IFERROR(__xludf.DUMMYFUNCTION("""COMPUTED_VALUE"""),"CPS Advanced Billing and Subscriptions (ABS)")</f>
        <v>CPS Advanced Billing and Subscriptions (ABS)</v>
      </c>
    </row>
    <row r="7388">
      <c r="A7388" s="1" t="str">
        <f>IFERROR(__xludf.DUMMYFUNCTION("""COMPUTED_VALUE"""),"2025 Dec")</f>
        <v>2025 Dec</v>
      </c>
      <c r="B7388" s="2">
        <f>IFERROR(__xludf.DUMMYFUNCTION("""COMPUTED_VALUE"""),46006.0)</f>
        <v>46006</v>
      </c>
      <c r="C7388" s="1" t="str">
        <f>IFERROR(__xludf.DUMMYFUNCTION("""COMPUTED_VALUE"""),"High Sensitivity Support")</f>
        <v>High Sensitivity Support</v>
      </c>
      <c r="D7388" s="1" t="str">
        <f>IFERROR(__xludf.DUMMYFUNCTION("""COMPUTED_VALUE"""),"f56a1f10-27ad-435d-9c50-8e847d04dbcf")</f>
        <v>f56a1f10-27ad-435d-9c50-8e847d04dbcf</v>
      </c>
      <c r="E7388" s="1">
        <f>IFERROR(__xludf.DUMMYFUNCTION("""COMPUTED_VALUE"""),5.566811301007E12)</f>
        <v>5566811301007</v>
      </c>
      <c r="F7388" s="1"/>
      <c r="G7388" s="1"/>
      <c r="H7388" s="3">
        <f>IFERROR(__xludf.DUMMYFUNCTION("""COMPUTED_VALUE"""),0.0)</f>
        <v>0</v>
      </c>
      <c r="I7388" s="4"/>
      <c r="J7388" s="1" t="str">
        <f>IFERROR(__xludf.DUMMYFUNCTION("""COMPUTED_VALUE"""),"Issi Afable")</f>
        <v>Issi Afable</v>
      </c>
      <c r="K7388" s="1" t="str">
        <f>IFERROR(__xludf.DUMMYFUNCTION("""COMPUTED_VALUE"""),"High Sensitivity Support PH")</f>
        <v>High Sensitivity Support PH</v>
      </c>
      <c r="L7388" s="1" t="str">
        <f>IFERROR(__xludf.DUMMYFUNCTION("""COMPUTED_VALUE"""),"HSS High Sensitivity Support PH - SEE")</f>
        <v>HSS High Sensitivity Support PH - SEE</v>
      </c>
    </row>
    <row r="7389">
      <c r="A7389" s="1" t="str">
        <f>IFERROR(__xludf.DUMMYFUNCTION("""COMPUTED_VALUE"""),"2025 Dec")</f>
        <v>2025 Dec</v>
      </c>
      <c r="B7389" s="2">
        <f>IFERROR(__xludf.DUMMYFUNCTION("""COMPUTED_VALUE"""),46006.0)</f>
        <v>46006</v>
      </c>
      <c r="C7389" s="1" t="str">
        <f>IFERROR(__xludf.DUMMYFUNCTION("""COMPUTED_VALUE"""),"Print Support")</f>
        <v>Print Support</v>
      </c>
      <c r="D7389" s="1" t="str">
        <f>IFERROR(__xludf.DUMMYFUNCTION("""COMPUTED_VALUE"""),"298f0d76-bd7a-4274-ba39-7bf5fff1a6f0")</f>
        <v>298f0d76-bd7a-4274-ba39-7bf5fff1a6f0</v>
      </c>
      <c r="E7389" s="1"/>
      <c r="F7389" s="1"/>
      <c r="G7389" s="1"/>
      <c r="H7389" s="3">
        <f>IFERROR(__xludf.DUMMYFUNCTION("""COMPUTED_VALUE"""),0.0)</f>
        <v>0</v>
      </c>
      <c r="I7389" s="4"/>
      <c r="J7389" s="1" t="str">
        <f>IFERROR(__xludf.DUMMYFUNCTION("""COMPUTED_VALUE"""),"Gem Agoncillo")</f>
        <v>Gem Agoncillo</v>
      </c>
      <c r="K7389" s="1" t="str">
        <f>IFERROR(__xludf.DUMMYFUNCTION("""COMPUTED_VALUE"""),"Print Design Support")</f>
        <v>Print Design Support</v>
      </c>
      <c r="L7389" s="1" t="str">
        <f>IFERROR(__xludf.DUMMYFUNCTION("""COMPUTED_VALUE"""),"Print Print Design")</f>
        <v>Print Print Design</v>
      </c>
    </row>
    <row r="7390">
      <c r="A7390" s="1" t="str">
        <f>IFERROR(__xludf.DUMMYFUNCTION("""COMPUTED_VALUE"""),"2025 Dec")</f>
        <v>2025 Dec</v>
      </c>
      <c r="B7390" s="2">
        <f>IFERROR(__xludf.DUMMYFUNCTION("""COMPUTED_VALUE"""),46006.0)</f>
        <v>46006</v>
      </c>
      <c r="C7390" s="1" t="str">
        <f>IFERROR(__xludf.DUMMYFUNCTION("""COMPUTED_VALUE"""),"Print Support")</f>
        <v>Print Support</v>
      </c>
      <c r="D7390" s="1" t="str">
        <f>IFERROR(__xludf.DUMMYFUNCTION("""COMPUTED_VALUE"""),"6a7b954c-b6c3-49ee-b531-c1516331ca46")</f>
        <v>6a7b954c-b6c3-49ee-b531-c1516331ca46</v>
      </c>
      <c r="E7390" s="1">
        <f>IFERROR(__xludf.DUMMYFUNCTION("""COMPUTED_VALUE"""),3.61725484216E11)</f>
        <v>361725484216</v>
      </c>
      <c r="F7390" s="1"/>
      <c r="G7390" s="1"/>
      <c r="H7390" s="3">
        <f>IFERROR(__xludf.DUMMYFUNCTION("""COMPUTED_VALUE"""),0.0)</f>
        <v>0</v>
      </c>
      <c r="I7390" s="4"/>
      <c r="J7390" s="1" t="str">
        <f>IFERROR(__xludf.DUMMYFUNCTION("""COMPUTED_VALUE"""),"Louise Dianne Estrella")</f>
        <v>Louise Dianne Estrella</v>
      </c>
      <c r="K7390" s="1" t="str">
        <f>IFERROR(__xludf.DUMMYFUNCTION("""COMPUTED_VALUE"""),"Print Support PH")</f>
        <v>Print Support PH</v>
      </c>
      <c r="L7390" s="1" t="str">
        <f>IFERROR(__xludf.DUMMYFUNCTION("""COMPUTED_VALUE"""),"Print Print - CHT")</f>
        <v>Print Print - CHT</v>
      </c>
    </row>
    <row r="7391">
      <c r="A7391" s="1" t="str">
        <f>IFERROR(__xludf.DUMMYFUNCTION("""COMPUTED_VALUE"""),"2025 Dec")</f>
        <v>2025 Dec</v>
      </c>
      <c r="B7391" s="2">
        <f>IFERROR(__xludf.DUMMYFUNCTION("""COMPUTED_VALUE"""),46006.0)</f>
        <v>46006</v>
      </c>
      <c r="C7391" s="1" t="str">
        <f>IFERROR(__xludf.DUMMYFUNCTION("""COMPUTED_VALUE"""),"Print Support")</f>
        <v>Print Support</v>
      </c>
      <c r="D7391" s="1" t="str">
        <f>IFERROR(__xludf.DUMMYFUNCTION("""COMPUTED_VALUE"""),"795981ce-4d10-4d82-8c86-abfaee5aa819")</f>
        <v>795981ce-4d10-4d82-8c86-abfaee5aa819</v>
      </c>
      <c r="E7391" s="1"/>
      <c r="F7391" s="1"/>
      <c r="G7391" s="1"/>
      <c r="H7391" s="3">
        <f>IFERROR(__xludf.DUMMYFUNCTION("""COMPUTED_VALUE"""),0.0)</f>
        <v>0</v>
      </c>
      <c r="I7391" s="4"/>
      <c r="J7391" s="1" t="str">
        <f>IFERROR(__xludf.DUMMYFUNCTION("""COMPUTED_VALUE"""),"Rei De Jesus")</f>
        <v>Rei De Jesus</v>
      </c>
      <c r="K7391" s="1" t="str">
        <f>IFERROR(__xludf.DUMMYFUNCTION("""COMPUTED_VALUE"""),"Print Design Support")</f>
        <v>Print Design Support</v>
      </c>
      <c r="L7391" s="1" t="str">
        <f>IFERROR(__xludf.DUMMYFUNCTION("""COMPUTED_VALUE"""),"Print Print Design")</f>
        <v>Print Print Design</v>
      </c>
    </row>
    <row r="7392">
      <c r="A7392" s="1" t="str">
        <f>IFERROR(__xludf.DUMMYFUNCTION("""COMPUTED_VALUE"""),"2025 Dec")</f>
        <v>2025 Dec</v>
      </c>
      <c r="B7392" s="2">
        <f>IFERROR(__xludf.DUMMYFUNCTION("""COMPUTED_VALUE"""),46006.0)</f>
        <v>46006</v>
      </c>
      <c r="C7392" s="1" t="str">
        <f>IFERROR(__xludf.DUMMYFUNCTION("""COMPUTED_VALUE"""),"Core Product Support")</f>
        <v>Core Product Support</v>
      </c>
      <c r="D7392" s="1" t="str">
        <f>IFERROR(__xludf.DUMMYFUNCTION("""COMPUTED_VALUE"""),"c3188fb3-23e5-43d8-86c2-072029c768d3")</f>
        <v>c3188fb3-23e5-43d8-86c2-072029c768d3</v>
      </c>
      <c r="E7392" s="1">
        <f>IFERROR(__xludf.DUMMYFUNCTION("""COMPUTED_VALUE"""),1.0808000160399E13)</f>
        <v>10808000160399</v>
      </c>
      <c r="F7392" s="1">
        <f>IFERROR(__xludf.DUMMYFUNCTION("""COMPUTED_VALUE"""),0.5)</f>
        <v>0.5</v>
      </c>
      <c r="G7392" s="1"/>
      <c r="H7392" s="3">
        <f>IFERROR(__xludf.DUMMYFUNCTION("""COMPUTED_VALUE"""),0.5)</f>
        <v>0.5</v>
      </c>
      <c r="I7392" s="4">
        <f>IFERROR(__xludf.DUMMYFUNCTION("""COMPUTED_VALUE"""),0.0)</f>
        <v>0</v>
      </c>
      <c r="J7392" s="1" t="str">
        <f>IFERROR(__xludf.DUMMYFUNCTION("""COMPUTED_VALUE"""),"Cate Velasco")</f>
        <v>Cate Velasco</v>
      </c>
      <c r="K7392" s="1" t="str">
        <f>IFERROR(__xludf.DUMMYFUNCTION("""COMPUTED_VALUE"""),"Advanced Product Support")</f>
        <v>Advanced Product Support</v>
      </c>
      <c r="L7392" s="1" t="str">
        <f>IFERROR(__xludf.DUMMYFUNCTION("""COMPUTED_VALUE"""),"CPS Advanced Product Support (APS)")</f>
        <v>CPS Advanced Product Support (APS)</v>
      </c>
    </row>
    <row r="7393">
      <c r="A7393" s="1" t="str">
        <f>IFERROR(__xludf.DUMMYFUNCTION("""COMPUTED_VALUE"""),"2025 Dec")</f>
        <v>2025 Dec</v>
      </c>
      <c r="B7393" s="2">
        <f>IFERROR(__xludf.DUMMYFUNCTION("""COMPUTED_VALUE"""),46006.0)</f>
        <v>46006</v>
      </c>
      <c r="C7393" s="1" t="str">
        <f>IFERROR(__xludf.DUMMYFUNCTION("""COMPUTED_VALUE"""),"Core Product Support")</f>
        <v>Core Product Support</v>
      </c>
      <c r="D7393" s="1" t="str">
        <f>IFERROR(__xludf.DUMMYFUNCTION("""COMPUTED_VALUE"""),"484a67d0-5e69-4c98-848a-5ffa0b23046e")</f>
        <v>484a67d0-5e69-4c98-848a-5ffa0b23046e</v>
      </c>
      <c r="E7393" s="1">
        <f>IFERROR(__xludf.DUMMYFUNCTION("""COMPUTED_VALUE"""),5.202392804111E12)</f>
        <v>5202392804111</v>
      </c>
      <c r="F7393" s="1">
        <f>IFERROR(__xludf.DUMMYFUNCTION("""COMPUTED_VALUE"""),0.5)</f>
        <v>0.5</v>
      </c>
      <c r="G7393" s="1">
        <f>IFERROR(__xludf.DUMMYFUNCTION("""COMPUTED_VALUE"""),1.5)</f>
        <v>1.5</v>
      </c>
      <c r="H7393" s="3">
        <f>IFERROR(__xludf.DUMMYFUNCTION("""COMPUTED_VALUE"""),2.0)</f>
        <v>2</v>
      </c>
      <c r="I7393" s="4">
        <f>IFERROR(__xludf.DUMMYFUNCTION("""COMPUTED_VALUE"""),0.75)</f>
        <v>0.75</v>
      </c>
      <c r="J7393" s="1" t="str">
        <f>IFERROR(__xludf.DUMMYFUNCTION("""COMPUTED_VALUE"""),"Renette Bok")</f>
        <v>Renette Bok</v>
      </c>
      <c r="K7393" s="1" t="str">
        <f>IFERROR(__xludf.DUMMYFUNCTION("""COMPUTED_VALUE"""),"Advanced Billing &amp; Subscriptions")</f>
        <v>Advanced Billing &amp; Subscriptions</v>
      </c>
      <c r="L7393" s="1" t="str">
        <f>IFERROR(__xludf.DUMMYFUNCTION("""COMPUTED_VALUE"""),"CPS Advanced Billing and Subscriptions (ABS)")</f>
        <v>CPS Advanced Billing and Subscriptions (ABS)</v>
      </c>
    </row>
    <row r="7394">
      <c r="A7394" s="1" t="str">
        <f>IFERROR(__xludf.DUMMYFUNCTION("""COMPUTED_VALUE"""),"2025 Dec")</f>
        <v>2025 Dec</v>
      </c>
      <c r="B7394" s="2">
        <f>IFERROR(__xludf.DUMMYFUNCTION("""COMPUTED_VALUE"""),46006.0)</f>
        <v>46006</v>
      </c>
      <c r="C7394" s="1" t="str">
        <f>IFERROR(__xludf.DUMMYFUNCTION("""COMPUTED_VALUE"""),"Core Product Support")</f>
        <v>Core Product Support</v>
      </c>
      <c r="D7394" s="1" t="str">
        <f>IFERROR(__xludf.DUMMYFUNCTION("""COMPUTED_VALUE"""),"64aee857-09bd-4a17-90d8-7b6e2d71c216")</f>
        <v>64aee857-09bd-4a17-90d8-7b6e2d71c216</v>
      </c>
      <c r="E7394" s="1">
        <f>IFERROR(__xludf.DUMMYFUNCTION("""COMPUTED_VALUE"""),3.61725374316E11)</f>
        <v>361725374316</v>
      </c>
      <c r="F7394" s="1">
        <f>IFERROR(__xludf.DUMMYFUNCTION("""COMPUTED_VALUE"""),0.5)</f>
        <v>0.5</v>
      </c>
      <c r="G7394" s="1">
        <f>IFERROR(__xludf.DUMMYFUNCTION("""COMPUTED_VALUE"""),2.5)</f>
        <v>2.5</v>
      </c>
      <c r="H7394" s="3">
        <f>IFERROR(__xludf.DUMMYFUNCTION("""COMPUTED_VALUE"""),3.0)</f>
        <v>3</v>
      </c>
      <c r="I7394" s="4">
        <f>IFERROR(__xludf.DUMMYFUNCTION("""COMPUTED_VALUE"""),0.8333333333333334)</f>
        <v>0.8333333333</v>
      </c>
      <c r="J7394" s="1" t="str">
        <f>IFERROR(__xludf.DUMMYFUNCTION("""COMPUTED_VALUE"""),"Sieg Ballelos")</f>
        <v>Sieg Ballelos</v>
      </c>
      <c r="K7394" s="1" t="str">
        <f>IFERROR(__xludf.DUMMYFUNCTION("""COMPUTED_VALUE"""),"Core Product Support Escalation Team")</f>
        <v>Core Product Support Escalation Team</v>
      </c>
      <c r="L7394" s="1" t="str">
        <f>IFERROR(__xludf.DUMMYFUNCTION("""COMPUTED_VALUE"""),"CPS Core Product Support Escalations (CPSET)")</f>
        <v>CPS Core Product Support Escalations (CPSET)</v>
      </c>
    </row>
    <row r="7395">
      <c r="A7395" s="1" t="str">
        <f>IFERROR(__xludf.DUMMYFUNCTION("""COMPUTED_VALUE"""),"2025 Dec")</f>
        <v>2025 Dec</v>
      </c>
      <c r="B7395" s="2">
        <f>IFERROR(__xludf.DUMMYFUNCTION("""COMPUTED_VALUE"""),46006.0)</f>
        <v>46006</v>
      </c>
      <c r="C7395" s="1" t="str">
        <f>IFERROR(__xludf.DUMMYFUNCTION("""COMPUTED_VALUE"""),"High Sensitivity Support")</f>
        <v>High Sensitivity Support</v>
      </c>
      <c r="D7395" s="1" t="str">
        <f>IFERROR(__xludf.DUMMYFUNCTION("""COMPUTED_VALUE"""),"c7c30477-846d-4f22-bc04-2aab19385d44")</f>
        <v>c7c30477-846d-4f22-bc04-2aab19385d44</v>
      </c>
      <c r="E7395" s="1">
        <f>IFERROR(__xludf.DUMMYFUNCTION("""COMPUTED_VALUE"""),5.359149433359E12)</f>
        <v>5359149433359</v>
      </c>
      <c r="F7395" s="1"/>
      <c r="G7395" s="1"/>
      <c r="H7395" s="3">
        <f>IFERROR(__xludf.DUMMYFUNCTION("""COMPUTED_VALUE"""),0.0)</f>
        <v>0</v>
      </c>
      <c r="I7395" s="4"/>
      <c r="J7395" s="1" t="str">
        <f>IFERROR(__xludf.DUMMYFUNCTION("""COMPUTED_VALUE"""),"Xandy Azarcon")</f>
        <v>Xandy Azarcon</v>
      </c>
      <c r="K7395" s="1" t="str">
        <f>IFERROR(__xludf.DUMMYFUNCTION("""COMPUTED_VALUE"""),"#N/A")</f>
        <v>#N/A</v>
      </c>
      <c r="L7395" s="1"/>
    </row>
    <row r="7396">
      <c r="A7396" s="1" t="str">
        <f>IFERROR(__xludf.DUMMYFUNCTION("""COMPUTED_VALUE"""),"2025 Dec")</f>
        <v>2025 Dec</v>
      </c>
      <c r="B7396" s="2">
        <f>IFERROR(__xludf.DUMMYFUNCTION("""COMPUTED_VALUE"""),46006.0)</f>
        <v>46006</v>
      </c>
      <c r="C7396" s="1" t="str">
        <f>IFERROR(__xludf.DUMMYFUNCTION("""COMPUTED_VALUE"""),"Core Product Support")</f>
        <v>Core Product Support</v>
      </c>
      <c r="D7396" s="1" t="str">
        <f>IFERROR(__xludf.DUMMYFUNCTION("""COMPUTED_VALUE"""),"1b08e244-a5e3-48ac-9d85-880d42b6e733")</f>
        <v>1b08e244-a5e3-48ac-9d85-880d42b6e733</v>
      </c>
      <c r="E7396" s="1">
        <f>IFERROR(__xludf.DUMMYFUNCTION("""COMPUTED_VALUE"""),3.61744094696E11)</f>
        <v>361744094696</v>
      </c>
      <c r="F7396" s="1">
        <f>IFERROR(__xludf.DUMMYFUNCTION("""COMPUTED_VALUE"""),0.5)</f>
        <v>0.5</v>
      </c>
      <c r="G7396" s="1"/>
      <c r="H7396" s="3">
        <f>IFERROR(__xludf.DUMMYFUNCTION("""COMPUTED_VALUE"""),0.5)</f>
        <v>0.5</v>
      </c>
      <c r="I7396" s="4">
        <f>IFERROR(__xludf.DUMMYFUNCTION("""COMPUTED_VALUE"""),0.0)</f>
        <v>0</v>
      </c>
      <c r="J7396" s="1" t="str">
        <f>IFERROR(__xludf.DUMMYFUNCTION("""COMPUTED_VALUE"""),"Vinz Lazaro")</f>
        <v>Vinz Lazaro</v>
      </c>
      <c r="K7396" s="1" t="str">
        <f>IFERROR(__xludf.DUMMYFUNCTION("""COMPUTED_VALUE"""),"Advanced Product Support")</f>
        <v>Advanced Product Support</v>
      </c>
      <c r="L7396" s="1" t="str">
        <f>IFERROR(__xludf.DUMMYFUNCTION("""COMPUTED_VALUE"""),"CPS Advanced Product Support (APS)")</f>
        <v>CPS Advanced Product Support (APS)</v>
      </c>
    </row>
    <row r="7397">
      <c r="A7397" s="1" t="str">
        <f>IFERROR(__xludf.DUMMYFUNCTION("""COMPUTED_VALUE"""),"2025 Dec")</f>
        <v>2025 Dec</v>
      </c>
      <c r="B7397" s="2">
        <f>IFERROR(__xludf.DUMMYFUNCTION("""COMPUTED_VALUE"""),46006.0)</f>
        <v>46006</v>
      </c>
      <c r="C7397" s="1" t="str">
        <f>IFERROR(__xludf.DUMMYFUNCTION("""COMPUTED_VALUE"""),"Core Product Support")</f>
        <v>Core Product Support</v>
      </c>
      <c r="D7397" s="1" t="str">
        <f>IFERROR(__xludf.DUMMYFUNCTION("""COMPUTED_VALUE"""),"fc9b38e6-bcda-447e-bc09-efbb10174ad9")</f>
        <v>fc9b38e6-bcda-447e-bc09-efbb10174ad9</v>
      </c>
      <c r="E7397" s="1">
        <f>IFERROR(__xludf.DUMMYFUNCTION("""COMPUTED_VALUE"""),3.61733222835E11)</f>
        <v>361733222835</v>
      </c>
      <c r="F7397" s="1">
        <f>IFERROR(__xludf.DUMMYFUNCTION("""COMPUTED_VALUE"""),0.5)</f>
        <v>0.5</v>
      </c>
      <c r="G7397" s="1">
        <f>IFERROR(__xludf.DUMMYFUNCTION("""COMPUTED_VALUE"""),2.5)</f>
        <v>2.5</v>
      </c>
      <c r="H7397" s="3">
        <f>IFERROR(__xludf.DUMMYFUNCTION("""COMPUTED_VALUE"""),3.0)</f>
        <v>3</v>
      </c>
      <c r="I7397" s="4">
        <f>IFERROR(__xludf.DUMMYFUNCTION("""COMPUTED_VALUE"""),0.8333333333333334)</f>
        <v>0.8333333333</v>
      </c>
      <c r="J7397" s="1" t="str">
        <f>IFERROR(__xludf.DUMMYFUNCTION("""COMPUTED_VALUE"""),"Ellaine Estayo")</f>
        <v>Ellaine Estayo</v>
      </c>
      <c r="K7397" s="1" t="str">
        <f>IFERROR(__xludf.DUMMYFUNCTION("""COMPUTED_VALUE"""),"Core Product Support Escalation Team")</f>
        <v>Core Product Support Escalation Team</v>
      </c>
      <c r="L7397" s="1" t="str">
        <f>IFERROR(__xludf.DUMMYFUNCTION("""COMPUTED_VALUE"""),"CPS Core Product Support Escalations (CPSET)")</f>
        <v>CPS Core Product Support Escalations (CPSET)</v>
      </c>
    </row>
    <row r="7398">
      <c r="A7398" s="1" t="str">
        <f>IFERROR(__xludf.DUMMYFUNCTION("""COMPUTED_VALUE"""),"2025 Dec")</f>
        <v>2025 Dec</v>
      </c>
      <c r="B7398" s="2">
        <f>IFERROR(__xludf.DUMMYFUNCTION("""COMPUTED_VALUE"""),46006.0)</f>
        <v>46006</v>
      </c>
      <c r="C7398" s="1" t="str">
        <f>IFERROR(__xludf.DUMMYFUNCTION("""COMPUTED_VALUE"""),"High Sensitivity Support")</f>
        <v>High Sensitivity Support</v>
      </c>
      <c r="D7398" s="1" t="str">
        <f>IFERROR(__xludf.DUMMYFUNCTION("""COMPUTED_VALUE"""),"42147b58-e8e5-4766-a41a-8d98cf8a5872")</f>
        <v>42147b58-e8e5-4766-a41a-8d98cf8a5872</v>
      </c>
      <c r="E7398" s="1">
        <f>IFERROR(__xludf.DUMMYFUNCTION("""COMPUTED_VALUE"""),5.359185373455E12)</f>
        <v>5359185373455</v>
      </c>
      <c r="F7398" s="1">
        <f>IFERROR(__xludf.DUMMYFUNCTION("""COMPUTED_VALUE"""),3.0)</f>
        <v>3</v>
      </c>
      <c r="G7398" s="1"/>
      <c r="H7398" s="3">
        <f>IFERROR(__xludf.DUMMYFUNCTION("""COMPUTED_VALUE"""),3.0)</f>
        <v>3</v>
      </c>
      <c r="I7398" s="4">
        <f>IFERROR(__xludf.DUMMYFUNCTION("""COMPUTED_VALUE"""),0.0)</f>
        <v>0</v>
      </c>
      <c r="J7398" s="1" t="str">
        <f>IFERROR(__xludf.DUMMYFUNCTION("""COMPUTED_VALUE"""),"Rossheen Pura")</f>
        <v>Rossheen Pura</v>
      </c>
      <c r="K7398" s="1" t="str">
        <f>IFERROR(__xludf.DUMMYFUNCTION("""COMPUTED_VALUE"""),"High Sensitivity Support PH")</f>
        <v>High Sensitivity Support PH</v>
      </c>
      <c r="L7398" s="1" t="str">
        <f>IFERROR(__xludf.DUMMYFUNCTION("""COMPUTED_VALUE"""),"HSS High Sensitivity Support PH - CHT")</f>
        <v>HSS High Sensitivity Support PH - CHT</v>
      </c>
    </row>
    <row r="7399">
      <c r="A7399" s="1" t="str">
        <f>IFERROR(__xludf.DUMMYFUNCTION("""COMPUTED_VALUE"""),"2025 Dec")</f>
        <v>2025 Dec</v>
      </c>
      <c r="B7399" s="2">
        <f>IFERROR(__xludf.DUMMYFUNCTION("""COMPUTED_VALUE"""),46006.0)</f>
        <v>46006</v>
      </c>
      <c r="C7399" s="1" t="str">
        <f>IFERROR(__xludf.DUMMYFUNCTION("""COMPUTED_VALUE"""),"Core Product Support")</f>
        <v>Core Product Support</v>
      </c>
      <c r="D7399" s="1" t="str">
        <f>IFERROR(__xludf.DUMMYFUNCTION("""COMPUTED_VALUE"""),"b70eebc6-c7c9-48bc-a876-82736f994fb9")</f>
        <v>b70eebc6-c7c9-48bc-a876-82736f994fb9</v>
      </c>
      <c r="E7399" s="1">
        <f>IFERROR(__xludf.DUMMYFUNCTION("""COMPUTED_VALUE"""),1.1401980902415E13)</f>
        <v>11401980902415</v>
      </c>
      <c r="F7399" s="1">
        <f>IFERROR(__xludf.DUMMYFUNCTION("""COMPUTED_VALUE"""),0.5)</f>
        <v>0.5</v>
      </c>
      <c r="G7399" s="1"/>
      <c r="H7399" s="3">
        <f>IFERROR(__xludf.DUMMYFUNCTION("""COMPUTED_VALUE"""),0.5)</f>
        <v>0.5</v>
      </c>
      <c r="I7399" s="4">
        <f>IFERROR(__xludf.DUMMYFUNCTION("""COMPUTED_VALUE"""),0.0)</f>
        <v>0</v>
      </c>
      <c r="J7399" s="1" t="str">
        <f>IFERROR(__xludf.DUMMYFUNCTION("""COMPUTED_VALUE"""),"Ayza Marie Pascual")</f>
        <v>Ayza Marie Pascual</v>
      </c>
      <c r="K7399" s="1" t="str">
        <f>IFERROR(__xludf.DUMMYFUNCTION("""COMPUTED_VALUE"""),"Advanced Billing &amp; Subscriptions")</f>
        <v>Advanced Billing &amp; Subscriptions</v>
      </c>
      <c r="L7399" s="1" t="str">
        <f>IFERROR(__xludf.DUMMYFUNCTION("""COMPUTED_VALUE"""),"CPS Advanced Billing and Subscriptions (ABS)")</f>
        <v>CPS Advanced Billing and Subscriptions (ABS)</v>
      </c>
    </row>
    <row r="7400">
      <c r="A7400" s="1" t="str">
        <f>IFERROR(__xludf.DUMMYFUNCTION("""COMPUTED_VALUE"""),"2025 Dec")</f>
        <v>2025 Dec</v>
      </c>
      <c r="B7400" s="2">
        <f>IFERROR(__xludf.DUMMYFUNCTION("""COMPUTED_VALUE"""),46006.0)</f>
        <v>46006</v>
      </c>
      <c r="C7400" s="1" t="str">
        <f>IFERROR(__xludf.DUMMYFUNCTION("""COMPUTED_VALUE"""),"Core Product Support")</f>
        <v>Core Product Support</v>
      </c>
      <c r="D7400" s="1" t="str">
        <f>IFERROR(__xludf.DUMMYFUNCTION("""COMPUTED_VALUE"""),"9d825d2e-3519-4559-9782-f32e81d2d824")</f>
        <v>9d825d2e-3519-4559-9782-f32e81d2d824</v>
      </c>
      <c r="E7400" s="1">
        <f>IFERROR(__xludf.DUMMYFUNCTION("""COMPUTED_VALUE"""),3.61861297715E11)</f>
        <v>361861297715</v>
      </c>
      <c r="F7400" s="1">
        <f>IFERROR(__xludf.DUMMYFUNCTION("""COMPUTED_VALUE"""),0.5)</f>
        <v>0.5</v>
      </c>
      <c r="G7400" s="1"/>
      <c r="H7400" s="3">
        <f>IFERROR(__xludf.DUMMYFUNCTION("""COMPUTED_VALUE"""),0.5)</f>
        <v>0.5</v>
      </c>
      <c r="I7400" s="4">
        <f>IFERROR(__xludf.DUMMYFUNCTION("""COMPUTED_VALUE"""),0.0)</f>
        <v>0</v>
      </c>
      <c r="J7400" s="1" t="str">
        <f>IFERROR(__xludf.DUMMYFUNCTION("""COMPUTED_VALUE"""),"Jem Mondoñedo")</f>
        <v>Jem Mondoñedo</v>
      </c>
      <c r="K7400" s="1" t="str">
        <f>IFERROR(__xludf.DUMMYFUNCTION("""COMPUTED_VALUE"""),"Advanced Chat Support")</f>
        <v>Advanced Chat Support</v>
      </c>
      <c r="L7400" s="1" t="str">
        <f>IFERROR(__xludf.DUMMYFUNCTION("""COMPUTED_VALUE"""),"CPS Advanced Chat Support (ACS)")</f>
        <v>CPS Advanced Chat Support (ACS)</v>
      </c>
    </row>
    <row r="7401">
      <c r="A7401" s="1" t="str">
        <f>IFERROR(__xludf.DUMMYFUNCTION("""COMPUTED_VALUE"""),"2025 Dec")</f>
        <v>2025 Dec</v>
      </c>
      <c r="B7401" s="2">
        <f>IFERROR(__xludf.DUMMYFUNCTION("""COMPUTED_VALUE"""),46006.0)</f>
        <v>46006</v>
      </c>
      <c r="C7401" s="1" t="str">
        <f>IFERROR(__xludf.DUMMYFUNCTION("""COMPUTED_VALUE"""),"Core Product Support")</f>
        <v>Core Product Support</v>
      </c>
      <c r="D7401" s="1" t="str">
        <f>IFERROR(__xludf.DUMMYFUNCTION("""COMPUTED_VALUE"""),"f05426fa-d3ef-48ef-9506-1b0d003468b9")</f>
        <v>f05426fa-d3ef-48ef-9506-1b0d003468b9</v>
      </c>
      <c r="E7401" s="1">
        <f>IFERROR(__xludf.DUMMYFUNCTION("""COMPUTED_VALUE"""),8.409892191631E12)</f>
        <v>8409892191631</v>
      </c>
      <c r="F7401" s="1"/>
      <c r="G7401" s="1">
        <f>IFERROR(__xludf.DUMMYFUNCTION("""COMPUTED_VALUE"""),1.5)</f>
        <v>1.5</v>
      </c>
      <c r="H7401" s="3">
        <f>IFERROR(__xludf.DUMMYFUNCTION("""COMPUTED_VALUE"""),1.5)</f>
        <v>1.5</v>
      </c>
      <c r="I7401" s="4">
        <f>IFERROR(__xludf.DUMMYFUNCTION("""COMPUTED_VALUE"""),1.0)</f>
        <v>1</v>
      </c>
      <c r="J7401" s="1" t="str">
        <f>IFERROR(__xludf.DUMMYFUNCTION("""COMPUTED_VALUE"""),"Jahmie Mae Barrameda")</f>
        <v>Jahmie Mae Barrameda</v>
      </c>
      <c r="K7401" s="1" t="str">
        <f>IFERROR(__xludf.DUMMYFUNCTION("""COMPUTED_VALUE"""),"Advanced Billing &amp; Subscriptions")</f>
        <v>Advanced Billing &amp; Subscriptions</v>
      </c>
      <c r="L7401" s="1" t="str">
        <f>IFERROR(__xludf.DUMMYFUNCTION("""COMPUTED_VALUE"""),"CPS Advanced Billing and Subscriptions (ABS)")</f>
        <v>CPS Advanced Billing and Subscriptions (ABS)</v>
      </c>
    </row>
    <row r="7402">
      <c r="A7402" s="1" t="str">
        <f>IFERROR(__xludf.DUMMYFUNCTION("""COMPUTED_VALUE"""),"2025 Dec")</f>
        <v>2025 Dec</v>
      </c>
      <c r="B7402" s="2">
        <f>IFERROR(__xludf.DUMMYFUNCTION("""COMPUTED_VALUE"""),46006.0)</f>
        <v>46006</v>
      </c>
      <c r="C7402" s="1" t="str">
        <f>IFERROR(__xludf.DUMMYFUNCTION("""COMPUTED_VALUE"""),"Multilingual Support")</f>
        <v>Multilingual Support</v>
      </c>
      <c r="D7402" s="1" t="str">
        <f>IFERROR(__xludf.DUMMYFUNCTION("""COMPUTED_VALUE"""),"ddff770a-8bbb-4a78-9bec-f5c563c6b901")</f>
        <v>ddff770a-8bbb-4a78-9bec-f5c563c6b901</v>
      </c>
      <c r="E7402" s="1">
        <f>IFERROR(__xludf.DUMMYFUNCTION("""COMPUTED_VALUE"""),4.759846838031E12)</f>
        <v>4759846838031</v>
      </c>
      <c r="F7402" s="1"/>
      <c r="G7402" s="1"/>
      <c r="H7402" s="3">
        <f>IFERROR(__xludf.DUMMYFUNCTION("""COMPUTED_VALUE"""),0.0)</f>
        <v>0</v>
      </c>
      <c r="I7402" s="4"/>
      <c r="J7402" s="1" t="str">
        <f>IFERROR(__xludf.DUMMYFUNCTION("""COMPUTED_VALUE"""),"Arlene Maurillo")</f>
        <v>Arlene Maurillo</v>
      </c>
      <c r="K7402" s="1" t="str">
        <f>IFERROR(__xludf.DUMMYFUNCTION("""COMPUTED_VALUE"""),"PHL, Multilingual Support")</f>
        <v>PHL, Multilingual Support</v>
      </c>
      <c r="L7402" s="1" t="str">
        <f>IFERROR(__xludf.DUMMYFUNCTION("""COMPUTED_VALUE"""),"ML Portuguese Support")</f>
        <v>ML Portuguese Support</v>
      </c>
    </row>
    <row r="7403">
      <c r="A7403" s="1" t="str">
        <f>IFERROR(__xludf.DUMMYFUNCTION("""COMPUTED_VALUE"""),"2025 Dec")</f>
        <v>2025 Dec</v>
      </c>
      <c r="B7403" s="2">
        <f>IFERROR(__xludf.DUMMYFUNCTION("""COMPUTED_VALUE"""),46006.0)</f>
        <v>46006</v>
      </c>
      <c r="C7403" s="1" t="str">
        <f>IFERROR(__xludf.DUMMYFUNCTION("""COMPUTED_VALUE"""),"Core Product Support")</f>
        <v>Core Product Support</v>
      </c>
      <c r="D7403" s="1" t="str">
        <f>IFERROR(__xludf.DUMMYFUNCTION("""COMPUTED_VALUE"""),"50370a17-1382-4a9f-8e42-5d34af042f22")</f>
        <v>50370a17-1382-4a9f-8e42-5d34af042f22</v>
      </c>
      <c r="E7403" s="1">
        <f>IFERROR(__xludf.DUMMYFUNCTION("""COMPUTED_VALUE"""),1.1401981770511E13)</f>
        <v>11401981770511</v>
      </c>
      <c r="F7403" s="1">
        <f>IFERROR(__xludf.DUMMYFUNCTION("""COMPUTED_VALUE"""),0.5)</f>
        <v>0.5</v>
      </c>
      <c r="G7403" s="1"/>
      <c r="H7403" s="3">
        <f>IFERROR(__xludf.DUMMYFUNCTION("""COMPUTED_VALUE"""),0.5)</f>
        <v>0.5</v>
      </c>
      <c r="I7403" s="4">
        <f>IFERROR(__xludf.DUMMYFUNCTION("""COMPUTED_VALUE"""),0.0)</f>
        <v>0</v>
      </c>
      <c r="J7403" s="1" t="str">
        <f>IFERROR(__xludf.DUMMYFUNCTION("""COMPUTED_VALUE"""),"Mikhaela Decangchon")</f>
        <v>Mikhaela Decangchon</v>
      </c>
      <c r="K7403" s="1" t="str">
        <f>IFERROR(__xludf.DUMMYFUNCTION("""COMPUTED_VALUE"""),"Advanced Product Support")</f>
        <v>Advanced Product Support</v>
      </c>
      <c r="L7403" s="1" t="str">
        <f>IFERROR(__xludf.DUMMYFUNCTION("""COMPUTED_VALUE"""),"CPS Advanced Product Support (APS)")</f>
        <v>CPS Advanced Product Support (APS)</v>
      </c>
    </row>
    <row r="7404">
      <c r="A7404" s="1" t="str">
        <f>IFERROR(__xludf.DUMMYFUNCTION("""COMPUTED_VALUE"""),"2025 Dec")</f>
        <v>2025 Dec</v>
      </c>
      <c r="B7404" s="2">
        <f>IFERROR(__xludf.DUMMYFUNCTION("""COMPUTED_VALUE"""),46006.0)</f>
        <v>46006</v>
      </c>
      <c r="C7404" s="1" t="str">
        <f>IFERROR(__xludf.DUMMYFUNCTION("""COMPUTED_VALUE"""),"Core Product Support")</f>
        <v>Core Product Support</v>
      </c>
      <c r="D7404" s="1" t="str">
        <f>IFERROR(__xludf.DUMMYFUNCTION("""COMPUTED_VALUE"""),"6472d23f-e427-46f0-a9cb-1e9b17ddfd44")</f>
        <v>6472d23f-e427-46f0-a9cb-1e9b17ddfd44</v>
      </c>
      <c r="E7404" s="1">
        <f>IFERROR(__xludf.DUMMYFUNCTION("""COMPUTED_VALUE"""),1.0548627051023E13)</f>
        <v>10548627051023</v>
      </c>
      <c r="F7404" s="1">
        <f>IFERROR(__xludf.DUMMYFUNCTION("""COMPUTED_VALUE"""),0.5)</f>
        <v>0.5</v>
      </c>
      <c r="G7404" s="1"/>
      <c r="H7404" s="3">
        <f>IFERROR(__xludf.DUMMYFUNCTION("""COMPUTED_VALUE"""),0.5)</f>
        <v>0.5</v>
      </c>
      <c r="I7404" s="4">
        <f>IFERROR(__xludf.DUMMYFUNCTION("""COMPUTED_VALUE"""),0.0)</f>
        <v>0</v>
      </c>
      <c r="J7404" s="1" t="str">
        <f>IFERROR(__xludf.DUMMYFUNCTION("""COMPUTED_VALUE"""),"Belle Bentazal")</f>
        <v>Belle Bentazal</v>
      </c>
      <c r="K7404" s="1" t="str">
        <f>IFERROR(__xludf.DUMMYFUNCTION("""COMPUTED_VALUE"""),"Advanced Product Support")</f>
        <v>Advanced Product Support</v>
      </c>
      <c r="L7404" s="1" t="str">
        <f>IFERROR(__xludf.DUMMYFUNCTION("""COMPUTED_VALUE"""),"CPS Advanced Product Support (APS)")</f>
        <v>CPS Advanced Product Support (APS)</v>
      </c>
    </row>
    <row r="7405">
      <c r="A7405" s="1" t="str">
        <f>IFERROR(__xludf.DUMMYFUNCTION("""COMPUTED_VALUE"""),"2025 Dec")</f>
        <v>2025 Dec</v>
      </c>
      <c r="B7405" s="2">
        <f>IFERROR(__xludf.DUMMYFUNCTION("""COMPUTED_VALUE"""),46006.0)</f>
        <v>46006</v>
      </c>
      <c r="C7405" s="1" t="str">
        <f>IFERROR(__xludf.DUMMYFUNCTION("""COMPUTED_VALUE"""),"Core Product Support")</f>
        <v>Core Product Support</v>
      </c>
      <c r="D7405" s="1" t="str">
        <f>IFERROR(__xludf.DUMMYFUNCTION("""COMPUTED_VALUE"""),"03428ca1-a361-4015-9a9f-9609cb3ad0fe")</f>
        <v>03428ca1-a361-4015-9a9f-9609cb3ad0fe</v>
      </c>
      <c r="E7405" s="1">
        <f>IFERROR(__xludf.DUMMYFUNCTION("""COMPUTED_VALUE"""),5.047314651919E12)</f>
        <v>5047314651919</v>
      </c>
      <c r="F7405" s="1">
        <f>IFERROR(__xludf.DUMMYFUNCTION("""COMPUTED_VALUE"""),0.5)</f>
        <v>0.5</v>
      </c>
      <c r="G7405" s="1">
        <f>IFERROR(__xludf.DUMMYFUNCTION("""COMPUTED_VALUE"""),2.5)</f>
        <v>2.5</v>
      </c>
      <c r="H7405" s="3">
        <f>IFERROR(__xludf.DUMMYFUNCTION("""COMPUTED_VALUE"""),3.0)</f>
        <v>3</v>
      </c>
      <c r="I7405" s="4">
        <f>IFERROR(__xludf.DUMMYFUNCTION("""COMPUTED_VALUE"""),0.8333333333333334)</f>
        <v>0.8333333333</v>
      </c>
      <c r="J7405" s="1" t="str">
        <f>IFERROR(__xludf.DUMMYFUNCTION("""COMPUTED_VALUE"""),"Bem Launte")</f>
        <v>Bem Launte</v>
      </c>
      <c r="K7405" s="1" t="str">
        <f>IFERROR(__xludf.DUMMYFUNCTION("""COMPUTED_VALUE"""),"Core Product Support Escalation Team")</f>
        <v>Core Product Support Escalation Team</v>
      </c>
      <c r="L7405" s="1" t="str">
        <f>IFERROR(__xludf.DUMMYFUNCTION("""COMPUTED_VALUE"""),"CPS Core Product Support Escalations (CPSET)")</f>
        <v>CPS Core Product Support Escalations (CPSET)</v>
      </c>
    </row>
    <row r="7406">
      <c r="A7406" s="1" t="str">
        <f>IFERROR(__xludf.DUMMYFUNCTION("""COMPUTED_VALUE"""),"2025 Dec")</f>
        <v>2025 Dec</v>
      </c>
      <c r="B7406" s="2">
        <f>IFERROR(__xludf.DUMMYFUNCTION("""COMPUTED_VALUE"""),46006.0)</f>
        <v>46006</v>
      </c>
      <c r="C7406" s="1" t="str">
        <f>IFERROR(__xludf.DUMMYFUNCTION("""COMPUTED_VALUE"""),"Core Product Support")</f>
        <v>Core Product Support</v>
      </c>
      <c r="D7406" s="1" t="str">
        <f>IFERROR(__xludf.DUMMYFUNCTION("""COMPUTED_VALUE"""),"eb75942b-e616-42a5-bbc5-1d6cc92843bb")</f>
        <v>eb75942b-e616-42a5-bbc5-1d6cc92843bb</v>
      </c>
      <c r="E7406" s="1">
        <f>IFERROR(__xludf.DUMMYFUNCTION("""COMPUTED_VALUE"""),7.437355919375E12)</f>
        <v>7437355919375</v>
      </c>
      <c r="F7406" s="1">
        <f>IFERROR(__xludf.DUMMYFUNCTION("""COMPUTED_VALUE"""),0.5)</f>
        <v>0.5</v>
      </c>
      <c r="G7406" s="1"/>
      <c r="H7406" s="3">
        <f>IFERROR(__xludf.DUMMYFUNCTION("""COMPUTED_VALUE"""),0.5)</f>
        <v>0.5</v>
      </c>
      <c r="I7406" s="4">
        <f>IFERROR(__xludf.DUMMYFUNCTION("""COMPUTED_VALUE"""),0.0)</f>
        <v>0</v>
      </c>
      <c r="J7406" s="1" t="str">
        <f>IFERROR(__xludf.DUMMYFUNCTION("""COMPUTED_VALUE"""),"Ana Lazaro")</f>
        <v>Ana Lazaro</v>
      </c>
      <c r="K7406" s="1" t="str">
        <f>IFERROR(__xludf.DUMMYFUNCTION("""COMPUTED_VALUE"""),"Advanced Billing &amp; Subscriptions")</f>
        <v>Advanced Billing &amp; Subscriptions</v>
      </c>
      <c r="L7406" s="1" t="str">
        <f>IFERROR(__xludf.DUMMYFUNCTION("""COMPUTED_VALUE"""),"CPS Advanced Billing and Subscriptions (ABS)")</f>
        <v>CPS Advanced Billing and Subscriptions (ABS)</v>
      </c>
    </row>
    <row r="7407">
      <c r="A7407" s="1" t="str">
        <f>IFERROR(__xludf.DUMMYFUNCTION("""COMPUTED_VALUE"""),"2025 Dec")</f>
        <v>2025 Dec</v>
      </c>
      <c r="B7407" s="2">
        <f>IFERROR(__xludf.DUMMYFUNCTION("""COMPUTED_VALUE"""),46006.0)</f>
        <v>46006</v>
      </c>
      <c r="C7407" s="1" t="str">
        <f>IFERROR(__xludf.DUMMYFUNCTION("""COMPUTED_VALUE"""),"Admin Support")</f>
        <v>Admin Support</v>
      </c>
      <c r="D7407" s="1" t="str">
        <f>IFERROR(__xludf.DUMMYFUNCTION("""COMPUTED_VALUE"""),"3f58d026-d7af-4464-8ba2-17fb4976b8ac")</f>
        <v>3f58d026-d7af-4464-8ba2-17fb4976b8ac</v>
      </c>
      <c r="E7407" s="1">
        <f>IFERROR(__xludf.DUMMYFUNCTION("""COMPUTED_VALUE"""),3.61724668516E11)</f>
        <v>361724668516</v>
      </c>
      <c r="F7407" s="1"/>
      <c r="G7407" s="1"/>
      <c r="H7407" s="3">
        <f>IFERROR(__xludf.DUMMYFUNCTION("""COMPUTED_VALUE"""),0.0)</f>
        <v>0</v>
      </c>
      <c r="I7407" s="4"/>
      <c r="J7407" s="1" t="str">
        <f>IFERROR(__xludf.DUMMYFUNCTION("""COMPUTED_VALUE"""),"Karla Mananghaya")</f>
        <v>Karla Mananghaya</v>
      </c>
      <c r="K7407" s="1" t="str">
        <f>IFERROR(__xludf.DUMMYFUNCTION("""COMPUTED_VALUE"""),"Admin Support PH SSO")</f>
        <v>Admin Support PH SSO</v>
      </c>
      <c r="L7407" s="1" t="str">
        <f>IFERROR(__xludf.DUMMYFUNCTION("""COMPUTED_VALUE"""),"Admin SSO - CHT")</f>
        <v>Admin SSO - CHT</v>
      </c>
    </row>
    <row r="7408">
      <c r="A7408" s="1" t="str">
        <f>IFERROR(__xludf.DUMMYFUNCTION("""COMPUTED_VALUE"""),"2025 Dec")</f>
        <v>2025 Dec</v>
      </c>
      <c r="B7408" s="2">
        <f>IFERROR(__xludf.DUMMYFUNCTION("""COMPUTED_VALUE"""),46006.0)</f>
        <v>46006</v>
      </c>
      <c r="C7408" s="1" t="str">
        <f>IFERROR(__xludf.DUMMYFUNCTION("""COMPUTED_VALUE"""),"Admin Support")</f>
        <v>Admin Support</v>
      </c>
      <c r="D7408" s="1" t="str">
        <f>IFERROR(__xludf.DUMMYFUNCTION("""COMPUTED_VALUE"""),"021b74ea-5511-4b56-9f2a-6ea9d6443caa")</f>
        <v>021b74ea-5511-4b56-9f2a-6ea9d6443caa</v>
      </c>
      <c r="E7408" s="1">
        <f>IFERROR(__xludf.DUMMYFUNCTION("""COMPUTED_VALUE"""),3.61725374416E11)</f>
        <v>361725374416</v>
      </c>
      <c r="F7408" s="1"/>
      <c r="G7408" s="1"/>
      <c r="H7408" s="3">
        <f>IFERROR(__xludf.DUMMYFUNCTION("""COMPUTED_VALUE"""),0.0)</f>
        <v>0</v>
      </c>
      <c r="I7408" s="4"/>
      <c r="J7408" s="1" t="str">
        <f>IFERROR(__xludf.DUMMYFUNCTION("""COMPUTED_VALUE"""),"Rose Gabilan")</f>
        <v>Rose Gabilan</v>
      </c>
      <c r="K7408" s="1" t="str">
        <f>IFERROR(__xludf.DUMMYFUNCTION("""COMPUTED_VALUE"""),"Admin Support PH SSO")</f>
        <v>Admin Support PH SSO</v>
      </c>
      <c r="L7408" s="1" t="str">
        <f>IFERROR(__xludf.DUMMYFUNCTION("""COMPUTED_VALUE"""),"Admin SSO - CHT")</f>
        <v>Admin SSO - CHT</v>
      </c>
    </row>
    <row r="7409">
      <c r="A7409" s="1" t="str">
        <f>IFERROR(__xludf.DUMMYFUNCTION("""COMPUTED_VALUE"""),"2025 Dec")</f>
        <v>2025 Dec</v>
      </c>
      <c r="B7409" s="2">
        <f>IFERROR(__xludf.DUMMYFUNCTION("""COMPUTED_VALUE"""),46006.0)</f>
        <v>46006</v>
      </c>
      <c r="C7409" s="1" t="str">
        <f>IFERROR(__xludf.DUMMYFUNCTION("""COMPUTED_VALUE"""),"Admin Support")</f>
        <v>Admin Support</v>
      </c>
      <c r="D7409" s="1" t="str">
        <f>IFERROR(__xludf.DUMMYFUNCTION("""COMPUTED_VALUE"""),"328935f7-c639-4b8f-8512-a9641b2cf808")</f>
        <v>328935f7-c639-4b8f-8512-a9641b2cf808</v>
      </c>
      <c r="E7409" s="1">
        <f>IFERROR(__xludf.DUMMYFUNCTION("""COMPUTED_VALUE"""),3.61731648215E11)</f>
        <v>361731648215</v>
      </c>
      <c r="F7409" s="1"/>
      <c r="G7409" s="1">
        <f>IFERROR(__xludf.DUMMYFUNCTION("""COMPUTED_VALUE"""),3.0)</f>
        <v>3</v>
      </c>
      <c r="H7409" s="3">
        <f>IFERROR(__xludf.DUMMYFUNCTION("""COMPUTED_VALUE"""),3.0)</f>
        <v>3</v>
      </c>
      <c r="I7409" s="4">
        <f>IFERROR(__xludf.DUMMYFUNCTION("""COMPUTED_VALUE"""),1.0)</f>
        <v>1</v>
      </c>
      <c r="J7409" s="1" t="str">
        <f>IFERROR(__xludf.DUMMYFUNCTION("""COMPUTED_VALUE"""),"Rose Gabilan")</f>
        <v>Rose Gabilan</v>
      </c>
      <c r="K7409" s="1" t="str">
        <f>IFERROR(__xludf.DUMMYFUNCTION("""COMPUTED_VALUE"""),"Admin Support PH SSO")</f>
        <v>Admin Support PH SSO</v>
      </c>
      <c r="L7409" s="1" t="str">
        <f>IFERROR(__xludf.DUMMYFUNCTION("""COMPUTED_VALUE"""),"Admin SSO - CHT")</f>
        <v>Admin SSO - CHT</v>
      </c>
    </row>
    <row r="7410">
      <c r="A7410" s="1" t="str">
        <f>IFERROR(__xludf.DUMMYFUNCTION("""COMPUTED_VALUE"""),"2025 Dec")</f>
        <v>2025 Dec</v>
      </c>
      <c r="B7410" s="2">
        <f>IFERROR(__xludf.DUMMYFUNCTION("""COMPUTED_VALUE"""),46006.0)</f>
        <v>46006</v>
      </c>
      <c r="C7410" s="1" t="str">
        <f>IFERROR(__xludf.DUMMYFUNCTION("""COMPUTED_VALUE"""),"Core Product Support")</f>
        <v>Core Product Support</v>
      </c>
      <c r="D7410" s="1" t="str">
        <f>IFERROR(__xludf.DUMMYFUNCTION("""COMPUTED_VALUE"""),"157b66db-b9f4-4a3d-a00a-5cf3eefe9b58")</f>
        <v>157b66db-b9f4-4a3d-a00a-5cf3eefe9b58</v>
      </c>
      <c r="E7410" s="1">
        <f>IFERROR(__xludf.DUMMYFUNCTION("""COMPUTED_VALUE"""),3.61731791835E11)</f>
        <v>361731791835</v>
      </c>
      <c r="F7410" s="1"/>
      <c r="G7410" s="1"/>
      <c r="H7410" s="3">
        <f>IFERROR(__xludf.DUMMYFUNCTION("""COMPUTED_VALUE"""),0.0)</f>
        <v>0</v>
      </c>
      <c r="I7410" s="4"/>
      <c r="J7410" s="1" t="str">
        <f>IFERROR(__xludf.DUMMYFUNCTION("""COMPUTED_VALUE"""),"Renette Bok")</f>
        <v>Renette Bok</v>
      </c>
      <c r="K7410" s="1" t="str">
        <f>IFERROR(__xludf.DUMMYFUNCTION("""COMPUTED_VALUE"""),"Advanced Billing &amp; Subscriptions")</f>
        <v>Advanced Billing &amp; Subscriptions</v>
      </c>
      <c r="L7410" s="1" t="str">
        <f>IFERROR(__xludf.DUMMYFUNCTION("""COMPUTED_VALUE"""),"CPS Advanced Billing and Subscriptions (ABS)")</f>
        <v>CPS Advanced Billing and Subscriptions (ABS)</v>
      </c>
    </row>
    <row r="7411">
      <c r="A7411" s="1" t="str">
        <f>IFERROR(__xludf.DUMMYFUNCTION("""COMPUTED_VALUE"""),"2025 Dec")</f>
        <v>2025 Dec</v>
      </c>
      <c r="B7411" s="2">
        <f>IFERROR(__xludf.DUMMYFUNCTION("""COMPUTED_VALUE"""),46006.0)</f>
        <v>46006</v>
      </c>
      <c r="C7411" s="1" t="str">
        <f>IFERROR(__xludf.DUMMYFUNCTION("""COMPUTED_VALUE"""),"Core Product Support")</f>
        <v>Core Product Support</v>
      </c>
      <c r="D7411" s="1" t="str">
        <f>IFERROR(__xludf.DUMMYFUNCTION("""COMPUTED_VALUE"""),"9f2b3750-482b-4498-a201-4e32c8fad021")</f>
        <v>9f2b3750-482b-4498-a201-4e32c8fad021</v>
      </c>
      <c r="E7411" s="1">
        <f>IFERROR(__xludf.DUMMYFUNCTION("""COMPUTED_VALUE"""),3.61861298275E11)</f>
        <v>361861298275</v>
      </c>
      <c r="F7411" s="1">
        <f>IFERROR(__xludf.DUMMYFUNCTION("""COMPUTED_VALUE"""),0.5)</f>
        <v>0.5</v>
      </c>
      <c r="G7411" s="1">
        <f>IFERROR(__xludf.DUMMYFUNCTION("""COMPUTED_VALUE"""),2.5)</f>
        <v>2.5</v>
      </c>
      <c r="H7411" s="3">
        <f>IFERROR(__xludf.DUMMYFUNCTION("""COMPUTED_VALUE"""),3.0)</f>
        <v>3</v>
      </c>
      <c r="I7411" s="4">
        <f>IFERROR(__xludf.DUMMYFUNCTION("""COMPUTED_VALUE"""),0.8333333333333334)</f>
        <v>0.8333333333</v>
      </c>
      <c r="J7411" s="1" t="str">
        <f>IFERROR(__xludf.DUMMYFUNCTION("""COMPUTED_VALUE"""),"Bem Launte")</f>
        <v>Bem Launte</v>
      </c>
      <c r="K7411" s="1" t="str">
        <f>IFERROR(__xludf.DUMMYFUNCTION("""COMPUTED_VALUE"""),"Core Product Support Escalation Team")</f>
        <v>Core Product Support Escalation Team</v>
      </c>
      <c r="L7411" s="1" t="str">
        <f>IFERROR(__xludf.DUMMYFUNCTION("""COMPUTED_VALUE"""),"CPS Core Product Support Escalations (CPSET)")</f>
        <v>CPS Core Product Support Escalations (CPSET)</v>
      </c>
    </row>
    <row r="7412">
      <c r="A7412" s="1" t="str">
        <f>IFERROR(__xludf.DUMMYFUNCTION("""COMPUTED_VALUE"""),"2025 Dec")</f>
        <v>2025 Dec</v>
      </c>
      <c r="B7412" s="2">
        <f>IFERROR(__xludf.DUMMYFUNCTION("""COMPUTED_VALUE"""),46006.0)</f>
        <v>46006</v>
      </c>
      <c r="C7412" s="1" t="str">
        <f>IFERROR(__xludf.DUMMYFUNCTION("""COMPUTED_VALUE"""),"High Sensitivity Support")</f>
        <v>High Sensitivity Support</v>
      </c>
      <c r="D7412" s="1" t="str">
        <f>IFERROR(__xludf.DUMMYFUNCTION("""COMPUTED_VALUE"""),"572f7cc4-e4a6-4132-92cf-6f6ba75ee4d7")</f>
        <v>572f7cc4-e4a6-4132-92cf-6f6ba75ee4d7</v>
      </c>
      <c r="E7412" s="1">
        <f>IFERROR(__xludf.DUMMYFUNCTION("""COMPUTED_VALUE"""),5.202419220111E12)</f>
        <v>5202419220111</v>
      </c>
      <c r="F7412" s="1"/>
      <c r="G7412" s="1">
        <f>IFERROR(__xludf.DUMMYFUNCTION("""COMPUTED_VALUE"""),1.05)</f>
        <v>1.05</v>
      </c>
      <c r="H7412" s="3">
        <f>IFERROR(__xludf.DUMMYFUNCTION("""COMPUTED_VALUE"""),1.05)</f>
        <v>1.05</v>
      </c>
      <c r="I7412" s="4">
        <f>IFERROR(__xludf.DUMMYFUNCTION("""COMPUTED_VALUE"""),1.0)</f>
        <v>1</v>
      </c>
      <c r="J7412" s="1" t="str">
        <f>IFERROR(__xludf.DUMMYFUNCTION("""COMPUTED_VALUE"""),"Issi Afable")</f>
        <v>Issi Afable</v>
      </c>
      <c r="K7412" s="1" t="str">
        <f>IFERROR(__xludf.DUMMYFUNCTION("""COMPUTED_VALUE"""),"High Sensitivity Support PH")</f>
        <v>High Sensitivity Support PH</v>
      </c>
      <c r="L7412" s="1" t="str">
        <f>IFERROR(__xludf.DUMMYFUNCTION("""COMPUTED_VALUE"""),"HSS High Sensitivity Support PH - SEE")</f>
        <v>HSS High Sensitivity Support PH - SEE</v>
      </c>
    </row>
    <row r="7413">
      <c r="A7413" s="1" t="str">
        <f>IFERROR(__xludf.DUMMYFUNCTION("""COMPUTED_VALUE"""),"2025 Dec")</f>
        <v>2025 Dec</v>
      </c>
      <c r="B7413" s="2">
        <f>IFERROR(__xludf.DUMMYFUNCTION("""COMPUTED_VALUE"""),46006.0)</f>
        <v>46006</v>
      </c>
      <c r="C7413" s="1" t="str">
        <f>IFERROR(__xludf.DUMMYFUNCTION("""COMPUTED_VALUE"""),"Segment-specific Support")</f>
        <v>Segment-specific Support</v>
      </c>
      <c r="D7413" s="1" t="str">
        <f>IFERROR(__xludf.DUMMYFUNCTION("""COMPUTED_VALUE"""),"78d3efd2-2d00-4986-b5cc-7ca6a1d3542d")</f>
        <v>78d3efd2-2d00-4986-b5cc-7ca6a1d3542d</v>
      </c>
      <c r="E7413" s="1">
        <f>IFERROR(__xludf.DUMMYFUNCTION("""COMPUTED_VALUE"""),5.566867981071E12)</f>
        <v>5566867981071</v>
      </c>
      <c r="F7413" s="1"/>
      <c r="G7413" s="1"/>
      <c r="H7413" s="3">
        <f>IFERROR(__xludf.DUMMYFUNCTION("""COMPUTED_VALUE"""),0.0)</f>
        <v>0</v>
      </c>
      <c r="I7413" s="4"/>
      <c r="J7413" s="1" t="str">
        <f>IFERROR(__xludf.DUMMYFUNCTION("""COMPUTED_VALUE"""),"Tash Kelly")</f>
        <v>Tash Kelly</v>
      </c>
      <c r="K7413" s="1" t="str">
        <f>IFERROR(__xludf.DUMMYFUNCTION("""COMPUTED_VALUE"""),"Affinity Support")</f>
        <v>Affinity Support</v>
      </c>
      <c r="L7413" s="1" t="str">
        <f>IFERROR(__xludf.DUMMYFUNCTION("""COMPUTED_VALUE"""),"SSS Affinity")</f>
        <v>SSS Affinity</v>
      </c>
    </row>
    <row r="7414">
      <c r="A7414" s="1" t="str">
        <f>IFERROR(__xludf.DUMMYFUNCTION("""COMPUTED_VALUE"""),"2025 Dec")</f>
        <v>2025 Dec</v>
      </c>
      <c r="B7414" s="2">
        <f>IFERROR(__xludf.DUMMYFUNCTION("""COMPUTED_VALUE"""),46006.0)</f>
        <v>46006</v>
      </c>
      <c r="C7414" s="1" t="str">
        <f>IFERROR(__xludf.DUMMYFUNCTION("""COMPUTED_VALUE"""),"Print Support")</f>
        <v>Print Support</v>
      </c>
      <c r="D7414" s="1" t="str">
        <f>IFERROR(__xludf.DUMMYFUNCTION("""COMPUTED_VALUE"""),"03738c45-2c9f-44bf-bb4b-58a2fe9fdf5d")</f>
        <v>03738c45-2c9f-44bf-bb4b-58a2fe9fdf5d</v>
      </c>
      <c r="E7414" s="1"/>
      <c r="F7414" s="1"/>
      <c r="G7414" s="1"/>
      <c r="H7414" s="3">
        <f>IFERROR(__xludf.DUMMYFUNCTION("""COMPUTED_VALUE"""),0.0)</f>
        <v>0</v>
      </c>
      <c r="I7414" s="4"/>
      <c r="J7414" s="1" t="str">
        <f>IFERROR(__xludf.DUMMYFUNCTION("""COMPUTED_VALUE"""),"Aliza Dote")</f>
        <v>Aliza Dote</v>
      </c>
      <c r="K7414" s="1" t="str">
        <f>IFERROR(__xludf.DUMMYFUNCTION("""COMPUTED_VALUE"""),"Print Design Support")</f>
        <v>Print Design Support</v>
      </c>
      <c r="L7414" s="1" t="str">
        <f>IFERROR(__xludf.DUMMYFUNCTION("""COMPUTED_VALUE"""),"Print Print Design")</f>
        <v>Print Print Design</v>
      </c>
    </row>
    <row r="7415">
      <c r="A7415" s="1" t="str">
        <f>IFERROR(__xludf.DUMMYFUNCTION("""COMPUTED_VALUE"""),"2025 Dec")</f>
        <v>2025 Dec</v>
      </c>
      <c r="B7415" s="2">
        <f>IFERROR(__xludf.DUMMYFUNCTION("""COMPUTED_VALUE"""),46006.0)</f>
        <v>46006</v>
      </c>
      <c r="C7415" s="1" t="str">
        <f>IFERROR(__xludf.DUMMYFUNCTION("""COMPUTED_VALUE"""),"Core Product Support")</f>
        <v>Core Product Support</v>
      </c>
      <c r="D7415" s="1" t="str">
        <f>IFERROR(__xludf.DUMMYFUNCTION("""COMPUTED_VALUE"""),"9c934de8-6199-4bb2-bcc9-bd8b70ec7a9c")</f>
        <v>9c934de8-6199-4bb2-bcc9-bd8b70ec7a9c</v>
      </c>
      <c r="E7415" s="1">
        <f>IFERROR(__xludf.DUMMYFUNCTION("""COMPUTED_VALUE"""),9.795939875087E12)</f>
        <v>9795939875087</v>
      </c>
      <c r="F7415" s="1">
        <f>IFERROR(__xludf.DUMMYFUNCTION("""COMPUTED_VALUE"""),0.5)</f>
        <v>0.5</v>
      </c>
      <c r="G7415" s="1"/>
      <c r="H7415" s="3">
        <f>IFERROR(__xludf.DUMMYFUNCTION("""COMPUTED_VALUE"""),0.5)</f>
        <v>0.5</v>
      </c>
      <c r="I7415" s="4">
        <f>IFERROR(__xludf.DUMMYFUNCTION("""COMPUTED_VALUE"""),0.0)</f>
        <v>0</v>
      </c>
      <c r="J7415" s="1" t="str">
        <f>IFERROR(__xludf.DUMMYFUNCTION("""COMPUTED_VALUE"""),"Cate Velasco")</f>
        <v>Cate Velasco</v>
      </c>
      <c r="K7415" s="1" t="str">
        <f>IFERROR(__xludf.DUMMYFUNCTION("""COMPUTED_VALUE"""),"Advanced Product Support")</f>
        <v>Advanced Product Support</v>
      </c>
      <c r="L7415" s="1" t="str">
        <f>IFERROR(__xludf.DUMMYFUNCTION("""COMPUTED_VALUE"""),"CPS Advanced Product Support (APS)")</f>
        <v>CPS Advanced Product Support (APS)</v>
      </c>
    </row>
    <row r="7416">
      <c r="A7416" s="1" t="str">
        <f>IFERROR(__xludf.DUMMYFUNCTION("""COMPUTED_VALUE"""),"2025 Dec")</f>
        <v>2025 Dec</v>
      </c>
      <c r="B7416" s="2">
        <f>IFERROR(__xludf.DUMMYFUNCTION("""COMPUTED_VALUE"""),46006.0)</f>
        <v>46006</v>
      </c>
      <c r="C7416" s="1" t="str">
        <f>IFERROR(__xludf.DUMMYFUNCTION("""COMPUTED_VALUE"""),"Core Product Support")</f>
        <v>Core Product Support</v>
      </c>
      <c r="D7416" s="1" t="str">
        <f>IFERROR(__xludf.DUMMYFUNCTION("""COMPUTED_VALUE"""),"0f8d8927-aad1-40c2-82ac-95b7b823eec0")</f>
        <v>0f8d8927-aad1-40c2-82ac-95b7b823eec0</v>
      </c>
      <c r="E7416" s="1">
        <f>IFERROR(__xludf.DUMMYFUNCTION("""COMPUTED_VALUE"""),5.202441056015E12)</f>
        <v>5202441056015</v>
      </c>
      <c r="F7416" s="1">
        <f>IFERROR(__xludf.DUMMYFUNCTION("""COMPUTED_VALUE"""),0.5)</f>
        <v>0.5</v>
      </c>
      <c r="G7416" s="1">
        <f>IFERROR(__xludf.DUMMYFUNCTION("""COMPUTED_VALUE"""),1.5)</f>
        <v>1.5</v>
      </c>
      <c r="H7416" s="3">
        <f>IFERROR(__xludf.DUMMYFUNCTION("""COMPUTED_VALUE"""),2.0)</f>
        <v>2</v>
      </c>
      <c r="I7416" s="4">
        <f>IFERROR(__xludf.DUMMYFUNCTION("""COMPUTED_VALUE"""),0.75)</f>
        <v>0.75</v>
      </c>
      <c r="J7416" s="1" t="str">
        <f>IFERROR(__xludf.DUMMYFUNCTION("""COMPUTED_VALUE"""),"Renette Bok")</f>
        <v>Renette Bok</v>
      </c>
      <c r="K7416" s="1" t="str">
        <f>IFERROR(__xludf.DUMMYFUNCTION("""COMPUTED_VALUE"""),"Advanced Billing &amp; Subscriptions")</f>
        <v>Advanced Billing &amp; Subscriptions</v>
      </c>
      <c r="L7416" s="1" t="str">
        <f>IFERROR(__xludf.DUMMYFUNCTION("""COMPUTED_VALUE"""),"CPS Advanced Billing and Subscriptions (ABS)")</f>
        <v>CPS Advanced Billing and Subscriptions (ABS)</v>
      </c>
    </row>
    <row r="7417">
      <c r="A7417" s="1" t="str">
        <f>IFERROR(__xludf.DUMMYFUNCTION("""COMPUTED_VALUE"""),"2025 Dec")</f>
        <v>2025 Dec</v>
      </c>
      <c r="B7417" s="2">
        <f>IFERROR(__xludf.DUMMYFUNCTION("""COMPUTED_VALUE"""),46006.0)</f>
        <v>46006</v>
      </c>
      <c r="C7417" s="1" t="str">
        <f>IFERROR(__xludf.DUMMYFUNCTION("""COMPUTED_VALUE"""),"Core Product Support")</f>
        <v>Core Product Support</v>
      </c>
      <c r="D7417" s="1" t="str">
        <f>IFERROR(__xludf.DUMMYFUNCTION("""COMPUTED_VALUE"""),"e33e46e4-d59d-4c5b-9834-288e99d79b63")</f>
        <v>e33e46e4-d59d-4c5b-9834-288e99d79b63</v>
      </c>
      <c r="E7417" s="1">
        <f>IFERROR(__xludf.DUMMYFUNCTION("""COMPUTED_VALUE"""),1.0333049582991E13)</f>
        <v>10333049582991</v>
      </c>
      <c r="F7417" s="1">
        <f>IFERROR(__xludf.DUMMYFUNCTION("""COMPUTED_VALUE"""),0.5)</f>
        <v>0.5</v>
      </c>
      <c r="G7417" s="1"/>
      <c r="H7417" s="3">
        <f>IFERROR(__xludf.DUMMYFUNCTION("""COMPUTED_VALUE"""),0.5)</f>
        <v>0.5</v>
      </c>
      <c r="I7417" s="4">
        <f>IFERROR(__xludf.DUMMYFUNCTION("""COMPUTED_VALUE"""),0.0)</f>
        <v>0</v>
      </c>
      <c r="J7417" s="1" t="str">
        <f>IFERROR(__xludf.DUMMYFUNCTION("""COMPUTED_VALUE"""),"Cate Velasco")</f>
        <v>Cate Velasco</v>
      </c>
      <c r="K7417" s="1" t="str">
        <f>IFERROR(__xludf.DUMMYFUNCTION("""COMPUTED_VALUE"""),"Advanced Product Support")</f>
        <v>Advanced Product Support</v>
      </c>
      <c r="L7417" s="1" t="str">
        <f>IFERROR(__xludf.DUMMYFUNCTION("""COMPUTED_VALUE"""),"CPS Advanced Product Support (APS)")</f>
        <v>CPS Advanced Product Support (APS)</v>
      </c>
    </row>
    <row r="7418">
      <c r="A7418" s="1" t="str">
        <f>IFERROR(__xludf.DUMMYFUNCTION("""COMPUTED_VALUE"""),"2025 Dec")</f>
        <v>2025 Dec</v>
      </c>
      <c r="B7418" s="2">
        <f>IFERROR(__xludf.DUMMYFUNCTION("""COMPUTED_VALUE"""),46006.0)</f>
        <v>46006</v>
      </c>
      <c r="C7418" s="1" t="str">
        <f>IFERROR(__xludf.DUMMYFUNCTION("""COMPUTED_VALUE"""),"Core Product Support")</f>
        <v>Core Product Support</v>
      </c>
      <c r="D7418" s="1" t="str">
        <f>IFERROR(__xludf.DUMMYFUNCTION("""COMPUTED_VALUE"""),"748f7375-5497-4286-b6df-38229b609d09")</f>
        <v>748f7375-5497-4286-b6df-38229b609d09</v>
      </c>
      <c r="E7418" s="1"/>
      <c r="F7418" s="1">
        <f>IFERROR(__xludf.DUMMYFUNCTION("""COMPUTED_VALUE"""),0.5)</f>
        <v>0.5</v>
      </c>
      <c r="G7418" s="1"/>
      <c r="H7418" s="3">
        <f>IFERROR(__xludf.DUMMYFUNCTION("""COMPUTED_VALUE"""),0.5)</f>
        <v>0.5</v>
      </c>
      <c r="I7418" s="4">
        <f>IFERROR(__xludf.DUMMYFUNCTION("""COMPUTED_VALUE"""),0.0)</f>
        <v>0</v>
      </c>
      <c r="J7418" s="1" t="str">
        <f>IFERROR(__xludf.DUMMYFUNCTION("""COMPUTED_VALUE"""),"Mikhaela Decangchon")</f>
        <v>Mikhaela Decangchon</v>
      </c>
      <c r="K7418" s="1" t="str">
        <f>IFERROR(__xludf.DUMMYFUNCTION("""COMPUTED_VALUE"""),"Advanced Product Support")</f>
        <v>Advanced Product Support</v>
      </c>
      <c r="L7418" s="1" t="str">
        <f>IFERROR(__xludf.DUMMYFUNCTION("""COMPUTED_VALUE"""),"CPS Advanced Product Support (APS)")</f>
        <v>CPS Advanced Product Support (APS)</v>
      </c>
    </row>
    <row r="7419">
      <c r="A7419" s="1" t="str">
        <f>IFERROR(__xludf.DUMMYFUNCTION("""COMPUTED_VALUE"""),"2025 Dec")</f>
        <v>2025 Dec</v>
      </c>
      <c r="B7419" s="2">
        <f>IFERROR(__xludf.DUMMYFUNCTION("""COMPUTED_VALUE"""),46006.0)</f>
        <v>46006</v>
      </c>
      <c r="C7419" s="1" t="str">
        <f>IFERROR(__xludf.DUMMYFUNCTION("""COMPUTED_VALUE"""),"Admin Support")</f>
        <v>Admin Support</v>
      </c>
      <c r="D7419" s="1" t="str">
        <f>IFERROR(__xludf.DUMMYFUNCTION("""COMPUTED_VALUE"""),"8d05170b-44c2-4973-963a-14bb293f18ab")</f>
        <v>8d05170b-44c2-4973-963a-14bb293f18ab</v>
      </c>
      <c r="E7419" s="1">
        <f>IFERROR(__xludf.DUMMYFUNCTION("""COMPUTED_VALUE"""),3.61731348415E11)</f>
        <v>361731348415</v>
      </c>
      <c r="F7419" s="1"/>
      <c r="G7419" s="1">
        <f>IFERROR(__xludf.DUMMYFUNCTION("""COMPUTED_VALUE"""),1.5)</f>
        <v>1.5</v>
      </c>
      <c r="H7419" s="3">
        <f>IFERROR(__xludf.DUMMYFUNCTION("""COMPUTED_VALUE"""),1.5)</f>
        <v>1.5</v>
      </c>
      <c r="I7419" s="4">
        <f>IFERROR(__xludf.DUMMYFUNCTION("""COMPUTED_VALUE"""),1.0)</f>
        <v>1</v>
      </c>
      <c r="J7419" s="1" t="str">
        <f>IFERROR(__xludf.DUMMYFUNCTION("""COMPUTED_VALUE"""),"Kelden Laguting")</f>
        <v>Kelden Laguting</v>
      </c>
      <c r="K7419" s="1" t="str">
        <f>IFERROR(__xludf.DUMMYFUNCTION("""COMPUTED_VALUE"""),"Admin Support PH")</f>
        <v>Admin Support PH</v>
      </c>
      <c r="L7419" s="1" t="str">
        <f>IFERROR(__xludf.DUMMYFUNCTION("""COMPUTED_VALUE"""),"Admin PH")</f>
        <v>Admin PH</v>
      </c>
    </row>
    <row r="7420">
      <c r="A7420" s="1" t="str">
        <f>IFERROR(__xludf.DUMMYFUNCTION("""COMPUTED_VALUE"""),"2025 Dec")</f>
        <v>2025 Dec</v>
      </c>
      <c r="B7420" s="2">
        <f>IFERROR(__xludf.DUMMYFUNCTION("""COMPUTED_VALUE"""),46006.0)</f>
        <v>46006</v>
      </c>
      <c r="C7420" s="1" t="str">
        <f>IFERROR(__xludf.DUMMYFUNCTION("""COMPUTED_VALUE"""),"Admin Support")</f>
        <v>Admin Support</v>
      </c>
      <c r="D7420" s="1" t="str">
        <f>IFERROR(__xludf.DUMMYFUNCTION("""COMPUTED_VALUE"""),"c51116f5-04d9-48df-a12a-dbf63eaf9c18")</f>
        <v>c51116f5-04d9-48df-a12a-dbf63eaf9c18</v>
      </c>
      <c r="E7420" s="1">
        <f>IFERROR(__xludf.DUMMYFUNCTION("""COMPUTED_VALUE"""),3.61731647035E11)</f>
        <v>361731647035</v>
      </c>
      <c r="F7420" s="1"/>
      <c r="G7420" s="1">
        <f>IFERROR(__xludf.DUMMYFUNCTION("""COMPUTED_VALUE"""),7.5)</f>
        <v>7.5</v>
      </c>
      <c r="H7420" s="3">
        <f>IFERROR(__xludf.DUMMYFUNCTION("""COMPUTED_VALUE"""),7.5)</f>
        <v>7.5</v>
      </c>
      <c r="I7420" s="4">
        <f>IFERROR(__xludf.DUMMYFUNCTION("""COMPUTED_VALUE"""),1.0)</f>
        <v>1</v>
      </c>
      <c r="J7420" s="1" t="str">
        <f>IFERROR(__xludf.DUMMYFUNCTION("""COMPUTED_VALUE"""),"Rose Gabilan")</f>
        <v>Rose Gabilan</v>
      </c>
      <c r="K7420" s="1" t="str">
        <f>IFERROR(__xludf.DUMMYFUNCTION("""COMPUTED_VALUE"""),"Admin Support PH SSO")</f>
        <v>Admin Support PH SSO</v>
      </c>
      <c r="L7420" s="1" t="str">
        <f>IFERROR(__xludf.DUMMYFUNCTION("""COMPUTED_VALUE"""),"Admin SSO - CHT")</f>
        <v>Admin SSO - CHT</v>
      </c>
    </row>
    <row r="7421">
      <c r="A7421" s="1" t="str">
        <f>IFERROR(__xludf.DUMMYFUNCTION("""COMPUTED_VALUE"""),"2025 Dec")</f>
        <v>2025 Dec</v>
      </c>
      <c r="B7421" s="2">
        <f>IFERROR(__xludf.DUMMYFUNCTION("""COMPUTED_VALUE"""),46006.0)</f>
        <v>46006</v>
      </c>
      <c r="C7421" s="1" t="str">
        <f>IFERROR(__xludf.DUMMYFUNCTION("""COMPUTED_VALUE"""),"Core Product Support")</f>
        <v>Core Product Support</v>
      </c>
      <c r="D7421" s="1" t="str">
        <f>IFERROR(__xludf.DUMMYFUNCTION("""COMPUTED_VALUE"""),"ee26274a-f5bb-4f8f-aa29-94921d6e67a9")</f>
        <v>ee26274a-f5bb-4f8f-aa29-94921d6e67a9</v>
      </c>
      <c r="E7421" s="1">
        <f>IFERROR(__xludf.DUMMYFUNCTION("""COMPUTED_VALUE"""),9.107717956879E12)</f>
        <v>9107717956879</v>
      </c>
      <c r="F7421" s="1">
        <f>IFERROR(__xludf.DUMMYFUNCTION("""COMPUTED_VALUE"""),0.5)</f>
        <v>0.5</v>
      </c>
      <c r="G7421" s="1"/>
      <c r="H7421" s="3">
        <f>IFERROR(__xludf.DUMMYFUNCTION("""COMPUTED_VALUE"""),0.5)</f>
        <v>0.5</v>
      </c>
      <c r="I7421" s="4">
        <f>IFERROR(__xludf.DUMMYFUNCTION("""COMPUTED_VALUE"""),0.0)</f>
        <v>0</v>
      </c>
      <c r="J7421" s="1" t="str">
        <f>IFERROR(__xludf.DUMMYFUNCTION("""COMPUTED_VALUE"""),"Marie Mordeno")</f>
        <v>Marie Mordeno</v>
      </c>
      <c r="K7421" s="1" t="str">
        <f>IFERROR(__xludf.DUMMYFUNCTION("""COMPUTED_VALUE"""),"Advanced Billing &amp; Subscriptions")</f>
        <v>Advanced Billing &amp; Subscriptions</v>
      </c>
      <c r="L7421" s="1" t="str">
        <f>IFERROR(__xludf.DUMMYFUNCTION("""COMPUTED_VALUE"""),"CPS Advanced Billing and Subscriptions (ABS)")</f>
        <v>CPS Advanced Billing and Subscriptions (ABS)</v>
      </c>
    </row>
    <row r="7422">
      <c r="A7422" s="1" t="str">
        <f>IFERROR(__xludf.DUMMYFUNCTION("""COMPUTED_VALUE"""),"2025 Dec")</f>
        <v>2025 Dec</v>
      </c>
      <c r="B7422" s="2">
        <f>IFERROR(__xludf.DUMMYFUNCTION("""COMPUTED_VALUE"""),46006.0)</f>
        <v>46006</v>
      </c>
      <c r="C7422" s="1" t="str">
        <f>IFERROR(__xludf.DUMMYFUNCTION("""COMPUTED_VALUE"""),"Core Product Support")</f>
        <v>Core Product Support</v>
      </c>
      <c r="D7422" s="1" t="str">
        <f>IFERROR(__xludf.DUMMYFUNCTION("""COMPUTED_VALUE"""),"9ec42277-802e-4dea-b288-c3f190cff1eb")</f>
        <v>9ec42277-802e-4dea-b288-c3f190cff1eb</v>
      </c>
      <c r="E7422" s="1">
        <f>IFERROR(__xludf.DUMMYFUNCTION("""COMPUTED_VALUE"""),3.61726427476E11)</f>
        <v>361726427476</v>
      </c>
      <c r="F7422" s="1"/>
      <c r="G7422" s="1">
        <f>IFERROR(__xludf.DUMMYFUNCTION("""COMPUTED_VALUE"""),0.5)</f>
        <v>0.5</v>
      </c>
      <c r="H7422" s="3">
        <f>IFERROR(__xludf.DUMMYFUNCTION("""COMPUTED_VALUE"""),0.5)</f>
        <v>0.5</v>
      </c>
      <c r="I7422" s="4">
        <f>IFERROR(__xludf.DUMMYFUNCTION("""COMPUTED_VALUE"""),1.0)</f>
        <v>1</v>
      </c>
      <c r="J7422" s="1" t="str">
        <f>IFERROR(__xludf.DUMMYFUNCTION("""COMPUTED_VALUE"""),"Ellaine Estayo")</f>
        <v>Ellaine Estayo</v>
      </c>
      <c r="K7422" s="1" t="str">
        <f>IFERROR(__xludf.DUMMYFUNCTION("""COMPUTED_VALUE"""),"Core Product Support Escalation Team")</f>
        <v>Core Product Support Escalation Team</v>
      </c>
      <c r="L7422" s="1" t="str">
        <f>IFERROR(__xludf.DUMMYFUNCTION("""COMPUTED_VALUE"""),"CPS Core Product Support Escalations (CPSET)")</f>
        <v>CPS Core Product Support Escalations (CPSET)</v>
      </c>
    </row>
    <row r="7423">
      <c r="A7423" s="1" t="str">
        <f>IFERROR(__xludf.DUMMYFUNCTION("""COMPUTED_VALUE"""),"2025 Dec")</f>
        <v>2025 Dec</v>
      </c>
      <c r="B7423" s="2">
        <f>IFERROR(__xludf.DUMMYFUNCTION("""COMPUTED_VALUE"""),46006.0)</f>
        <v>46006</v>
      </c>
      <c r="C7423" s="1" t="str">
        <f>IFERROR(__xludf.DUMMYFUNCTION("""COMPUTED_VALUE"""),"Print Support")</f>
        <v>Print Support</v>
      </c>
      <c r="D7423" s="1" t="str">
        <f>IFERROR(__xludf.DUMMYFUNCTION("""COMPUTED_VALUE"""),"9e3b5d29-0e29-4565-a70a-6e7ee3c7be84")</f>
        <v>9e3b5d29-0e29-4565-a70a-6e7ee3c7be84</v>
      </c>
      <c r="E7423" s="1">
        <f>IFERROR(__xludf.DUMMYFUNCTION("""COMPUTED_VALUE"""),1.0548602091791E13)</f>
        <v>10548602091791</v>
      </c>
      <c r="F7423" s="1"/>
      <c r="G7423" s="1"/>
      <c r="H7423" s="3">
        <f>IFERROR(__xludf.DUMMYFUNCTION("""COMPUTED_VALUE"""),0.0)</f>
        <v>0</v>
      </c>
      <c r="I7423" s="4"/>
      <c r="J7423" s="1" t="str">
        <f>IFERROR(__xludf.DUMMYFUNCTION("""COMPUTED_VALUE"""),"Jen Momo")</f>
        <v>Jen Momo</v>
      </c>
      <c r="K7423" s="1" t="str">
        <f>IFERROR(__xludf.DUMMYFUNCTION("""COMPUTED_VALUE"""),"Print Support PH")</f>
        <v>Print Support PH</v>
      </c>
      <c r="L7423" s="1" t="str">
        <f>IFERROR(__xludf.DUMMYFUNCTION("""COMPUTED_VALUE"""),"Print Print - CHT")</f>
        <v>Print Print - CHT</v>
      </c>
    </row>
    <row r="7424">
      <c r="A7424" s="1" t="str">
        <f>IFERROR(__xludf.DUMMYFUNCTION("""COMPUTED_VALUE"""),"2025 Dec")</f>
        <v>2025 Dec</v>
      </c>
      <c r="B7424" s="2">
        <f>IFERROR(__xludf.DUMMYFUNCTION("""COMPUTED_VALUE"""),46006.0)</f>
        <v>46006</v>
      </c>
      <c r="C7424" s="1" t="str">
        <f>IFERROR(__xludf.DUMMYFUNCTION("""COMPUTED_VALUE"""),"Segment-specific Support")</f>
        <v>Segment-specific Support</v>
      </c>
      <c r="D7424" s="1" t="str">
        <f>IFERROR(__xludf.DUMMYFUNCTION("""COMPUTED_VALUE"""),"eda8dc46-d638-4955-b85e-554ac98c41d8")</f>
        <v>eda8dc46-d638-4955-b85e-554ac98c41d8</v>
      </c>
      <c r="E7424" s="1">
        <f>IFERROR(__xludf.DUMMYFUNCTION("""COMPUTED_VALUE"""),3.61731943235E11)</f>
        <v>361731943235</v>
      </c>
      <c r="F7424" s="1"/>
      <c r="G7424" s="1"/>
      <c r="H7424" s="3">
        <f>IFERROR(__xludf.DUMMYFUNCTION("""COMPUTED_VALUE"""),0.0)</f>
        <v>0</v>
      </c>
      <c r="I7424" s="4"/>
      <c r="J7424" s="1" t="str">
        <f>IFERROR(__xludf.DUMMYFUNCTION("""COMPUTED_VALUE"""),"Aileen Dayanghirang")</f>
        <v>Aileen Dayanghirang</v>
      </c>
      <c r="K7424" s="1" t="str">
        <f>IFERROR(__xludf.DUMMYFUNCTION("""COMPUTED_VALUE"""),"Creators Support")</f>
        <v>Creators Support</v>
      </c>
      <c r="L7424" s="1" t="str">
        <f>IFERROR(__xludf.DUMMYFUNCTION("""COMPUTED_VALUE"""),"SSS Creators")</f>
        <v>SSS Creators</v>
      </c>
    </row>
    <row r="7425">
      <c r="A7425" s="1" t="str">
        <f>IFERROR(__xludf.DUMMYFUNCTION("""COMPUTED_VALUE"""),"2025 Dec")</f>
        <v>2025 Dec</v>
      </c>
      <c r="B7425" s="2">
        <f>IFERROR(__xludf.DUMMYFUNCTION("""COMPUTED_VALUE"""),46006.0)</f>
        <v>46006</v>
      </c>
      <c r="C7425" s="1" t="str">
        <f>IFERROR(__xludf.DUMMYFUNCTION("""COMPUTED_VALUE"""),"Admin Support")</f>
        <v>Admin Support</v>
      </c>
      <c r="D7425" s="1" t="str">
        <f>IFERROR(__xludf.DUMMYFUNCTION("""COMPUTED_VALUE"""),"1135d838-4518-48e7-a5b8-f1738f44245c")</f>
        <v>1135d838-4518-48e7-a5b8-f1738f44245c</v>
      </c>
      <c r="E7425" s="1">
        <f>IFERROR(__xludf.DUMMYFUNCTION("""COMPUTED_VALUE"""),9.795666354191E12)</f>
        <v>9795666354191</v>
      </c>
      <c r="F7425" s="1"/>
      <c r="G7425" s="1"/>
      <c r="H7425" s="3">
        <f>IFERROR(__xludf.DUMMYFUNCTION("""COMPUTED_VALUE"""),0.0)</f>
        <v>0</v>
      </c>
      <c r="I7425" s="4"/>
      <c r="J7425" s="1" t="str">
        <f>IFERROR(__xludf.DUMMYFUNCTION("""COMPUTED_VALUE"""),"Elise Cesario Mendes")</f>
        <v>Elise Cesario Mendes</v>
      </c>
      <c r="K7425" s="1" t="str">
        <f>IFERROR(__xludf.DUMMYFUNCTION("""COMPUTED_VALUE"""),"Admin Support APJ")</f>
        <v>Admin Support APJ</v>
      </c>
      <c r="L7425" s="1" t="str">
        <f>IFERROR(__xludf.DUMMYFUNCTION("""COMPUTED_VALUE"""),"Admin APJ")</f>
        <v>Admin APJ</v>
      </c>
    </row>
    <row r="7426">
      <c r="A7426" s="1" t="str">
        <f>IFERROR(__xludf.DUMMYFUNCTION("""COMPUTED_VALUE"""),"2025 Dec")</f>
        <v>2025 Dec</v>
      </c>
      <c r="B7426" s="2">
        <f>IFERROR(__xludf.DUMMYFUNCTION("""COMPUTED_VALUE"""),46006.0)</f>
        <v>46006</v>
      </c>
      <c r="C7426" s="1" t="str">
        <f>IFERROR(__xludf.DUMMYFUNCTION("""COMPUTED_VALUE"""),"High Sensitivity Support")</f>
        <v>High Sensitivity Support</v>
      </c>
      <c r="D7426" s="1" t="str">
        <f>IFERROR(__xludf.DUMMYFUNCTION("""COMPUTED_VALUE"""),"a3bbe934-01ae-4e93-9369-021e3581998d")</f>
        <v>a3bbe934-01ae-4e93-9369-021e3581998d</v>
      </c>
      <c r="E7426" s="1">
        <f>IFERROR(__xludf.DUMMYFUNCTION("""COMPUTED_VALUE"""),8.409869745551E12)</f>
        <v>8409869745551</v>
      </c>
      <c r="F7426" s="1">
        <f>IFERROR(__xludf.DUMMYFUNCTION("""COMPUTED_VALUE"""),4.0)</f>
        <v>4</v>
      </c>
      <c r="G7426" s="1"/>
      <c r="H7426" s="3">
        <f>IFERROR(__xludf.DUMMYFUNCTION("""COMPUTED_VALUE"""),4.0)</f>
        <v>4</v>
      </c>
      <c r="I7426" s="4">
        <f>IFERROR(__xludf.DUMMYFUNCTION("""COMPUTED_VALUE"""),0.0)</f>
        <v>0</v>
      </c>
      <c r="J7426" s="1" t="str">
        <f>IFERROR(__xludf.DUMMYFUNCTION("""COMPUTED_VALUE"""),"Rex Villamor")</f>
        <v>Rex Villamor</v>
      </c>
      <c r="K7426" s="1" t="str">
        <f>IFERROR(__xludf.DUMMYFUNCTION("""COMPUTED_VALUE"""),"High Sensitivity Support PH")</f>
        <v>High Sensitivity Support PH</v>
      </c>
      <c r="L7426" s="1" t="str">
        <f>IFERROR(__xludf.DUMMYFUNCTION("""COMPUTED_VALUE"""),"HSS High Sensitivity Support PH - CHT")</f>
        <v>HSS High Sensitivity Support PH - CHT</v>
      </c>
    </row>
    <row r="7427">
      <c r="A7427" s="1" t="str">
        <f>IFERROR(__xludf.DUMMYFUNCTION("""COMPUTED_VALUE"""),"2025 Dec")</f>
        <v>2025 Dec</v>
      </c>
      <c r="B7427" s="2">
        <f>IFERROR(__xludf.DUMMYFUNCTION("""COMPUTED_VALUE"""),46006.0)</f>
        <v>46006</v>
      </c>
      <c r="C7427" s="1" t="str">
        <f>IFERROR(__xludf.DUMMYFUNCTION("""COMPUTED_VALUE"""),"Core Product Support")</f>
        <v>Core Product Support</v>
      </c>
      <c r="D7427" s="1" t="str">
        <f>IFERROR(__xludf.DUMMYFUNCTION("""COMPUTED_VALUE"""),"3160ea91-bbe8-47f3-b356-db1889bfb947")</f>
        <v>3160ea91-bbe8-47f3-b356-db1889bfb947</v>
      </c>
      <c r="E7427" s="1">
        <f>IFERROR(__xludf.DUMMYFUNCTION("""COMPUTED_VALUE"""),8.904462217231E12)</f>
        <v>8904462217231</v>
      </c>
      <c r="F7427" s="1">
        <f>IFERROR(__xludf.DUMMYFUNCTION("""COMPUTED_VALUE"""),0.5)</f>
        <v>0.5</v>
      </c>
      <c r="G7427" s="1"/>
      <c r="H7427" s="3">
        <f>IFERROR(__xludf.DUMMYFUNCTION("""COMPUTED_VALUE"""),0.5)</f>
        <v>0.5</v>
      </c>
      <c r="I7427" s="4">
        <f>IFERROR(__xludf.DUMMYFUNCTION("""COMPUTED_VALUE"""),0.0)</f>
        <v>0</v>
      </c>
      <c r="J7427" s="1" t="str">
        <f>IFERROR(__xludf.DUMMYFUNCTION("""COMPUTED_VALUE"""),"Ana Lazaro")</f>
        <v>Ana Lazaro</v>
      </c>
      <c r="K7427" s="1" t="str">
        <f>IFERROR(__xludf.DUMMYFUNCTION("""COMPUTED_VALUE"""),"Advanced Billing &amp; Subscriptions")</f>
        <v>Advanced Billing &amp; Subscriptions</v>
      </c>
      <c r="L7427" s="1" t="str">
        <f>IFERROR(__xludf.DUMMYFUNCTION("""COMPUTED_VALUE"""),"CPS Advanced Billing and Subscriptions (ABS)")</f>
        <v>CPS Advanced Billing and Subscriptions (ABS)</v>
      </c>
    </row>
    <row r="7428">
      <c r="A7428" s="1" t="str">
        <f>IFERROR(__xludf.DUMMYFUNCTION("""COMPUTED_VALUE"""),"2025 Dec")</f>
        <v>2025 Dec</v>
      </c>
      <c r="B7428" s="2">
        <f>IFERROR(__xludf.DUMMYFUNCTION("""COMPUTED_VALUE"""),46006.0)</f>
        <v>46006</v>
      </c>
      <c r="C7428" s="1" t="str">
        <f>IFERROR(__xludf.DUMMYFUNCTION("""COMPUTED_VALUE"""),"Admin Support")</f>
        <v>Admin Support</v>
      </c>
      <c r="D7428" s="1" t="str">
        <f>IFERROR(__xludf.DUMMYFUNCTION("""COMPUTED_VALUE"""),"0c4907ba-7b85-4f42-8afb-a62cdeb8fbd3")</f>
        <v>0c4907ba-7b85-4f42-8afb-a62cdeb8fbd3</v>
      </c>
      <c r="E7428" s="1">
        <f>IFERROR(__xludf.DUMMYFUNCTION("""COMPUTED_VALUE"""),3.61731944975E11)</f>
        <v>361731944975</v>
      </c>
      <c r="F7428" s="1"/>
      <c r="G7428" s="1">
        <f>IFERROR(__xludf.DUMMYFUNCTION("""COMPUTED_VALUE"""),9.75)</f>
        <v>9.75</v>
      </c>
      <c r="H7428" s="3">
        <f>IFERROR(__xludf.DUMMYFUNCTION("""COMPUTED_VALUE"""),9.75)</f>
        <v>9.75</v>
      </c>
      <c r="I7428" s="4">
        <f>IFERROR(__xludf.DUMMYFUNCTION("""COMPUTED_VALUE"""),1.0)</f>
        <v>1</v>
      </c>
      <c r="J7428" s="1" t="str">
        <f>IFERROR(__xludf.DUMMYFUNCTION("""COMPUTED_VALUE"""),"Kelden Laguting")</f>
        <v>Kelden Laguting</v>
      </c>
      <c r="K7428" s="1" t="str">
        <f>IFERROR(__xludf.DUMMYFUNCTION("""COMPUTED_VALUE"""),"Admin Support PH")</f>
        <v>Admin Support PH</v>
      </c>
      <c r="L7428" s="1" t="str">
        <f>IFERROR(__xludf.DUMMYFUNCTION("""COMPUTED_VALUE"""),"Admin PH")</f>
        <v>Admin PH</v>
      </c>
    </row>
    <row r="7429">
      <c r="A7429" s="1" t="str">
        <f>IFERROR(__xludf.DUMMYFUNCTION("""COMPUTED_VALUE"""),"2025 Dec")</f>
        <v>2025 Dec</v>
      </c>
      <c r="B7429" s="2">
        <f>IFERROR(__xludf.DUMMYFUNCTION("""COMPUTED_VALUE"""),46006.0)</f>
        <v>46006</v>
      </c>
      <c r="C7429" s="1" t="str">
        <f>IFERROR(__xludf.DUMMYFUNCTION("""COMPUTED_VALUE"""),"Admin Support")</f>
        <v>Admin Support</v>
      </c>
      <c r="D7429" s="1" t="str">
        <f>IFERROR(__xludf.DUMMYFUNCTION("""COMPUTED_VALUE"""),"f3e01c36-ae47-4587-bb42-c4f8b42102e5")</f>
        <v>f3e01c36-ae47-4587-bb42-c4f8b42102e5</v>
      </c>
      <c r="E7429" s="1">
        <f>IFERROR(__xludf.DUMMYFUNCTION("""COMPUTED_VALUE"""),3.61725484056E11)</f>
        <v>361725484056</v>
      </c>
      <c r="F7429" s="1"/>
      <c r="G7429" s="1">
        <f>IFERROR(__xludf.DUMMYFUNCTION("""COMPUTED_VALUE"""),1.5)</f>
        <v>1.5</v>
      </c>
      <c r="H7429" s="3">
        <f>IFERROR(__xludf.DUMMYFUNCTION("""COMPUTED_VALUE"""),1.5)</f>
        <v>1.5</v>
      </c>
      <c r="I7429" s="4">
        <f>IFERROR(__xludf.DUMMYFUNCTION("""COMPUTED_VALUE"""),1.0)</f>
        <v>1</v>
      </c>
      <c r="J7429" s="1" t="str">
        <f>IFERROR(__xludf.DUMMYFUNCTION("""COMPUTED_VALUE"""),"Rose Gabilan")</f>
        <v>Rose Gabilan</v>
      </c>
      <c r="K7429" s="1" t="str">
        <f>IFERROR(__xludf.DUMMYFUNCTION("""COMPUTED_VALUE"""),"Admin Support PH SSO")</f>
        <v>Admin Support PH SSO</v>
      </c>
      <c r="L7429" s="1" t="str">
        <f>IFERROR(__xludf.DUMMYFUNCTION("""COMPUTED_VALUE"""),"Admin SSO - CHT")</f>
        <v>Admin SSO - CHT</v>
      </c>
    </row>
    <row r="7430">
      <c r="A7430" s="1" t="str">
        <f>IFERROR(__xludf.DUMMYFUNCTION("""COMPUTED_VALUE"""),"2025 Dec")</f>
        <v>2025 Dec</v>
      </c>
      <c r="B7430" s="2">
        <f>IFERROR(__xludf.DUMMYFUNCTION("""COMPUTED_VALUE"""),46006.0)</f>
        <v>46006</v>
      </c>
      <c r="C7430" s="1" t="str">
        <f>IFERROR(__xludf.DUMMYFUNCTION("""COMPUTED_VALUE"""),"Segment-specific Support")</f>
        <v>Segment-specific Support</v>
      </c>
      <c r="D7430" s="1" t="str">
        <f>IFERROR(__xludf.DUMMYFUNCTION("""COMPUTED_VALUE"""),"0a760e6d-f69c-4cfc-a59a-917274456550")</f>
        <v>0a760e6d-f69c-4cfc-a59a-917274456550</v>
      </c>
      <c r="E7430" s="1">
        <f>IFERROR(__xludf.DUMMYFUNCTION("""COMPUTED_VALUE"""),5.047314632975E12)</f>
        <v>5047314632975</v>
      </c>
      <c r="F7430" s="1"/>
      <c r="G7430" s="1"/>
      <c r="H7430" s="3">
        <f>IFERROR(__xludf.DUMMYFUNCTION("""COMPUTED_VALUE"""),0.0)</f>
        <v>0</v>
      </c>
      <c r="I7430" s="4"/>
      <c r="J7430" s="1" t="str">
        <f>IFERROR(__xludf.DUMMYFUNCTION("""COMPUTED_VALUE"""),"Tash Kelly")</f>
        <v>Tash Kelly</v>
      </c>
      <c r="K7430" s="1" t="str">
        <f>IFERROR(__xludf.DUMMYFUNCTION("""COMPUTED_VALUE"""),"Affinity Support")</f>
        <v>Affinity Support</v>
      </c>
      <c r="L7430" s="1" t="str">
        <f>IFERROR(__xludf.DUMMYFUNCTION("""COMPUTED_VALUE"""),"SSS Affinity")</f>
        <v>SSS Affinity</v>
      </c>
    </row>
    <row r="7431">
      <c r="A7431" s="1" t="str">
        <f>IFERROR(__xludf.DUMMYFUNCTION("""COMPUTED_VALUE"""),"2025 Dec")</f>
        <v>2025 Dec</v>
      </c>
      <c r="B7431" s="2">
        <f>IFERROR(__xludf.DUMMYFUNCTION("""COMPUTED_VALUE"""),46006.0)</f>
        <v>46006</v>
      </c>
      <c r="C7431" s="1" t="str">
        <f>IFERROR(__xludf.DUMMYFUNCTION("""COMPUTED_VALUE"""),"Admin Support")</f>
        <v>Admin Support</v>
      </c>
      <c r="D7431" s="1" t="str">
        <f>IFERROR(__xludf.DUMMYFUNCTION("""COMPUTED_VALUE"""),"97756389-1733-4bfe-bf0b-b3fe225fe510")</f>
        <v>97756389-1733-4bfe-bf0b-b3fe225fe510</v>
      </c>
      <c r="E7431" s="1">
        <f>IFERROR(__xludf.DUMMYFUNCTION("""COMPUTED_VALUE"""),9.153847235087E12)</f>
        <v>9153847235087</v>
      </c>
      <c r="F7431" s="1"/>
      <c r="G7431" s="1"/>
      <c r="H7431" s="3">
        <f>IFERROR(__xludf.DUMMYFUNCTION("""COMPUTED_VALUE"""),0.0)</f>
        <v>0</v>
      </c>
      <c r="I7431" s="4"/>
      <c r="J7431" s="1" t="str">
        <f>IFERROR(__xludf.DUMMYFUNCTION("""COMPUTED_VALUE"""),"Tash Kelly")</f>
        <v>Tash Kelly</v>
      </c>
      <c r="K7431" s="1" t="str">
        <f>IFERROR(__xludf.DUMMYFUNCTION("""COMPUTED_VALUE"""),"Admin Support EMEA")</f>
        <v>Admin Support EMEA</v>
      </c>
      <c r="L7431" s="1" t="str">
        <f>IFERROR(__xludf.DUMMYFUNCTION("""COMPUTED_VALUE"""),"Admin EMEA")</f>
        <v>Admin EMEA</v>
      </c>
    </row>
    <row r="7432">
      <c r="A7432" s="1" t="str">
        <f>IFERROR(__xludf.DUMMYFUNCTION("""COMPUTED_VALUE"""),"2025 Dec")</f>
        <v>2025 Dec</v>
      </c>
      <c r="B7432" s="2">
        <f>IFERROR(__xludf.DUMMYFUNCTION("""COMPUTED_VALUE"""),46006.0)</f>
        <v>46006</v>
      </c>
      <c r="C7432" s="1" t="str">
        <f>IFERROR(__xludf.DUMMYFUNCTION("""COMPUTED_VALUE"""),"Admin Support")</f>
        <v>Admin Support</v>
      </c>
      <c r="D7432" s="1" t="str">
        <f>IFERROR(__xludf.DUMMYFUNCTION("""COMPUTED_VALUE"""),"b8e64047-ce95-4bd1-ba70-97209dbdd968")</f>
        <v>b8e64047-ce95-4bd1-ba70-97209dbdd968</v>
      </c>
      <c r="E7432" s="1">
        <f>IFERROR(__xludf.DUMMYFUNCTION("""COMPUTED_VALUE"""),5.813415515279E12)</f>
        <v>5813415515279</v>
      </c>
      <c r="F7432" s="1">
        <f>IFERROR(__xludf.DUMMYFUNCTION("""COMPUTED_VALUE"""),0.5)</f>
        <v>0.5</v>
      </c>
      <c r="G7432" s="1"/>
      <c r="H7432" s="3">
        <f>IFERROR(__xludf.DUMMYFUNCTION("""COMPUTED_VALUE"""),0.5)</f>
        <v>0.5</v>
      </c>
      <c r="I7432" s="4">
        <f>IFERROR(__xludf.DUMMYFUNCTION("""COMPUTED_VALUE"""),0.0)</f>
        <v>0</v>
      </c>
      <c r="J7432" s="1" t="str">
        <f>IFERROR(__xludf.DUMMYFUNCTION("""COMPUTED_VALUE"""),"Tash Kelly")</f>
        <v>Tash Kelly</v>
      </c>
      <c r="K7432" s="1" t="str">
        <f>IFERROR(__xludf.DUMMYFUNCTION("""COMPUTED_VALUE"""),"Admin Support NA")</f>
        <v>Admin Support NA</v>
      </c>
      <c r="L7432" s="1" t="str">
        <f>IFERROR(__xludf.DUMMYFUNCTION("""COMPUTED_VALUE"""),"Admin NA")</f>
        <v>Admin NA</v>
      </c>
    </row>
    <row r="7433">
      <c r="A7433" s="1" t="str">
        <f>IFERROR(__xludf.DUMMYFUNCTION("""COMPUTED_VALUE"""),"2025 Dec")</f>
        <v>2025 Dec</v>
      </c>
      <c r="B7433" s="2">
        <f>IFERROR(__xludf.DUMMYFUNCTION("""COMPUTED_VALUE"""),46006.0)</f>
        <v>46006</v>
      </c>
      <c r="C7433" s="1" t="str">
        <f>IFERROR(__xludf.DUMMYFUNCTION("""COMPUTED_VALUE"""),"Print Support")</f>
        <v>Print Support</v>
      </c>
      <c r="D7433" s="1" t="str">
        <f>IFERROR(__xludf.DUMMYFUNCTION("""COMPUTED_VALUE"""),"0a8eade5-f55e-4b55-9dca-c83c736a8818")</f>
        <v>0a8eade5-f55e-4b55-9dca-c83c736a8818</v>
      </c>
      <c r="E7433" s="1">
        <f>IFERROR(__xludf.DUMMYFUNCTION("""COMPUTED_VALUE"""),3.61744044436E11)</f>
        <v>361744044436</v>
      </c>
      <c r="F7433" s="1">
        <f>IFERROR(__xludf.DUMMYFUNCTION("""COMPUTED_VALUE"""),2.0)</f>
        <v>2</v>
      </c>
      <c r="G7433" s="1"/>
      <c r="H7433" s="3">
        <f>IFERROR(__xludf.DUMMYFUNCTION("""COMPUTED_VALUE"""),2.0)</f>
        <v>2</v>
      </c>
      <c r="I7433" s="4">
        <f>IFERROR(__xludf.DUMMYFUNCTION("""COMPUTED_VALUE"""),0.0)</f>
        <v>0</v>
      </c>
      <c r="J7433" s="1" t="str">
        <f>IFERROR(__xludf.DUMMYFUNCTION("""COMPUTED_VALUE"""),"Rae Erlano")</f>
        <v>Rae Erlano</v>
      </c>
      <c r="K7433" s="1" t="str">
        <f>IFERROR(__xludf.DUMMYFUNCTION("""COMPUTED_VALUE"""),"Print Support PH")</f>
        <v>Print Support PH</v>
      </c>
      <c r="L7433" s="1" t="str">
        <f>IFERROR(__xludf.DUMMYFUNCTION("""COMPUTED_VALUE"""),"Print Print - SEE")</f>
        <v>Print Print - SEE</v>
      </c>
    </row>
    <row r="7434">
      <c r="A7434" s="1" t="str">
        <f>IFERROR(__xludf.DUMMYFUNCTION("""COMPUTED_VALUE"""),"2025 Dec")</f>
        <v>2025 Dec</v>
      </c>
      <c r="B7434" s="2">
        <f>IFERROR(__xludf.DUMMYFUNCTION("""COMPUTED_VALUE"""),46006.0)</f>
        <v>46006</v>
      </c>
      <c r="C7434" s="1" t="str">
        <f>IFERROR(__xludf.DUMMYFUNCTION("""COMPUTED_VALUE"""),"Print Support")</f>
        <v>Print Support</v>
      </c>
      <c r="D7434" s="1" t="str">
        <f>IFERROR(__xludf.DUMMYFUNCTION("""COMPUTED_VALUE"""),"7938e720-2f23-4ae8-a8bc-a1aeb68883d0")</f>
        <v>7938e720-2f23-4ae8-a8bc-a1aeb68883d0</v>
      </c>
      <c r="E7434" s="1">
        <f>IFERROR(__xludf.DUMMYFUNCTION("""COMPUTED_VALUE"""),5.359144671119E12)</f>
        <v>5359144671119</v>
      </c>
      <c r="F7434" s="1"/>
      <c r="G7434" s="1"/>
      <c r="H7434" s="3">
        <f>IFERROR(__xludf.DUMMYFUNCTION("""COMPUTED_VALUE"""),0.0)</f>
        <v>0</v>
      </c>
      <c r="I7434" s="4"/>
      <c r="J7434" s="1" t="str">
        <f>IFERROR(__xludf.DUMMYFUNCTION("""COMPUTED_VALUE"""),"Rae Erlano")</f>
        <v>Rae Erlano</v>
      </c>
      <c r="K7434" s="1" t="str">
        <f>IFERROR(__xludf.DUMMYFUNCTION("""COMPUTED_VALUE"""),"Print Support PH")</f>
        <v>Print Support PH</v>
      </c>
      <c r="L7434" s="1" t="str">
        <f>IFERROR(__xludf.DUMMYFUNCTION("""COMPUTED_VALUE"""),"Print Print - CHT")</f>
        <v>Print Print - CHT</v>
      </c>
    </row>
    <row r="7435">
      <c r="A7435" s="1" t="str">
        <f>IFERROR(__xludf.DUMMYFUNCTION("""COMPUTED_VALUE"""),"2025 Dec")</f>
        <v>2025 Dec</v>
      </c>
      <c r="B7435" s="2">
        <f>IFERROR(__xludf.DUMMYFUNCTION("""COMPUTED_VALUE"""),46006.0)</f>
        <v>46006</v>
      </c>
      <c r="C7435" s="1" t="str">
        <f>IFERROR(__xludf.DUMMYFUNCTION("""COMPUTED_VALUE"""),"Core Product Support")</f>
        <v>Core Product Support</v>
      </c>
      <c r="D7435" s="1" t="str">
        <f>IFERROR(__xludf.DUMMYFUNCTION("""COMPUTED_VALUE"""),"7bf5cef1-9473-43c3-9aff-115283ed0e7a")</f>
        <v>7bf5cef1-9473-43c3-9aff-115283ed0e7a</v>
      </c>
      <c r="E7435" s="1">
        <f>IFERROR(__xludf.DUMMYFUNCTION("""COMPUTED_VALUE"""),1.0005707260559E13)</f>
        <v>10005707260559</v>
      </c>
      <c r="F7435" s="1"/>
      <c r="G7435" s="1">
        <f>IFERROR(__xludf.DUMMYFUNCTION("""COMPUTED_VALUE"""),1.5)</f>
        <v>1.5</v>
      </c>
      <c r="H7435" s="3">
        <f>IFERROR(__xludf.DUMMYFUNCTION("""COMPUTED_VALUE"""),1.5)</f>
        <v>1.5</v>
      </c>
      <c r="I7435" s="4">
        <f>IFERROR(__xludf.DUMMYFUNCTION("""COMPUTED_VALUE"""),1.0)</f>
        <v>1</v>
      </c>
      <c r="J7435" s="1" t="str">
        <f>IFERROR(__xludf.DUMMYFUNCTION("""COMPUTED_VALUE"""),"Jahmie Mae Barrameda")</f>
        <v>Jahmie Mae Barrameda</v>
      </c>
      <c r="K7435" s="1" t="str">
        <f>IFERROR(__xludf.DUMMYFUNCTION("""COMPUTED_VALUE"""),"Advanced Billing &amp; Subscriptions")</f>
        <v>Advanced Billing &amp; Subscriptions</v>
      </c>
      <c r="L7435" s="1" t="str">
        <f>IFERROR(__xludf.DUMMYFUNCTION("""COMPUTED_VALUE"""),"CPS Advanced Billing and Subscriptions (ABS)")</f>
        <v>CPS Advanced Billing and Subscriptions (ABS)</v>
      </c>
    </row>
    <row r="7436">
      <c r="A7436" s="1" t="str">
        <f>IFERROR(__xludf.DUMMYFUNCTION("""COMPUTED_VALUE"""),"2025 Dec")</f>
        <v>2025 Dec</v>
      </c>
      <c r="B7436" s="2">
        <f>IFERROR(__xludf.DUMMYFUNCTION("""COMPUTED_VALUE"""),46006.0)</f>
        <v>46006</v>
      </c>
      <c r="C7436" s="1" t="str">
        <f>IFERROR(__xludf.DUMMYFUNCTION("""COMPUTED_VALUE"""),"Segment-specific Support")</f>
        <v>Segment-specific Support</v>
      </c>
      <c r="D7436" s="1" t="str">
        <f>IFERROR(__xludf.DUMMYFUNCTION("""COMPUTED_VALUE"""),"ea5d3075-1c56-458e-abc7-f25ded5a9d76")</f>
        <v>ea5d3075-1c56-458e-abc7-f25ded5a9d76</v>
      </c>
      <c r="E7436" s="1">
        <f>IFERROR(__xludf.DUMMYFUNCTION("""COMPUTED_VALUE"""),1.1401961186319E13)</f>
        <v>11401961186319</v>
      </c>
      <c r="F7436" s="1"/>
      <c r="G7436" s="1"/>
      <c r="H7436" s="3">
        <f>IFERROR(__xludf.DUMMYFUNCTION("""COMPUTED_VALUE"""),0.0)</f>
        <v>0</v>
      </c>
      <c r="I7436" s="4"/>
      <c r="J7436" s="1" t="str">
        <f>IFERROR(__xludf.DUMMYFUNCTION("""COMPUTED_VALUE"""),"Aileen Dayanghirang")</f>
        <v>Aileen Dayanghirang</v>
      </c>
      <c r="K7436" s="1" t="str">
        <f>IFERROR(__xludf.DUMMYFUNCTION("""COMPUTED_VALUE"""),"Creators Support")</f>
        <v>Creators Support</v>
      </c>
      <c r="L7436" s="1" t="str">
        <f>IFERROR(__xludf.DUMMYFUNCTION("""COMPUTED_VALUE"""),"SSS Creators")</f>
        <v>SSS Creators</v>
      </c>
    </row>
    <row r="7437">
      <c r="A7437" s="1" t="str">
        <f>IFERROR(__xludf.DUMMYFUNCTION("""COMPUTED_VALUE"""),"2025 Dec")</f>
        <v>2025 Dec</v>
      </c>
      <c r="B7437" s="2">
        <f>IFERROR(__xludf.DUMMYFUNCTION("""COMPUTED_VALUE"""),46006.0)</f>
        <v>46006</v>
      </c>
      <c r="C7437" s="1" t="str">
        <f>IFERROR(__xludf.DUMMYFUNCTION("""COMPUTED_VALUE"""),"Admin Support")</f>
        <v>Admin Support</v>
      </c>
      <c r="D7437" s="1" t="str">
        <f>IFERROR(__xludf.DUMMYFUNCTION("""COMPUTED_VALUE"""),"ac612821-c478-4ed1-8b21-3e20fb1b17d4")</f>
        <v>ac612821-c478-4ed1-8b21-3e20fb1b17d4</v>
      </c>
      <c r="E7437" s="1">
        <f>IFERROR(__xludf.DUMMYFUNCTION("""COMPUTED_VALUE"""),8.409862611087E12)</f>
        <v>8409862611087</v>
      </c>
      <c r="F7437" s="1"/>
      <c r="G7437" s="1">
        <f>IFERROR(__xludf.DUMMYFUNCTION("""COMPUTED_VALUE"""),0.75)</f>
        <v>0.75</v>
      </c>
      <c r="H7437" s="3">
        <f>IFERROR(__xludf.DUMMYFUNCTION("""COMPUTED_VALUE"""),0.75)</f>
        <v>0.75</v>
      </c>
      <c r="I7437" s="4">
        <f>IFERROR(__xludf.DUMMYFUNCTION("""COMPUTED_VALUE"""),1.0)</f>
        <v>1</v>
      </c>
      <c r="J7437" s="1" t="str">
        <f>IFERROR(__xludf.DUMMYFUNCTION("""COMPUTED_VALUE"""),"Kelden Laguting")</f>
        <v>Kelden Laguting</v>
      </c>
      <c r="K7437" s="1" t="str">
        <f>IFERROR(__xludf.DUMMYFUNCTION("""COMPUTED_VALUE"""),"Admin Support PH")</f>
        <v>Admin Support PH</v>
      </c>
      <c r="L7437" s="1" t="str">
        <f>IFERROR(__xludf.DUMMYFUNCTION("""COMPUTED_VALUE"""),"Admin PH")</f>
        <v>Admin PH</v>
      </c>
    </row>
    <row r="7438">
      <c r="A7438" s="1" t="str">
        <f>IFERROR(__xludf.DUMMYFUNCTION("""COMPUTED_VALUE"""),"2025 Dec")</f>
        <v>2025 Dec</v>
      </c>
      <c r="B7438" s="2">
        <f>IFERROR(__xludf.DUMMYFUNCTION("""COMPUTED_VALUE"""),46006.0)</f>
        <v>46006</v>
      </c>
      <c r="C7438" s="1" t="str">
        <f>IFERROR(__xludf.DUMMYFUNCTION("""COMPUTED_VALUE"""),"Multilingual Support")</f>
        <v>Multilingual Support</v>
      </c>
      <c r="D7438" s="1" t="str">
        <f>IFERROR(__xludf.DUMMYFUNCTION("""COMPUTED_VALUE"""),"c643f4d3-31ef-4155-ba4e-a552baeb6f23")</f>
        <v>c643f4d3-31ef-4155-ba4e-a552baeb6f23</v>
      </c>
      <c r="E7438" s="1">
        <f>IFERROR(__xludf.DUMMYFUNCTION("""COMPUTED_VALUE"""),3.61726424916E11)</f>
        <v>361726424916</v>
      </c>
      <c r="F7438" s="1"/>
      <c r="G7438" s="1"/>
      <c r="H7438" s="3">
        <f>IFERROR(__xludf.DUMMYFUNCTION("""COMPUTED_VALUE"""),0.0)</f>
        <v>0</v>
      </c>
      <c r="I7438" s="4"/>
      <c r="J7438" s="1" t="str">
        <f>IFERROR(__xludf.DUMMYFUNCTION("""COMPUTED_VALUE"""),"Arlene Maurillo")</f>
        <v>Arlene Maurillo</v>
      </c>
      <c r="K7438" s="1" t="str">
        <f>IFERROR(__xludf.DUMMYFUNCTION("""COMPUTED_VALUE"""),"PHL, Multilingual Support")</f>
        <v>PHL, Multilingual Support</v>
      </c>
      <c r="L7438" s="1" t="str">
        <f>IFERROR(__xludf.DUMMYFUNCTION("""COMPUTED_VALUE"""),"ML French Support")</f>
        <v>ML French Support</v>
      </c>
    </row>
    <row r="7439">
      <c r="A7439" s="1" t="str">
        <f>IFERROR(__xludf.DUMMYFUNCTION("""COMPUTED_VALUE"""),"2025 Dec")</f>
        <v>2025 Dec</v>
      </c>
      <c r="B7439" s="2">
        <f>IFERROR(__xludf.DUMMYFUNCTION("""COMPUTED_VALUE"""),46006.0)</f>
        <v>46006</v>
      </c>
      <c r="C7439" s="1" t="str">
        <f>IFERROR(__xludf.DUMMYFUNCTION("""COMPUTED_VALUE"""),"High Sensitivity Support")</f>
        <v>High Sensitivity Support</v>
      </c>
      <c r="D7439" s="1" t="str">
        <f>IFERROR(__xludf.DUMMYFUNCTION("""COMPUTED_VALUE"""),"19ca9753-f76b-4593-ad5b-20f0e6bda57d")</f>
        <v>19ca9753-f76b-4593-ad5b-20f0e6bda57d</v>
      </c>
      <c r="E7439" s="1">
        <f>IFERROR(__xludf.DUMMYFUNCTION("""COMPUTED_VALUE"""),3.61694652335E11)</f>
        <v>361694652335</v>
      </c>
      <c r="F7439" s="1">
        <f>IFERROR(__xludf.DUMMYFUNCTION("""COMPUTED_VALUE"""),4.0)</f>
        <v>4</v>
      </c>
      <c r="G7439" s="1"/>
      <c r="H7439" s="3">
        <f>IFERROR(__xludf.DUMMYFUNCTION("""COMPUTED_VALUE"""),4.0)</f>
        <v>4</v>
      </c>
      <c r="I7439" s="4">
        <f>IFERROR(__xludf.DUMMYFUNCTION("""COMPUTED_VALUE"""),0.0)</f>
        <v>0</v>
      </c>
      <c r="J7439" s="1" t="str">
        <f>IFERROR(__xludf.DUMMYFUNCTION("""COMPUTED_VALUE"""),"Xandy Azarcon")</f>
        <v>Xandy Azarcon</v>
      </c>
      <c r="K7439" s="1" t="str">
        <f>IFERROR(__xludf.DUMMYFUNCTION("""COMPUTED_VALUE"""),"High Sensitivity Support PH")</f>
        <v>High Sensitivity Support PH</v>
      </c>
      <c r="L7439" s="1" t="str">
        <f>IFERROR(__xludf.DUMMYFUNCTION("""COMPUTED_VALUE"""),"HSS High Sensitivity Support PH - CHT")</f>
        <v>HSS High Sensitivity Support PH - CHT</v>
      </c>
    </row>
    <row r="7440">
      <c r="A7440" s="1" t="str">
        <f>IFERROR(__xludf.DUMMYFUNCTION("""COMPUTED_VALUE"""),"2025 Dec")</f>
        <v>2025 Dec</v>
      </c>
      <c r="B7440" s="2">
        <f>IFERROR(__xludf.DUMMYFUNCTION("""COMPUTED_VALUE"""),46006.0)</f>
        <v>46006</v>
      </c>
      <c r="C7440" s="1" t="str">
        <f>IFERROR(__xludf.DUMMYFUNCTION("""COMPUTED_VALUE"""),"High Sensitivity Support")</f>
        <v>High Sensitivity Support</v>
      </c>
      <c r="D7440" s="1" t="str">
        <f>IFERROR(__xludf.DUMMYFUNCTION("""COMPUTED_VALUE"""),"9ade6020-1c9b-4fab-b5d6-fa3b2ae1a212")</f>
        <v>9ade6020-1c9b-4fab-b5d6-fa3b2ae1a212</v>
      </c>
      <c r="E7440" s="1">
        <f>IFERROR(__xludf.DUMMYFUNCTION("""COMPUTED_VALUE"""),5.047383497615E12)</f>
        <v>5047383497615</v>
      </c>
      <c r="F7440" s="1"/>
      <c r="G7440" s="1"/>
      <c r="H7440" s="3">
        <f>IFERROR(__xludf.DUMMYFUNCTION("""COMPUTED_VALUE"""),0.0)</f>
        <v>0</v>
      </c>
      <c r="I7440" s="4"/>
      <c r="J7440" s="1" t="str">
        <f>IFERROR(__xludf.DUMMYFUNCTION("""COMPUTED_VALUE"""),"Issi Afable")</f>
        <v>Issi Afable</v>
      </c>
      <c r="K7440" s="1" t="str">
        <f>IFERROR(__xludf.DUMMYFUNCTION("""COMPUTED_VALUE"""),"High Sensitivity Support PH")</f>
        <v>High Sensitivity Support PH</v>
      </c>
      <c r="L7440" s="1" t="str">
        <f>IFERROR(__xludf.DUMMYFUNCTION("""COMPUTED_VALUE"""),"HSS High Sensitivity Support PH - SEE")</f>
        <v>HSS High Sensitivity Support PH - SEE</v>
      </c>
    </row>
    <row r="7441">
      <c r="A7441" s="1" t="str">
        <f>IFERROR(__xludf.DUMMYFUNCTION("""COMPUTED_VALUE"""),"2025 Dec")</f>
        <v>2025 Dec</v>
      </c>
      <c r="B7441" s="2">
        <f>IFERROR(__xludf.DUMMYFUNCTION("""COMPUTED_VALUE"""),46006.0)</f>
        <v>46006</v>
      </c>
      <c r="C7441" s="1" t="str">
        <f>IFERROR(__xludf.DUMMYFUNCTION("""COMPUTED_VALUE"""),"Print Support")</f>
        <v>Print Support</v>
      </c>
      <c r="D7441" s="1" t="str">
        <f>IFERROR(__xludf.DUMMYFUNCTION("""COMPUTED_VALUE"""),"05869263-0d01-4309-8f73-ab6deb080e16")</f>
        <v>05869263-0d01-4309-8f73-ab6deb080e16</v>
      </c>
      <c r="E7441" s="1"/>
      <c r="F7441" s="1"/>
      <c r="G7441" s="1"/>
      <c r="H7441" s="3">
        <f>IFERROR(__xludf.DUMMYFUNCTION("""COMPUTED_VALUE"""),0.0)</f>
        <v>0</v>
      </c>
      <c r="I7441" s="4"/>
      <c r="J7441" s="1" t="str">
        <f>IFERROR(__xludf.DUMMYFUNCTION("""COMPUTED_VALUE"""),"G-Anne Murillo")</f>
        <v>G-Anne Murillo</v>
      </c>
      <c r="K7441" s="1" t="str">
        <f>IFERROR(__xludf.DUMMYFUNCTION("""COMPUTED_VALUE"""),"Print Design Support")</f>
        <v>Print Design Support</v>
      </c>
      <c r="L7441" s="1" t="str">
        <f>IFERROR(__xludf.DUMMYFUNCTION("""COMPUTED_VALUE"""),"Print Print Design")</f>
        <v>Print Print Design</v>
      </c>
    </row>
    <row r="7442">
      <c r="A7442" s="1" t="str">
        <f>IFERROR(__xludf.DUMMYFUNCTION("""COMPUTED_VALUE"""),"2025 Dec")</f>
        <v>2025 Dec</v>
      </c>
      <c r="B7442" s="2">
        <f>IFERROR(__xludf.DUMMYFUNCTION("""COMPUTED_VALUE"""),46006.0)</f>
        <v>46006</v>
      </c>
      <c r="C7442" s="1" t="str">
        <f>IFERROR(__xludf.DUMMYFUNCTION("""COMPUTED_VALUE"""),"Print Support")</f>
        <v>Print Support</v>
      </c>
      <c r="D7442" s="1" t="str">
        <f>IFERROR(__xludf.DUMMYFUNCTION("""COMPUTED_VALUE"""),"5fe68c01-0359-40ab-9a6d-78a5cd050024")</f>
        <v>5fe68c01-0359-40ab-9a6d-78a5cd050024</v>
      </c>
      <c r="E7442" s="1"/>
      <c r="F7442" s="1"/>
      <c r="G7442" s="1"/>
      <c r="H7442" s="3">
        <f>IFERROR(__xludf.DUMMYFUNCTION("""COMPUTED_VALUE"""),0.0)</f>
        <v>0</v>
      </c>
      <c r="I7442" s="4"/>
      <c r="J7442" s="1" t="str">
        <f>IFERROR(__xludf.DUMMYFUNCTION("""COMPUTED_VALUE"""),"Jan Domingo")</f>
        <v>Jan Domingo</v>
      </c>
      <c r="K7442" s="1" t="str">
        <f>IFERROR(__xludf.DUMMYFUNCTION("""COMPUTED_VALUE"""),"Print Design Support")</f>
        <v>Print Design Support</v>
      </c>
      <c r="L7442" s="1" t="str">
        <f>IFERROR(__xludf.DUMMYFUNCTION("""COMPUTED_VALUE"""),"Print Print Design")</f>
        <v>Print Print Design</v>
      </c>
    </row>
    <row r="7443">
      <c r="A7443" s="1" t="str">
        <f>IFERROR(__xludf.DUMMYFUNCTION("""COMPUTED_VALUE"""),"2025 Dec")</f>
        <v>2025 Dec</v>
      </c>
      <c r="B7443" s="2">
        <f>IFERROR(__xludf.DUMMYFUNCTION("""COMPUTED_VALUE"""),46006.0)</f>
        <v>46006</v>
      </c>
      <c r="C7443" s="1" t="str">
        <f>IFERROR(__xludf.DUMMYFUNCTION("""COMPUTED_VALUE"""),"Print Support")</f>
        <v>Print Support</v>
      </c>
      <c r="D7443" s="1" t="str">
        <f>IFERROR(__xludf.DUMMYFUNCTION("""COMPUTED_VALUE"""),"50551296-1c12-4ee1-842f-b3c74e1d0706")</f>
        <v>50551296-1c12-4ee1-842f-b3c74e1d0706</v>
      </c>
      <c r="E7443" s="1">
        <f>IFERROR(__xludf.DUMMYFUNCTION("""COMPUTED_VALUE"""),3.61725486956E11)</f>
        <v>361725486956</v>
      </c>
      <c r="F7443" s="1">
        <f>IFERROR(__xludf.DUMMYFUNCTION("""COMPUTED_VALUE"""),2.0)</f>
        <v>2</v>
      </c>
      <c r="G7443" s="1"/>
      <c r="H7443" s="3">
        <f>IFERROR(__xludf.DUMMYFUNCTION("""COMPUTED_VALUE"""),2.0)</f>
        <v>2</v>
      </c>
      <c r="I7443" s="4">
        <f>IFERROR(__xludf.DUMMYFUNCTION("""COMPUTED_VALUE"""),0.0)</f>
        <v>0</v>
      </c>
      <c r="J7443" s="1" t="str">
        <f>IFERROR(__xludf.DUMMYFUNCTION("""COMPUTED_VALUE"""),"Memae Faustino")</f>
        <v>Memae Faustino</v>
      </c>
      <c r="K7443" s="1" t="str">
        <f>IFERROR(__xludf.DUMMYFUNCTION("""COMPUTED_VALUE"""),"Print Support PH")</f>
        <v>Print Support PH</v>
      </c>
      <c r="L7443" s="1" t="str">
        <f>IFERROR(__xludf.DUMMYFUNCTION("""COMPUTED_VALUE"""),"Print Print - SEE")</f>
        <v>Print Print - SEE</v>
      </c>
    </row>
    <row r="7444">
      <c r="A7444" s="1" t="str">
        <f>IFERROR(__xludf.DUMMYFUNCTION("""COMPUTED_VALUE"""),"2025 Dec")</f>
        <v>2025 Dec</v>
      </c>
      <c r="B7444" s="2">
        <f>IFERROR(__xludf.DUMMYFUNCTION("""COMPUTED_VALUE"""),46006.0)</f>
        <v>46006</v>
      </c>
      <c r="C7444" s="1" t="str">
        <f>IFERROR(__xludf.DUMMYFUNCTION("""COMPUTED_VALUE"""),"Core Product Support")</f>
        <v>Core Product Support</v>
      </c>
      <c r="D7444" s="1" t="str">
        <f>IFERROR(__xludf.DUMMYFUNCTION("""COMPUTED_VALUE"""),"4dbfa916-5ac6-473d-aa13-5812e02f0be2")</f>
        <v>4dbfa916-5ac6-473d-aa13-5812e02f0be2</v>
      </c>
      <c r="E7444" s="1">
        <f>IFERROR(__xludf.DUMMYFUNCTION("""COMPUTED_VALUE"""),9.586394042255E12)</f>
        <v>9586394042255</v>
      </c>
      <c r="F7444" s="1">
        <f>IFERROR(__xludf.DUMMYFUNCTION("""COMPUTED_VALUE"""),1.0)</f>
        <v>1</v>
      </c>
      <c r="G7444" s="1"/>
      <c r="H7444" s="3">
        <f>IFERROR(__xludf.DUMMYFUNCTION("""COMPUTED_VALUE"""),1.0)</f>
        <v>1</v>
      </c>
      <c r="I7444" s="4">
        <f>IFERROR(__xludf.DUMMYFUNCTION("""COMPUTED_VALUE"""),0.0)</f>
        <v>0</v>
      </c>
      <c r="J7444" s="1" t="str">
        <f>IFERROR(__xludf.DUMMYFUNCTION("""COMPUTED_VALUE"""),"Vinz Lazaro")</f>
        <v>Vinz Lazaro</v>
      </c>
      <c r="K7444" s="1" t="str">
        <f>IFERROR(__xludf.DUMMYFUNCTION("""COMPUTED_VALUE"""),"Advanced Product Support")</f>
        <v>Advanced Product Support</v>
      </c>
      <c r="L7444" s="1" t="str">
        <f>IFERROR(__xludf.DUMMYFUNCTION("""COMPUTED_VALUE"""),"CPS Advanced Product Support (APS)")</f>
        <v>CPS Advanced Product Support (APS)</v>
      </c>
    </row>
    <row r="7445">
      <c r="A7445" s="1" t="str">
        <f>IFERROR(__xludf.DUMMYFUNCTION("""COMPUTED_VALUE"""),"2025 Dec")</f>
        <v>2025 Dec</v>
      </c>
      <c r="B7445" s="2">
        <f>IFERROR(__xludf.DUMMYFUNCTION("""COMPUTED_VALUE"""),46006.0)</f>
        <v>46006</v>
      </c>
      <c r="C7445" s="1" t="str">
        <f>IFERROR(__xludf.DUMMYFUNCTION("""COMPUTED_VALUE"""),"Print Support")</f>
        <v>Print Support</v>
      </c>
      <c r="D7445" s="1" t="str">
        <f>IFERROR(__xludf.DUMMYFUNCTION("""COMPUTED_VALUE"""),"9c6c901c-ce92-460f-9d6d-5ee12b03a1ec")</f>
        <v>9c6c901c-ce92-460f-9d6d-5ee12b03a1ec</v>
      </c>
      <c r="E7445" s="1"/>
      <c r="F7445" s="1"/>
      <c r="G7445" s="1"/>
      <c r="H7445" s="3">
        <f>IFERROR(__xludf.DUMMYFUNCTION("""COMPUTED_VALUE"""),0.0)</f>
        <v>0</v>
      </c>
      <c r="I7445" s="4"/>
      <c r="J7445" s="1" t="str">
        <f>IFERROR(__xludf.DUMMYFUNCTION("""COMPUTED_VALUE"""),"Rei De Jesus")</f>
        <v>Rei De Jesus</v>
      </c>
      <c r="K7445" s="1" t="str">
        <f>IFERROR(__xludf.DUMMYFUNCTION("""COMPUTED_VALUE"""),"Print Design Support")</f>
        <v>Print Design Support</v>
      </c>
      <c r="L7445" s="1" t="str">
        <f>IFERROR(__xludf.DUMMYFUNCTION("""COMPUTED_VALUE"""),"Print Print Design")</f>
        <v>Print Print Design</v>
      </c>
    </row>
    <row r="7446">
      <c r="A7446" s="1" t="str">
        <f>IFERROR(__xludf.DUMMYFUNCTION("""COMPUTED_VALUE"""),"2025 Dec")</f>
        <v>2025 Dec</v>
      </c>
      <c r="B7446" s="2">
        <f>IFERROR(__xludf.DUMMYFUNCTION("""COMPUTED_VALUE"""),46006.0)</f>
        <v>46006</v>
      </c>
      <c r="C7446" s="1" t="str">
        <f>IFERROR(__xludf.DUMMYFUNCTION("""COMPUTED_VALUE"""),"Core Product Support")</f>
        <v>Core Product Support</v>
      </c>
      <c r="D7446" s="1" t="str">
        <f>IFERROR(__xludf.DUMMYFUNCTION("""COMPUTED_VALUE"""),"cc817a63-c749-4aa1-ad3c-e3d33f5e04ff")</f>
        <v>cc817a63-c749-4aa1-ad3c-e3d33f5e04ff</v>
      </c>
      <c r="E7446" s="1">
        <f>IFERROR(__xludf.DUMMYFUNCTION("""COMPUTED_VALUE"""),5.566828557583E12)</f>
        <v>5566828557583</v>
      </c>
      <c r="F7446" s="1"/>
      <c r="G7446" s="1">
        <f>IFERROR(__xludf.DUMMYFUNCTION("""COMPUTED_VALUE"""),1.5)</f>
        <v>1.5</v>
      </c>
      <c r="H7446" s="3">
        <f>IFERROR(__xludf.DUMMYFUNCTION("""COMPUTED_VALUE"""),1.5)</f>
        <v>1.5</v>
      </c>
      <c r="I7446" s="4">
        <f>IFERROR(__xludf.DUMMYFUNCTION("""COMPUTED_VALUE"""),1.0)</f>
        <v>1</v>
      </c>
      <c r="J7446" s="1" t="str">
        <f>IFERROR(__xludf.DUMMYFUNCTION("""COMPUTED_VALUE"""),"Renette Bok")</f>
        <v>Renette Bok</v>
      </c>
      <c r="K7446" s="1" t="str">
        <f>IFERROR(__xludf.DUMMYFUNCTION("""COMPUTED_VALUE"""),"Advanced Billing &amp; Subscriptions")</f>
        <v>Advanced Billing &amp; Subscriptions</v>
      </c>
      <c r="L7446" s="1" t="str">
        <f>IFERROR(__xludf.DUMMYFUNCTION("""COMPUTED_VALUE"""),"CPS Advanced Billing and Subscriptions (ABS)")</f>
        <v>CPS Advanced Billing and Subscriptions (ABS)</v>
      </c>
    </row>
    <row r="7447">
      <c r="A7447" s="1" t="str">
        <f>IFERROR(__xludf.DUMMYFUNCTION("""COMPUTED_VALUE"""),"2025 Dec")</f>
        <v>2025 Dec</v>
      </c>
      <c r="B7447" s="2">
        <f>IFERROR(__xludf.DUMMYFUNCTION("""COMPUTED_VALUE"""),46006.0)</f>
        <v>46006</v>
      </c>
      <c r="C7447" s="1" t="str">
        <f>IFERROR(__xludf.DUMMYFUNCTION("""COMPUTED_VALUE"""),"Multilingual Support")</f>
        <v>Multilingual Support</v>
      </c>
      <c r="D7447" s="1" t="str">
        <f>IFERROR(__xludf.DUMMYFUNCTION("""COMPUTED_VALUE"""),"6f52f807-9641-4f21-b34f-312ae3e9b3c9")</f>
        <v>6f52f807-9641-4f21-b34f-312ae3e9b3c9</v>
      </c>
      <c r="E7447" s="1">
        <f>IFERROR(__xludf.DUMMYFUNCTION("""COMPUTED_VALUE"""),3.61724828456E11)</f>
        <v>361724828456</v>
      </c>
      <c r="F7447" s="1"/>
      <c r="G7447" s="1"/>
      <c r="H7447" s="3">
        <f>IFERROR(__xludf.DUMMYFUNCTION("""COMPUTED_VALUE"""),0.0)</f>
        <v>0</v>
      </c>
      <c r="I7447" s="4"/>
      <c r="J7447" s="1" t="str">
        <f>IFERROR(__xludf.DUMMYFUNCTION("""COMPUTED_VALUE"""),"Arlene Maurillo")</f>
        <v>Arlene Maurillo</v>
      </c>
      <c r="K7447" s="1" t="str">
        <f>IFERROR(__xludf.DUMMYFUNCTION("""COMPUTED_VALUE"""),"PHL, Multilingual Support")</f>
        <v>PHL, Multilingual Support</v>
      </c>
      <c r="L7447" s="1" t="str">
        <f>IFERROR(__xludf.DUMMYFUNCTION("""COMPUTED_VALUE"""),"ML Russian Support")</f>
        <v>ML Russian Support</v>
      </c>
    </row>
    <row r="7448">
      <c r="A7448" s="1" t="str">
        <f>IFERROR(__xludf.DUMMYFUNCTION("""COMPUTED_VALUE"""),"2025 Dec")</f>
        <v>2025 Dec</v>
      </c>
      <c r="B7448" s="2">
        <f>IFERROR(__xludf.DUMMYFUNCTION("""COMPUTED_VALUE"""),46006.0)</f>
        <v>46006</v>
      </c>
      <c r="C7448" s="1" t="str">
        <f>IFERROR(__xludf.DUMMYFUNCTION("""COMPUTED_VALUE"""),"Core Product Support")</f>
        <v>Core Product Support</v>
      </c>
      <c r="D7448" s="1" t="str">
        <f>IFERROR(__xludf.DUMMYFUNCTION("""COMPUTED_VALUE"""),"e9348ef0-6be7-4d18-8f01-bbb3181a2030")</f>
        <v>e9348ef0-6be7-4d18-8f01-bbb3181a2030</v>
      </c>
      <c r="E7448" s="1">
        <f>IFERROR(__xludf.DUMMYFUNCTION("""COMPUTED_VALUE"""),8.904451015951E12)</f>
        <v>8904451015951</v>
      </c>
      <c r="F7448" s="1">
        <f>IFERROR(__xludf.DUMMYFUNCTION("""COMPUTED_VALUE"""),0.5)</f>
        <v>0.5</v>
      </c>
      <c r="G7448" s="1"/>
      <c r="H7448" s="3">
        <f>IFERROR(__xludf.DUMMYFUNCTION("""COMPUTED_VALUE"""),0.5)</f>
        <v>0.5</v>
      </c>
      <c r="I7448" s="4">
        <f>IFERROR(__xludf.DUMMYFUNCTION("""COMPUTED_VALUE"""),0.0)</f>
        <v>0</v>
      </c>
      <c r="J7448" s="1" t="str">
        <f>IFERROR(__xludf.DUMMYFUNCTION("""COMPUTED_VALUE"""),"Ana Lazaro")</f>
        <v>Ana Lazaro</v>
      </c>
      <c r="K7448" s="1" t="str">
        <f>IFERROR(__xludf.DUMMYFUNCTION("""COMPUTED_VALUE"""),"Advanced Billing &amp; Subscriptions")</f>
        <v>Advanced Billing &amp; Subscriptions</v>
      </c>
      <c r="L7448" s="1" t="str">
        <f>IFERROR(__xludf.DUMMYFUNCTION("""COMPUTED_VALUE"""),"CPS Advanced Billing and Subscriptions (ABS)")</f>
        <v>CPS Advanced Billing and Subscriptions (ABS)</v>
      </c>
    </row>
    <row r="7449">
      <c r="A7449" s="1" t="str">
        <f>IFERROR(__xludf.DUMMYFUNCTION("""COMPUTED_VALUE"""),"2025 Dec")</f>
        <v>2025 Dec</v>
      </c>
      <c r="B7449" s="2">
        <f>IFERROR(__xludf.DUMMYFUNCTION("""COMPUTED_VALUE"""),46006.0)</f>
        <v>46006</v>
      </c>
      <c r="C7449" s="1" t="str">
        <f>IFERROR(__xludf.DUMMYFUNCTION("""COMPUTED_VALUE"""),"Core Product Support")</f>
        <v>Core Product Support</v>
      </c>
      <c r="D7449" s="1" t="str">
        <f>IFERROR(__xludf.DUMMYFUNCTION("""COMPUTED_VALUE"""),"5917755d-94e1-4bcf-b3d5-736f4efd635f")</f>
        <v>5917755d-94e1-4bcf-b3d5-736f4efd635f</v>
      </c>
      <c r="E7449" s="1">
        <f>IFERROR(__xludf.DUMMYFUNCTION("""COMPUTED_VALUE"""),3.61725488916E11)</f>
        <v>361725488916</v>
      </c>
      <c r="F7449" s="1">
        <f>IFERROR(__xludf.DUMMYFUNCTION("""COMPUTED_VALUE"""),0.5)</f>
        <v>0.5</v>
      </c>
      <c r="G7449" s="1">
        <f>IFERROR(__xludf.DUMMYFUNCTION("""COMPUTED_VALUE"""),2.0)</f>
        <v>2</v>
      </c>
      <c r="H7449" s="3">
        <f>IFERROR(__xludf.DUMMYFUNCTION("""COMPUTED_VALUE"""),2.5)</f>
        <v>2.5</v>
      </c>
      <c r="I7449" s="4">
        <f>IFERROR(__xludf.DUMMYFUNCTION("""COMPUTED_VALUE"""),0.8)</f>
        <v>0.8</v>
      </c>
      <c r="J7449" s="1" t="str">
        <f>IFERROR(__xludf.DUMMYFUNCTION("""COMPUTED_VALUE"""),"Bem Launte")</f>
        <v>Bem Launte</v>
      </c>
      <c r="K7449" s="1" t="str">
        <f>IFERROR(__xludf.DUMMYFUNCTION("""COMPUTED_VALUE"""),"Core Product Support Escalation Team")</f>
        <v>Core Product Support Escalation Team</v>
      </c>
      <c r="L7449" s="1" t="str">
        <f>IFERROR(__xludf.DUMMYFUNCTION("""COMPUTED_VALUE"""),"CPS Core Product Support Escalations (CPSET)")</f>
        <v>CPS Core Product Support Escalations (CPSET)</v>
      </c>
    </row>
    <row r="7450">
      <c r="A7450" s="1" t="str">
        <f>IFERROR(__xludf.DUMMYFUNCTION("""COMPUTED_VALUE"""),"2025 Dec")</f>
        <v>2025 Dec</v>
      </c>
      <c r="B7450" s="2">
        <f>IFERROR(__xludf.DUMMYFUNCTION("""COMPUTED_VALUE"""),46006.0)</f>
        <v>46006</v>
      </c>
      <c r="C7450" s="1" t="str">
        <f>IFERROR(__xludf.DUMMYFUNCTION("""COMPUTED_VALUE"""),"Admin Support")</f>
        <v>Admin Support</v>
      </c>
      <c r="D7450" s="1" t="str">
        <f>IFERROR(__xludf.DUMMYFUNCTION("""COMPUTED_VALUE"""),"869426c4-df7f-4a39-b2f3-8e70e583ed69")</f>
        <v>869426c4-df7f-4a39-b2f3-8e70e583ed69</v>
      </c>
      <c r="E7450" s="1">
        <f>IFERROR(__xludf.DUMMYFUNCTION("""COMPUTED_VALUE"""),3.61725115636E11)</f>
        <v>361725115636</v>
      </c>
      <c r="F7450" s="1"/>
      <c r="G7450" s="1"/>
      <c r="H7450" s="3">
        <f>IFERROR(__xludf.DUMMYFUNCTION("""COMPUTED_VALUE"""),0.0)</f>
        <v>0</v>
      </c>
      <c r="I7450" s="4"/>
      <c r="J7450" s="1" t="str">
        <f>IFERROR(__xludf.DUMMYFUNCTION("""COMPUTED_VALUE"""),"Camille Alvarez")</f>
        <v>Camille Alvarez</v>
      </c>
      <c r="K7450" s="1" t="str">
        <f>IFERROR(__xludf.DUMMYFUNCTION("""COMPUTED_VALUE"""),"Admin Support PH SSO")</f>
        <v>Admin Support PH SSO</v>
      </c>
      <c r="L7450" s="1" t="str">
        <f>IFERROR(__xludf.DUMMYFUNCTION("""COMPUTED_VALUE"""),"Admin SSO - SEE")</f>
        <v>Admin SSO - SEE</v>
      </c>
    </row>
    <row r="7451">
      <c r="A7451" s="1" t="str">
        <f>IFERROR(__xludf.DUMMYFUNCTION("""COMPUTED_VALUE"""),"2025 Dec")</f>
        <v>2025 Dec</v>
      </c>
      <c r="B7451" s="2">
        <f>IFERROR(__xludf.DUMMYFUNCTION("""COMPUTED_VALUE"""),46006.0)</f>
        <v>46006</v>
      </c>
      <c r="C7451" s="1" t="str">
        <f>IFERROR(__xludf.DUMMYFUNCTION("""COMPUTED_VALUE"""),"Print Support")</f>
        <v>Print Support</v>
      </c>
      <c r="D7451" s="1" t="str">
        <f>IFERROR(__xludf.DUMMYFUNCTION("""COMPUTED_VALUE"""),"cb7f900d-e2ff-4ff8-b74f-c2db90bdfb62")</f>
        <v>cb7f900d-e2ff-4ff8-b74f-c2db90bdfb62</v>
      </c>
      <c r="E7451" s="1">
        <f>IFERROR(__xludf.DUMMYFUNCTION("""COMPUTED_VALUE"""),3.61750052875E11)</f>
        <v>361750052875</v>
      </c>
      <c r="F7451" s="1">
        <f>IFERROR(__xludf.DUMMYFUNCTION("""COMPUTED_VALUE"""),2.0)</f>
        <v>2</v>
      </c>
      <c r="G7451" s="1"/>
      <c r="H7451" s="3">
        <f>IFERROR(__xludf.DUMMYFUNCTION("""COMPUTED_VALUE"""),2.0)</f>
        <v>2</v>
      </c>
      <c r="I7451" s="4">
        <f>IFERROR(__xludf.DUMMYFUNCTION("""COMPUTED_VALUE"""),0.0)</f>
        <v>0</v>
      </c>
      <c r="J7451" s="1" t="str">
        <f>IFERROR(__xludf.DUMMYFUNCTION("""COMPUTED_VALUE"""),"Memae Faustino")</f>
        <v>Memae Faustino</v>
      </c>
      <c r="K7451" s="1" t="str">
        <f>IFERROR(__xludf.DUMMYFUNCTION("""COMPUTED_VALUE"""),"Print Support PH")</f>
        <v>Print Support PH</v>
      </c>
      <c r="L7451" s="1" t="str">
        <f>IFERROR(__xludf.DUMMYFUNCTION("""COMPUTED_VALUE"""),"Print Print - SEE")</f>
        <v>Print Print - SEE</v>
      </c>
    </row>
    <row r="7452">
      <c r="A7452" s="1" t="str">
        <f>IFERROR(__xludf.DUMMYFUNCTION("""COMPUTED_VALUE"""),"2025 Dec")</f>
        <v>2025 Dec</v>
      </c>
      <c r="B7452" s="2">
        <f>IFERROR(__xludf.DUMMYFUNCTION("""COMPUTED_VALUE"""),46013.0)</f>
        <v>46013</v>
      </c>
      <c r="C7452" s="1" t="str">
        <f>IFERROR(__xludf.DUMMYFUNCTION("""COMPUTED_VALUE"""),"Segment-specific Support")</f>
        <v>Segment-specific Support</v>
      </c>
      <c r="D7452" s="1" t="str">
        <f>IFERROR(__xludf.DUMMYFUNCTION("""COMPUTED_VALUE"""),"71cc12d6-81ad-4480-9557-ff6a318e3277")</f>
        <v>71cc12d6-81ad-4480-9557-ff6a318e3277</v>
      </c>
      <c r="E7452" s="1">
        <f>IFERROR(__xludf.DUMMYFUNCTION("""COMPUTED_VALUE"""),3.61726424776E11)</f>
        <v>361726424776</v>
      </c>
      <c r="F7452" s="1">
        <f>IFERROR(__xludf.DUMMYFUNCTION("""COMPUTED_VALUE"""),0.5)</f>
        <v>0.5</v>
      </c>
      <c r="G7452" s="1"/>
      <c r="H7452" s="3">
        <f>IFERROR(__xludf.DUMMYFUNCTION("""COMPUTED_VALUE"""),0.5)</f>
        <v>0.5</v>
      </c>
      <c r="I7452" s="4">
        <f>IFERROR(__xludf.DUMMYFUNCTION("""COMPUTED_VALUE"""),0.0)</f>
        <v>0</v>
      </c>
      <c r="J7452" s="1" t="str">
        <f>IFERROR(__xludf.DUMMYFUNCTION("""COMPUTED_VALUE"""),"Jonathan Dimaculangan")</f>
        <v>Jonathan Dimaculangan</v>
      </c>
      <c r="K7452" s="1" t="str">
        <f>IFERROR(__xludf.DUMMYFUNCTION("""COMPUTED_VALUE"""),"Flourish Support")</f>
        <v>Flourish Support</v>
      </c>
      <c r="L7452" s="1" t="str">
        <f>IFERROR(__xludf.DUMMYFUNCTION("""COMPUTED_VALUE"""),"SSS Flourish")</f>
        <v>SSS Flourish</v>
      </c>
    </row>
    <row r="7453">
      <c r="A7453" s="1" t="str">
        <f>IFERROR(__xludf.DUMMYFUNCTION("""COMPUTED_VALUE"""),"2025 Dec")</f>
        <v>2025 Dec</v>
      </c>
      <c r="B7453" s="2">
        <f>IFERROR(__xludf.DUMMYFUNCTION("""COMPUTED_VALUE"""),46013.0)</f>
        <v>46013</v>
      </c>
      <c r="C7453" s="1" t="str">
        <f>IFERROR(__xludf.DUMMYFUNCTION("""COMPUTED_VALUE"""),"Core Product Support")</f>
        <v>Core Product Support</v>
      </c>
      <c r="D7453" s="1" t="str">
        <f>IFERROR(__xludf.DUMMYFUNCTION("""COMPUTED_VALUE"""),"ed8e075f-7119-4833-8af3-4c353a3fdda1")</f>
        <v>ed8e075f-7119-4833-8af3-4c353a3fdda1</v>
      </c>
      <c r="E7453" s="1">
        <f>IFERROR(__xludf.DUMMYFUNCTION("""COMPUTED_VALUE"""),4.502516921487E12)</f>
        <v>4502516921487</v>
      </c>
      <c r="F7453" s="1">
        <f>IFERROR(__xludf.DUMMYFUNCTION("""COMPUTED_VALUE"""),0.5)</f>
        <v>0.5</v>
      </c>
      <c r="G7453" s="1"/>
      <c r="H7453" s="3">
        <f>IFERROR(__xludf.DUMMYFUNCTION("""COMPUTED_VALUE"""),0.5)</f>
        <v>0.5</v>
      </c>
      <c r="I7453" s="4">
        <f>IFERROR(__xludf.DUMMYFUNCTION("""COMPUTED_VALUE"""),0.0)</f>
        <v>0</v>
      </c>
      <c r="J7453" s="1" t="str">
        <f>IFERROR(__xludf.DUMMYFUNCTION("""COMPUTED_VALUE"""),"Jem Mondoñedo")</f>
        <v>Jem Mondoñedo</v>
      </c>
      <c r="K7453" s="1" t="str">
        <f>IFERROR(__xludf.DUMMYFUNCTION("""COMPUTED_VALUE"""),"Advanced Chat Support")</f>
        <v>Advanced Chat Support</v>
      </c>
      <c r="L7453" s="1" t="str">
        <f>IFERROR(__xludf.DUMMYFUNCTION("""COMPUTED_VALUE"""),"CPS Advanced Chat Support (ACS)")</f>
        <v>CPS Advanced Chat Support (ACS)</v>
      </c>
    </row>
    <row r="7454">
      <c r="A7454" s="1" t="str">
        <f>IFERROR(__xludf.DUMMYFUNCTION("""COMPUTED_VALUE"""),"2025 Dec")</f>
        <v>2025 Dec</v>
      </c>
      <c r="B7454" s="2">
        <f>IFERROR(__xludf.DUMMYFUNCTION("""COMPUTED_VALUE"""),46013.0)</f>
        <v>46013</v>
      </c>
      <c r="C7454" s="1" t="str">
        <f>IFERROR(__xludf.DUMMYFUNCTION("""COMPUTED_VALUE"""),"Core Product Support")</f>
        <v>Core Product Support</v>
      </c>
      <c r="D7454" s="1" t="str">
        <f>IFERROR(__xludf.DUMMYFUNCTION("""COMPUTED_VALUE"""),"000279e3-fb19-4b90-a95c-080adc98c9aa")</f>
        <v>000279e3-fb19-4b90-a95c-080adc98c9aa</v>
      </c>
      <c r="E7454" s="1">
        <f>IFERROR(__xludf.DUMMYFUNCTION("""COMPUTED_VALUE"""),3.61861297935E11)</f>
        <v>361861297935</v>
      </c>
      <c r="F7454" s="1">
        <f>IFERROR(__xludf.DUMMYFUNCTION("""COMPUTED_VALUE"""),0.5)</f>
        <v>0.5</v>
      </c>
      <c r="G7454" s="1"/>
      <c r="H7454" s="3">
        <f>IFERROR(__xludf.DUMMYFUNCTION("""COMPUTED_VALUE"""),0.5)</f>
        <v>0.5</v>
      </c>
      <c r="I7454" s="4">
        <f>IFERROR(__xludf.DUMMYFUNCTION("""COMPUTED_VALUE"""),0.0)</f>
        <v>0</v>
      </c>
      <c r="J7454" s="1" t="str">
        <f>IFERROR(__xludf.DUMMYFUNCTION("""COMPUTED_VALUE"""),"Jahmie Mae Barrameda")</f>
        <v>Jahmie Mae Barrameda</v>
      </c>
      <c r="K7454" s="1" t="str">
        <f>IFERROR(__xludf.DUMMYFUNCTION("""COMPUTED_VALUE"""),"Advanced Billing &amp; Subscriptions")</f>
        <v>Advanced Billing &amp; Subscriptions</v>
      </c>
      <c r="L7454" s="1" t="str">
        <f>IFERROR(__xludf.DUMMYFUNCTION("""COMPUTED_VALUE"""),"CPS Advanced Billing and Subscriptions (ABS)")</f>
        <v>CPS Advanced Billing and Subscriptions (ABS)</v>
      </c>
    </row>
    <row r="7455">
      <c r="A7455" s="1" t="str">
        <f>IFERROR(__xludf.DUMMYFUNCTION("""COMPUTED_VALUE"""),"2025 Dec")</f>
        <v>2025 Dec</v>
      </c>
      <c r="B7455" s="2">
        <f>IFERROR(__xludf.DUMMYFUNCTION("""COMPUTED_VALUE"""),46013.0)</f>
        <v>46013</v>
      </c>
      <c r="C7455" s="1" t="str">
        <f>IFERROR(__xludf.DUMMYFUNCTION("""COMPUTED_VALUE"""),"Print Support")</f>
        <v>Print Support</v>
      </c>
      <c r="D7455" s="1" t="str">
        <f>IFERROR(__xludf.DUMMYFUNCTION("""COMPUTED_VALUE"""),"61035b18-fc2e-492c-ae7d-227048511bcf")</f>
        <v>61035b18-fc2e-492c-ae7d-227048511bcf</v>
      </c>
      <c r="E7455" s="1"/>
      <c r="F7455" s="1"/>
      <c r="G7455" s="1"/>
      <c r="H7455" s="3">
        <f>IFERROR(__xludf.DUMMYFUNCTION("""COMPUTED_VALUE"""),0.0)</f>
        <v>0</v>
      </c>
      <c r="I7455" s="4"/>
      <c r="J7455" s="1" t="str">
        <f>IFERROR(__xludf.DUMMYFUNCTION("""COMPUTED_VALUE"""),"Gem Agoncillo")</f>
        <v>Gem Agoncillo</v>
      </c>
      <c r="K7455" s="1" t="str">
        <f>IFERROR(__xludf.DUMMYFUNCTION("""COMPUTED_VALUE"""),"Print Design Support")</f>
        <v>Print Design Support</v>
      </c>
      <c r="L7455" s="1" t="str">
        <f>IFERROR(__xludf.DUMMYFUNCTION("""COMPUTED_VALUE"""),"Print Print Design")</f>
        <v>Print Print Design</v>
      </c>
    </row>
    <row r="7456">
      <c r="A7456" s="1" t="str">
        <f>IFERROR(__xludf.DUMMYFUNCTION("""COMPUTED_VALUE"""),"2025 Dec")</f>
        <v>2025 Dec</v>
      </c>
      <c r="B7456" s="2">
        <f>IFERROR(__xludf.DUMMYFUNCTION("""COMPUTED_VALUE"""),46013.0)</f>
        <v>46013</v>
      </c>
      <c r="C7456" s="1" t="str">
        <f>IFERROR(__xludf.DUMMYFUNCTION("""COMPUTED_VALUE"""),"Core Product Support")</f>
        <v>Core Product Support</v>
      </c>
      <c r="D7456" s="1" t="str">
        <f>IFERROR(__xludf.DUMMYFUNCTION("""COMPUTED_VALUE"""),"7f6e3175-f6cd-4a70-93aa-118856f83921")</f>
        <v>7f6e3175-f6cd-4a70-93aa-118856f83921</v>
      </c>
      <c r="E7456" s="1">
        <f>IFERROR(__xludf.DUMMYFUNCTION("""COMPUTED_VALUE"""),1.0333019153039E13)</f>
        <v>10333019153039</v>
      </c>
      <c r="F7456" s="1">
        <f>IFERROR(__xludf.DUMMYFUNCTION("""COMPUTED_VALUE"""),0.5)</f>
        <v>0.5</v>
      </c>
      <c r="G7456" s="1"/>
      <c r="H7456" s="3">
        <f>IFERROR(__xludf.DUMMYFUNCTION("""COMPUTED_VALUE"""),0.5)</f>
        <v>0.5</v>
      </c>
      <c r="I7456" s="4">
        <f>IFERROR(__xludf.DUMMYFUNCTION("""COMPUTED_VALUE"""),0.0)</f>
        <v>0</v>
      </c>
      <c r="J7456" s="1" t="str">
        <f>IFERROR(__xludf.DUMMYFUNCTION("""COMPUTED_VALUE"""),"Belle Bentazal")</f>
        <v>Belle Bentazal</v>
      </c>
      <c r="K7456" s="1" t="str">
        <f>IFERROR(__xludf.DUMMYFUNCTION("""COMPUTED_VALUE"""),"Advanced Product Support")</f>
        <v>Advanced Product Support</v>
      </c>
      <c r="L7456" s="1" t="str">
        <f>IFERROR(__xludf.DUMMYFUNCTION("""COMPUTED_VALUE"""),"CPS Advanced Product Support (APS)")</f>
        <v>CPS Advanced Product Support (APS)</v>
      </c>
    </row>
    <row r="7457">
      <c r="A7457" s="1" t="str">
        <f>IFERROR(__xludf.DUMMYFUNCTION("""COMPUTED_VALUE"""),"2025 Dec")</f>
        <v>2025 Dec</v>
      </c>
      <c r="B7457" s="2">
        <f>IFERROR(__xludf.DUMMYFUNCTION("""COMPUTED_VALUE"""),46013.0)</f>
        <v>46013</v>
      </c>
      <c r="C7457" s="1" t="str">
        <f>IFERROR(__xludf.DUMMYFUNCTION("""COMPUTED_VALUE"""),"Segment-specific Support")</f>
        <v>Segment-specific Support</v>
      </c>
      <c r="D7457" s="1" t="str">
        <f>IFERROR(__xludf.DUMMYFUNCTION("""COMPUTED_VALUE"""),"8941a42e-630f-4e32-ac1a-aa9495a2b319")</f>
        <v>8941a42e-630f-4e32-ac1a-aa9495a2b319</v>
      </c>
      <c r="E7457" s="1">
        <f>IFERROR(__xludf.DUMMYFUNCTION("""COMPUTED_VALUE"""),3.61731514775E11)</f>
        <v>361731514775</v>
      </c>
      <c r="F7457" s="1"/>
      <c r="G7457" s="1"/>
      <c r="H7457" s="3">
        <f>IFERROR(__xludf.DUMMYFUNCTION("""COMPUTED_VALUE"""),0.0)</f>
        <v>0</v>
      </c>
      <c r="I7457" s="4"/>
      <c r="J7457" s="1" t="str">
        <f>IFERROR(__xludf.DUMMYFUNCTION("""COMPUTED_VALUE"""),"Aileen Dayanghirang")</f>
        <v>Aileen Dayanghirang</v>
      </c>
      <c r="K7457" s="1" t="str">
        <f>IFERROR(__xludf.DUMMYFUNCTION("""COMPUTED_VALUE"""),"Creators Support")</f>
        <v>Creators Support</v>
      </c>
      <c r="L7457" s="1" t="str">
        <f>IFERROR(__xludf.DUMMYFUNCTION("""COMPUTED_VALUE"""),"SSS Creators")</f>
        <v>SSS Creators</v>
      </c>
    </row>
    <row r="7458">
      <c r="A7458" s="1" t="str">
        <f>IFERROR(__xludf.DUMMYFUNCTION("""COMPUTED_VALUE"""),"2025 Dec")</f>
        <v>2025 Dec</v>
      </c>
      <c r="B7458" s="2">
        <f>IFERROR(__xludf.DUMMYFUNCTION("""COMPUTED_VALUE"""),46013.0)</f>
        <v>46013</v>
      </c>
      <c r="C7458" s="1" t="str">
        <f>IFERROR(__xludf.DUMMYFUNCTION("""COMPUTED_VALUE"""),"Segment-specific Support")</f>
        <v>Segment-specific Support</v>
      </c>
      <c r="D7458" s="1" t="str">
        <f>IFERROR(__xludf.DUMMYFUNCTION("""COMPUTED_VALUE"""),"dfd09cbc-1248-47f6-96ff-bb4b2c38ce63")</f>
        <v>dfd09cbc-1248-47f6-96ff-bb4b2c38ce63</v>
      </c>
      <c r="E7458" s="1">
        <f>IFERROR(__xludf.DUMMYFUNCTION("""COMPUTED_VALUE"""),3.61725262736E11)</f>
        <v>361725262736</v>
      </c>
      <c r="F7458" s="1"/>
      <c r="G7458" s="1"/>
      <c r="H7458" s="3">
        <f>IFERROR(__xludf.DUMMYFUNCTION("""COMPUTED_VALUE"""),0.0)</f>
        <v>0</v>
      </c>
      <c r="I7458" s="4"/>
      <c r="J7458" s="1" t="str">
        <f>IFERROR(__xludf.DUMMYFUNCTION("""COMPUTED_VALUE"""),"Tash Kelly")</f>
        <v>Tash Kelly</v>
      </c>
      <c r="K7458" s="1" t="str">
        <f>IFERROR(__xludf.DUMMYFUNCTION("""COMPUTED_VALUE"""),"Affinity Support")</f>
        <v>Affinity Support</v>
      </c>
      <c r="L7458" s="1" t="str">
        <f>IFERROR(__xludf.DUMMYFUNCTION("""COMPUTED_VALUE"""),"SSS Affinity")</f>
        <v>SSS Affinity</v>
      </c>
    </row>
    <row r="7459">
      <c r="A7459" s="1" t="str">
        <f>IFERROR(__xludf.DUMMYFUNCTION("""COMPUTED_VALUE"""),"2025 Dec")</f>
        <v>2025 Dec</v>
      </c>
      <c r="B7459" s="2">
        <f>IFERROR(__xludf.DUMMYFUNCTION("""COMPUTED_VALUE"""),46013.0)</f>
        <v>46013</v>
      </c>
      <c r="C7459" s="1" t="str">
        <f>IFERROR(__xludf.DUMMYFUNCTION("""COMPUTED_VALUE"""),"Segment-specific Support")</f>
        <v>Segment-specific Support</v>
      </c>
      <c r="D7459" s="1" t="str">
        <f>IFERROR(__xludf.DUMMYFUNCTION("""COMPUTED_VALUE"""),"14ab0e6b-ba36-4083-a4df-79ae04c36179")</f>
        <v>14ab0e6b-ba36-4083-a4df-79ae04c36179</v>
      </c>
      <c r="E7459" s="1">
        <f>IFERROR(__xludf.DUMMYFUNCTION("""COMPUTED_VALUE"""),1.0548580059023E13)</f>
        <v>10548580059023</v>
      </c>
      <c r="F7459" s="1">
        <f>IFERROR(__xludf.DUMMYFUNCTION("""COMPUTED_VALUE"""),0.5)</f>
        <v>0.5</v>
      </c>
      <c r="G7459" s="1"/>
      <c r="H7459" s="3">
        <f>IFERROR(__xludf.DUMMYFUNCTION("""COMPUTED_VALUE"""),0.5)</f>
        <v>0.5</v>
      </c>
      <c r="I7459" s="4">
        <f>IFERROR(__xludf.DUMMYFUNCTION("""COMPUTED_VALUE"""),0.0)</f>
        <v>0</v>
      </c>
      <c r="J7459" s="1" t="str">
        <f>IFERROR(__xludf.DUMMYFUNCTION("""COMPUTED_VALUE"""),"Jonathan Dimaculangan")</f>
        <v>Jonathan Dimaculangan</v>
      </c>
      <c r="K7459" s="1" t="str">
        <f>IFERROR(__xludf.DUMMYFUNCTION("""COMPUTED_VALUE"""),"Flourish Support")</f>
        <v>Flourish Support</v>
      </c>
      <c r="L7459" s="1" t="str">
        <f>IFERROR(__xludf.DUMMYFUNCTION("""COMPUTED_VALUE"""),"SSS Flourish")</f>
        <v>SSS Flourish</v>
      </c>
    </row>
    <row r="7460">
      <c r="A7460" s="1" t="str">
        <f>IFERROR(__xludf.DUMMYFUNCTION("""COMPUTED_VALUE"""),"2025 Dec")</f>
        <v>2025 Dec</v>
      </c>
      <c r="B7460" s="2">
        <f>IFERROR(__xludf.DUMMYFUNCTION("""COMPUTED_VALUE"""),46013.0)</f>
        <v>46013</v>
      </c>
      <c r="C7460" s="1" t="str">
        <f>IFERROR(__xludf.DUMMYFUNCTION("""COMPUTED_VALUE"""),"Admin Support")</f>
        <v>Admin Support</v>
      </c>
      <c r="D7460" s="1" t="str">
        <f>IFERROR(__xludf.DUMMYFUNCTION("""COMPUTED_VALUE"""),"37c57b4f-487c-4c75-8926-0d22cc125dcf")</f>
        <v>37c57b4f-487c-4c75-8926-0d22cc125dcf</v>
      </c>
      <c r="E7460" s="1">
        <f>IFERROR(__xludf.DUMMYFUNCTION("""COMPUTED_VALUE"""),9.153765932815E12)</f>
        <v>9153765932815</v>
      </c>
      <c r="F7460" s="1"/>
      <c r="G7460" s="1"/>
      <c r="H7460" s="3">
        <f>IFERROR(__xludf.DUMMYFUNCTION("""COMPUTED_VALUE"""),0.0)</f>
        <v>0</v>
      </c>
      <c r="I7460" s="4"/>
      <c r="J7460" s="1" t="str">
        <f>IFERROR(__xludf.DUMMYFUNCTION("""COMPUTED_VALUE"""),"Tash Kelly")</f>
        <v>Tash Kelly</v>
      </c>
      <c r="K7460" s="1" t="str">
        <f>IFERROR(__xludf.DUMMYFUNCTION("""COMPUTED_VALUE"""),"Admin Support EMEA")</f>
        <v>Admin Support EMEA</v>
      </c>
      <c r="L7460" s="1" t="str">
        <f>IFERROR(__xludf.DUMMYFUNCTION("""COMPUTED_VALUE"""),"Admin EMEA")</f>
        <v>Admin EMEA</v>
      </c>
    </row>
    <row r="7461">
      <c r="A7461" s="1" t="str">
        <f>IFERROR(__xludf.DUMMYFUNCTION("""COMPUTED_VALUE"""),"2025 Dec")</f>
        <v>2025 Dec</v>
      </c>
      <c r="B7461" s="2">
        <f>IFERROR(__xludf.DUMMYFUNCTION("""COMPUTED_VALUE"""),46013.0)</f>
        <v>46013</v>
      </c>
      <c r="C7461" s="1" t="str">
        <f>IFERROR(__xludf.DUMMYFUNCTION("""COMPUTED_VALUE"""),"Print Support")</f>
        <v>Print Support</v>
      </c>
      <c r="D7461" s="1" t="str">
        <f>IFERROR(__xludf.DUMMYFUNCTION("""COMPUTED_VALUE"""),"745adc44-2fda-43ea-bdcd-39c28e369ddc")</f>
        <v>745adc44-2fda-43ea-bdcd-39c28e369ddc</v>
      </c>
      <c r="E7461" s="1">
        <f>IFERROR(__xludf.DUMMYFUNCTION("""COMPUTED_VALUE"""),3.61731943495E11)</f>
        <v>361731943495</v>
      </c>
      <c r="F7461" s="1"/>
      <c r="G7461" s="1"/>
      <c r="H7461" s="3">
        <f>IFERROR(__xludf.DUMMYFUNCTION("""COMPUTED_VALUE"""),0.0)</f>
        <v>0</v>
      </c>
      <c r="I7461" s="4"/>
      <c r="J7461" s="1" t="str">
        <f>IFERROR(__xludf.DUMMYFUNCTION("""COMPUTED_VALUE"""),"Ann Dumlao")</f>
        <v>Ann Dumlao</v>
      </c>
      <c r="K7461" s="1" t="str">
        <f>IFERROR(__xludf.DUMMYFUNCTION("""COMPUTED_VALUE"""),"Print Support PH")</f>
        <v>Print Support PH</v>
      </c>
      <c r="L7461" s="1" t="str">
        <f>IFERROR(__xludf.DUMMYFUNCTION("""COMPUTED_VALUE"""),"Print Print - CHT")</f>
        <v>Print Print - CHT</v>
      </c>
    </row>
    <row r="7462">
      <c r="A7462" s="1" t="str">
        <f>IFERROR(__xludf.DUMMYFUNCTION("""COMPUTED_VALUE"""),"2025 Dec")</f>
        <v>2025 Dec</v>
      </c>
      <c r="B7462" s="2">
        <f>IFERROR(__xludf.DUMMYFUNCTION("""COMPUTED_VALUE"""),46013.0)</f>
        <v>46013</v>
      </c>
      <c r="C7462" s="1" t="str">
        <f>IFERROR(__xludf.DUMMYFUNCTION("""COMPUTED_VALUE"""),"Print Support")</f>
        <v>Print Support</v>
      </c>
      <c r="D7462" s="1" t="str">
        <f>IFERROR(__xludf.DUMMYFUNCTION("""COMPUTED_VALUE"""),"98326c76-87c9-4e59-a377-8cc144d863d0")</f>
        <v>98326c76-87c9-4e59-a377-8cc144d863d0</v>
      </c>
      <c r="E7462" s="1">
        <f>IFERROR(__xludf.DUMMYFUNCTION("""COMPUTED_VALUE"""),5.902016055567E12)</f>
        <v>5902016055567</v>
      </c>
      <c r="F7462" s="1">
        <f>IFERROR(__xludf.DUMMYFUNCTION("""COMPUTED_VALUE"""),2.0)</f>
        <v>2</v>
      </c>
      <c r="G7462" s="1"/>
      <c r="H7462" s="3">
        <f>IFERROR(__xludf.DUMMYFUNCTION("""COMPUTED_VALUE"""),2.0)</f>
        <v>2</v>
      </c>
      <c r="I7462" s="4">
        <f>IFERROR(__xludf.DUMMYFUNCTION("""COMPUTED_VALUE"""),0.0)</f>
        <v>0</v>
      </c>
      <c r="J7462" s="1" t="str">
        <f>IFERROR(__xludf.DUMMYFUNCTION("""COMPUTED_VALUE"""),"Rae Erlano")</f>
        <v>Rae Erlano</v>
      </c>
      <c r="K7462" s="1" t="str">
        <f>IFERROR(__xludf.DUMMYFUNCTION("""COMPUTED_VALUE"""),"Print Support PH")</f>
        <v>Print Support PH</v>
      </c>
      <c r="L7462" s="1" t="str">
        <f>IFERROR(__xludf.DUMMYFUNCTION("""COMPUTED_VALUE"""),"Print Print - SEE")</f>
        <v>Print Print - SEE</v>
      </c>
    </row>
    <row r="7463">
      <c r="A7463" s="1" t="str">
        <f>IFERROR(__xludf.DUMMYFUNCTION("""COMPUTED_VALUE"""),"2025 Dec")</f>
        <v>2025 Dec</v>
      </c>
      <c r="B7463" s="2">
        <f>IFERROR(__xludf.DUMMYFUNCTION("""COMPUTED_VALUE"""),46013.0)</f>
        <v>46013</v>
      </c>
      <c r="C7463" s="1" t="str">
        <f>IFERROR(__xludf.DUMMYFUNCTION("""COMPUTED_VALUE"""),"Print Support")</f>
        <v>Print Support</v>
      </c>
      <c r="D7463" s="1" t="str">
        <f>IFERROR(__xludf.DUMMYFUNCTION("""COMPUTED_VALUE"""),"233133e3-a3d0-492d-bb55-8a7c4ffc4966")</f>
        <v>233133e3-a3d0-492d-bb55-8a7c4ffc4966</v>
      </c>
      <c r="E7463" s="1">
        <f>IFERROR(__xludf.DUMMYFUNCTION("""COMPUTED_VALUE"""),5.902016026895E12)</f>
        <v>5902016026895</v>
      </c>
      <c r="F7463" s="1"/>
      <c r="G7463" s="1"/>
      <c r="H7463" s="3">
        <f>IFERROR(__xludf.DUMMYFUNCTION("""COMPUTED_VALUE"""),0.0)</f>
        <v>0</v>
      </c>
      <c r="I7463" s="4"/>
      <c r="J7463" s="1" t="str">
        <f>IFERROR(__xludf.DUMMYFUNCTION("""COMPUTED_VALUE"""),"Althea Mercado")</f>
        <v>Althea Mercado</v>
      </c>
      <c r="K7463" s="1" t="str">
        <f>IFERROR(__xludf.DUMMYFUNCTION("""COMPUTED_VALUE"""),"Print Support PH")</f>
        <v>Print Support PH</v>
      </c>
      <c r="L7463" s="1" t="str">
        <f>IFERROR(__xludf.DUMMYFUNCTION("""COMPUTED_VALUE"""),"Print Print - CHT")</f>
        <v>Print Print - CHT</v>
      </c>
    </row>
    <row r="7464">
      <c r="A7464" s="1" t="str">
        <f>IFERROR(__xludf.DUMMYFUNCTION("""COMPUTED_VALUE"""),"2025 Dec")</f>
        <v>2025 Dec</v>
      </c>
      <c r="B7464" s="2">
        <f>IFERROR(__xludf.DUMMYFUNCTION("""COMPUTED_VALUE"""),46013.0)</f>
        <v>46013</v>
      </c>
      <c r="C7464" s="1" t="str">
        <f>IFERROR(__xludf.DUMMYFUNCTION("""COMPUTED_VALUE"""),"Print Support")</f>
        <v>Print Support</v>
      </c>
      <c r="D7464" s="1" t="str">
        <f>IFERROR(__xludf.DUMMYFUNCTION("""COMPUTED_VALUE"""),"0dc0eea0-be83-425b-9b40-b42bc444972b")</f>
        <v>0dc0eea0-be83-425b-9b40-b42bc444972b</v>
      </c>
      <c r="E7464" s="1"/>
      <c r="F7464" s="1"/>
      <c r="G7464" s="1"/>
      <c r="H7464" s="3">
        <f>IFERROR(__xludf.DUMMYFUNCTION("""COMPUTED_VALUE"""),0.0)</f>
        <v>0</v>
      </c>
      <c r="I7464" s="4"/>
      <c r="J7464" s="1" t="str">
        <f>IFERROR(__xludf.DUMMYFUNCTION("""COMPUTED_VALUE"""),"G-Anne Murillo")</f>
        <v>G-Anne Murillo</v>
      </c>
      <c r="K7464" s="1" t="str">
        <f>IFERROR(__xludf.DUMMYFUNCTION("""COMPUTED_VALUE"""),"Print Design Support")</f>
        <v>Print Design Support</v>
      </c>
      <c r="L7464" s="1" t="str">
        <f>IFERROR(__xludf.DUMMYFUNCTION("""COMPUTED_VALUE"""),"Print Print Design")</f>
        <v>Print Print Design</v>
      </c>
    </row>
    <row r="7465">
      <c r="A7465" s="1" t="str">
        <f>IFERROR(__xludf.DUMMYFUNCTION("""COMPUTED_VALUE"""),"2025 Dec")</f>
        <v>2025 Dec</v>
      </c>
      <c r="B7465" s="2">
        <f>IFERROR(__xludf.DUMMYFUNCTION("""COMPUTED_VALUE"""),46013.0)</f>
        <v>46013</v>
      </c>
      <c r="C7465" s="1" t="str">
        <f>IFERROR(__xludf.DUMMYFUNCTION("""COMPUTED_VALUE"""),"Print Support")</f>
        <v>Print Support</v>
      </c>
      <c r="D7465" s="1" t="str">
        <f>IFERROR(__xludf.DUMMYFUNCTION("""COMPUTED_VALUE"""),"9721fddb-68a3-4642-ad70-9c123debd6c5")</f>
        <v>9721fddb-68a3-4642-ad70-9c123debd6c5</v>
      </c>
      <c r="E7465" s="1">
        <f>IFERROR(__xludf.DUMMYFUNCTION("""COMPUTED_VALUE"""),5.202379069967E12)</f>
        <v>5202379069967</v>
      </c>
      <c r="F7465" s="1"/>
      <c r="G7465" s="1"/>
      <c r="H7465" s="3">
        <f>IFERROR(__xludf.DUMMYFUNCTION("""COMPUTED_VALUE"""),0.0)</f>
        <v>0</v>
      </c>
      <c r="I7465" s="4"/>
      <c r="J7465" s="1" t="str">
        <f>IFERROR(__xludf.DUMMYFUNCTION("""COMPUTED_VALUE"""),"Jen Momo")</f>
        <v>Jen Momo</v>
      </c>
      <c r="K7465" s="1" t="str">
        <f>IFERROR(__xludf.DUMMYFUNCTION("""COMPUTED_VALUE"""),"Print Support PH")</f>
        <v>Print Support PH</v>
      </c>
      <c r="L7465" s="1" t="str">
        <f>IFERROR(__xludf.DUMMYFUNCTION("""COMPUTED_VALUE"""),"Print Print - CHT")</f>
        <v>Print Print - CHT</v>
      </c>
    </row>
    <row r="7466">
      <c r="A7466" s="1" t="str">
        <f>IFERROR(__xludf.DUMMYFUNCTION("""COMPUTED_VALUE"""),"2025 Dec")</f>
        <v>2025 Dec</v>
      </c>
      <c r="B7466" s="2">
        <f>IFERROR(__xludf.DUMMYFUNCTION("""COMPUTED_VALUE"""),46013.0)</f>
        <v>46013</v>
      </c>
      <c r="C7466" s="1" t="str">
        <f>IFERROR(__xludf.DUMMYFUNCTION("""COMPUTED_VALUE"""),"Core Product Support")</f>
        <v>Core Product Support</v>
      </c>
      <c r="D7466" s="1" t="str">
        <f>IFERROR(__xludf.DUMMYFUNCTION("""COMPUTED_VALUE"""),"63913765-f42c-45e4-8f9a-eb96d52c2d61")</f>
        <v>63913765-f42c-45e4-8f9a-eb96d52c2d61</v>
      </c>
      <c r="E7466" s="1">
        <f>IFERROR(__xludf.DUMMYFUNCTION("""COMPUTED_VALUE"""),1.0333018822031E13)</f>
        <v>10333018822031</v>
      </c>
      <c r="F7466" s="1">
        <f>IFERROR(__xludf.DUMMYFUNCTION("""COMPUTED_VALUE"""),1.0)</f>
        <v>1</v>
      </c>
      <c r="G7466" s="1"/>
      <c r="H7466" s="3">
        <f>IFERROR(__xludf.DUMMYFUNCTION("""COMPUTED_VALUE"""),1.0)</f>
        <v>1</v>
      </c>
      <c r="I7466" s="4">
        <f>IFERROR(__xludf.DUMMYFUNCTION("""COMPUTED_VALUE"""),0.0)</f>
        <v>0</v>
      </c>
      <c r="J7466" s="1" t="str">
        <f>IFERROR(__xludf.DUMMYFUNCTION("""COMPUTED_VALUE"""),"Vinz Lazaro")</f>
        <v>Vinz Lazaro</v>
      </c>
      <c r="K7466" s="1" t="str">
        <f>IFERROR(__xludf.DUMMYFUNCTION("""COMPUTED_VALUE"""),"Advanced Product Support")</f>
        <v>Advanced Product Support</v>
      </c>
      <c r="L7466" s="1" t="str">
        <f>IFERROR(__xludf.DUMMYFUNCTION("""COMPUTED_VALUE"""),"CPS Advanced Product Support (APS)")</f>
        <v>CPS Advanced Product Support (APS)</v>
      </c>
    </row>
    <row r="7467">
      <c r="A7467" s="1" t="str">
        <f>IFERROR(__xludf.DUMMYFUNCTION("""COMPUTED_VALUE"""),"2025 Dec")</f>
        <v>2025 Dec</v>
      </c>
      <c r="B7467" s="2">
        <f>IFERROR(__xludf.DUMMYFUNCTION("""COMPUTED_VALUE"""),46013.0)</f>
        <v>46013</v>
      </c>
      <c r="C7467" s="1" t="str">
        <f>IFERROR(__xludf.DUMMYFUNCTION("""COMPUTED_VALUE"""),"Core Product Support")</f>
        <v>Core Product Support</v>
      </c>
      <c r="D7467" s="1" t="str">
        <f>IFERROR(__xludf.DUMMYFUNCTION("""COMPUTED_VALUE"""),"ab157f99-7ffd-4d9d-9c79-c3cf66911088")</f>
        <v>ab157f99-7ffd-4d9d-9c79-c3cf66911088</v>
      </c>
      <c r="E7467" s="1">
        <f>IFERROR(__xludf.DUMMYFUNCTION("""COMPUTED_VALUE"""),3.61731646775E11)</f>
        <v>361731646775</v>
      </c>
      <c r="F7467" s="1">
        <f>IFERROR(__xludf.DUMMYFUNCTION("""COMPUTED_VALUE"""),0.5)</f>
        <v>0.5</v>
      </c>
      <c r="G7467" s="1">
        <f>IFERROR(__xludf.DUMMYFUNCTION("""COMPUTED_VALUE"""),2.5)</f>
        <v>2.5</v>
      </c>
      <c r="H7467" s="3">
        <f>IFERROR(__xludf.DUMMYFUNCTION("""COMPUTED_VALUE"""),3.0)</f>
        <v>3</v>
      </c>
      <c r="I7467" s="4">
        <f>IFERROR(__xludf.DUMMYFUNCTION("""COMPUTED_VALUE"""),0.8333333333333334)</f>
        <v>0.8333333333</v>
      </c>
      <c r="J7467" s="1" t="str">
        <f>IFERROR(__xludf.DUMMYFUNCTION("""COMPUTED_VALUE"""),"Sieg Ballelos")</f>
        <v>Sieg Ballelos</v>
      </c>
      <c r="K7467" s="1" t="str">
        <f>IFERROR(__xludf.DUMMYFUNCTION("""COMPUTED_VALUE"""),"Core Product Support Escalation Team")</f>
        <v>Core Product Support Escalation Team</v>
      </c>
      <c r="L7467" s="1" t="str">
        <f>IFERROR(__xludf.DUMMYFUNCTION("""COMPUTED_VALUE"""),"CPS Core Product Support Escalations (CPSET)")</f>
        <v>CPS Core Product Support Escalations (CPSET)</v>
      </c>
    </row>
    <row r="7468">
      <c r="A7468" s="1" t="str">
        <f>IFERROR(__xludf.DUMMYFUNCTION("""COMPUTED_VALUE"""),"2025 Dec")</f>
        <v>2025 Dec</v>
      </c>
      <c r="B7468" s="2">
        <f>IFERROR(__xludf.DUMMYFUNCTION("""COMPUTED_VALUE"""),46013.0)</f>
        <v>46013</v>
      </c>
      <c r="C7468" s="1" t="str">
        <f>IFERROR(__xludf.DUMMYFUNCTION("""COMPUTED_VALUE"""),"Admin Support")</f>
        <v>Admin Support</v>
      </c>
      <c r="D7468" s="1" t="str">
        <f>IFERROR(__xludf.DUMMYFUNCTION("""COMPUTED_VALUE"""),"eb8376ed-4cf6-4826-b5fb-2b6844150189")</f>
        <v>eb8376ed-4cf6-4826-b5fb-2b6844150189</v>
      </c>
      <c r="E7468" s="1">
        <f>IFERROR(__xludf.DUMMYFUNCTION("""COMPUTED_VALUE"""),3.61731516535E11)</f>
        <v>361731516535</v>
      </c>
      <c r="F7468" s="1"/>
      <c r="G7468" s="1"/>
      <c r="H7468" s="3">
        <f>IFERROR(__xludf.DUMMYFUNCTION("""COMPUTED_VALUE"""),0.0)</f>
        <v>0</v>
      </c>
      <c r="I7468" s="4"/>
      <c r="J7468" s="1" t="str">
        <f>IFERROR(__xludf.DUMMYFUNCTION("""COMPUTED_VALUE"""),"Pau Palmero")</f>
        <v>Pau Palmero</v>
      </c>
      <c r="K7468" s="1" t="str">
        <f>IFERROR(__xludf.DUMMYFUNCTION("""COMPUTED_VALUE"""),"Admin Support PH CEDD")</f>
        <v>Admin Support PH CEDD</v>
      </c>
      <c r="L7468" s="1" t="str">
        <f>IFERROR(__xludf.DUMMYFUNCTION("""COMPUTED_VALUE"""),"Admin CEDD Apps,Admin CEDD Inbox Mgt")</f>
        <v>Admin CEDD Apps,Admin CEDD Inbox Mgt</v>
      </c>
    </row>
    <row r="7469">
      <c r="A7469" s="1" t="str">
        <f>IFERROR(__xludf.DUMMYFUNCTION("""COMPUTED_VALUE"""),"2025 Dec")</f>
        <v>2025 Dec</v>
      </c>
      <c r="B7469" s="2">
        <f>IFERROR(__xludf.DUMMYFUNCTION("""COMPUTED_VALUE"""),46013.0)</f>
        <v>46013</v>
      </c>
      <c r="C7469" s="1" t="str">
        <f>IFERROR(__xludf.DUMMYFUNCTION("""COMPUTED_VALUE"""),"Segment-specific Support")</f>
        <v>Segment-specific Support</v>
      </c>
      <c r="D7469" s="1" t="str">
        <f>IFERROR(__xludf.DUMMYFUNCTION("""COMPUTED_VALUE"""),"5f0cce5a-c29c-416c-a9e9-e7e3fa282c8a")</f>
        <v>5f0cce5a-c29c-416c-a9e9-e7e3fa282c8a</v>
      </c>
      <c r="E7469" s="1">
        <f>IFERROR(__xludf.DUMMYFUNCTION("""COMPUTED_VALUE"""),9.903289405711E12)</f>
        <v>9903289405711</v>
      </c>
      <c r="F7469" s="1">
        <f>IFERROR(__xludf.DUMMYFUNCTION("""COMPUTED_VALUE"""),0.5)</f>
        <v>0.5</v>
      </c>
      <c r="G7469" s="1"/>
      <c r="H7469" s="3">
        <f>IFERROR(__xludf.DUMMYFUNCTION("""COMPUTED_VALUE"""),0.5)</f>
        <v>0.5</v>
      </c>
      <c r="I7469" s="4">
        <f>IFERROR(__xludf.DUMMYFUNCTION("""COMPUTED_VALUE"""),0.0)</f>
        <v>0</v>
      </c>
      <c r="J7469" s="1" t="str">
        <f>IFERROR(__xludf.DUMMYFUNCTION("""COMPUTED_VALUE"""),"Jonathan Dimaculangan")</f>
        <v>Jonathan Dimaculangan</v>
      </c>
      <c r="K7469" s="1" t="str">
        <f>IFERROR(__xludf.DUMMYFUNCTION("""COMPUTED_VALUE"""),"Flourish Support")</f>
        <v>Flourish Support</v>
      </c>
      <c r="L7469" s="1" t="str">
        <f>IFERROR(__xludf.DUMMYFUNCTION("""COMPUTED_VALUE"""),"SSS Flourish")</f>
        <v>SSS Flourish</v>
      </c>
    </row>
    <row r="7470">
      <c r="A7470" s="1" t="str">
        <f>IFERROR(__xludf.DUMMYFUNCTION("""COMPUTED_VALUE"""),"2025 Dec")</f>
        <v>2025 Dec</v>
      </c>
      <c r="B7470" s="2">
        <f>IFERROR(__xludf.DUMMYFUNCTION("""COMPUTED_VALUE"""),46013.0)</f>
        <v>46013</v>
      </c>
      <c r="C7470" s="1" t="str">
        <f>IFERROR(__xludf.DUMMYFUNCTION("""COMPUTED_VALUE"""),"Core Product Support")</f>
        <v>Core Product Support</v>
      </c>
      <c r="D7470" s="1" t="str">
        <f>IFERROR(__xludf.DUMMYFUNCTION("""COMPUTED_VALUE"""),"618f1bf8-5458-45df-85f7-93c4f29332f8")</f>
        <v>618f1bf8-5458-45df-85f7-93c4f29332f8</v>
      </c>
      <c r="E7470" s="1">
        <f>IFERROR(__xludf.DUMMYFUNCTION("""COMPUTED_VALUE"""),3.61724667256E11)</f>
        <v>361724667256</v>
      </c>
      <c r="F7470" s="1">
        <f>IFERROR(__xludf.DUMMYFUNCTION("""COMPUTED_VALUE"""),0.5)</f>
        <v>0.5</v>
      </c>
      <c r="G7470" s="1">
        <f>IFERROR(__xludf.DUMMYFUNCTION("""COMPUTED_VALUE"""),2.5)</f>
        <v>2.5</v>
      </c>
      <c r="H7470" s="3">
        <f>IFERROR(__xludf.DUMMYFUNCTION("""COMPUTED_VALUE"""),3.0)</f>
        <v>3</v>
      </c>
      <c r="I7470" s="4">
        <f>IFERROR(__xludf.DUMMYFUNCTION("""COMPUTED_VALUE"""),0.8333333333333334)</f>
        <v>0.8333333333</v>
      </c>
      <c r="J7470" s="1" t="str">
        <f>IFERROR(__xludf.DUMMYFUNCTION("""COMPUTED_VALUE"""),"Ellaine Estayo")</f>
        <v>Ellaine Estayo</v>
      </c>
      <c r="K7470" s="1" t="str">
        <f>IFERROR(__xludf.DUMMYFUNCTION("""COMPUTED_VALUE"""),"Core Product Support Escalation Team")</f>
        <v>Core Product Support Escalation Team</v>
      </c>
      <c r="L7470" s="1" t="str">
        <f>IFERROR(__xludf.DUMMYFUNCTION("""COMPUTED_VALUE"""),"CPS Core Product Support Escalations (CPSET)")</f>
        <v>CPS Core Product Support Escalations (CPSET)</v>
      </c>
    </row>
    <row r="7471">
      <c r="A7471" s="1" t="str">
        <f>IFERROR(__xludf.DUMMYFUNCTION("""COMPUTED_VALUE"""),"2025 Dec")</f>
        <v>2025 Dec</v>
      </c>
      <c r="B7471" s="2">
        <f>IFERROR(__xludf.DUMMYFUNCTION("""COMPUTED_VALUE"""),46013.0)</f>
        <v>46013</v>
      </c>
      <c r="C7471" s="1" t="str">
        <f>IFERROR(__xludf.DUMMYFUNCTION("""COMPUTED_VALUE"""),"Print Support")</f>
        <v>Print Support</v>
      </c>
      <c r="D7471" s="1" t="str">
        <f>IFERROR(__xludf.DUMMYFUNCTION("""COMPUTED_VALUE"""),"9e452879-93e7-461c-b1a1-1bd079930eb2")</f>
        <v>9e452879-93e7-461c-b1a1-1bd079930eb2</v>
      </c>
      <c r="E7471" s="1">
        <f>IFERROR(__xludf.DUMMYFUNCTION("""COMPUTED_VALUE"""),1.0548609842831E13)</f>
        <v>10548609842831</v>
      </c>
      <c r="F7471" s="1"/>
      <c r="G7471" s="1"/>
      <c r="H7471" s="3">
        <f>IFERROR(__xludf.DUMMYFUNCTION("""COMPUTED_VALUE"""),0.0)</f>
        <v>0</v>
      </c>
      <c r="I7471" s="4"/>
      <c r="J7471" s="1" t="str">
        <f>IFERROR(__xludf.DUMMYFUNCTION("""COMPUTED_VALUE"""),"Rae Erlano")</f>
        <v>Rae Erlano</v>
      </c>
      <c r="K7471" s="1" t="str">
        <f>IFERROR(__xludf.DUMMYFUNCTION("""COMPUTED_VALUE"""),"Print Support PH")</f>
        <v>Print Support PH</v>
      </c>
      <c r="L7471" s="1" t="str">
        <f>IFERROR(__xludf.DUMMYFUNCTION("""COMPUTED_VALUE"""),"Print Print - CHT")</f>
        <v>Print Print - CHT</v>
      </c>
    </row>
    <row r="7472">
      <c r="A7472" s="1" t="str">
        <f>IFERROR(__xludf.DUMMYFUNCTION("""COMPUTED_VALUE"""),"2025 Dec")</f>
        <v>2025 Dec</v>
      </c>
      <c r="B7472" s="2">
        <f>IFERROR(__xludf.DUMMYFUNCTION("""COMPUTED_VALUE"""),46013.0)</f>
        <v>46013</v>
      </c>
      <c r="C7472" s="1" t="str">
        <f>IFERROR(__xludf.DUMMYFUNCTION("""COMPUTED_VALUE"""),"Core Product Support")</f>
        <v>Core Product Support</v>
      </c>
      <c r="D7472" s="1" t="str">
        <f>IFERROR(__xludf.DUMMYFUNCTION("""COMPUTED_VALUE"""),"2a3cbb81-c61e-4e7d-8a9e-ed241403cd4d")</f>
        <v>2a3cbb81-c61e-4e7d-8a9e-ed241403cd4d</v>
      </c>
      <c r="E7472" s="1">
        <f>IFERROR(__xludf.DUMMYFUNCTION("""COMPUTED_VALUE"""),1.0333033832463E13)</f>
        <v>10333033832463</v>
      </c>
      <c r="F7472" s="1">
        <f>IFERROR(__xludf.DUMMYFUNCTION("""COMPUTED_VALUE"""),0.5)</f>
        <v>0.5</v>
      </c>
      <c r="G7472" s="1"/>
      <c r="H7472" s="3">
        <f>IFERROR(__xludf.DUMMYFUNCTION("""COMPUTED_VALUE"""),0.5)</f>
        <v>0.5</v>
      </c>
      <c r="I7472" s="4">
        <f>IFERROR(__xludf.DUMMYFUNCTION("""COMPUTED_VALUE"""),0.0)</f>
        <v>0</v>
      </c>
      <c r="J7472" s="1" t="str">
        <f>IFERROR(__xludf.DUMMYFUNCTION("""COMPUTED_VALUE"""),"Marie Mordeno")</f>
        <v>Marie Mordeno</v>
      </c>
      <c r="K7472" s="1" t="str">
        <f>IFERROR(__xludf.DUMMYFUNCTION("""COMPUTED_VALUE"""),"Advanced Billing &amp; Subscriptions")</f>
        <v>Advanced Billing &amp; Subscriptions</v>
      </c>
      <c r="L7472" s="1" t="str">
        <f>IFERROR(__xludf.DUMMYFUNCTION("""COMPUTED_VALUE"""),"CPS Advanced Billing and Subscriptions (ABS)")</f>
        <v>CPS Advanced Billing and Subscriptions (ABS)</v>
      </c>
    </row>
    <row r="7473">
      <c r="A7473" s="1" t="str">
        <f>IFERROR(__xludf.DUMMYFUNCTION("""COMPUTED_VALUE"""),"2025 Dec")</f>
        <v>2025 Dec</v>
      </c>
      <c r="B7473" s="2">
        <f>IFERROR(__xludf.DUMMYFUNCTION("""COMPUTED_VALUE"""),46013.0)</f>
        <v>46013</v>
      </c>
      <c r="C7473" s="1" t="str">
        <f>IFERROR(__xludf.DUMMYFUNCTION("""COMPUTED_VALUE"""),"Print Support")</f>
        <v>Print Support</v>
      </c>
      <c r="D7473" s="1" t="str">
        <f>IFERROR(__xludf.DUMMYFUNCTION("""COMPUTED_VALUE"""),"b9ec9518-1035-4039-9e89-56312867ff3e")</f>
        <v>b9ec9518-1035-4039-9e89-56312867ff3e</v>
      </c>
      <c r="E7473" s="1">
        <f>IFERROR(__xludf.DUMMYFUNCTION("""COMPUTED_VALUE"""),1.0548609971215E13)</f>
        <v>10548609971215</v>
      </c>
      <c r="F7473" s="1"/>
      <c r="G7473" s="1"/>
      <c r="H7473" s="3">
        <f>IFERROR(__xludf.DUMMYFUNCTION("""COMPUTED_VALUE"""),0.0)</f>
        <v>0</v>
      </c>
      <c r="I7473" s="4"/>
      <c r="J7473" s="1" t="str">
        <f>IFERROR(__xludf.DUMMYFUNCTION("""COMPUTED_VALUE"""),"Ann Dumlao")</f>
        <v>Ann Dumlao</v>
      </c>
      <c r="K7473" s="1" t="str">
        <f>IFERROR(__xludf.DUMMYFUNCTION("""COMPUTED_VALUE"""),"Print Support PH")</f>
        <v>Print Support PH</v>
      </c>
      <c r="L7473" s="1" t="str">
        <f>IFERROR(__xludf.DUMMYFUNCTION("""COMPUTED_VALUE"""),"Print Print - CHT")</f>
        <v>Print Print - CHT</v>
      </c>
    </row>
    <row r="7474">
      <c r="A7474" s="1" t="str">
        <f>IFERROR(__xludf.DUMMYFUNCTION("""COMPUTED_VALUE"""),"2025 Dec")</f>
        <v>2025 Dec</v>
      </c>
      <c r="B7474" s="2">
        <f>IFERROR(__xludf.DUMMYFUNCTION("""COMPUTED_VALUE"""),46013.0)</f>
        <v>46013</v>
      </c>
      <c r="C7474" s="1" t="str">
        <f>IFERROR(__xludf.DUMMYFUNCTION("""COMPUTED_VALUE"""),"Core Product Support")</f>
        <v>Core Product Support</v>
      </c>
      <c r="D7474" s="1" t="str">
        <f>IFERROR(__xludf.DUMMYFUNCTION("""COMPUTED_VALUE"""),"b80ae9d0-5920-40ea-8338-5b197b10c2ea")</f>
        <v>b80ae9d0-5920-40ea-8338-5b197b10c2ea</v>
      </c>
      <c r="E7474" s="1">
        <f>IFERROR(__xludf.DUMMYFUNCTION("""COMPUTED_VALUE"""),3.61857411916E11)</f>
        <v>361857411916</v>
      </c>
      <c r="F7474" s="1">
        <f>IFERROR(__xludf.DUMMYFUNCTION("""COMPUTED_VALUE"""),0.5)</f>
        <v>0.5</v>
      </c>
      <c r="G7474" s="1"/>
      <c r="H7474" s="3">
        <f>IFERROR(__xludf.DUMMYFUNCTION("""COMPUTED_VALUE"""),0.5)</f>
        <v>0.5</v>
      </c>
      <c r="I7474" s="4">
        <f>IFERROR(__xludf.DUMMYFUNCTION("""COMPUTED_VALUE"""),0.0)</f>
        <v>0</v>
      </c>
      <c r="J7474" s="1" t="str">
        <f>IFERROR(__xludf.DUMMYFUNCTION("""COMPUTED_VALUE"""),"Vianca De Jesus")</f>
        <v>Vianca De Jesus</v>
      </c>
      <c r="K7474" s="1" t="str">
        <f>IFERROR(__xludf.DUMMYFUNCTION("""COMPUTED_VALUE"""),"Advanced Chat Support")</f>
        <v>Advanced Chat Support</v>
      </c>
      <c r="L7474" s="1" t="str">
        <f>IFERROR(__xludf.DUMMYFUNCTION("""COMPUTED_VALUE"""),"CPS Advanced Chat Support (ACS)")</f>
        <v>CPS Advanced Chat Support (ACS)</v>
      </c>
    </row>
    <row r="7475">
      <c r="A7475" s="1" t="str">
        <f>IFERROR(__xludf.DUMMYFUNCTION("""COMPUTED_VALUE"""),"2025 Dec")</f>
        <v>2025 Dec</v>
      </c>
      <c r="B7475" s="2">
        <f>IFERROR(__xludf.DUMMYFUNCTION("""COMPUTED_VALUE"""),46013.0)</f>
        <v>46013</v>
      </c>
      <c r="C7475" s="1" t="str">
        <f>IFERROR(__xludf.DUMMYFUNCTION("""COMPUTED_VALUE"""),"Print Support")</f>
        <v>Print Support</v>
      </c>
      <c r="D7475" s="1" t="str">
        <f>IFERROR(__xludf.DUMMYFUNCTION("""COMPUTED_VALUE"""),"96960398-b413-404a-acdf-c9c07c7a947d")</f>
        <v>96960398-b413-404a-acdf-c9c07c7a947d</v>
      </c>
      <c r="E7475" s="1">
        <f>IFERROR(__xludf.DUMMYFUNCTION("""COMPUTED_VALUE"""),3.61744077956E11)</f>
        <v>361744077956</v>
      </c>
      <c r="F7475" s="1">
        <f>IFERROR(__xludf.DUMMYFUNCTION("""COMPUTED_VALUE"""),2.0)</f>
        <v>2</v>
      </c>
      <c r="G7475" s="1"/>
      <c r="H7475" s="3">
        <f>IFERROR(__xludf.DUMMYFUNCTION("""COMPUTED_VALUE"""),2.0)</f>
        <v>2</v>
      </c>
      <c r="I7475" s="4">
        <f>IFERROR(__xludf.DUMMYFUNCTION("""COMPUTED_VALUE"""),0.0)</f>
        <v>0</v>
      </c>
      <c r="J7475" s="1" t="str">
        <f>IFERROR(__xludf.DUMMYFUNCTION("""COMPUTED_VALUE"""),"Rae Erlano")</f>
        <v>Rae Erlano</v>
      </c>
      <c r="K7475" s="1" t="str">
        <f>IFERROR(__xludf.DUMMYFUNCTION("""COMPUTED_VALUE"""),"Print Support PH")</f>
        <v>Print Support PH</v>
      </c>
      <c r="L7475" s="1" t="str">
        <f>IFERROR(__xludf.DUMMYFUNCTION("""COMPUTED_VALUE"""),"Print Print - SEE")</f>
        <v>Print Print - SEE</v>
      </c>
    </row>
    <row r="7476">
      <c r="A7476" s="1" t="str">
        <f>IFERROR(__xludf.DUMMYFUNCTION("""COMPUTED_VALUE"""),"2025 Dec")</f>
        <v>2025 Dec</v>
      </c>
      <c r="B7476" s="2">
        <f>IFERROR(__xludf.DUMMYFUNCTION("""COMPUTED_VALUE"""),46013.0)</f>
        <v>46013</v>
      </c>
      <c r="C7476" s="1" t="str">
        <f>IFERROR(__xludf.DUMMYFUNCTION("""COMPUTED_VALUE"""),"Print Support")</f>
        <v>Print Support</v>
      </c>
      <c r="D7476" s="1" t="str">
        <f>IFERROR(__xludf.DUMMYFUNCTION("""COMPUTED_VALUE"""),"b85e88a5-e05e-4b99-8314-1a4152e7f993")</f>
        <v>b85e88a5-e05e-4b99-8314-1a4152e7f993</v>
      </c>
      <c r="E7476" s="1"/>
      <c r="F7476" s="1"/>
      <c r="G7476" s="1"/>
      <c r="H7476" s="3">
        <f>IFERROR(__xludf.DUMMYFUNCTION("""COMPUTED_VALUE"""),0.0)</f>
        <v>0</v>
      </c>
      <c r="I7476" s="4"/>
      <c r="J7476" s="1" t="str">
        <f>IFERROR(__xludf.DUMMYFUNCTION("""COMPUTED_VALUE"""),"Rei De Jesus")</f>
        <v>Rei De Jesus</v>
      </c>
      <c r="K7476" s="1" t="str">
        <f>IFERROR(__xludf.DUMMYFUNCTION("""COMPUTED_VALUE"""),"Print Design Support")</f>
        <v>Print Design Support</v>
      </c>
      <c r="L7476" s="1" t="str">
        <f>IFERROR(__xludf.DUMMYFUNCTION("""COMPUTED_VALUE"""),"Print Print Design")</f>
        <v>Print Print Design</v>
      </c>
    </row>
    <row r="7477">
      <c r="A7477" s="1" t="str">
        <f>IFERROR(__xludf.DUMMYFUNCTION("""COMPUTED_VALUE"""),"2025 Dec")</f>
        <v>2025 Dec</v>
      </c>
      <c r="B7477" s="2">
        <f>IFERROR(__xludf.DUMMYFUNCTION("""COMPUTED_VALUE"""),46013.0)</f>
        <v>46013</v>
      </c>
      <c r="C7477" s="1" t="str">
        <f>IFERROR(__xludf.DUMMYFUNCTION("""COMPUTED_VALUE"""),"High Sensitivity Support")</f>
        <v>High Sensitivity Support</v>
      </c>
      <c r="D7477" s="1" t="str">
        <f>IFERROR(__xludf.DUMMYFUNCTION("""COMPUTED_VALUE"""),"f734e8ae-d81c-444b-8238-0989a571ddfc")</f>
        <v>f734e8ae-d81c-444b-8238-0989a571ddfc</v>
      </c>
      <c r="E7477" s="1">
        <f>IFERROR(__xludf.DUMMYFUNCTION("""COMPUTED_VALUE"""),1.0548626331023E13)</f>
        <v>10548626331023</v>
      </c>
      <c r="F7477" s="1">
        <f>IFERROR(__xludf.DUMMYFUNCTION("""COMPUTED_VALUE"""),4.0)</f>
        <v>4</v>
      </c>
      <c r="G7477" s="1"/>
      <c r="H7477" s="3">
        <f>IFERROR(__xludf.DUMMYFUNCTION("""COMPUTED_VALUE"""),4.0)</f>
        <v>4</v>
      </c>
      <c r="I7477" s="4">
        <f>IFERROR(__xludf.DUMMYFUNCTION("""COMPUTED_VALUE"""),0.0)</f>
        <v>0</v>
      </c>
      <c r="J7477" s="1" t="str">
        <f>IFERROR(__xludf.DUMMYFUNCTION("""COMPUTED_VALUE"""),"Xandy Azarcon")</f>
        <v>Xandy Azarcon</v>
      </c>
      <c r="K7477" s="1" t="str">
        <f>IFERROR(__xludf.DUMMYFUNCTION("""COMPUTED_VALUE"""),"High Sensitivity Support PH")</f>
        <v>High Sensitivity Support PH</v>
      </c>
      <c r="L7477" s="1" t="str">
        <f>IFERROR(__xludf.DUMMYFUNCTION("""COMPUTED_VALUE"""),"HSS High Sensitivity Support PH - CHT")</f>
        <v>HSS High Sensitivity Support PH - CHT</v>
      </c>
    </row>
    <row r="7478">
      <c r="A7478" s="1" t="str">
        <f>IFERROR(__xludf.DUMMYFUNCTION("""COMPUTED_VALUE"""),"2025 Dec")</f>
        <v>2025 Dec</v>
      </c>
      <c r="B7478" s="2">
        <f>IFERROR(__xludf.DUMMYFUNCTION("""COMPUTED_VALUE"""),46013.0)</f>
        <v>46013</v>
      </c>
      <c r="C7478" s="1" t="str">
        <f>IFERROR(__xludf.DUMMYFUNCTION("""COMPUTED_VALUE"""),"Admin Support")</f>
        <v>Admin Support</v>
      </c>
      <c r="D7478" s="1" t="str">
        <f>IFERROR(__xludf.DUMMYFUNCTION("""COMPUTED_VALUE"""),"325d8c4b-104e-45b5-8c24-46aee9a25b01")</f>
        <v>325d8c4b-104e-45b5-8c24-46aee9a25b01</v>
      </c>
      <c r="E7478" s="1">
        <f>IFERROR(__xludf.DUMMYFUNCTION("""COMPUTED_VALUE"""),9.582702695695E12)</f>
        <v>9582702695695</v>
      </c>
      <c r="F7478" s="1"/>
      <c r="G7478" s="1"/>
      <c r="H7478" s="3">
        <f>IFERROR(__xludf.DUMMYFUNCTION("""COMPUTED_VALUE"""),0.0)</f>
        <v>0</v>
      </c>
      <c r="I7478" s="4"/>
      <c r="J7478" s="1" t="str">
        <f>IFERROR(__xludf.DUMMYFUNCTION("""COMPUTED_VALUE"""),"Tash Kelly")</f>
        <v>Tash Kelly</v>
      </c>
      <c r="K7478" s="1" t="str">
        <f>IFERROR(__xludf.DUMMYFUNCTION("""COMPUTED_VALUE"""),"Admin Support NA")</f>
        <v>Admin Support NA</v>
      </c>
      <c r="L7478" s="1" t="str">
        <f>IFERROR(__xludf.DUMMYFUNCTION("""COMPUTED_VALUE"""),"Admin NA")</f>
        <v>Admin NA</v>
      </c>
    </row>
    <row r="7479">
      <c r="A7479" s="1" t="str">
        <f>IFERROR(__xludf.DUMMYFUNCTION("""COMPUTED_VALUE"""),"2025 Dec")</f>
        <v>2025 Dec</v>
      </c>
      <c r="B7479" s="2">
        <f>IFERROR(__xludf.DUMMYFUNCTION("""COMPUTED_VALUE"""),46013.0)</f>
        <v>46013</v>
      </c>
      <c r="C7479" s="1" t="str">
        <f>IFERROR(__xludf.DUMMYFUNCTION("""COMPUTED_VALUE"""),"High Sensitivity Support")</f>
        <v>High Sensitivity Support</v>
      </c>
      <c r="D7479" s="1" t="str">
        <f>IFERROR(__xludf.DUMMYFUNCTION("""COMPUTED_VALUE"""),"fb99a0f5-9812-4401-a668-2a1e7f339b55")</f>
        <v>fb99a0f5-9812-4401-a668-2a1e7f339b55</v>
      </c>
      <c r="E7479" s="1">
        <f>IFERROR(__xludf.DUMMYFUNCTION("""COMPUTED_VALUE"""),7.235417198991E12)</f>
        <v>7235417198991</v>
      </c>
      <c r="F7479" s="1">
        <f>IFERROR(__xludf.DUMMYFUNCTION("""COMPUTED_VALUE"""),4.0)</f>
        <v>4</v>
      </c>
      <c r="G7479" s="1"/>
      <c r="H7479" s="3">
        <f>IFERROR(__xludf.DUMMYFUNCTION("""COMPUTED_VALUE"""),4.0)</f>
        <v>4</v>
      </c>
      <c r="I7479" s="4">
        <f>IFERROR(__xludf.DUMMYFUNCTION("""COMPUTED_VALUE"""),0.0)</f>
        <v>0</v>
      </c>
      <c r="J7479" s="1" t="str">
        <f>IFERROR(__xludf.DUMMYFUNCTION("""COMPUTED_VALUE"""),"Rex Villamor")</f>
        <v>Rex Villamor</v>
      </c>
      <c r="K7479" s="1" t="str">
        <f>IFERROR(__xludf.DUMMYFUNCTION("""COMPUTED_VALUE"""),"High Sensitivity Support PH")</f>
        <v>High Sensitivity Support PH</v>
      </c>
      <c r="L7479" s="1" t="str">
        <f>IFERROR(__xludf.DUMMYFUNCTION("""COMPUTED_VALUE"""),"HSS High Sensitivity Support PH - CHT")</f>
        <v>HSS High Sensitivity Support PH - CHT</v>
      </c>
    </row>
    <row r="7480">
      <c r="A7480" s="1" t="str">
        <f>IFERROR(__xludf.DUMMYFUNCTION("""COMPUTED_VALUE"""),"2025 Dec")</f>
        <v>2025 Dec</v>
      </c>
      <c r="B7480" s="2">
        <f>IFERROR(__xludf.DUMMYFUNCTION("""COMPUTED_VALUE"""),46013.0)</f>
        <v>46013</v>
      </c>
      <c r="C7480" s="1" t="str">
        <f>IFERROR(__xludf.DUMMYFUNCTION("""COMPUTED_VALUE"""),"Core Product Support")</f>
        <v>Core Product Support</v>
      </c>
      <c r="D7480" s="1" t="str">
        <f>IFERROR(__xludf.DUMMYFUNCTION("""COMPUTED_VALUE"""),"04f92121-45c6-497f-b19a-2be8f0398769")</f>
        <v>04f92121-45c6-497f-b19a-2be8f0398769</v>
      </c>
      <c r="E7480" s="1">
        <f>IFERROR(__xludf.DUMMYFUNCTION("""COMPUTED_VALUE"""),3.61725261016E11)</f>
        <v>361725261016</v>
      </c>
      <c r="F7480" s="1">
        <f>IFERROR(__xludf.DUMMYFUNCTION("""COMPUTED_VALUE"""),0.5)</f>
        <v>0.5</v>
      </c>
      <c r="G7480" s="1">
        <f>IFERROR(__xludf.DUMMYFUNCTION("""COMPUTED_VALUE"""),2.5)</f>
        <v>2.5</v>
      </c>
      <c r="H7480" s="3">
        <f>IFERROR(__xludf.DUMMYFUNCTION("""COMPUTED_VALUE"""),3.0)</f>
        <v>3</v>
      </c>
      <c r="I7480" s="4">
        <f>IFERROR(__xludf.DUMMYFUNCTION("""COMPUTED_VALUE"""),0.8333333333333334)</f>
        <v>0.8333333333</v>
      </c>
      <c r="J7480" s="1" t="str">
        <f>IFERROR(__xludf.DUMMYFUNCTION("""COMPUTED_VALUE"""),"Bem Launte")</f>
        <v>Bem Launte</v>
      </c>
      <c r="K7480" s="1" t="str">
        <f>IFERROR(__xludf.DUMMYFUNCTION("""COMPUTED_VALUE"""),"Core Product Support Escalation Team")</f>
        <v>Core Product Support Escalation Team</v>
      </c>
      <c r="L7480" s="1" t="str">
        <f>IFERROR(__xludf.DUMMYFUNCTION("""COMPUTED_VALUE"""),"CPS Core Product Support Escalations (CPSET)")</f>
        <v>CPS Core Product Support Escalations (CPSET)</v>
      </c>
    </row>
    <row r="7481">
      <c r="A7481" s="1" t="str">
        <f>IFERROR(__xludf.DUMMYFUNCTION("""COMPUTED_VALUE"""),"2025 Dec")</f>
        <v>2025 Dec</v>
      </c>
      <c r="B7481" s="2">
        <f>IFERROR(__xludf.DUMMYFUNCTION("""COMPUTED_VALUE"""),46013.0)</f>
        <v>46013</v>
      </c>
      <c r="C7481" s="1" t="str">
        <f>IFERROR(__xludf.DUMMYFUNCTION("""COMPUTED_VALUE"""),"Print Support")</f>
        <v>Print Support</v>
      </c>
      <c r="D7481" s="1" t="str">
        <f>IFERROR(__xludf.DUMMYFUNCTION("""COMPUTED_VALUE"""),"afe991ce-72f0-4a1b-ae15-865b9a416d53")</f>
        <v>afe991ce-72f0-4a1b-ae15-865b9a416d53</v>
      </c>
      <c r="E7481" s="1">
        <f>IFERROR(__xludf.DUMMYFUNCTION("""COMPUTED_VALUE"""),3.61694632195E11)</f>
        <v>361694632195</v>
      </c>
      <c r="F7481" s="1">
        <f>IFERROR(__xludf.DUMMYFUNCTION("""COMPUTED_VALUE"""),2.0)</f>
        <v>2</v>
      </c>
      <c r="G7481" s="1"/>
      <c r="H7481" s="3">
        <f>IFERROR(__xludf.DUMMYFUNCTION("""COMPUTED_VALUE"""),2.0)</f>
        <v>2</v>
      </c>
      <c r="I7481" s="4">
        <f>IFERROR(__xludf.DUMMYFUNCTION("""COMPUTED_VALUE"""),0.0)</f>
        <v>0</v>
      </c>
      <c r="J7481" s="1" t="str">
        <f>IFERROR(__xludf.DUMMYFUNCTION("""COMPUTED_VALUE"""),"Memae Faustino")</f>
        <v>Memae Faustino</v>
      </c>
      <c r="K7481" s="1" t="str">
        <f>IFERROR(__xludf.DUMMYFUNCTION("""COMPUTED_VALUE"""),"Print Support PH")</f>
        <v>Print Support PH</v>
      </c>
      <c r="L7481" s="1" t="str">
        <f>IFERROR(__xludf.DUMMYFUNCTION("""COMPUTED_VALUE"""),"Print Print - SEE")</f>
        <v>Print Print - SEE</v>
      </c>
    </row>
    <row r="7482">
      <c r="A7482" s="1" t="str">
        <f>IFERROR(__xludf.DUMMYFUNCTION("""COMPUTED_VALUE"""),"2025 Dec")</f>
        <v>2025 Dec</v>
      </c>
      <c r="B7482" s="2">
        <f>IFERROR(__xludf.DUMMYFUNCTION("""COMPUTED_VALUE"""),46013.0)</f>
        <v>46013</v>
      </c>
      <c r="C7482" s="1" t="str">
        <f>IFERROR(__xludf.DUMMYFUNCTION("""COMPUTED_VALUE"""),"Print Support")</f>
        <v>Print Support</v>
      </c>
      <c r="D7482" s="1" t="str">
        <f>IFERROR(__xludf.DUMMYFUNCTION("""COMPUTED_VALUE"""),"b0701057-db2b-4208-bb14-e0c4e8b8f1ee")</f>
        <v>b0701057-db2b-4208-bb14-e0c4e8b8f1ee</v>
      </c>
      <c r="E7482" s="1"/>
      <c r="F7482" s="1"/>
      <c r="G7482" s="1"/>
      <c r="H7482" s="3">
        <f>IFERROR(__xludf.DUMMYFUNCTION("""COMPUTED_VALUE"""),0.0)</f>
        <v>0</v>
      </c>
      <c r="I7482" s="4"/>
      <c r="J7482" s="1" t="str">
        <f>IFERROR(__xludf.DUMMYFUNCTION("""COMPUTED_VALUE"""),"Aliza Dote")</f>
        <v>Aliza Dote</v>
      </c>
      <c r="K7482" s="1" t="str">
        <f>IFERROR(__xludf.DUMMYFUNCTION("""COMPUTED_VALUE"""),"Print Design Support")</f>
        <v>Print Design Support</v>
      </c>
      <c r="L7482" s="1" t="str">
        <f>IFERROR(__xludf.DUMMYFUNCTION("""COMPUTED_VALUE"""),"Print Print Design")</f>
        <v>Print Print Design</v>
      </c>
    </row>
    <row r="7483">
      <c r="A7483" s="1" t="str">
        <f>IFERROR(__xludf.DUMMYFUNCTION("""COMPUTED_VALUE"""),"2025 Dec")</f>
        <v>2025 Dec</v>
      </c>
      <c r="B7483" s="2">
        <f>IFERROR(__xludf.DUMMYFUNCTION("""COMPUTED_VALUE"""),46013.0)</f>
        <v>46013</v>
      </c>
      <c r="C7483" s="1" t="str">
        <f>IFERROR(__xludf.DUMMYFUNCTION("""COMPUTED_VALUE"""),"Core Product Support")</f>
        <v>Core Product Support</v>
      </c>
      <c r="D7483" s="1" t="str">
        <f>IFERROR(__xludf.DUMMYFUNCTION("""COMPUTED_VALUE"""),"e49eb420-7bd7-4503-a1d0-35028e015e43")</f>
        <v>e49eb420-7bd7-4503-a1d0-35028e015e43</v>
      </c>
      <c r="E7483" s="1">
        <f>IFERROR(__xludf.DUMMYFUNCTION("""COMPUTED_VALUE"""),5.047314693263E12)</f>
        <v>5047314693263</v>
      </c>
      <c r="F7483" s="1">
        <f>IFERROR(__xludf.DUMMYFUNCTION("""COMPUTED_VALUE"""),0.5)</f>
        <v>0.5</v>
      </c>
      <c r="G7483" s="1"/>
      <c r="H7483" s="3">
        <f>IFERROR(__xludf.DUMMYFUNCTION("""COMPUTED_VALUE"""),0.5)</f>
        <v>0.5</v>
      </c>
      <c r="I7483" s="4">
        <f>IFERROR(__xludf.DUMMYFUNCTION("""COMPUTED_VALUE"""),0.0)</f>
        <v>0</v>
      </c>
      <c r="J7483" s="1" t="str">
        <f>IFERROR(__xludf.DUMMYFUNCTION("""COMPUTED_VALUE"""),"Cate Velasco")</f>
        <v>Cate Velasco</v>
      </c>
      <c r="K7483" s="1" t="str">
        <f>IFERROR(__xludf.DUMMYFUNCTION("""COMPUTED_VALUE"""),"Advanced Product Support")</f>
        <v>Advanced Product Support</v>
      </c>
      <c r="L7483" s="1" t="str">
        <f>IFERROR(__xludf.DUMMYFUNCTION("""COMPUTED_VALUE"""),"CPS Advanced Product Support (APS)")</f>
        <v>CPS Advanced Product Support (APS)</v>
      </c>
    </row>
    <row r="7484">
      <c r="A7484" s="1" t="str">
        <f>IFERROR(__xludf.DUMMYFUNCTION("""COMPUTED_VALUE"""),"2025 Dec")</f>
        <v>2025 Dec</v>
      </c>
      <c r="B7484" s="2">
        <f>IFERROR(__xludf.DUMMYFUNCTION("""COMPUTED_VALUE"""),46013.0)</f>
        <v>46013</v>
      </c>
      <c r="C7484" s="1" t="str">
        <f>IFERROR(__xludf.DUMMYFUNCTION("""COMPUTED_VALUE"""),"Print Support")</f>
        <v>Print Support</v>
      </c>
      <c r="D7484" s="1" t="str">
        <f>IFERROR(__xludf.DUMMYFUNCTION("""COMPUTED_VALUE"""),"03a2ac9e-65a5-409e-851b-a4c93a003187")</f>
        <v>03a2ac9e-65a5-409e-851b-a4c93a003187</v>
      </c>
      <c r="E7484" s="1">
        <f>IFERROR(__xludf.DUMMYFUNCTION("""COMPUTED_VALUE"""),5.202378807439E12)</f>
        <v>5202378807439</v>
      </c>
      <c r="F7484" s="1"/>
      <c r="G7484" s="1"/>
      <c r="H7484" s="3">
        <f>IFERROR(__xludf.DUMMYFUNCTION("""COMPUTED_VALUE"""),0.0)</f>
        <v>0</v>
      </c>
      <c r="I7484" s="4"/>
      <c r="J7484" s="1" t="str">
        <f>IFERROR(__xludf.DUMMYFUNCTION("""COMPUTED_VALUE"""),"Louise Dianne Estrella")</f>
        <v>Louise Dianne Estrella</v>
      </c>
      <c r="K7484" s="1" t="str">
        <f>IFERROR(__xludf.DUMMYFUNCTION("""COMPUTED_VALUE"""),"Print Support PH")</f>
        <v>Print Support PH</v>
      </c>
      <c r="L7484" s="1" t="str">
        <f>IFERROR(__xludf.DUMMYFUNCTION("""COMPUTED_VALUE"""),"Print Print - CHT")</f>
        <v>Print Print - CHT</v>
      </c>
    </row>
    <row r="7485">
      <c r="A7485" s="1" t="str">
        <f>IFERROR(__xludf.DUMMYFUNCTION("""COMPUTED_VALUE"""),"2025 Dec")</f>
        <v>2025 Dec</v>
      </c>
      <c r="B7485" s="2">
        <f>IFERROR(__xludf.DUMMYFUNCTION("""COMPUTED_VALUE"""),46013.0)</f>
        <v>46013</v>
      </c>
      <c r="C7485" s="1" t="str">
        <f>IFERROR(__xludf.DUMMYFUNCTION("""COMPUTED_VALUE"""),"Print Support")</f>
        <v>Print Support</v>
      </c>
      <c r="D7485" s="1" t="str">
        <f>IFERROR(__xludf.DUMMYFUNCTION("""COMPUTED_VALUE"""),"f7d8f8dd-7764-471d-8254-300956d0e1c6")</f>
        <v>f7d8f8dd-7764-471d-8254-300956d0e1c6</v>
      </c>
      <c r="E7485" s="1">
        <f>IFERROR(__xludf.DUMMYFUNCTION("""COMPUTED_VALUE"""),3.61750003915E11)</f>
        <v>361750003915</v>
      </c>
      <c r="F7485" s="1"/>
      <c r="G7485" s="1"/>
      <c r="H7485" s="3">
        <f>IFERROR(__xludf.DUMMYFUNCTION("""COMPUTED_VALUE"""),0.0)</f>
        <v>0</v>
      </c>
      <c r="I7485" s="4"/>
      <c r="J7485" s="1" t="str">
        <f>IFERROR(__xludf.DUMMYFUNCTION("""COMPUTED_VALUE"""),"Ann Dumlao")</f>
        <v>Ann Dumlao</v>
      </c>
      <c r="K7485" s="1" t="str">
        <f>IFERROR(__xludf.DUMMYFUNCTION("""COMPUTED_VALUE"""),"Print Support PH")</f>
        <v>Print Support PH</v>
      </c>
      <c r="L7485" s="1" t="str">
        <f>IFERROR(__xludf.DUMMYFUNCTION("""COMPUTED_VALUE"""),"Print Print - CHT")</f>
        <v>Print Print - CHT</v>
      </c>
    </row>
    <row r="7486">
      <c r="A7486" s="1" t="str">
        <f>IFERROR(__xludf.DUMMYFUNCTION("""COMPUTED_VALUE"""),"2025 Dec")</f>
        <v>2025 Dec</v>
      </c>
      <c r="B7486" s="2">
        <f>IFERROR(__xludf.DUMMYFUNCTION("""COMPUTED_VALUE"""),46013.0)</f>
        <v>46013</v>
      </c>
      <c r="C7486" s="1" t="str">
        <f>IFERROR(__xludf.DUMMYFUNCTION("""COMPUTED_VALUE"""),"Core Product Support")</f>
        <v>Core Product Support</v>
      </c>
      <c r="D7486" s="1" t="str">
        <f>IFERROR(__xludf.DUMMYFUNCTION("""COMPUTED_VALUE"""),"1309ddc0-c081-4df4-b17d-ed2c31b14169")</f>
        <v>1309ddc0-c081-4df4-b17d-ed2c31b14169</v>
      </c>
      <c r="E7486" s="1">
        <f>IFERROR(__xludf.DUMMYFUNCTION("""COMPUTED_VALUE"""),3.61964324516E11)</f>
        <v>361964324516</v>
      </c>
      <c r="F7486" s="1">
        <f>IFERROR(__xludf.DUMMYFUNCTION("""COMPUTED_VALUE"""),0.5)</f>
        <v>0.5</v>
      </c>
      <c r="G7486" s="1"/>
      <c r="H7486" s="3">
        <f>IFERROR(__xludf.DUMMYFUNCTION("""COMPUTED_VALUE"""),0.5)</f>
        <v>0.5</v>
      </c>
      <c r="I7486" s="4">
        <f>IFERROR(__xludf.DUMMYFUNCTION("""COMPUTED_VALUE"""),0.0)</f>
        <v>0</v>
      </c>
      <c r="J7486" s="1" t="str">
        <f>IFERROR(__xludf.DUMMYFUNCTION("""COMPUTED_VALUE"""),"Ayza Marie Pascual")</f>
        <v>Ayza Marie Pascual</v>
      </c>
      <c r="K7486" s="1" t="str">
        <f>IFERROR(__xludf.DUMMYFUNCTION("""COMPUTED_VALUE"""),"Advanced Billing &amp; Subscriptions")</f>
        <v>Advanced Billing &amp; Subscriptions</v>
      </c>
      <c r="L7486" s="1" t="str">
        <f>IFERROR(__xludf.DUMMYFUNCTION("""COMPUTED_VALUE"""),"CPS Advanced Billing and Subscriptions (ABS)")</f>
        <v>CPS Advanced Billing and Subscriptions (ABS)</v>
      </c>
    </row>
    <row r="7487">
      <c r="A7487" s="1" t="str">
        <f>IFERROR(__xludf.DUMMYFUNCTION("""COMPUTED_VALUE"""),"2025 Dec")</f>
        <v>2025 Dec</v>
      </c>
      <c r="B7487" s="2">
        <f>IFERROR(__xludf.DUMMYFUNCTION("""COMPUTED_VALUE"""),46013.0)</f>
        <v>46013</v>
      </c>
      <c r="C7487" s="1" t="str">
        <f>IFERROR(__xludf.DUMMYFUNCTION("""COMPUTED_VALUE"""),"Admin Support")</f>
        <v>Admin Support</v>
      </c>
      <c r="D7487" s="1" t="str">
        <f>IFERROR(__xludf.DUMMYFUNCTION("""COMPUTED_VALUE"""),"7cdd4051-dd81-4e04-a905-67a7a6826826")</f>
        <v>7cdd4051-dd81-4e04-a905-67a7a6826826</v>
      </c>
      <c r="E7487" s="1">
        <f>IFERROR(__xludf.DUMMYFUNCTION("""COMPUTED_VALUE"""),9.795895003151E12)</f>
        <v>9795895003151</v>
      </c>
      <c r="F7487" s="1"/>
      <c r="G7487" s="1"/>
      <c r="H7487" s="3">
        <f>IFERROR(__xludf.DUMMYFUNCTION("""COMPUTED_VALUE"""),0.0)</f>
        <v>0</v>
      </c>
      <c r="I7487" s="4"/>
      <c r="J7487" s="1" t="str">
        <f>IFERROR(__xludf.DUMMYFUNCTION("""COMPUTED_VALUE"""),"Kelden Laguting")</f>
        <v>Kelden Laguting</v>
      </c>
      <c r="K7487" s="1" t="str">
        <f>IFERROR(__xludf.DUMMYFUNCTION("""COMPUTED_VALUE"""),"Admin Support PH")</f>
        <v>Admin Support PH</v>
      </c>
      <c r="L7487" s="1" t="str">
        <f>IFERROR(__xludf.DUMMYFUNCTION("""COMPUTED_VALUE"""),"Admin PH")</f>
        <v>Admin PH</v>
      </c>
    </row>
    <row r="7488">
      <c r="A7488" s="1" t="str">
        <f>IFERROR(__xludf.DUMMYFUNCTION("""COMPUTED_VALUE"""),"2025 Dec")</f>
        <v>2025 Dec</v>
      </c>
      <c r="B7488" s="2">
        <f>IFERROR(__xludf.DUMMYFUNCTION("""COMPUTED_VALUE"""),46013.0)</f>
        <v>46013</v>
      </c>
      <c r="C7488" s="1" t="str">
        <f>IFERROR(__xludf.DUMMYFUNCTION("""COMPUTED_VALUE"""),"Core Product Support")</f>
        <v>Core Product Support</v>
      </c>
      <c r="D7488" s="1" t="str">
        <f>IFERROR(__xludf.DUMMYFUNCTION("""COMPUTED_VALUE"""),"4829712e-df33-4828-83e5-b005d53d0ece")</f>
        <v>4829712e-df33-4828-83e5-b005d53d0ece</v>
      </c>
      <c r="E7488" s="1">
        <f>IFERROR(__xludf.DUMMYFUNCTION("""COMPUTED_VALUE"""),3.61861297795E11)</f>
        <v>361861297795</v>
      </c>
      <c r="F7488" s="1"/>
      <c r="G7488" s="1"/>
      <c r="H7488" s="3">
        <f>IFERROR(__xludf.DUMMYFUNCTION("""COMPUTED_VALUE"""),0.0)</f>
        <v>0</v>
      </c>
      <c r="I7488" s="4"/>
      <c r="J7488" s="1" t="str">
        <f>IFERROR(__xludf.DUMMYFUNCTION("""COMPUTED_VALUE"""),"Jahmie Mae Barrameda")</f>
        <v>Jahmie Mae Barrameda</v>
      </c>
      <c r="K7488" s="1" t="str">
        <f>IFERROR(__xludf.DUMMYFUNCTION("""COMPUTED_VALUE"""),"Advanced Billing &amp; Subscriptions")</f>
        <v>Advanced Billing &amp; Subscriptions</v>
      </c>
      <c r="L7488" s="1" t="str">
        <f>IFERROR(__xludf.DUMMYFUNCTION("""COMPUTED_VALUE"""),"CPS Advanced Billing and Subscriptions (ABS)")</f>
        <v>CPS Advanced Billing and Subscriptions (ABS)</v>
      </c>
    </row>
    <row r="7489">
      <c r="A7489" s="1" t="str">
        <f>IFERROR(__xludf.DUMMYFUNCTION("""COMPUTED_VALUE"""),"2025 Dec")</f>
        <v>2025 Dec</v>
      </c>
      <c r="B7489" s="2">
        <f>IFERROR(__xludf.DUMMYFUNCTION("""COMPUTED_VALUE"""),46013.0)</f>
        <v>46013</v>
      </c>
      <c r="C7489" s="1" t="str">
        <f>IFERROR(__xludf.DUMMYFUNCTION("""COMPUTED_VALUE"""),"Print Support")</f>
        <v>Print Support</v>
      </c>
      <c r="D7489" s="1" t="str">
        <f>IFERROR(__xludf.DUMMYFUNCTION("""COMPUTED_VALUE"""),"4bb09346-5fba-40f0-ac06-0b644e9a6f20")</f>
        <v>4bb09346-5fba-40f0-ac06-0b644e9a6f20</v>
      </c>
      <c r="E7489" s="1"/>
      <c r="F7489" s="1"/>
      <c r="G7489" s="1"/>
      <c r="H7489" s="3">
        <f>IFERROR(__xludf.DUMMYFUNCTION("""COMPUTED_VALUE"""),0.0)</f>
        <v>0</v>
      </c>
      <c r="I7489" s="4"/>
      <c r="J7489" s="1" t="str">
        <f>IFERROR(__xludf.DUMMYFUNCTION("""COMPUTED_VALUE"""),"G-Anne Murillo")</f>
        <v>G-Anne Murillo</v>
      </c>
      <c r="K7489" s="1" t="str">
        <f>IFERROR(__xludf.DUMMYFUNCTION("""COMPUTED_VALUE"""),"Print Design Support")</f>
        <v>Print Design Support</v>
      </c>
      <c r="L7489" s="1" t="str">
        <f>IFERROR(__xludf.DUMMYFUNCTION("""COMPUTED_VALUE"""),"Print Print Design")</f>
        <v>Print Print Design</v>
      </c>
    </row>
    <row r="7490">
      <c r="A7490" s="1" t="str">
        <f>IFERROR(__xludf.DUMMYFUNCTION("""COMPUTED_VALUE"""),"2025 Dec")</f>
        <v>2025 Dec</v>
      </c>
      <c r="B7490" s="2">
        <f>IFERROR(__xludf.DUMMYFUNCTION("""COMPUTED_VALUE"""),46013.0)</f>
        <v>46013</v>
      </c>
      <c r="C7490" s="1" t="str">
        <f>IFERROR(__xludf.DUMMYFUNCTION("""COMPUTED_VALUE"""),"Core Product Support")</f>
        <v>Core Product Support</v>
      </c>
      <c r="D7490" s="1" t="str">
        <f>IFERROR(__xludf.DUMMYFUNCTION("""COMPUTED_VALUE"""),"1eb2b14b-89e0-4d0c-8dba-b1677f4e689a")</f>
        <v>1eb2b14b-89e0-4d0c-8dba-b1677f4e689a</v>
      </c>
      <c r="E7490" s="1">
        <f>IFERROR(__xludf.DUMMYFUNCTION("""COMPUTED_VALUE"""),1.0548589296399E13)</f>
        <v>10548589296399</v>
      </c>
      <c r="F7490" s="1">
        <f>IFERROR(__xludf.DUMMYFUNCTION("""COMPUTED_VALUE"""),0.5)</f>
        <v>0.5</v>
      </c>
      <c r="G7490" s="1"/>
      <c r="H7490" s="3">
        <f>IFERROR(__xludf.DUMMYFUNCTION("""COMPUTED_VALUE"""),0.5)</f>
        <v>0.5</v>
      </c>
      <c r="I7490" s="4">
        <f>IFERROR(__xludf.DUMMYFUNCTION("""COMPUTED_VALUE"""),0.0)</f>
        <v>0</v>
      </c>
      <c r="J7490" s="1" t="str">
        <f>IFERROR(__xludf.DUMMYFUNCTION("""COMPUTED_VALUE"""),"Jahmie Mae Barrameda")</f>
        <v>Jahmie Mae Barrameda</v>
      </c>
      <c r="K7490" s="1" t="str">
        <f>IFERROR(__xludf.DUMMYFUNCTION("""COMPUTED_VALUE"""),"Advanced Billing &amp; Subscriptions")</f>
        <v>Advanced Billing &amp; Subscriptions</v>
      </c>
      <c r="L7490" s="1" t="str">
        <f>IFERROR(__xludf.DUMMYFUNCTION("""COMPUTED_VALUE"""),"CPS Advanced Billing and Subscriptions (ABS)")</f>
        <v>CPS Advanced Billing and Subscriptions (ABS)</v>
      </c>
    </row>
    <row r="7491">
      <c r="A7491" s="1" t="str">
        <f>IFERROR(__xludf.DUMMYFUNCTION("""COMPUTED_VALUE"""),"2025 Dec")</f>
        <v>2025 Dec</v>
      </c>
      <c r="B7491" s="2">
        <f>IFERROR(__xludf.DUMMYFUNCTION("""COMPUTED_VALUE"""),46013.0)</f>
        <v>46013</v>
      </c>
      <c r="C7491" s="1" t="str">
        <f>IFERROR(__xludf.DUMMYFUNCTION("""COMPUTED_VALUE"""),"Print Support")</f>
        <v>Print Support</v>
      </c>
      <c r="D7491" s="1" t="str">
        <f>IFERROR(__xludf.DUMMYFUNCTION("""COMPUTED_VALUE"""),"02cee4cb-14b3-4217-8b7d-887c2209a7df")</f>
        <v>02cee4cb-14b3-4217-8b7d-887c2209a7df</v>
      </c>
      <c r="E7491" s="1"/>
      <c r="F7491" s="1"/>
      <c r="G7491" s="1"/>
      <c r="H7491" s="3">
        <f>IFERROR(__xludf.DUMMYFUNCTION("""COMPUTED_VALUE"""),0.0)</f>
        <v>0</v>
      </c>
      <c r="I7491" s="4"/>
      <c r="J7491" s="1" t="str">
        <f>IFERROR(__xludf.DUMMYFUNCTION("""COMPUTED_VALUE"""),"Jan Domingo")</f>
        <v>Jan Domingo</v>
      </c>
      <c r="K7491" s="1" t="str">
        <f>IFERROR(__xludf.DUMMYFUNCTION("""COMPUTED_VALUE"""),"Print Design Support")</f>
        <v>Print Design Support</v>
      </c>
      <c r="L7491" s="1" t="str">
        <f>IFERROR(__xludf.DUMMYFUNCTION("""COMPUTED_VALUE"""),"Print Print Design")</f>
        <v>Print Print Design</v>
      </c>
    </row>
    <row r="7492">
      <c r="A7492" s="1" t="str">
        <f>IFERROR(__xludf.DUMMYFUNCTION("""COMPUTED_VALUE"""),"2025 Dec")</f>
        <v>2025 Dec</v>
      </c>
      <c r="B7492" s="2">
        <f>IFERROR(__xludf.DUMMYFUNCTION("""COMPUTED_VALUE"""),46013.0)</f>
        <v>46013</v>
      </c>
      <c r="C7492" s="1" t="str">
        <f>IFERROR(__xludf.DUMMYFUNCTION("""COMPUTED_VALUE"""),"Admin Support")</f>
        <v>Admin Support</v>
      </c>
      <c r="D7492" s="1" t="str">
        <f>IFERROR(__xludf.DUMMYFUNCTION("""COMPUTED_VALUE"""),"7b0ced0a-55fc-49e4-b47c-ffbf2567dce1")</f>
        <v>7b0ced0a-55fc-49e4-b47c-ffbf2567dce1</v>
      </c>
      <c r="E7492" s="1">
        <f>IFERROR(__xludf.DUMMYFUNCTION("""COMPUTED_VALUE"""),3.61725486916E11)</f>
        <v>361725486916</v>
      </c>
      <c r="F7492" s="1"/>
      <c r="G7492" s="1"/>
      <c r="H7492" s="3">
        <f>IFERROR(__xludf.DUMMYFUNCTION("""COMPUTED_VALUE"""),0.0)</f>
        <v>0</v>
      </c>
      <c r="I7492" s="4"/>
      <c r="J7492" s="1" t="str">
        <f>IFERROR(__xludf.DUMMYFUNCTION("""COMPUTED_VALUE"""),"Rose Gabilan")</f>
        <v>Rose Gabilan</v>
      </c>
      <c r="K7492" s="1" t="str">
        <f>IFERROR(__xludf.DUMMYFUNCTION("""COMPUTED_VALUE"""),"Admin Support PH SSO")</f>
        <v>Admin Support PH SSO</v>
      </c>
      <c r="L7492" s="1" t="str">
        <f>IFERROR(__xludf.DUMMYFUNCTION("""COMPUTED_VALUE"""),"Admin SSO - CHT")</f>
        <v>Admin SSO - CHT</v>
      </c>
    </row>
    <row r="7493">
      <c r="A7493" s="1" t="str">
        <f>IFERROR(__xludf.DUMMYFUNCTION("""COMPUTED_VALUE"""),"2025 Dec")</f>
        <v>2025 Dec</v>
      </c>
      <c r="B7493" s="2">
        <f>IFERROR(__xludf.DUMMYFUNCTION("""COMPUTED_VALUE"""),46013.0)</f>
        <v>46013</v>
      </c>
      <c r="C7493" s="1" t="str">
        <f>IFERROR(__xludf.DUMMYFUNCTION("""COMPUTED_VALUE"""),"Core Product Support")</f>
        <v>Core Product Support</v>
      </c>
      <c r="D7493" s="1" t="str">
        <f>IFERROR(__xludf.DUMMYFUNCTION("""COMPUTED_VALUE"""),"3d997536-cb7f-49c5-af3e-e19fdf30bffc")</f>
        <v>3d997536-cb7f-49c5-af3e-e19fdf30bffc</v>
      </c>
      <c r="E7493" s="1">
        <f>IFERROR(__xludf.DUMMYFUNCTION("""COMPUTED_VALUE"""),5.047288728079E12)</f>
        <v>5047288728079</v>
      </c>
      <c r="F7493" s="1">
        <f>IFERROR(__xludf.DUMMYFUNCTION("""COMPUTED_VALUE"""),0.5)</f>
        <v>0.5</v>
      </c>
      <c r="G7493" s="1">
        <f>IFERROR(__xludf.DUMMYFUNCTION("""COMPUTED_VALUE"""),2.5)</f>
        <v>2.5</v>
      </c>
      <c r="H7493" s="3">
        <f>IFERROR(__xludf.DUMMYFUNCTION("""COMPUTED_VALUE"""),3.0)</f>
        <v>3</v>
      </c>
      <c r="I7493" s="4">
        <f>IFERROR(__xludf.DUMMYFUNCTION("""COMPUTED_VALUE"""),0.8333333333333334)</f>
        <v>0.8333333333</v>
      </c>
      <c r="J7493" s="1" t="str">
        <f>IFERROR(__xludf.DUMMYFUNCTION("""COMPUTED_VALUE"""),"Ellaine Estayo")</f>
        <v>Ellaine Estayo</v>
      </c>
      <c r="K7493" s="1" t="str">
        <f>IFERROR(__xludf.DUMMYFUNCTION("""COMPUTED_VALUE"""),"Core Product Support Escalation Team")</f>
        <v>Core Product Support Escalation Team</v>
      </c>
      <c r="L7493" s="1" t="str">
        <f>IFERROR(__xludf.DUMMYFUNCTION("""COMPUTED_VALUE"""),"CPS Core Product Support Escalations (CPSET)")</f>
        <v>CPS Core Product Support Escalations (CPSET)</v>
      </c>
    </row>
    <row r="7494">
      <c r="A7494" s="1" t="str">
        <f>IFERROR(__xludf.DUMMYFUNCTION("""COMPUTED_VALUE"""),"2025 Dec")</f>
        <v>2025 Dec</v>
      </c>
      <c r="B7494" s="2">
        <f>IFERROR(__xludf.DUMMYFUNCTION("""COMPUTED_VALUE"""),46013.0)</f>
        <v>46013</v>
      </c>
      <c r="C7494" s="1" t="str">
        <f>IFERROR(__xludf.DUMMYFUNCTION("""COMPUTED_VALUE"""),"Admin Support")</f>
        <v>Admin Support</v>
      </c>
      <c r="D7494" s="1" t="str">
        <f>IFERROR(__xludf.DUMMYFUNCTION("""COMPUTED_VALUE"""),"c7dd845d-4621-4bea-affd-b79e038f7157")</f>
        <v>c7dd845d-4621-4bea-affd-b79e038f7157</v>
      </c>
      <c r="E7494" s="1">
        <f>IFERROR(__xludf.DUMMYFUNCTION("""COMPUTED_VALUE"""),3.61733077235E11)</f>
        <v>361733077235</v>
      </c>
      <c r="F7494" s="1"/>
      <c r="G7494" s="1"/>
      <c r="H7494" s="3">
        <f>IFERROR(__xludf.DUMMYFUNCTION("""COMPUTED_VALUE"""),0.0)</f>
        <v>0</v>
      </c>
      <c r="I7494" s="4"/>
      <c r="J7494" s="1" t="str">
        <f>IFERROR(__xludf.DUMMYFUNCTION("""COMPUTED_VALUE"""),"Kelden Laguting")</f>
        <v>Kelden Laguting</v>
      </c>
      <c r="K7494" s="1" t="str">
        <f>IFERROR(__xludf.DUMMYFUNCTION("""COMPUTED_VALUE"""),"Admin Support PH")</f>
        <v>Admin Support PH</v>
      </c>
      <c r="L7494" s="1" t="str">
        <f>IFERROR(__xludf.DUMMYFUNCTION("""COMPUTED_VALUE"""),"Admin PH")</f>
        <v>Admin PH</v>
      </c>
    </row>
    <row r="7495">
      <c r="A7495" s="1" t="str">
        <f>IFERROR(__xludf.DUMMYFUNCTION("""COMPUTED_VALUE"""),"2025 Dec")</f>
        <v>2025 Dec</v>
      </c>
      <c r="B7495" s="2">
        <f>IFERROR(__xludf.DUMMYFUNCTION("""COMPUTED_VALUE"""),46013.0)</f>
        <v>46013</v>
      </c>
      <c r="C7495" s="1" t="str">
        <f>IFERROR(__xludf.DUMMYFUNCTION("""COMPUTED_VALUE"""),"Print Support")</f>
        <v>Print Support</v>
      </c>
      <c r="D7495" s="1" t="str">
        <f>IFERROR(__xludf.DUMMYFUNCTION("""COMPUTED_VALUE"""),"2f47c76e-714d-4a76-a0f8-309c2f542347")</f>
        <v>2f47c76e-714d-4a76-a0f8-309c2f542347</v>
      </c>
      <c r="E7495" s="1">
        <f>IFERROR(__xludf.DUMMYFUNCTION("""COMPUTED_VALUE"""),9.795981813775E12)</f>
        <v>9795981813775</v>
      </c>
      <c r="F7495" s="1"/>
      <c r="G7495" s="1"/>
      <c r="H7495" s="3">
        <f>IFERROR(__xludf.DUMMYFUNCTION("""COMPUTED_VALUE"""),0.0)</f>
        <v>0</v>
      </c>
      <c r="I7495" s="4"/>
      <c r="J7495" s="1" t="str">
        <f>IFERROR(__xludf.DUMMYFUNCTION("""COMPUTED_VALUE"""),"Ann Dumlao")</f>
        <v>Ann Dumlao</v>
      </c>
      <c r="K7495" s="1" t="str">
        <f>IFERROR(__xludf.DUMMYFUNCTION("""COMPUTED_VALUE"""),"Print Support PH")</f>
        <v>Print Support PH</v>
      </c>
      <c r="L7495" s="1" t="str">
        <f>IFERROR(__xludf.DUMMYFUNCTION("""COMPUTED_VALUE"""),"Print Print - CHT")</f>
        <v>Print Print - CHT</v>
      </c>
    </row>
    <row r="7496">
      <c r="A7496" s="1" t="str">
        <f>IFERROR(__xludf.DUMMYFUNCTION("""COMPUTED_VALUE"""),"2025 Dec")</f>
        <v>2025 Dec</v>
      </c>
      <c r="B7496" s="2">
        <f>IFERROR(__xludf.DUMMYFUNCTION("""COMPUTED_VALUE"""),46013.0)</f>
        <v>46013</v>
      </c>
      <c r="C7496" s="1" t="str">
        <f>IFERROR(__xludf.DUMMYFUNCTION("""COMPUTED_VALUE"""),"Admin Support")</f>
        <v>Admin Support</v>
      </c>
      <c r="D7496" s="1" t="str">
        <f>IFERROR(__xludf.DUMMYFUNCTION("""COMPUTED_VALUE"""),"7e09e164-9198-4707-9738-44a04cc51b7c")</f>
        <v>7e09e164-9198-4707-9738-44a04cc51b7c</v>
      </c>
      <c r="E7496" s="1">
        <f>IFERROR(__xludf.DUMMYFUNCTION("""COMPUTED_VALUE"""),3.61724965056E11)</f>
        <v>361724965056</v>
      </c>
      <c r="F7496" s="1"/>
      <c r="G7496" s="1"/>
      <c r="H7496" s="3">
        <f>IFERROR(__xludf.DUMMYFUNCTION("""COMPUTED_VALUE"""),0.0)</f>
        <v>0</v>
      </c>
      <c r="I7496" s="4"/>
      <c r="J7496" s="1" t="str">
        <f>IFERROR(__xludf.DUMMYFUNCTION("""COMPUTED_VALUE"""),"Rose Gabilan")</f>
        <v>Rose Gabilan</v>
      </c>
      <c r="K7496" s="1" t="str">
        <f>IFERROR(__xludf.DUMMYFUNCTION("""COMPUTED_VALUE"""),"Admin Support PH SSO")</f>
        <v>Admin Support PH SSO</v>
      </c>
      <c r="L7496" s="1" t="str">
        <f>IFERROR(__xludf.DUMMYFUNCTION("""COMPUTED_VALUE"""),"Admin SSO - CHT")</f>
        <v>Admin SSO - CHT</v>
      </c>
    </row>
    <row r="7497">
      <c r="A7497" s="1" t="str">
        <f>IFERROR(__xludf.DUMMYFUNCTION("""COMPUTED_VALUE"""),"2025 Dec")</f>
        <v>2025 Dec</v>
      </c>
      <c r="B7497" s="2">
        <f>IFERROR(__xludf.DUMMYFUNCTION("""COMPUTED_VALUE"""),46013.0)</f>
        <v>46013</v>
      </c>
      <c r="C7497" s="1" t="str">
        <f>IFERROR(__xludf.DUMMYFUNCTION("""COMPUTED_VALUE"""),"Core Product Support")</f>
        <v>Core Product Support</v>
      </c>
      <c r="D7497" s="1" t="str">
        <f>IFERROR(__xludf.DUMMYFUNCTION("""COMPUTED_VALUE"""),"a75c3ed6-de83-40cb-ad3d-ac0eaa323ceb")</f>
        <v>a75c3ed6-de83-40cb-ad3d-ac0eaa323ceb</v>
      </c>
      <c r="E7497" s="1">
        <f>IFERROR(__xludf.DUMMYFUNCTION("""COMPUTED_VALUE"""),7.631065796495E12)</f>
        <v>7631065796495</v>
      </c>
      <c r="F7497" s="1">
        <f>IFERROR(__xludf.DUMMYFUNCTION("""COMPUTED_VALUE"""),0.5)</f>
        <v>0.5</v>
      </c>
      <c r="G7497" s="1"/>
      <c r="H7497" s="3">
        <f>IFERROR(__xludf.DUMMYFUNCTION("""COMPUTED_VALUE"""),0.5)</f>
        <v>0.5</v>
      </c>
      <c r="I7497" s="4">
        <f>IFERROR(__xludf.DUMMYFUNCTION("""COMPUTED_VALUE"""),0.0)</f>
        <v>0</v>
      </c>
      <c r="J7497" s="1" t="str">
        <f>IFERROR(__xludf.DUMMYFUNCTION("""COMPUTED_VALUE"""),"Marie Mordeno")</f>
        <v>Marie Mordeno</v>
      </c>
      <c r="K7497" s="1" t="str">
        <f>IFERROR(__xludf.DUMMYFUNCTION("""COMPUTED_VALUE"""),"Advanced Billing &amp; Subscriptions")</f>
        <v>Advanced Billing &amp; Subscriptions</v>
      </c>
      <c r="L7497" s="1" t="str">
        <f>IFERROR(__xludf.DUMMYFUNCTION("""COMPUTED_VALUE"""),"CPS Advanced Billing and Subscriptions (ABS)")</f>
        <v>CPS Advanced Billing and Subscriptions (ABS)</v>
      </c>
    </row>
    <row r="7498">
      <c r="A7498" s="1" t="str">
        <f>IFERROR(__xludf.DUMMYFUNCTION("""COMPUTED_VALUE"""),"2025 Dec")</f>
        <v>2025 Dec</v>
      </c>
      <c r="B7498" s="2">
        <f>IFERROR(__xludf.DUMMYFUNCTION("""COMPUTED_VALUE"""),46013.0)</f>
        <v>46013</v>
      </c>
      <c r="C7498" s="1" t="str">
        <f>IFERROR(__xludf.DUMMYFUNCTION("""COMPUTED_VALUE"""),"Print Support")</f>
        <v>Print Support</v>
      </c>
      <c r="D7498" s="1" t="str">
        <f>IFERROR(__xludf.DUMMYFUNCTION("""COMPUTED_VALUE"""),"5edc36fa-9df2-47e0-bbda-2c0b5a323efc")</f>
        <v>5edc36fa-9df2-47e0-bbda-2c0b5a323efc</v>
      </c>
      <c r="E7498" s="1"/>
      <c r="F7498" s="1"/>
      <c r="G7498" s="1"/>
      <c r="H7498" s="3">
        <f>IFERROR(__xludf.DUMMYFUNCTION("""COMPUTED_VALUE"""),0.0)</f>
        <v>0</v>
      </c>
      <c r="I7498" s="4"/>
      <c r="J7498" s="1" t="str">
        <f>IFERROR(__xludf.DUMMYFUNCTION("""COMPUTED_VALUE"""),"Gem Agoncillo")</f>
        <v>Gem Agoncillo</v>
      </c>
      <c r="K7498" s="1" t="str">
        <f>IFERROR(__xludf.DUMMYFUNCTION("""COMPUTED_VALUE"""),"Print Design Support")</f>
        <v>Print Design Support</v>
      </c>
      <c r="L7498" s="1" t="str">
        <f>IFERROR(__xludf.DUMMYFUNCTION("""COMPUTED_VALUE"""),"Print Print Design")</f>
        <v>Print Print Design</v>
      </c>
    </row>
    <row r="7499">
      <c r="A7499" s="1" t="str">
        <f>IFERROR(__xludf.DUMMYFUNCTION("""COMPUTED_VALUE"""),"2025 Dec")</f>
        <v>2025 Dec</v>
      </c>
      <c r="B7499" s="2">
        <f>IFERROR(__xludf.DUMMYFUNCTION("""COMPUTED_VALUE"""),46013.0)</f>
        <v>46013</v>
      </c>
      <c r="C7499" s="1" t="str">
        <f>IFERROR(__xludf.DUMMYFUNCTION("""COMPUTED_VALUE"""),"High Sensitivity Support")</f>
        <v>High Sensitivity Support</v>
      </c>
      <c r="D7499" s="1" t="str">
        <f>IFERROR(__xludf.DUMMYFUNCTION("""COMPUTED_VALUE"""),"19c32062-e149-4a3e-82ea-708be4d86c06")</f>
        <v>19c32062-e149-4a3e-82ea-708be4d86c06</v>
      </c>
      <c r="E7499" s="1">
        <f>IFERROR(__xludf.DUMMYFUNCTION("""COMPUTED_VALUE"""),8.904494969999E12)</f>
        <v>8904494969999</v>
      </c>
      <c r="F7499" s="1"/>
      <c r="G7499" s="1"/>
      <c r="H7499" s="3">
        <f>IFERROR(__xludf.DUMMYFUNCTION("""COMPUTED_VALUE"""),0.0)</f>
        <v>0</v>
      </c>
      <c r="I7499" s="4"/>
      <c r="J7499" s="1" t="str">
        <f>IFERROR(__xludf.DUMMYFUNCTION("""COMPUTED_VALUE"""),"Issi Afable")</f>
        <v>Issi Afable</v>
      </c>
      <c r="K7499" s="1" t="str">
        <f>IFERROR(__xludf.DUMMYFUNCTION("""COMPUTED_VALUE"""),"High Sensitivity Support PH")</f>
        <v>High Sensitivity Support PH</v>
      </c>
      <c r="L7499" s="1" t="str">
        <f>IFERROR(__xludf.DUMMYFUNCTION("""COMPUTED_VALUE"""),"HSS High Sensitivity Support PH - SEE")</f>
        <v>HSS High Sensitivity Support PH - SEE</v>
      </c>
    </row>
    <row r="7500">
      <c r="A7500" s="1" t="str">
        <f>IFERROR(__xludf.DUMMYFUNCTION("""COMPUTED_VALUE"""),"2025 Dec")</f>
        <v>2025 Dec</v>
      </c>
      <c r="B7500" s="2">
        <f>IFERROR(__xludf.DUMMYFUNCTION("""COMPUTED_VALUE"""),46013.0)</f>
        <v>46013</v>
      </c>
      <c r="C7500" s="1" t="str">
        <f>IFERROR(__xludf.DUMMYFUNCTION("""COMPUTED_VALUE"""),"Print Support")</f>
        <v>Print Support</v>
      </c>
      <c r="D7500" s="1" t="str">
        <f>IFERROR(__xludf.DUMMYFUNCTION("""COMPUTED_VALUE"""),"5efa61d3-4fd2-4d01-a492-e08cab6832f9")</f>
        <v>5efa61d3-4fd2-4d01-a492-e08cab6832f9</v>
      </c>
      <c r="E7500" s="1">
        <f>IFERROR(__xludf.DUMMYFUNCTION("""COMPUTED_VALUE"""),5.902015961999E12)</f>
        <v>5902015961999</v>
      </c>
      <c r="F7500" s="1"/>
      <c r="G7500" s="1"/>
      <c r="H7500" s="3">
        <f>IFERROR(__xludf.DUMMYFUNCTION("""COMPUTED_VALUE"""),0.0)</f>
        <v>0</v>
      </c>
      <c r="I7500" s="4"/>
      <c r="J7500" s="1" t="str">
        <f>IFERROR(__xludf.DUMMYFUNCTION("""COMPUTED_VALUE"""),"Jen Momo")</f>
        <v>Jen Momo</v>
      </c>
      <c r="K7500" s="1" t="str">
        <f>IFERROR(__xludf.DUMMYFUNCTION("""COMPUTED_VALUE"""),"Print Support PH")</f>
        <v>Print Support PH</v>
      </c>
      <c r="L7500" s="1" t="str">
        <f>IFERROR(__xludf.DUMMYFUNCTION("""COMPUTED_VALUE"""),"Print Print - CHT")</f>
        <v>Print Print - CHT</v>
      </c>
    </row>
    <row r="7501">
      <c r="A7501" s="1" t="str">
        <f>IFERROR(__xludf.DUMMYFUNCTION("""COMPUTED_VALUE"""),"2025 Dec")</f>
        <v>2025 Dec</v>
      </c>
      <c r="B7501" s="2">
        <f>IFERROR(__xludf.DUMMYFUNCTION("""COMPUTED_VALUE"""),46013.0)</f>
        <v>46013</v>
      </c>
      <c r="C7501" s="1" t="str">
        <f>IFERROR(__xludf.DUMMYFUNCTION("""COMPUTED_VALUE"""),"Core Product Support")</f>
        <v>Core Product Support</v>
      </c>
      <c r="D7501" s="1" t="str">
        <f>IFERROR(__xludf.DUMMYFUNCTION("""COMPUTED_VALUE"""),"1990c5cb-0154-48ce-9bac-f303f8b99ef1")</f>
        <v>1990c5cb-0154-48ce-9bac-f303f8b99ef1</v>
      </c>
      <c r="E7501" s="1">
        <f>IFERROR(__xludf.DUMMYFUNCTION("""COMPUTED_VALUE"""),1.0333018682383E13)</f>
        <v>10333018682383</v>
      </c>
      <c r="F7501" s="1">
        <f>IFERROR(__xludf.DUMMYFUNCTION("""COMPUTED_VALUE"""),0.5)</f>
        <v>0.5</v>
      </c>
      <c r="G7501" s="1"/>
      <c r="H7501" s="3">
        <f>IFERROR(__xludf.DUMMYFUNCTION("""COMPUTED_VALUE"""),0.5)</f>
        <v>0.5</v>
      </c>
      <c r="I7501" s="4">
        <f>IFERROR(__xludf.DUMMYFUNCTION("""COMPUTED_VALUE"""),0.0)</f>
        <v>0</v>
      </c>
      <c r="J7501" s="1" t="str">
        <f>IFERROR(__xludf.DUMMYFUNCTION("""COMPUTED_VALUE"""),"Cate Velasco")</f>
        <v>Cate Velasco</v>
      </c>
      <c r="K7501" s="1" t="str">
        <f>IFERROR(__xludf.DUMMYFUNCTION("""COMPUTED_VALUE"""),"Advanced Product Support")</f>
        <v>Advanced Product Support</v>
      </c>
      <c r="L7501" s="1" t="str">
        <f>IFERROR(__xludf.DUMMYFUNCTION("""COMPUTED_VALUE"""),"CPS Advanced Product Support (APS)")</f>
        <v>CPS Advanced Product Support (APS)</v>
      </c>
    </row>
    <row r="7502">
      <c r="A7502" s="1" t="str">
        <f>IFERROR(__xludf.DUMMYFUNCTION("""COMPUTED_VALUE"""),"2025 Dec")</f>
        <v>2025 Dec</v>
      </c>
      <c r="B7502" s="2">
        <f>IFERROR(__xludf.DUMMYFUNCTION("""COMPUTED_VALUE"""),46013.0)</f>
        <v>46013</v>
      </c>
      <c r="C7502" s="1" t="str">
        <f>IFERROR(__xludf.DUMMYFUNCTION("""COMPUTED_VALUE"""),"Core Product Support")</f>
        <v>Core Product Support</v>
      </c>
      <c r="D7502" s="1" t="str">
        <f>IFERROR(__xludf.DUMMYFUNCTION("""COMPUTED_VALUE"""),"1ee13beb-f5ac-4c80-bcfb-9f0dc190fe68")</f>
        <v>1ee13beb-f5ac-4c80-bcfb-9f0dc190fe68</v>
      </c>
      <c r="E7502" s="1">
        <f>IFERROR(__xludf.DUMMYFUNCTION("""COMPUTED_VALUE"""),3.61725115656E11)</f>
        <v>361725115656</v>
      </c>
      <c r="F7502" s="1">
        <f>IFERROR(__xludf.DUMMYFUNCTION("""COMPUTED_VALUE"""),0.5)</f>
        <v>0.5</v>
      </c>
      <c r="G7502" s="1">
        <f>IFERROR(__xludf.DUMMYFUNCTION("""COMPUTED_VALUE"""),2.5)</f>
        <v>2.5</v>
      </c>
      <c r="H7502" s="3">
        <f>IFERROR(__xludf.DUMMYFUNCTION("""COMPUTED_VALUE"""),3.0)</f>
        <v>3</v>
      </c>
      <c r="I7502" s="4">
        <f>IFERROR(__xludf.DUMMYFUNCTION("""COMPUTED_VALUE"""),0.8333333333333334)</f>
        <v>0.8333333333</v>
      </c>
      <c r="J7502" s="1" t="str">
        <f>IFERROR(__xludf.DUMMYFUNCTION("""COMPUTED_VALUE"""),"Ellaine Estayo")</f>
        <v>Ellaine Estayo</v>
      </c>
      <c r="K7502" s="1" t="str">
        <f>IFERROR(__xludf.DUMMYFUNCTION("""COMPUTED_VALUE"""),"Core Product Support Escalation Team")</f>
        <v>Core Product Support Escalation Team</v>
      </c>
      <c r="L7502" s="1" t="str">
        <f>IFERROR(__xludf.DUMMYFUNCTION("""COMPUTED_VALUE"""),"CPS Core Product Support Escalations (CPSET)")</f>
        <v>CPS Core Product Support Escalations (CPSET)</v>
      </c>
    </row>
    <row r="7503">
      <c r="A7503" s="1" t="str">
        <f>IFERROR(__xludf.DUMMYFUNCTION("""COMPUTED_VALUE"""),"2025 Dec")</f>
        <v>2025 Dec</v>
      </c>
      <c r="B7503" s="2">
        <f>IFERROR(__xludf.DUMMYFUNCTION("""COMPUTED_VALUE"""),46013.0)</f>
        <v>46013</v>
      </c>
      <c r="C7503" s="1" t="str">
        <f>IFERROR(__xludf.DUMMYFUNCTION("""COMPUTED_VALUE"""),"Core Product Support")</f>
        <v>Core Product Support</v>
      </c>
      <c r="D7503" s="1" t="str">
        <f>IFERROR(__xludf.DUMMYFUNCTION("""COMPUTED_VALUE"""),"d625e596-8198-45f9-94ea-d04d6f6a8b27")</f>
        <v>d625e596-8198-45f9-94ea-d04d6f6a8b27</v>
      </c>
      <c r="E7503" s="1">
        <f>IFERROR(__xludf.DUMMYFUNCTION("""COMPUTED_VALUE"""),1.0333049701519E13)</f>
        <v>10333049701519</v>
      </c>
      <c r="F7503" s="1"/>
      <c r="G7503" s="1"/>
      <c r="H7503" s="3">
        <f>IFERROR(__xludf.DUMMYFUNCTION("""COMPUTED_VALUE"""),0.0)</f>
        <v>0</v>
      </c>
      <c r="I7503" s="4"/>
      <c r="J7503" s="1" t="str">
        <f>IFERROR(__xludf.DUMMYFUNCTION("""COMPUTED_VALUE"""),"Jelyn Elmido")</f>
        <v>Jelyn Elmido</v>
      </c>
      <c r="K7503" s="1" t="str">
        <f>IFERROR(__xludf.DUMMYFUNCTION("""COMPUTED_VALUE"""),"Advanced Product Support")</f>
        <v>Advanced Product Support</v>
      </c>
      <c r="L7503" s="1" t="str">
        <f>IFERROR(__xludf.DUMMYFUNCTION("""COMPUTED_VALUE"""),"CPS Advanced Product Support (APS)")</f>
        <v>CPS Advanced Product Support (APS)</v>
      </c>
    </row>
    <row r="7504">
      <c r="A7504" s="1" t="str">
        <f>IFERROR(__xludf.DUMMYFUNCTION("""COMPUTED_VALUE"""),"2025 Dec")</f>
        <v>2025 Dec</v>
      </c>
      <c r="B7504" s="2">
        <f>IFERROR(__xludf.DUMMYFUNCTION("""COMPUTED_VALUE"""),46013.0)</f>
        <v>46013</v>
      </c>
      <c r="C7504" s="1" t="str">
        <f>IFERROR(__xludf.DUMMYFUNCTION("""COMPUTED_VALUE"""),"Segment-specific Support")</f>
        <v>Segment-specific Support</v>
      </c>
      <c r="D7504" s="1" t="str">
        <f>IFERROR(__xludf.DUMMYFUNCTION("""COMPUTED_VALUE"""),"c9fa58e5-ccb3-4c72-a2e7-5a6fc2210b69")</f>
        <v>c9fa58e5-ccb3-4c72-a2e7-5a6fc2210b69</v>
      </c>
      <c r="E7504" s="1">
        <f>IFERROR(__xludf.DUMMYFUNCTION("""COMPUTED_VALUE"""),1.1401981299343E13)</f>
        <v>11401981299343</v>
      </c>
      <c r="F7504" s="1"/>
      <c r="G7504" s="1"/>
      <c r="H7504" s="3">
        <f>IFERROR(__xludf.DUMMYFUNCTION("""COMPUTED_VALUE"""),0.0)</f>
        <v>0</v>
      </c>
      <c r="I7504" s="4"/>
      <c r="J7504" s="1" t="str">
        <f>IFERROR(__xludf.DUMMYFUNCTION("""COMPUTED_VALUE"""),"Aileen Dayanghirang")</f>
        <v>Aileen Dayanghirang</v>
      </c>
      <c r="K7504" s="1" t="str">
        <f>IFERROR(__xludf.DUMMYFUNCTION("""COMPUTED_VALUE"""),"Creators Support")</f>
        <v>Creators Support</v>
      </c>
      <c r="L7504" s="1" t="str">
        <f>IFERROR(__xludf.DUMMYFUNCTION("""COMPUTED_VALUE"""),"SSS Creators")</f>
        <v>SSS Creators</v>
      </c>
    </row>
    <row r="7505">
      <c r="A7505" s="1" t="str">
        <f>IFERROR(__xludf.DUMMYFUNCTION("""COMPUTED_VALUE"""),"2025 Dec")</f>
        <v>2025 Dec</v>
      </c>
      <c r="B7505" s="2">
        <f>IFERROR(__xludf.DUMMYFUNCTION("""COMPUTED_VALUE"""),46013.0)</f>
        <v>46013</v>
      </c>
      <c r="C7505" s="1" t="str">
        <f>IFERROR(__xludf.DUMMYFUNCTION("""COMPUTED_VALUE"""),"Admin Support")</f>
        <v>Admin Support</v>
      </c>
      <c r="D7505" s="1" t="str">
        <f>IFERROR(__xludf.DUMMYFUNCTION("""COMPUTED_VALUE"""),"6695b35c-7a53-4eb2-bcfc-9808f8e07dd8")</f>
        <v>6695b35c-7a53-4eb2-bcfc-9808f8e07dd8</v>
      </c>
      <c r="E7505" s="1">
        <f>IFERROR(__xludf.DUMMYFUNCTION("""COMPUTED_VALUE"""),3.61732164295E11)</f>
        <v>361732164295</v>
      </c>
      <c r="F7505" s="1"/>
      <c r="G7505" s="1"/>
      <c r="H7505" s="3">
        <f>IFERROR(__xludf.DUMMYFUNCTION("""COMPUTED_VALUE"""),0.0)</f>
        <v>0</v>
      </c>
      <c r="I7505" s="4"/>
      <c r="J7505" s="1" t="str">
        <f>IFERROR(__xludf.DUMMYFUNCTION("""COMPUTED_VALUE"""),"Kelden Laguting")</f>
        <v>Kelden Laguting</v>
      </c>
      <c r="K7505" s="1" t="str">
        <f>IFERROR(__xludf.DUMMYFUNCTION("""COMPUTED_VALUE"""),"Admin Support PH")</f>
        <v>Admin Support PH</v>
      </c>
      <c r="L7505" s="1" t="str">
        <f>IFERROR(__xludf.DUMMYFUNCTION("""COMPUTED_VALUE"""),"Admin PH")</f>
        <v>Admin PH</v>
      </c>
    </row>
    <row r="7506">
      <c r="A7506" s="1" t="str">
        <f>IFERROR(__xludf.DUMMYFUNCTION("""COMPUTED_VALUE"""),"2025 Dec")</f>
        <v>2025 Dec</v>
      </c>
      <c r="B7506" s="2">
        <f>IFERROR(__xludf.DUMMYFUNCTION("""COMPUTED_VALUE"""),46013.0)</f>
        <v>46013</v>
      </c>
      <c r="C7506" s="1" t="str">
        <f>IFERROR(__xludf.DUMMYFUNCTION("""COMPUTED_VALUE"""),"Core Product Support")</f>
        <v>Core Product Support</v>
      </c>
      <c r="D7506" s="1" t="str">
        <f>IFERROR(__xludf.DUMMYFUNCTION("""COMPUTED_VALUE"""),"a460fd1a-1ef6-4034-a4ca-14a4c4765f42")</f>
        <v>a460fd1a-1ef6-4034-a4ca-14a4c4765f42</v>
      </c>
      <c r="E7506" s="1">
        <f>IFERROR(__xludf.DUMMYFUNCTION("""COMPUTED_VALUE"""),9.107766464399E12)</f>
        <v>9107766464399</v>
      </c>
      <c r="F7506" s="1">
        <f>IFERROR(__xludf.DUMMYFUNCTION("""COMPUTED_VALUE"""),0.5)</f>
        <v>0.5</v>
      </c>
      <c r="G7506" s="1"/>
      <c r="H7506" s="3">
        <f>IFERROR(__xludf.DUMMYFUNCTION("""COMPUTED_VALUE"""),0.5)</f>
        <v>0.5</v>
      </c>
      <c r="I7506" s="4">
        <f>IFERROR(__xludf.DUMMYFUNCTION("""COMPUTED_VALUE"""),0.0)</f>
        <v>0</v>
      </c>
      <c r="J7506" s="1" t="str">
        <f>IFERROR(__xludf.DUMMYFUNCTION("""COMPUTED_VALUE"""),"Ana Lazaro")</f>
        <v>Ana Lazaro</v>
      </c>
      <c r="K7506" s="1" t="str">
        <f>IFERROR(__xludf.DUMMYFUNCTION("""COMPUTED_VALUE"""),"Advanced Billing &amp; Subscriptions")</f>
        <v>Advanced Billing &amp; Subscriptions</v>
      </c>
      <c r="L7506" s="1" t="str">
        <f>IFERROR(__xludf.DUMMYFUNCTION("""COMPUTED_VALUE"""),"CPS Advanced Billing and Subscriptions (ABS)")</f>
        <v>CPS Advanced Billing and Subscriptions (ABS)</v>
      </c>
    </row>
    <row r="7507">
      <c r="A7507" s="1" t="str">
        <f>IFERROR(__xludf.DUMMYFUNCTION("""COMPUTED_VALUE"""),"2025 Dec")</f>
        <v>2025 Dec</v>
      </c>
      <c r="B7507" s="2">
        <f>IFERROR(__xludf.DUMMYFUNCTION("""COMPUTED_VALUE"""),46013.0)</f>
        <v>46013</v>
      </c>
      <c r="C7507" s="1" t="str">
        <f>IFERROR(__xludf.DUMMYFUNCTION("""COMPUTED_VALUE"""),"Print Support")</f>
        <v>Print Support</v>
      </c>
      <c r="D7507" s="1" t="str">
        <f>IFERROR(__xludf.DUMMYFUNCTION("""COMPUTED_VALUE"""),"2ffdab50-ba8e-4ff1-a8d9-e609f47d6cbd")</f>
        <v>2ffdab50-ba8e-4ff1-a8d9-e609f47d6cbd</v>
      </c>
      <c r="E7507" s="1">
        <f>IFERROR(__xludf.DUMMYFUNCTION("""COMPUTED_VALUE"""),3.61731515115E11)</f>
        <v>361731515115</v>
      </c>
      <c r="F7507" s="1"/>
      <c r="G7507" s="1"/>
      <c r="H7507" s="3">
        <f>IFERROR(__xludf.DUMMYFUNCTION("""COMPUTED_VALUE"""),0.0)</f>
        <v>0</v>
      </c>
      <c r="I7507" s="4"/>
      <c r="J7507" s="1" t="str">
        <f>IFERROR(__xludf.DUMMYFUNCTION("""COMPUTED_VALUE"""),"Louise Dianne Estrella")</f>
        <v>Louise Dianne Estrella</v>
      </c>
      <c r="K7507" s="1" t="str">
        <f>IFERROR(__xludf.DUMMYFUNCTION("""COMPUTED_VALUE"""),"Print Support PH")</f>
        <v>Print Support PH</v>
      </c>
      <c r="L7507" s="1" t="str">
        <f>IFERROR(__xludf.DUMMYFUNCTION("""COMPUTED_VALUE"""),"Print Print - CHT")</f>
        <v>Print Print - CHT</v>
      </c>
    </row>
    <row r="7508">
      <c r="A7508" s="1" t="str">
        <f>IFERROR(__xludf.DUMMYFUNCTION("""COMPUTED_VALUE"""),"2025 Dec")</f>
        <v>2025 Dec</v>
      </c>
      <c r="B7508" s="2">
        <f>IFERROR(__xludf.DUMMYFUNCTION("""COMPUTED_VALUE"""),46013.0)</f>
        <v>46013</v>
      </c>
      <c r="C7508" s="1" t="str">
        <f>IFERROR(__xludf.DUMMYFUNCTION("""COMPUTED_VALUE"""),"Core Product Support")</f>
        <v>Core Product Support</v>
      </c>
      <c r="D7508" s="1" t="str">
        <f>IFERROR(__xludf.DUMMYFUNCTION("""COMPUTED_VALUE"""),"53c72618-3bf9-4bcf-adf4-39677fd20e1f")</f>
        <v>53c72618-3bf9-4bcf-adf4-39677fd20e1f</v>
      </c>
      <c r="E7508" s="1">
        <f>IFERROR(__xludf.DUMMYFUNCTION("""COMPUTED_VALUE"""),1.1035324543247E13)</f>
        <v>11035324543247</v>
      </c>
      <c r="F7508" s="1">
        <f>IFERROR(__xludf.DUMMYFUNCTION("""COMPUTED_VALUE"""),0.5)</f>
        <v>0.5</v>
      </c>
      <c r="G7508" s="1"/>
      <c r="H7508" s="3">
        <f>IFERROR(__xludf.DUMMYFUNCTION("""COMPUTED_VALUE"""),0.5)</f>
        <v>0.5</v>
      </c>
      <c r="I7508" s="4">
        <f>IFERROR(__xludf.DUMMYFUNCTION("""COMPUTED_VALUE"""),0.0)</f>
        <v>0</v>
      </c>
      <c r="J7508" s="1" t="str">
        <f>IFERROR(__xludf.DUMMYFUNCTION("""COMPUTED_VALUE"""),"Ayza Marie Pascual")</f>
        <v>Ayza Marie Pascual</v>
      </c>
      <c r="K7508" s="1" t="str">
        <f>IFERROR(__xludf.DUMMYFUNCTION("""COMPUTED_VALUE"""),"Advanced Billing &amp; Subscriptions")</f>
        <v>Advanced Billing &amp; Subscriptions</v>
      </c>
      <c r="L7508" s="1" t="str">
        <f>IFERROR(__xludf.DUMMYFUNCTION("""COMPUTED_VALUE"""),"CPS Advanced Billing and Subscriptions (ABS)")</f>
        <v>CPS Advanced Billing and Subscriptions (ABS)</v>
      </c>
    </row>
    <row r="7509">
      <c r="A7509" s="1" t="str">
        <f>IFERROR(__xludf.DUMMYFUNCTION("""COMPUTED_VALUE"""),"2025 Dec")</f>
        <v>2025 Dec</v>
      </c>
      <c r="B7509" s="2">
        <f>IFERROR(__xludf.DUMMYFUNCTION("""COMPUTED_VALUE"""),46013.0)</f>
        <v>46013</v>
      </c>
      <c r="C7509" s="1" t="str">
        <f>IFERROR(__xludf.DUMMYFUNCTION("""COMPUTED_VALUE"""),"Core Product Support")</f>
        <v>Core Product Support</v>
      </c>
      <c r="D7509" s="1" t="str">
        <f>IFERROR(__xludf.DUMMYFUNCTION("""COMPUTED_VALUE"""),"08e80e21-5eab-4b4f-bd2a-c3d833caa4fc")</f>
        <v>08e80e21-5eab-4b4f-bd2a-c3d833caa4fc</v>
      </c>
      <c r="E7509" s="1">
        <f>IFERROR(__xludf.DUMMYFUNCTION("""COMPUTED_VALUE"""),8.409877156495E12)</f>
        <v>8409877156495</v>
      </c>
      <c r="F7509" s="1">
        <f>IFERROR(__xludf.DUMMYFUNCTION("""COMPUTED_VALUE"""),0.5)</f>
        <v>0.5</v>
      </c>
      <c r="G7509" s="1"/>
      <c r="H7509" s="3">
        <f>IFERROR(__xludf.DUMMYFUNCTION("""COMPUTED_VALUE"""),0.5)</f>
        <v>0.5</v>
      </c>
      <c r="I7509" s="4">
        <f>IFERROR(__xludf.DUMMYFUNCTION("""COMPUTED_VALUE"""),0.0)</f>
        <v>0</v>
      </c>
      <c r="J7509" s="1" t="str">
        <f>IFERROR(__xludf.DUMMYFUNCTION("""COMPUTED_VALUE"""),"Jahmie Mae Barrameda")</f>
        <v>Jahmie Mae Barrameda</v>
      </c>
      <c r="K7509" s="1" t="str">
        <f>IFERROR(__xludf.DUMMYFUNCTION("""COMPUTED_VALUE"""),"Advanced Billing &amp; Subscriptions")</f>
        <v>Advanced Billing &amp; Subscriptions</v>
      </c>
      <c r="L7509" s="1" t="str">
        <f>IFERROR(__xludf.DUMMYFUNCTION("""COMPUTED_VALUE"""),"CPS Advanced Billing and Subscriptions (ABS)")</f>
        <v>CPS Advanced Billing and Subscriptions (ABS)</v>
      </c>
    </row>
    <row r="7510">
      <c r="A7510" s="1" t="str">
        <f>IFERROR(__xludf.DUMMYFUNCTION("""COMPUTED_VALUE"""),"2025 Dec")</f>
        <v>2025 Dec</v>
      </c>
      <c r="B7510" s="2">
        <f>IFERROR(__xludf.DUMMYFUNCTION("""COMPUTED_VALUE"""),46013.0)</f>
        <v>46013</v>
      </c>
      <c r="C7510" s="1" t="str">
        <f>IFERROR(__xludf.DUMMYFUNCTION("""COMPUTED_VALUE"""),"Core Product Support")</f>
        <v>Core Product Support</v>
      </c>
      <c r="D7510" s="1" t="str">
        <f>IFERROR(__xludf.DUMMYFUNCTION("""COMPUTED_VALUE"""),"41e73ce2-bda5-4412-b2d5-381b4a0a0fdd")</f>
        <v>41e73ce2-bda5-4412-b2d5-381b4a0a0fdd</v>
      </c>
      <c r="E7510" s="1">
        <f>IFERROR(__xludf.DUMMYFUNCTION("""COMPUTED_VALUE"""),3.61750008275E11)</f>
        <v>361750008275</v>
      </c>
      <c r="F7510" s="1">
        <f>IFERROR(__xludf.DUMMYFUNCTION("""COMPUTED_VALUE"""),0.5)</f>
        <v>0.5</v>
      </c>
      <c r="G7510" s="1">
        <f>IFERROR(__xludf.DUMMYFUNCTION("""COMPUTED_VALUE"""),2.5)</f>
        <v>2.5</v>
      </c>
      <c r="H7510" s="3">
        <f>IFERROR(__xludf.DUMMYFUNCTION("""COMPUTED_VALUE"""),3.0)</f>
        <v>3</v>
      </c>
      <c r="I7510" s="4">
        <f>IFERROR(__xludf.DUMMYFUNCTION("""COMPUTED_VALUE"""),0.8333333333333334)</f>
        <v>0.8333333333</v>
      </c>
      <c r="J7510" s="1" t="str">
        <f>IFERROR(__xludf.DUMMYFUNCTION("""COMPUTED_VALUE"""),"Bem Launte")</f>
        <v>Bem Launte</v>
      </c>
      <c r="K7510" s="1" t="str">
        <f>IFERROR(__xludf.DUMMYFUNCTION("""COMPUTED_VALUE"""),"Core Product Support Escalation Team")</f>
        <v>Core Product Support Escalation Team</v>
      </c>
      <c r="L7510" s="1" t="str">
        <f>IFERROR(__xludf.DUMMYFUNCTION("""COMPUTED_VALUE"""),"CPS Core Product Support Escalations (CPSET)")</f>
        <v>CPS Core Product Support Escalations (CPSET)</v>
      </c>
    </row>
    <row r="7511">
      <c r="A7511" s="1" t="str">
        <f>IFERROR(__xludf.DUMMYFUNCTION("""COMPUTED_VALUE"""),"2025 Dec")</f>
        <v>2025 Dec</v>
      </c>
      <c r="B7511" s="2">
        <f>IFERROR(__xludf.DUMMYFUNCTION("""COMPUTED_VALUE"""),46013.0)</f>
        <v>46013</v>
      </c>
      <c r="C7511" s="1" t="str">
        <f>IFERROR(__xludf.DUMMYFUNCTION("""COMPUTED_VALUE"""),"Print Support")</f>
        <v>Print Support</v>
      </c>
      <c r="D7511" s="1" t="str">
        <f>IFERROR(__xludf.DUMMYFUNCTION("""COMPUTED_VALUE"""),"a8e62322-b2dc-4c8a-842a-2a259dac6528")</f>
        <v>a8e62322-b2dc-4c8a-842a-2a259dac6528</v>
      </c>
      <c r="E7511" s="1">
        <f>IFERROR(__xludf.DUMMYFUNCTION("""COMPUTED_VALUE"""),9.285106592655E12)</f>
        <v>9285106592655</v>
      </c>
      <c r="F7511" s="1"/>
      <c r="G7511" s="1"/>
      <c r="H7511" s="3">
        <f>IFERROR(__xludf.DUMMYFUNCTION("""COMPUTED_VALUE"""),0.0)</f>
        <v>0</v>
      </c>
      <c r="I7511" s="4"/>
      <c r="J7511" s="1" t="str">
        <f>IFERROR(__xludf.DUMMYFUNCTION("""COMPUTED_VALUE"""),"Althea Mercado")</f>
        <v>Althea Mercado</v>
      </c>
      <c r="K7511" s="1" t="str">
        <f>IFERROR(__xludf.DUMMYFUNCTION("""COMPUTED_VALUE"""),"Print Support PH")</f>
        <v>Print Support PH</v>
      </c>
      <c r="L7511" s="1" t="str">
        <f>IFERROR(__xludf.DUMMYFUNCTION("""COMPUTED_VALUE"""),"Print Print - CHT")</f>
        <v>Print Print - CHT</v>
      </c>
    </row>
    <row r="7512">
      <c r="A7512" s="1" t="str">
        <f>IFERROR(__xludf.DUMMYFUNCTION("""COMPUTED_VALUE"""),"2025 Dec")</f>
        <v>2025 Dec</v>
      </c>
      <c r="B7512" s="2">
        <f>IFERROR(__xludf.DUMMYFUNCTION("""COMPUTED_VALUE"""),46013.0)</f>
        <v>46013</v>
      </c>
      <c r="C7512" s="1" t="str">
        <f>IFERROR(__xludf.DUMMYFUNCTION("""COMPUTED_VALUE"""),"Admin Support")</f>
        <v>Admin Support</v>
      </c>
      <c r="D7512" s="1" t="str">
        <f>IFERROR(__xludf.DUMMYFUNCTION("""COMPUTED_VALUE"""),"ab14ac10-6fdd-4acd-92a0-afc53948f957")</f>
        <v>ab14ac10-6fdd-4acd-92a0-afc53948f957</v>
      </c>
      <c r="E7512" s="1">
        <f>IFERROR(__xludf.DUMMYFUNCTION("""COMPUTED_VALUE"""),3.61731791675E11)</f>
        <v>361731791675</v>
      </c>
      <c r="F7512" s="1"/>
      <c r="G7512" s="1">
        <f>IFERROR(__xludf.DUMMYFUNCTION("""COMPUTED_VALUE"""),8.25)</f>
        <v>8.25</v>
      </c>
      <c r="H7512" s="3">
        <f>IFERROR(__xludf.DUMMYFUNCTION("""COMPUTED_VALUE"""),8.25)</f>
        <v>8.25</v>
      </c>
      <c r="I7512" s="4">
        <f>IFERROR(__xludf.DUMMYFUNCTION("""COMPUTED_VALUE"""),1.0)</f>
        <v>1</v>
      </c>
      <c r="J7512" s="1" t="str">
        <f>IFERROR(__xludf.DUMMYFUNCTION("""COMPUTED_VALUE"""),"Camille Alvarez")</f>
        <v>Camille Alvarez</v>
      </c>
      <c r="K7512" s="1" t="str">
        <f>IFERROR(__xludf.DUMMYFUNCTION("""COMPUTED_VALUE"""),"Admin Support PH SSO")</f>
        <v>Admin Support PH SSO</v>
      </c>
      <c r="L7512" s="1" t="str">
        <f>IFERROR(__xludf.DUMMYFUNCTION("""COMPUTED_VALUE"""),"Admin SSO - SEE")</f>
        <v>Admin SSO - SEE</v>
      </c>
    </row>
    <row r="7513">
      <c r="A7513" s="1" t="str">
        <f>IFERROR(__xludf.DUMMYFUNCTION("""COMPUTED_VALUE"""),"2025 Dec")</f>
        <v>2025 Dec</v>
      </c>
      <c r="B7513" s="2">
        <f>IFERROR(__xludf.DUMMYFUNCTION("""COMPUTED_VALUE"""),46013.0)</f>
        <v>46013</v>
      </c>
      <c r="C7513" s="1" t="str">
        <f>IFERROR(__xludf.DUMMYFUNCTION("""COMPUTED_VALUE"""),"Segment-specific Support")</f>
        <v>Segment-specific Support</v>
      </c>
      <c r="D7513" s="1" t="str">
        <f>IFERROR(__xludf.DUMMYFUNCTION("""COMPUTED_VALUE"""),"b3a312bb-80a6-4404-a83b-85b5d7be9789")</f>
        <v>b3a312bb-80a6-4404-a83b-85b5d7be9789</v>
      </c>
      <c r="E7513" s="1">
        <f>IFERROR(__xludf.DUMMYFUNCTION("""COMPUTED_VALUE"""),9.903274706831E12)</f>
        <v>9903274706831</v>
      </c>
      <c r="F7513" s="1">
        <f>IFERROR(__xludf.DUMMYFUNCTION("""COMPUTED_VALUE"""),0.5)</f>
        <v>0.5</v>
      </c>
      <c r="G7513" s="1"/>
      <c r="H7513" s="3">
        <f>IFERROR(__xludf.DUMMYFUNCTION("""COMPUTED_VALUE"""),0.5)</f>
        <v>0.5</v>
      </c>
      <c r="I7513" s="4">
        <f>IFERROR(__xludf.DUMMYFUNCTION("""COMPUTED_VALUE"""),0.0)</f>
        <v>0</v>
      </c>
      <c r="J7513" s="1" t="str">
        <f>IFERROR(__xludf.DUMMYFUNCTION("""COMPUTED_VALUE"""),"Jonathan Dimaculangan")</f>
        <v>Jonathan Dimaculangan</v>
      </c>
      <c r="K7513" s="1" t="str">
        <f>IFERROR(__xludf.DUMMYFUNCTION("""COMPUTED_VALUE"""),"Flourish Support")</f>
        <v>Flourish Support</v>
      </c>
      <c r="L7513" s="1" t="str">
        <f>IFERROR(__xludf.DUMMYFUNCTION("""COMPUTED_VALUE"""),"SSS Flourish")</f>
        <v>SSS Flourish</v>
      </c>
    </row>
    <row r="7514">
      <c r="A7514" s="1" t="str">
        <f>IFERROR(__xludf.DUMMYFUNCTION("""COMPUTED_VALUE"""),"2025 Dec")</f>
        <v>2025 Dec</v>
      </c>
      <c r="B7514" s="2">
        <f>IFERROR(__xludf.DUMMYFUNCTION("""COMPUTED_VALUE"""),46013.0)</f>
        <v>46013</v>
      </c>
      <c r="C7514" s="1" t="str">
        <f>IFERROR(__xludf.DUMMYFUNCTION("""COMPUTED_VALUE"""),"Core Product Support")</f>
        <v>Core Product Support</v>
      </c>
      <c r="D7514" s="1" t="str">
        <f>IFERROR(__xludf.DUMMYFUNCTION("""COMPUTED_VALUE"""),"c820bf34-a16a-4ab5-afca-78d6c71226e3")</f>
        <v>c820bf34-a16a-4ab5-afca-78d6c71226e3</v>
      </c>
      <c r="E7514" s="1">
        <f>IFERROR(__xludf.DUMMYFUNCTION("""COMPUTED_VALUE"""),3.61731943295E11)</f>
        <v>361731943295</v>
      </c>
      <c r="F7514" s="1">
        <f>IFERROR(__xludf.DUMMYFUNCTION("""COMPUTED_VALUE"""),0.5)</f>
        <v>0.5</v>
      </c>
      <c r="G7514" s="1">
        <f>IFERROR(__xludf.DUMMYFUNCTION("""COMPUTED_VALUE"""),1.5)</f>
        <v>1.5</v>
      </c>
      <c r="H7514" s="3">
        <f>IFERROR(__xludf.DUMMYFUNCTION("""COMPUTED_VALUE"""),2.0)</f>
        <v>2</v>
      </c>
      <c r="I7514" s="4">
        <f>IFERROR(__xludf.DUMMYFUNCTION("""COMPUTED_VALUE"""),0.75)</f>
        <v>0.75</v>
      </c>
      <c r="J7514" s="1" t="str">
        <f>IFERROR(__xludf.DUMMYFUNCTION("""COMPUTED_VALUE"""),"Bem Launte")</f>
        <v>Bem Launte</v>
      </c>
      <c r="K7514" s="1" t="str">
        <f>IFERROR(__xludf.DUMMYFUNCTION("""COMPUTED_VALUE"""),"Core Product Support Escalation Team")</f>
        <v>Core Product Support Escalation Team</v>
      </c>
      <c r="L7514" s="1" t="str">
        <f>IFERROR(__xludf.DUMMYFUNCTION("""COMPUTED_VALUE"""),"CPS Core Product Support Escalations (CPSET)")</f>
        <v>CPS Core Product Support Escalations (CPSET)</v>
      </c>
    </row>
    <row r="7515">
      <c r="A7515" s="1" t="str">
        <f>IFERROR(__xludf.DUMMYFUNCTION("""COMPUTED_VALUE"""),"2025 Dec")</f>
        <v>2025 Dec</v>
      </c>
      <c r="B7515" s="2">
        <f>IFERROR(__xludf.DUMMYFUNCTION("""COMPUTED_VALUE"""),46013.0)</f>
        <v>46013</v>
      </c>
      <c r="C7515" s="1" t="str">
        <f>IFERROR(__xludf.DUMMYFUNCTION("""COMPUTED_VALUE"""),"Multilingual Support")</f>
        <v>Multilingual Support</v>
      </c>
      <c r="D7515" s="1" t="str">
        <f>IFERROR(__xludf.DUMMYFUNCTION("""COMPUTED_VALUE"""),"283e2e77-f88a-4efa-b94d-fff3a66e663f")</f>
        <v>283e2e77-f88a-4efa-b94d-fff3a66e663f</v>
      </c>
      <c r="E7515" s="1">
        <f>IFERROR(__xludf.DUMMYFUNCTION("""COMPUTED_VALUE"""),3.61731791575E11)</f>
        <v>361731791575</v>
      </c>
      <c r="F7515" s="1"/>
      <c r="G7515" s="1"/>
      <c r="H7515" s="3">
        <f>IFERROR(__xludf.DUMMYFUNCTION("""COMPUTED_VALUE"""),0.0)</f>
        <v>0</v>
      </c>
      <c r="I7515" s="4"/>
      <c r="J7515" s="1" t="str">
        <f>IFERROR(__xludf.DUMMYFUNCTION("""COMPUTED_VALUE"""),"Arlene Maurillo")</f>
        <v>Arlene Maurillo</v>
      </c>
      <c r="K7515" s="1" t="str">
        <f>IFERROR(__xludf.DUMMYFUNCTION("""COMPUTED_VALUE"""),"PHL, Multilingual Support")</f>
        <v>PHL, Multilingual Support</v>
      </c>
      <c r="L7515" s="1" t="str">
        <f>IFERROR(__xludf.DUMMYFUNCTION("""COMPUTED_VALUE"""),"ML French Support")</f>
        <v>ML French Support</v>
      </c>
    </row>
    <row r="7516">
      <c r="A7516" s="1" t="str">
        <f>IFERROR(__xludf.DUMMYFUNCTION("""COMPUTED_VALUE"""),"2025 Dec")</f>
        <v>2025 Dec</v>
      </c>
      <c r="B7516" s="2">
        <f>IFERROR(__xludf.DUMMYFUNCTION("""COMPUTED_VALUE"""),46013.0)</f>
        <v>46013</v>
      </c>
      <c r="C7516" s="1" t="str">
        <f>IFERROR(__xludf.DUMMYFUNCTION("""COMPUTED_VALUE"""),"Print Support")</f>
        <v>Print Support</v>
      </c>
      <c r="D7516" s="1" t="str">
        <f>IFERROR(__xludf.DUMMYFUNCTION("""COMPUTED_VALUE"""),"759bff0c-8571-44a6-ac6a-7e74510a6a62")</f>
        <v>759bff0c-8571-44a6-ac6a-7e74510a6a62</v>
      </c>
      <c r="E7516" s="1">
        <f>IFERROR(__xludf.DUMMYFUNCTION("""COMPUTED_VALUE"""),6.839686960271E12)</f>
        <v>6839686960271</v>
      </c>
      <c r="F7516" s="1"/>
      <c r="G7516" s="1"/>
      <c r="H7516" s="3">
        <f>IFERROR(__xludf.DUMMYFUNCTION("""COMPUTED_VALUE"""),0.0)</f>
        <v>0</v>
      </c>
      <c r="I7516" s="4"/>
      <c r="J7516" s="1" t="str">
        <f>IFERROR(__xludf.DUMMYFUNCTION("""COMPUTED_VALUE"""),"Althea Mercado")</f>
        <v>Althea Mercado</v>
      </c>
      <c r="K7516" s="1" t="str">
        <f>IFERROR(__xludf.DUMMYFUNCTION("""COMPUTED_VALUE"""),"Print Support PH")</f>
        <v>Print Support PH</v>
      </c>
      <c r="L7516" s="1" t="str">
        <f>IFERROR(__xludf.DUMMYFUNCTION("""COMPUTED_VALUE"""),"Print Print - CHT")</f>
        <v>Print Print - CHT</v>
      </c>
    </row>
    <row r="7517">
      <c r="A7517" s="1" t="str">
        <f>IFERROR(__xludf.DUMMYFUNCTION("""COMPUTED_VALUE"""),"2025 Dec")</f>
        <v>2025 Dec</v>
      </c>
      <c r="B7517" s="2">
        <f>IFERROR(__xludf.DUMMYFUNCTION("""COMPUTED_VALUE"""),46013.0)</f>
        <v>46013</v>
      </c>
      <c r="C7517" s="1" t="str">
        <f>IFERROR(__xludf.DUMMYFUNCTION("""COMPUTED_VALUE"""),"Print Support")</f>
        <v>Print Support</v>
      </c>
      <c r="D7517" s="1" t="str">
        <f>IFERROR(__xludf.DUMMYFUNCTION("""COMPUTED_VALUE"""),"435dbe60-cec1-4cb2-b1d3-b030b9d41646")</f>
        <v>435dbe60-cec1-4cb2-b1d3-b030b9d41646</v>
      </c>
      <c r="E7517" s="1">
        <f>IFERROR(__xludf.DUMMYFUNCTION("""COMPUTED_VALUE"""),3.61724666876E11)</f>
        <v>361724666876</v>
      </c>
      <c r="F7517" s="1">
        <f>IFERROR(__xludf.DUMMYFUNCTION("""COMPUTED_VALUE"""),2.0)</f>
        <v>2</v>
      </c>
      <c r="G7517" s="1"/>
      <c r="H7517" s="3">
        <f>IFERROR(__xludf.DUMMYFUNCTION("""COMPUTED_VALUE"""),2.0)</f>
        <v>2</v>
      </c>
      <c r="I7517" s="4">
        <f>IFERROR(__xludf.DUMMYFUNCTION("""COMPUTED_VALUE"""),0.0)</f>
        <v>0</v>
      </c>
      <c r="J7517" s="1" t="str">
        <f>IFERROR(__xludf.DUMMYFUNCTION("""COMPUTED_VALUE"""),"Rae Erlano")</f>
        <v>Rae Erlano</v>
      </c>
      <c r="K7517" s="1" t="str">
        <f>IFERROR(__xludf.DUMMYFUNCTION("""COMPUTED_VALUE"""),"Print Support PH")</f>
        <v>Print Support PH</v>
      </c>
      <c r="L7517" s="1" t="str">
        <f>IFERROR(__xludf.DUMMYFUNCTION("""COMPUTED_VALUE"""),"Print Print - SEE")</f>
        <v>Print Print - SEE</v>
      </c>
    </row>
    <row r="7518">
      <c r="A7518" s="1" t="str">
        <f>IFERROR(__xludf.DUMMYFUNCTION("""COMPUTED_VALUE"""),"2025 Dec")</f>
        <v>2025 Dec</v>
      </c>
      <c r="B7518" s="2">
        <f>IFERROR(__xludf.DUMMYFUNCTION("""COMPUTED_VALUE"""),46013.0)</f>
        <v>46013</v>
      </c>
      <c r="C7518" s="1" t="str">
        <f>IFERROR(__xludf.DUMMYFUNCTION("""COMPUTED_VALUE"""),"Core Product Support")</f>
        <v>Core Product Support</v>
      </c>
      <c r="D7518" s="1" t="str">
        <f>IFERROR(__xludf.DUMMYFUNCTION("""COMPUTED_VALUE"""),"d49e1c15-2cd1-4e35-9b3a-8acda7c42425")</f>
        <v>d49e1c15-2cd1-4e35-9b3a-8acda7c42425</v>
      </c>
      <c r="E7518" s="1">
        <f>IFERROR(__xludf.DUMMYFUNCTION("""COMPUTED_VALUE"""),1.1401961091343E13)</f>
        <v>11401961091343</v>
      </c>
      <c r="F7518" s="1">
        <f>IFERROR(__xludf.DUMMYFUNCTION("""COMPUTED_VALUE"""),0.5)</f>
        <v>0.5</v>
      </c>
      <c r="G7518" s="1"/>
      <c r="H7518" s="3">
        <f>IFERROR(__xludf.DUMMYFUNCTION("""COMPUTED_VALUE"""),0.5)</f>
        <v>0.5</v>
      </c>
      <c r="I7518" s="4">
        <f>IFERROR(__xludf.DUMMYFUNCTION("""COMPUTED_VALUE"""),0.0)</f>
        <v>0</v>
      </c>
      <c r="J7518" s="1" t="str">
        <f>IFERROR(__xludf.DUMMYFUNCTION("""COMPUTED_VALUE"""),"Cate Velasco")</f>
        <v>Cate Velasco</v>
      </c>
      <c r="K7518" s="1" t="str">
        <f>IFERROR(__xludf.DUMMYFUNCTION("""COMPUTED_VALUE"""),"Advanced Product Support")</f>
        <v>Advanced Product Support</v>
      </c>
      <c r="L7518" s="1" t="str">
        <f>IFERROR(__xludf.DUMMYFUNCTION("""COMPUTED_VALUE"""),"CPS Advanced Product Support (APS)")</f>
        <v>CPS Advanced Product Support (APS)</v>
      </c>
    </row>
    <row r="7519">
      <c r="A7519" s="1" t="str">
        <f>IFERROR(__xludf.DUMMYFUNCTION("""COMPUTED_VALUE"""),"2025 Dec")</f>
        <v>2025 Dec</v>
      </c>
      <c r="B7519" s="2">
        <f>IFERROR(__xludf.DUMMYFUNCTION("""COMPUTED_VALUE"""),46013.0)</f>
        <v>46013</v>
      </c>
      <c r="C7519" s="1" t="str">
        <f>IFERROR(__xludf.DUMMYFUNCTION("""COMPUTED_VALUE"""),"Segment-specific Support")</f>
        <v>Segment-specific Support</v>
      </c>
      <c r="D7519" s="1" t="str">
        <f>IFERROR(__xludf.DUMMYFUNCTION("""COMPUTED_VALUE"""),"273af0e8-ae9e-4171-b68c-6f2448bbd29f")</f>
        <v>273af0e8-ae9e-4171-b68c-6f2448bbd29f</v>
      </c>
      <c r="E7519" s="1">
        <f>IFERROR(__xludf.DUMMYFUNCTION("""COMPUTED_VALUE"""),1.1401981037583E13)</f>
        <v>11401981037583</v>
      </c>
      <c r="F7519" s="1"/>
      <c r="G7519" s="1"/>
      <c r="H7519" s="3">
        <f>IFERROR(__xludf.DUMMYFUNCTION("""COMPUTED_VALUE"""),0.0)</f>
        <v>0</v>
      </c>
      <c r="I7519" s="4"/>
      <c r="J7519" s="1" t="str">
        <f>IFERROR(__xludf.DUMMYFUNCTION("""COMPUTED_VALUE"""),"Aileen Dayanghirang")</f>
        <v>Aileen Dayanghirang</v>
      </c>
      <c r="K7519" s="1" t="str">
        <f>IFERROR(__xludf.DUMMYFUNCTION("""COMPUTED_VALUE"""),"Creators Support")</f>
        <v>Creators Support</v>
      </c>
      <c r="L7519" s="1" t="str">
        <f>IFERROR(__xludf.DUMMYFUNCTION("""COMPUTED_VALUE"""),"SSS Creators")</f>
        <v>SSS Creators</v>
      </c>
    </row>
    <row r="7520">
      <c r="A7520" s="1" t="str">
        <f>IFERROR(__xludf.DUMMYFUNCTION("""COMPUTED_VALUE"""),"2025 Dec")</f>
        <v>2025 Dec</v>
      </c>
      <c r="B7520" s="2">
        <f>IFERROR(__xludf.DUMMYFUNCTION("""COMPUTED_VALUE"""),46013.0)</f>
        <v>46013</v>
      </c>
      <c r="C7520" s="1" t="str">
        <f>IFERROR(__xludf.DUMMYFUNCTION("""COMPUTED_VALUE"""),"Admin Support")</f>
        <v>Admin Support</v>
      </c>
      <c r="D7520" s="1" t="str">
        <f>IFERROR(__xludf.DUMMYFUNCTION("""COMPUTED_VALUE"""),"d497a055-f2f2-4063-8890-6c9684355e4c")</f>
        <v>d497a055-f2f2-4063-8890-6c9684355e4c</v>
      </c>
      <c r="E7520" s="1">
        <f>IFERROR(__xludf.DUMMYFUNCTION("""COMPUTED_VALUE"""),3.61731515255E11)</f>
        <v>361731515255</v>
      </c>
      <c r="F7520" s="1"/>
      <c r="G7520" s="1"/>
      <c r="H7520" s="3">
        <f>IFERROR(__xludf.DUMMYFUNCTION("""COMPUTED_VALUE"""),0.0)</f>
        <v>0</v>
      </c>
      <c r="I7520" s="4"/>
      <c r="J7520" s="1" t="str">
        <f>IFERROR(__xludf.DUMMYFUNCTION("""COMPUTED_VALUE"""),"Camille Alvarez")</f>
        <v>Camille Alvarez</v>
      </c>
      <c r="K7520" s="1" t="str">
        <f>IFERROR(__xludf.DUMMYFUNCTION("""COMPUTED_VALUE"""),"Admin Support PH SSO")</f>
        <v>Admin Support PH SSO</v>
      </c>
      <c r="L7520" s="1" t="str">
        <f>IFERROR(__xludf.DUMMYFUNCTION("""COMPUTED_VALUE"""),"Admin SSO - SEE")</f>
        <v>Admin SSO - SEE</v>
      </c>
    </row>
    <row r="7521">
      <c r="A7521" s="1" t="str">
        <f>IFERROR(__xludf.DUMMYFUNCTION("""COMPUTED_VALUE"""),"2025 Dec")</f>
        <v>2025 Dec</v>
      </c>
      <c r="B7521" s="2">
        <f>IFERROR(__xludf.DUMMYFUNCTION("""COMPUTED_VALUE"""),46013.0)</f>
        <v>46013</v>
      </c>
      <c r="C7521" s="1" t="str">
        <f>IFERROR(__xludf.DUMMYFUNCTION("""COMPUTED_VALUE"""),"High Sensitivity Support")</f>
        <v>High Sensitivity Support</v>
      </c>
      <c r="D7521" s="1" t="str">
        <f>IFERROR(__xludf.DUMMYFUNCTION("""COMPUTED_VALUE"""),"725213c8-63bc-41f4-927e-adac2805ced0")</f>
        <v>725213c8-63bc-41f4-927e-adac2805ced0</v>
      </c>
      <c r="E7521" s="1">
        <f>IFERROR(__xludf.DUMMYFUNCTION("""COMPUTED_VALUE"""),3.61688633916E11)</f>
        <v>361688633916</v>
      </c>
      <c r="F7521" s="1"/>
      <c r="G7521" s="1"/>
      <c r="H7521" s="3">
        <f>IFERROR(__xludf.DUMMYFUNCTION("""COMPUTED_VALUE"""),0.0)</f>
        <v>0</v>
      </c>
      <c r="I7521" s="4"/>
      <c r="J7521" s="1" t="str">
        <f>IFERROR(__xludf.DUMMYFUNCTION("""COMPUTED_VALUE"""),"Xandy Azarcon")</f>
        <v>Xandy Azarcon</v>
      </c>
      <c r="K7521" s="1" t="str">
        <f>IFERROR(__xludf.DUMMYFUNCTION("""COMPUTED_VALUE"""),"High Sensitivity Support PH")</f>
        <v>High Sensitivity Support PH</v>
      </c>
      <c r="L7521" s="1" t="str">
        <f>IFERROR(__xludf.DUMMYFUNCTION("""COMPUTED_VALUE"""),"HSS High Sensitivity Support PH - CHT")</f>
        <v>HSS High Sensitivity Support PH - CHT</v>
      </c>
    </row>
    <row r="7522">
      <c r="A7522" s="1" t="str">
        <f>IFERROR(__xludf.DUMMYFUNCTION("""COMPUTED_VALUE"""),"2025 Dec")</f>
        <v>2025 Dec</v>
      </c>
      <c r="B7522" s="2">
        <f>IFERROR(__xludf.DUMMYFUNCTION("""COMPUTED_VALUE"""),46013.0)</f>
        <v>46013</v>
      </c>
      <c r="C7522" s="1" t="str">
        <f>IFERROR(__xludf.DUMMYFUNCTION("""COMPUTED_VALUE"""),"Print Support")</f>
        <v>Print Support</v>
      </c>
      <c r="D7522" s="1" t="str">
        <f>IFERROR(__xludf.DUMMYFUNCTION("""COMPUTED_VALUE"""),"adc14770-23af-4d9e-965d-0e955af819e0")</f>
        <v>adc14770-23af-4d9e-965d-0e955af819e0</v>
      </c>
      <c r="E7522" s="1">
        <f>IFERROR(__xludf.DUMMYFUNCTION("""COMPUTED_VALUE"""),3.61734092356E11)</f>
        <v>361734092356</v>
      </c>
      <c r="F7522" s="1">
        <f>IFERROR(__xludf.DUMMYFUNCTION("""COMPUTED_VALUE"""),2.0)</f>
        <v>2</v>
      </c>
      <c r="G7522" s="1"/>
      <c r="H7522" s="3">
        <f>IFERROR(__xludf.DUMMYFUNCTION("""COMPUTED_VALUE"""),2.0)</f>
        <v>2</v>
      </c>
      <c r="I7522" s="4">
        <f>IFERROR(__xludf.DUMMYFUNCTION("""COMPUTED_VALUE"""),0.0)</f>
        <v>0</v>
      </c>
      <c r="J7522" s="1" t="str">
        <f>IFERROR(__xludf.DUMMYFUNCTION("""COMPUTED_VALUE"""),"Memae Faustino")</f>
        <v>Memae Faustino</v>
      </c>
      <c r="K7522" s="1" t="str">
        <f>IFERROR(__xludf.DUMMYFUNCTION("""COMPUTED_VALUE"""),"Print Support PH")</f>
        <v>Print Support PH</v>
      </c>
      <c r="L7522" s="1" t="str">
        <f>IFERROR(__xludf.DUMMYFUNCTION("""COMPUTED_VALUE"""),"Print Print - SEE")</f>
        <v>Print Print - SEE</v>
      </c>
    </row>
    <row r="7523">
      <c r="A7523" s="1" t="str">
        <f>IFERROR(__xludf.DUMMYFUNCTION("""COMPUTED_VALUE"""),"2025 Dec")</f>
        <v>2025 Dec</v>
      </c>
      <c r="B7523" s="2">
        <f>IFERROR(__xludf.DUMMYFUNCTION("""COMPUTED_VALUE"""),46013.0)</f>
        <v>46013</v>
      </c>
      <c r="C7523" s="1" t="str">
        <f>IFERROR(__xludf.DUMMYFUNCTION("""COMPUTED_VALUE"""),"High Sensitivity Support")</f>
        <v>High Sensitivity Support</v>
      </c>
      <c r="D7523" s="1" t="str">
        <f>IFERROR(__xludf.DUMMYFUNCTION("""COMPUTED_VALUE"""),"d9cfc12e-6b04-430c-bb3b-22b9d67ee77c")</f>
        <v>d9cfc12e-6b04-430c-bb3b-22b9d67ee77c</v>
      </c>
      <c r="E7523" s="1">
        <f>IFERROR(__xludf.DUMMYFUNCTION("""COMPUTED_VALUE"""),9.795905277839E12)</f>
        <v>9795905277839</v>
      </c>
      <c r="F7523" s="1"/>
      <c r="G7523" s="1"/>
      <c r="H7523" s="3">
        <f>IFERROR(__xludf.DUMMYFUNCTION("""COMPUTED_VALUE"""),0.0)</f>
        <v>0</v>
      </c>
      <c r="I7523" s="4"/>
      <c r="J7523" s="1" t="str">
        <f>IFERROR(__xludf.DUMMYFUNCTION("""COMPUTED_VALUE"""),"Issi Afable")</f>
        <v>Issi Afable</v>
      </c>
      <c r="K7523" s="1" t="str">
        <f>IFERROR(__xludf.DUMMYFUNCTION("""COMPUTED_VALUE"""),"High Sensitivity Support PH")</f>
        <v>High Sensitivity Support PH</v>
      </c>
      <c r="L7523" s="1" t="str">
        <f>IFERROR(__xludf.DUMMYFUNCTION("""COMPUTED_VALUE"""),"HSS High Sensitivity Support PH - SEE")</f>
        <v>HSS High Sensitivity Support PH - SEE</v>
      </c>
    </row>
    <row r="7524">
      <c r="A7524" s="1" t="str">
        <f>IFERROR(__xludf.DUMMYFUNCTION("""COMPUTED_VALUE"""),"2025 Dec")</f>
        <v>2025 Dec</v>
      </c>
      <c r="B7524" s="2">
        <f>IFERROR(__xludf.DUMMYFUNCTION("""COMPUTED_VALUE"""),46013.0)</f>
        <v>46013</v>
      </c>
      <c r="C7524" s="1" t="str">
        <f>IFERROR(__xludf.DUMMYFUNCTION("""COMPUTED_VALUE"""),"Core Product Support")</f>
        <v>Core Product Support</v>
      </c>
      <c r="D7524" s="1" t="str">
        <f>IFERROR(__xludf.DUMMYFUNCTION("""COMPUTED_VALUE"""),"d5b38678-ef33-449e-a4d3-7a7a69f2f5cb")</f>
        <v>d5b38678-ef33-449e-a4d3-7a7a69f2f5cb</v>
      </c>
      <c r="E7524" s="1">
        <f>IFERROR(__xludf.DUMMYFUNCTION("""COMPUTED_VALUE"""),3.61857411736E11)</f>
        <v>361857411736</v>
      </c>
      <c r="F7524" s="1">
        <f>IFERROR(__xludf.DUMMYFUNCTION("""COMPUTED_VALUE"""),0.5)</f>
        <v>0.5</v>
      </c>
      <c r="G7524" s="1"/>
      <c r="H7524" s="3">
        <f>IFERROR(__xludf.DUMMYFUNCTION("""COMPUTED_VALUE"""),0.5)</f>
        <v>0.5</v>
      </c>
      <c r="I7524" s="4">
        <f>IFERROR(__xludf.DUMMYFUNCTION("""COMPUTED_VALUE"""),0.0)</f>
        <v>0</v>
      </c>
      <c r="J7524" s="1" t="str">
        <f>IFERROR(__xludf.DUMMYFUNCTION("""COMPUTED_VALUE"""),"Vianca De Jesus")</f>
        <v>Vianca De Jesus</v>
      </c>
      <c r="K7524" s="1" t="str">
        <f>IFERROR(__xludf.DUMMYFUNCTION("""COMPUTED_VALUE"""),"Advanced Chat Support")</f>
        <v>Advanced Chat Support</v>
      </c>
      <c r="L7524" s="1" t="str">
        <f>IFERROR(__xludf.DUMMYFUNCTION("""COMPUTED_VALUE"""),"CPS Advanced Chat Support (ACS)")</f>
        <v>CPS Advanced Chat Support (ACS)</v>
      </c>
    </row>
    <row r="7525">
      <c r="A7525" s="1" t="str">
        <f>IFERROR(__xludf.DUMMYFUNCTION("""COMPUTED_VALUE"""),"2025 Dec")</f>
        <v>2025 Dec</v>
      </c>
      <c r="B7525" s="2">
        <f>IFERROR(__xludf.DUMMYFUNCTION("""COMPUTED_VALUE"""),46013.0)</f>
        <v>46013</v>
      </c>
      <c r="C7525" s="1" t="str">
        <f>IFERROR(__xludf.DUMMYFUNCTION("""COMPUTED_VALUE"""),"Admin Support")</f>
        <v>Admin Support</v>
      </c>
      <c r="D7525" s="1" t="str">
        <f>IFERROR(__xludf.DUMMYFUNCTION("""COMPUTED_VALUE"""),"65280774-7b68-4e6a-9312-4389148cbc01")</f>
        <v>65280774-7b68-4e6a-9312-4389148cbc01</v>
      </c>
      <c r="E7525" s="1">
        <f>IFERROR(__xludf.DUMMYFUNCTION("""COMPUTED_VALUE"""),1.0548588461839E13)</f>
        <v>10548588461839</v>
      </c>
      <c r="F7525" s="1"/>
      <c r="G7525" s="1"/>
      <c r="H7525" s="3">
        <f>IFERROR(__xludf.DUMMYFUNCTION("""COMPUTED_VALUE"""),0.0)</f>
        <v>0</v>
      </c>
      <c r="I7525" s="4"/>
      <c r="J7525" s="1" t="str">
        <f>IFERROR(__xludf.DUMMYFUNCTION("""COMPUTED_VALUE"""),"Pau Palmero")</f>
        <v>Pau Palmero</v>
      </c>
      <c r="K7525" s="1" t="str">
        <f>IFERROR(__xludf.DUMMYFUNCTION("""COMPUTED_VALUE"""),"Admin Support PH CEDD")</f>
        <v>Admin Support PH CEDD</v>
      </c>
      <c r="L7525" s="1" t="str">
        <f>IFERROR(__xludf.DUMMYFUNCTION("""COMPUTED_VALUE"""),"Admin CEDD Apps,Admin CEDD Inbox Mgt")</f>
        <v>Admin CEDD Apps,Admin CEDD Inbox Mgt</v>
      </c>
    </row>
    <row r="7526">
      <c r="A7526" s="1" t="str">
        <f>IFERROR(__xludf.DUMMYFUNCTION("""COMPUTED_VALUE"""),"2025 Dec")</f>
        <v>2025 Dec</v>
      </c>
      <c r="B7526" s="2">
        <f>IFERROR(__xludf.DUMMYFUNCTION("""COMPUTED_VALUE"""),46013.0)</f>
        <v>46013</v>
      </c>
      <c r="C7526" s="1" t="str">
        <f>IFERROR(__xludf.DUMMYFUNCTION("""COMPUTED_VALUE"""),"Core Product Support")</f>
        <v>Core Product Support</v>
      </c>
      <c r="D7526" s="1" t="str">
        <f>IFERROR(__xludf.DUMMYFUNCTION("""COMPUTED_VALUE"""),"0a5a8f36-7865-4df1-a7d1-fdbafdddd3eb")</f>
        <v>0a5a8f36-7865-4df1-a7d1-fdbafdddd3eb</v>
      </c>
      <c r="E7526" s="1">
        <f>IFERROR(__xludf.DUMMYFUNCTION("""COMPUTED_VALUE"""),3.61731792395E11)</f>
        <v>361731792395</v>
      </c>
      <c r="F7526" s="1">
        <f>IFERROR(__xludf.DUMMYFUNCTION("""COMPUTED_VALUE"""),0.5)</f>
        <v>0.5</v>
      </c>
      <c r="G7526" s="1">
        <f>IFERROR(__xludf.DUMMYFUNCTION("""COMPUTED_VALUE"""),2.5)</f>
        <v>2.5</v>
      </c>
      <c r="H7526" s="3">
        <f>IFERROR(__xludf.DUMMYFUNCTION("""COMPUTED_VALUE"""),3.0)</f>
        <v>3</v>
      </c>
      <c r="I7526" s="4">
        <f>IFERROR(__xludf.DUMMYFUNCTION("""COMPUTED_VALUE"""),0.8333333333333334)</f>
        <v>0.8333333333</v>
      </c>
      <c r="J7526" s="1" t="str">
        <f>IFERROR(__xludf.DUMMYFUNCTION("""COMPUTED_VALUE"""),"Sieg Ballelos")</f>
        <v>Sieg Ballelos</v>
      </c>
      <c r="K7526" s="1" t="str">
        <f>IFERROR(__xludf.DUMMYFUNCTION("""COMPUTED_VALUE"""),"Core Product Support Escalation Team")</f>
        <v>Core Product Support Escalation Team</v>
      </c>
      <c r="L7526" s="1" t="str">
        <f>IFERROR(__xludf.DUMMYFUNCTION("""COMPUTED_VALUE"""),"CPS Core Product Support Escalations (CPSET)")</f>
        <v>CPS Core Product Support Escalations (CPSET)</v>
      </c>
    </row>
    <row r="7527">
      <c r="A7527" s="1" t="str">
        <f>IFERROR(__xludf.DUMMYFUNCTION("""COMPUTED_VALUE"""),"2025 Dec")</f>
        <v>2025 Dec</v>
      </c>
      <c r="B7527" s="2">
        <f>IFERROR(__xludf.DUMMYFUNCTION("""COMPUTED_VALUE"""),46013.0)</f>
        <v>46013</v>
      </c>
      <c r="C7527" s="1" t="str">
        <f>IFERROR(__xludf.DUMMYFUNCTION("""COMPUTED_VALUE"""),"Core Product Support")</f>
        <v>Core Product Support</v>
      </c>
      <c r="D7527" s="1" t="str">
        <f>IFERROR(__xludf.DUMMYFUNCTION("""COMPUTED_VALUE"""),"626e971a-a1f2-466b-b3f0-fd32790eb440")</f>
        <v>626e971a-a1f2-466b-b3f0-fd32790eb440</v>
      </c>
      <c r="E7527" s="1">
        <f>IFERROR(__xludf.DUMMYFUNCTION("""COMPUTED_VALUE"""),8.904494781967E12)</f>
        <v>8904494781967</v>
      </c>
      <c r="F7527" s="1">
        <f>IFERROR(__xludf.DUMMYFUNCTION("""COMPUTED_VALUE"""),0.5)</f>
        <v>0.5</v>
      </c>
      <c r="G7527" s="1"/>
      <c r="H7527" s="3">
        <f>IFERROR(__xludf.DUMMYFUNCTION("""COMPUTED_VALUE"""),0.5)</f>
        <v>0.5</v>
      </c>
      <c r="I7527" s="4">
        <f>IFERROR(__xludf.DUMMYFUNCTION("""COMPUTED_VALUE"""),0.0)</f>
        <v>0</v>
      </c>
      <c r="J7527" s="1" t="str">
        <f>IFERROR(__xludf.DUMMYFUNCTION("""COMPUTED_VALUE"""),"Ana Lazaro")</f>
        <v>Ana Lazaro</v>
      </c>
      <c r="K7527" s="1" t="str">
        <f>IFERROR(__xludf.DUMMYFUNCTION("""COMPUTED_VALUE"""),"Advanced Billing &amp; Subscriptions")</f>
        <v>Advanced Billing &amp; Subscriptions</v>
      </c>
      <c r="L7527" s="1" t="str">
        <f>IFERROR(__xludf.DUMMYFUNCTION("""COMPUTED_VALUE"""),"CPS Advanced Billing and Subscriptions (ABS)")</f>
        <v>CPS Advanced Billing and Subscriptions (ABS)</v>
      </c>
    </row>
    <row r="7528">
      <c r="A7528" s="1" t="str">
        <f>IFERROR(__xludf.DUMMYFUNCTION("""COMPUTED_VALUE"""),"2025 Dec")</f>
        <v>2025 Dec</v>
      </c>
      <c r="B7528" s="2">
        <f>IFERROR(__xludf.DUMMYFUNCTION("""COMPUTED_VALUE"""),46013.0)</f>
        <v>46013</v>
      </c>
      <c r="C7528" s="1" t="str">
        <f>IFERROR(__xludf.DUMMYFUNCTION("""COMPUTED_VALUE"""),"Core Product Support")</f>
        <v>Core Product Support</v>
      </c>
      <c r="D7528" s="1" t="str">
        <f>IFERROR(__xludf.DUMMYFUNCTION("""COMPUTED_VALUE"""),"238df195-1311-420b-9bfc-80204048a0d0")</f>
        <v>238df195-1311-420b-9bfc-80204048a0d0</v>
      </c>
      <c r="E7528" s="1">
        <f>IFERROR(__xludf.DUMMYFUNCTION("""COMPUTED_VALUE"""),1.0548626062351E13)</f>
        <v>10548626062351</v>
      </c>
      <c r="F7528" s="1">
        <f>IFERROR(__xludf.DUMMYFUNCTION("""COMPUTED_VALUE"""),0.5)</f>
        <v>0.5</v>
      </c>
      <c r="G7528" s="1"/>
      <c r="H7528" s="3">
        <f>IFERROR(__xludf.DUMMYFUNCTION("""COMPUTED_VALUE"""),0.5)</f>
        <v>0.5</v>
      </c>
      <c r="I7528" s="4">
        <f>IFERROR(__xludf.DUMMYFUNCTION("""COMPUTED_VALUE"""),0.0)</f>
        <v>0</v>
      </c>
      <c r="J7528" s="1" t="str">
        <f>IFERROR(__xludf.DUMMYFUNCTION("""COMPUTED_VALUE"""),"Belle Bentazal")</f>
        <v>Belle Bentazal</v>
      </c>
      <c r="K7528" s="1" t="str">
        <f>IFERROR(__xludf.DUMMYFUNCTION("""COMPUTED_VALUE"""),"Advanced Product Support")</f>
        <v>Advanced Product Support</v>
      </c>
      <c r="L7528" s="1" t="str">
        <f>IFERROR(__xludf.DUMMYFUNCTION("""COMPUTED_VALUE"""),"CPS Advanced Product Support (APS)")</f>
        <v>CPS Advanced Product Support (APS)</v>
      </c>
    </row>
    <row r="7529">
      <c r="A7529" s="1" t="str">
        <f>IFERROR(__xludf.DUMMYFUNCTION("""COMPUTED_VALUE"""),"2025 Dec")</f>
        <v>2025 Dec</v>
      </c>
      <c r="B7529" s="2">
        <f>IFERROR(__xludf.DUMMYFUNCTION("""COMPUTED_VALUE"""),46013.0)</f>
        <v>46013</v>
      </c>
      <c r="C7529" s="1" t="str">
        <f>IFERROR(__xludf.DUMMYFUNCTION("""COMPUTED_VALUE"""),"Admin Support")</f>
        <v>Admin Support</v>
      </c>
      <c r="D7529" s="1" t="str">
        <f>IFERROR(__xludf.DUMMYFUNCTION("""COMPUTED_VALUE"""),"4790af32-fa25-48b3-bdc4-76770b6ef929")</f>
        <v>4790af32-fa25-48b3-bdc4-76770b6ef929</v>
      </c>
      <c r="E7529" s="1">
        <f>IFERROR(__xludf.DUMMYFUNCTION("""COMPUTED_VALUE"""),9.107735174799E12)</f>
        <v>9107735174799</v>
      </c>
      <c r="F7529" s="1"/>
      <c r="G7529" s="1"/>
      <c r="H7529" s="3">
        <f>IFERROR(__xludf.DUMMYFUNCTION("""COMPUTED_VALUE"""),0.0)</f>
        <v>0</v>
      </c>
      <c r="I7529" s="4"/>
      <c r="J7529" s="1" t="str">
        <f>IFERROR(__xludf.DUMMYFUNCTION("""COMPUTED_VALUE"""),"Pau Palmero")</f>
        <v>Pau Palmero</v>
      </c>
      <c r="K7529" s="1" t="str">
        <f>IFERROR(__xludf.DUMMYFUNCTION("""COMPUTED_VALUE"""),"Admin Support PH CEDD")</f>
        <v>Admin Support PH CEDD</v>
      </c>
      <c r="L7529" s="1" t="str">
        <f>IFERROR(__xludf.DUMMYFUNCTION("""COMPUTED_VALUE"""),"Admin CEDD Apps,Admin CEDD Inbox Mgt,Admin Rostering")</f>
        <v>Admin CEDD Apps,Admin CEDD Inbox Mgt,Admin Rostering</v>
      </c>
    </row>
    <row r="7530">
      <c r="A7530" s="1" t="str">
        <f>IFERROR(__xludf.DUMMYFUNCTION("""COMPUTED_VALUE"""),"2025 Dec")</f>
        <v>2025 Dec</v>
      </c>
      <c r="B7530" s="2">
        <f>IFERROR(__xludf.DUMMYFUNCTION("""COMPUTED_VALUE"""),46013.0)</f>
        <v>46013</v>
      </c>
      <c r="C7530" s="1" t="str">
        <f>IFERROR(__xludf.DUMMYFUNCTION("""COMPUTED_VALUE"""),"Multilingual Support")</f>
        <v>Multilingual Support</v>
      </c>
      <c r="D7530" s="1" t="str">
        <f>IFERROR(__xludf.DUMMYFUNCTION("""COMPUTED_VALUE"""),"c4abd336-8a5c-43a4-942f-2d3f5b2e85fd")</f>
        <v>c4abd336-8a5c-43a4-942f-2d3f5b2e85fd</v>
      </c>
      <c r="E7530" s="1">
        <f>IFERROR(__xludf.DUMMYFUNCTION("""COMPUTED_VALUE"""),6.936778850319E12)</f>
        <v>6936778850319</v>
      </c>
      <c r="F7530" s="1"/>
      <c r="G7530" s="1"/>
      <c r="H7530" s="3">
        <f>IFERROR(__xludf.DUMMYFUNCTION("""COMPUTED_VALUE"""),0.0)</f>
        <v>0</v>
      </c>
      <c r="I7530" s="4"/>
      <c r="J7530" s="1" t="str">
        <f>IFERROR(__xludf.DUMMYFUNCTION("""COMPUTED_VALUE"""),"Arlene Maurillo")</f>
        <v>Arlene Maurillo</v>
      </c>
      <c r="K7530" s="1" t="str">
        <f>IFERROR(__xludf.DUMMYFUNCTION("""COMPUTED_VALUE"""),"PHL, Multilingual Support")</f>
        <v>PHL, Multilingual Support</v>
      </c>
      <c r="L7530" s="1" t="str">
        <f>IFERROR(__xludf.DUMMYFUNCTION("""COMPUTED_VALUE"""),"ML Japanese Support")</f>
        <v>ML Japanese Support</v>
      </c>
    </row>
    <row r="7531">
      <c r="A7531" s="1" t="str">
        <f>IFERROR(__xludf.DUMMYFUNCTION("""COMPUTED_VALUE"""),"2025 Dec")</f>
        <v>2025 Dec</v>
      </c>
      <c r="B7531" s="2">
        <f>IFERROR(__xludf.DUMMYFUNCTION("""COMPUTED_VALUE"""),46013.0)</f>
        <v>46013</v>
      </c>
      <c r="C7531" s="1" t="str">
        <f>IFERROR(__xludf.DUMMYFUNCTION("""COMPUTED_VALUE"""),"Core Product Support")</f>
        <v>Core Product Support</v>
      </c>
      <c r="D7531" s="1" t="str">
        <f>IFERROR(__xludf.DUMMYFUNCTION("""COMPUTED_VALUE"""),"99085273-2cc4-4932-aad9-eac22f3b9709")</f>
        <v>99085273-2cc4-4932-aad9-eac22f3b9709</v>
      </c>
      <c r="E7531" s="1">
        <f>IFERROR(__xludf.DUMMYFUNCTION("""COMPUTED_VALUE"""),3.61732054935E11)</f>
        <v>361732054935</v>
      </c>
      <c r="F7531" s="1">
        <f>IFERROR(__xludf.DUMMYFUNCTION("""COMPUTED_VALUE"""),0.5)</f>
        <v>0.5</v>
      </c>
      <c r="G7531" s="1"/>
      <c r="H7531" s="3">
        <f>IFERROR(__xludf.DUMMYFUNCTION("""COMPUTED_VALUE"""),0.5)</f>
        <v>0.5</v>
      </c>
      <c r="I7531" s="4">
        <f>IFERROR(__xludf.DUMMYFUNCTION("""COMPUTED_VALUE"""),0.0)</f>
        <v>0</v>
      </c>
      <c r="J7531" s="1" t="str">
        <f>IFERROR(__xludf.DUMMYFUNCTION("""COMPUTED_VALUE"""),"Jem Mondoñedo")</f>
        <v>Jem Mondoñedo</v>
      </c>
      <c r="K7531" s="1" t="str">
        <f>IFERROR(__xludf.DUMMYFUNCTION("""COMPUTED_VALUE"""),"Advanced Chat Support")</f>
        <v>Advanced Chat Support</v>
      </c>
      <c r="L7531" s="1" t="str">
        <f>IFERROR(__xludf.DUMMYFUNCTION("""COMPUTED_VALUE"""),"CPS Advanced Chat Support (ACS)")</f>
        <v>CPS Advanced Chat Support (ACS)</v>
      </c>
    </row>
    <row r="7532">
      <c r="A7532" s="1" t="str">
        <f>IFERROR(__xludf.DUMMYFUNCTION("""COMPUTED_VALUE"""),"2025 Dec")</f>
        <v>2025 Dec</v>
      </c>
      <c r="B7532" s="2">
        <f>IFERROR(__xludf.DUMMYFUNCTION("""COMPUTED_VALUE"""),46013.0)</f>
        <v>46013</v>
      </c>
      <c r="C7532" s="1" t="str">
        <f>IFERROR(__xludf.DUMMYFUNCTION("""COMPUTED_VALUE"""),"Admin Support")</f>
        <v>Admin Support</v>
      </c>
      <c r="D7532" s="1" t="str">
        <f>IFERROR(__xludf.DUMMYFUNCTION("""COMPUTED_VALUE"""),"c4296942-0752-4ab1-a016-50f83ec4677d")</f>
        <v>c4296942-0752-4ab1-a016-50f83ec4677d</v>
      </c>
      <c r="E7532" s="1">
        <f>IFERROR(__xludf.DUMMYFUNCTION("""COMPUTED_VALUE"""),3.61732055015E11)</f>
        <v>361732055015</v>
      </c>
      <c r="F7532" s="1"/>
      <c r="G7532" s="1">
        <f>IFERROR(__xludf.DUMMYFUNCTION("""COMPUTED_VALUE"""),0.25)</f>
        <v>0.25</v>
      </c>
      <c r="H7532" s="3">
        <f>IFERROR(__xludf.DUMMYFUNCTION("""COMPUTED_VALUE"""),0.25)</f>
        <v>0.25</v>
      </c>
      <c r="I7532" s="4">
        <f>IFERROR(__xludf.DUMMYFUNCTION("""COMPUTED_VALUE"""),1.0)</f>
        <v>1</v>
      </c>
      <c r="J7532" s="1" t="str">
        <f>IFERROR(__xludf.DUMMYFUNCTION("""COMPUTED_VALUE"""),"AL Suarez")</f>
        <v>AL Suarez</v>
      </c>
      <c r="K7532" s="1" t="str">
        <f>IFERROR(__xludf.DUMMYFUNCTION("""COMPUTED_VALUE"""),"Admin Support PH")</f>
        <v>Admin Support PH</v>
      </c>
      <c r="L7532" s="1" t="str">
        <f>IFERROR(__xludf.DUMMYFUNCTION("""COMPUTED_VALUE"""),"Admin PH")</f>
        <v>Admin PH</v>
      </c>
    </row>
    <row r="7533">
      <c r="A7533" s="1" t="str">
        <f>IFERROR(__xludf.DUMMYFUNCTION("""COMPUTED_VALUE"""),"2025 Dec")</f>
        <v>2025 Dec</v>
      </c>
      <c r="B7533" s="2">
        <f>IFERROR(__xludf.DUMMYFUNCTION("""COMPUTED_VALUE"""),46013.0)</f>
        <v>46013</v>
      </c>
      <c r="C7533" s="1" t="str">
        <f>IFERROR(__xludf.DUMMYFUNCTION("""COMPUTED_VALUE"""),"Print Support")</f>
        <v>Print Support</v>
      </c>
      <c r="D7533" s="1" t="str">
        <f>IFERROR(__xludf.DUMMYFUNCTION("""COMPUTED_VALUE"""),"e612249c-8f64-415b-befe-bb7e6027b43c")</f>
        <v>e612249c-8f64-415b-befe-bb7e6027b43c</v>
      </c>
      <c r="E7533" s="1">
        <f>IFERROR(__xludf.DUMMYFUNCTION("""COMPUTED_VALUE"""),1.3475806334735E13)</f>
        <v>13475806334735</v>
      </c>
      <c r="F7533" s="1"/>
      <c r="G7533" s="1"/>
      <c r="H7533" s="3">
        <f>IFERROR(__xludf.DUMMYFUNCTION("""COMPUTED_VALUE"""),0.0)</f>
        <v>0</v>
      </c>
      <c r="I7533" s="4"/>
      <c r="J7533" s="1" t="str">
        <f>IFERROR(__xludf.DUMMYFUNCTION("""COMPUTED_VALUE"""),"Rei De Jesus")</f>
        <v>Rei De Jesus</v>
      </c>
      <c r="K7533" s="1" t="str">
        <f>IFERROR(__xludf.DUMMYFUNCTION("""COMPUTED_VALUE"""),"Print Design Support")</f>
        <v>Print Design Support</v>
      </c>
      <c r="L7533" s="1" t="str">
        <f>IFERROR(__xludf.DUMMYFUNCTION("""COMPUTED_VALUE"""),"Print Print Design")</f>
        <v>Print Print Design</v>
      </c>
    </row>
    <row r="7534">
      <c r="A7534" s="1" t="str">
        <f>IFERROR(__xludf.DUMMYFUNCTION("""COMPUTED_VALUE"""),"2025 Dec")</f>
        <v>2025 Dec</v>
      </c>
      <c r="B7534" s="2">
        <f>IFERROR(__xludf.DUMMYFUNCTION("""COMPUTED_VALUE"""),46013.0)</f>
        <v>46013</v>
      </c>
      <c r="C7534" s="1" t="str">
        <f>IFERROR(__xludf.DUMMYFUNCTION("""COMPUTED_VALUE"""),"Core Product Support")</f>
        <v>Core Product Support</v>
      </c>
      <c r="D7534" s="1" t="str">
        <f>IFERROR(__xludf.DUMMYFUNCTION("""COMPUTED_VALUE"""),"3623161b-ff5b-4aee-8826-3d6522587a06")</f>
        <v>3623161b-ff5b-4aee-8826-3d6522587a06</v>
      </c>
      <c r="E7534" s="1"/>
      <c r="F7534" s="1">
        <f>IFERROR(__xludf.DUMMYFUNCTION("""COMPUTED_VALUE"""),1.0)</f>
        <v>1</v>
      </c>
      <c r="G7534" s="1"/>
      <c r="H7534" s="3">
        <f>IFERROR(__xludf.DUMMYFUNCTION("""COMPUTED_VALUE"""),1.0)</f>
        <v>1</v>
      </c>
      <c r="I7534" s="4">
        <f>IFERROR(__xludf.DUMMYFUNCTION("""COMPUTED_VALUE"""),0.0)</f>
        <v>0</v>
      </c>
      <c r="J7534" s="1" t="str">
        <f>IFERROR(__xludf.DUMMYFUNCTION("""COMPUTED_VALUE"""),"Marie Mordeno")</f>
        <v>Marie Mordeno</v>
      </c>
      <c r="K7534" s="1" t="str">
        <f>IFERROR(__xludf.DUMMYFUNCTION("""COMPUTED_VALUE"""),"Advanced Billing &amp; Subscriptions")</f>
        <v>Advanced Billing &amp; Subscriptions</v>
      </c>
      <c r="L7534" s="1" t="str">
        <f>IFERROR(__xludf.DUMMYFUNCTION("""COMPUTED_VALUE"""),"CPS Advanced Billing and Subscriptions (ABS)")</f>
        <v>CPS Advanced Billing and Subscriptions (ABS)</v>
      </c>
    </row>
    <row r="7535">
      <c r="A7535" s="1" t="str">
        <f>IFERROR(__xludf.DUMMYFUNCTION("""COMPUTED_VALUE"""),"2025 Dec")</f>
        <v>2025 Dec</v>
      </c>
      <c r="B7535" s="2">
        <f>IFERROR(__xludf.DUMMYFUNCTION("""COMPUTED_VALUE"""),46013.0)</f>
        <v>46013</v>
      </c>
      <c r="C7535" s="1" t="str">
        <f>IFERROR(__xludf.DUMMYFUNCTION("""COMPUTED_VALUE"""),"Admin Support")</f>
        <v>Admin Support</v>
      </c>
      <c r="D7535" s="1" t="str">
        <f>IFERROR(__xludf.DUMMYFUNCTION("""COMPUTED_VALUE"""),"ae4ace4e-6cd8-4a8d-bb18-10768406ce5b")</f>
        <v>ae4ace4e-6cd8-4a8d-bb18-10768406ce5b</v>
      </c>
      <c r="E7535" s="1">
        <f>IFERROR(__xludf.DUMMYFUNCTION("""COMPUTED_VALUE"""),3.61725374736E11)</f>
        <v>361725374736</v>
      </c>
      <c r="F7535" s="1"/>
      <c r="G7535" s="1">
        <f>IFERROR(__xludf.DUMMYFUNCTION("""COMPUTED_VALUE"""),0.25)</f>
        <v>0.25</v>
      </c>
      <c r="H7535" s="3">
        <f>IFERROR(__xludf.DUMMYFUNCTION("""COMPUTED_VALUE"""),0.25)</f>
        <v>0.25</v>
      </c>
      <c r="I7535" s="4">
        <f>IFERROR(__xludf.DUMMYFUNCTION("""COMPUTED_VALUE"""),1.0)</f>
        <v>1</v>
      </c>
      <c r="J7535" s="1" t="str">
        <f>IFERROR(__xludf.DUMMYFUNCTION("""COMPUTED_VALUE"""),"AL Suarez")</f>
        <v>AL Suarez</v>
      </c>
      <c r="K7535" s="1" t="str">
        <f>IFERROR(__xludf.DUMMYFUNCTION("""COMPUTED_VALUE"""),"Admin Support PH")</f>
        <v>Admin Support PH</v>
      </c>
      <c r="L7535" s="1" t="str">
        <f>IFERROR(__xludf.DUMMYFUNCTION("""COMPUTED_VALUE"""),"Admin PH")</f>
        <v>Admin PH</v>
      </c>
    </row>
    <row r="7536">
      <c r="A7536" s="1" t="str">
        <f>IFERROR(__xludf.DUMMYFUNCTION("""COMPUTED_VALUE"""),"2025 Dec")</f>
        <v>2025 Dec</v>
      </c>
      <c r="B7536" s="2">
        <f>IFERROR(__xludf.DUMMYFUNCTION("""COMPUTED_VALUE"""),46013.0)</f>
        <v>46013</v>
      </c>
      <c r="C7536" s="1" t="str">
        <f>IFERROR(__xludf.DUMMYFUNCTION("""COMPUTED_VALUE"""),"Print Support")</f>
        <v>Print Support</v>
      </c>
      <c r="D7536" s="1" t="str">
        <f>IFERROR(__xludf.DUMMYFUNCTION("""COMPUTED_VALUE"""),"099dd243-b724-478e-9692-79686402a18c")</f>
        <v>099dd243-b724-478e-9692-79686402a18c</v>
      </c>
      <c r="E7536" s="1">
        <f>IFERROR(__xludf.DUMMYFUNCTION("""COMPUTED_VALUE"""),3.61731348935E11)</f>
        <v>361731348935</v>
      </c>
      <c r="F7536" s="1">
        <f>IFERROR(__xludf.DUMMYFUNCTION("""COMPUTED_VALUE"""),2.0)</f>
        <v>2</v>
      </c>
      <c r="G7536" s="1"/>
      <c r="H7536" s="3">
        <f>IFERROR(__xludf.DUMMYFUNCTION("""COMPUTED_VALUE"""),2.0)</f>
        <v>2</v>
      </c>
      <c r="I7536" s="4">
        <f>IFERROR(__xludf.DUMMYFUNCTION("""COMPUTED_VALUE"""),0.0)</f>
        <v>0</v>
      </c>
      <c r="J7536" s="1" t="str">
        <f>IFERROR(__xludf.DUMMYFUNCTION("""COMPUTED_VALUE"""),"Memae Faustino")</f>
        <v>Memae Faustino</v>
      </c>
      <c r="K7536" s="1" t="str">
        <f>IFERROR(__xludf.DUMMYFUNCTION("""COMPUTED_VALUE"""),"Print Support PH")</f>
        <v>Print Support PH</v>
      </c>
      <c r="L7536" s="1" t="str">
        <f>IFERROR(__xludf.DUMMYFUNCTION("""COMPUTED_VALUE"""),"Print Print - SEE")</f>
        <v>Print Print - SEE</v>
      </c>
    </row>
    <row r="7537">
      <c r="A7537" s="1" t="str">
        <f>IFERROR(__xludf.DUMMYFUNCTION("""COMPUTED_VALUE"""),"2025 Dec")</f>
        <v>2025 Dec</v>
      </c>
      <c r="B7537" s="2">
        <f>IFERROR(__xludf.DUMMYFUNCTION("""COMPUTED_VALUE"""),46013.0)</f>
        <v>46013</v>
      </c>
      <c r="C7537" s="1" t="str">
        <f>IFERROR(__xludf.DUMMYFUNCTION("""COMPUTED_VALUE"""),"Multilingual Support")</f>
        <v>Multilingual Support</v>
      </c>
      <c r="D7537" s="1" t="str">
        <f>IFERROR(__xludf.DUMMYFUNCTION("""COMPUTED_VALUE"""),"65e111e9-ab12-453f-afa3-155200027cc6")</f>
        <v>65e111e9-ab12-453f-afa3-155200027cc6</v>
      </c>
      <c r="E7537" s="1">
        <f>IFERROR(__xludf.DUMMYFUNCTION("""COMPUTED_VALUE"""),6.392444639375E12)</f>
        <v>6392444639375</v>
      </c>
      <c r="F7537" s="1"/>
      <c r="G7537" s="1"/>
      <c r="H7537" s="3">
        <f>IFERROR(__xludf.DUMMYFUNCTION("""COMPUTED_VALUE"""),0.0)</f>
        <v>0</v>
      </c>
      <c r="I7537" s="4"/>
      <c r="J7537" s="1" t="str">
        <f>IFERROR(__xludf.DUMMYFUNCTION("""COMPUTED_VALUE"""),"Arlene Maurillo")</f>
        <v>Arlene Maurillo</v>
      </c>
      <c r="K7537" s="1" t="str">
        <f>IFERROR(__xludf.DUMMYFUNCTION("""COMPUTED_VALUE"""),"PHL, Multilingual Support")</f>
        <v>PHL, Multilingual Support</v>
      </c>
      <c r="L7537" s="1" t="str">
        <f>IFERROR(__xludf.DUMMYFUNCTION("""COMPUTED_VALUE"""),"ML Portuguese Support")</f>
        <v>ML Portuguese Support</v>
      </c>
    </row>
    <row r="7538">
      <c r="A7538" s="1" t="str">
        <f>IFERROR(__xludf.DUMMYFUNCTION("""COMPUTED_VALUE"""),"2025 Dec")</f>
        <v>2025 Dec</v>
      </c>
      <c r="B7538" s="2">
        <f>IFERROR(__xludf.DUMMYFUNCTION("""COMPUTED_VALUE"""),46013.0)</f>
        <v>46013</v>
      </c>
      <c r="C7538" s="1" t="str">
        <f>IFERROR(__xludf.DUMMYFUNCTION("""COMPUTED_VALUE"""),"Core Product Support")</f>
        <v>Core Product Support</v>
      </c>
      <c r="D7538" s="1" t="str">
        <f>IFERROR(__xludf.DUMMYFUNCTION("""COMPUTED_VALUE"""),"5cc46a1e-c49d-4562-acbb-742a43deb5f7")</f>
        <v>5cc46a1e-c49d-4562-acbb-742a43deb5f7</v>
      </c>
      <c r="E7538" s="1">
        <f>IFERROR(__xludf.DUMMYFUNCTION("""COMPUTED_VALUE"""),1.0548581777679E13)</f>
        <v>10548581777679</v>
      </c>
      <c r="F7538" s="1">
        <f>IFERROR(__xludf.DUMMYFUNCTION("""COMPUTED_VALUE"""),0.5)</f>
        <v>0.5</v>
      </c>
      <c r="G7538" s="1"/>
      <c r="H7538" s="3">
        <f>IFERROR(__xludf.DUMMYFUNCTION("""COMPUTED_VALUE"""),0.5)</f>
        <v>0.5</v>
      </c>
      <c r="I7538" s="4">
        <f>IFERROR(__xludf.DUMMYFUNCTION("""COMPUTED_VALUE"""),0.0)</f>
        <v>0</v>
      </c>
      <c r="J7538" s="1" t="str">
        <f>IFERROR(__xludf.DUMMYFUNCTION("""COMPUTED_VALUE"""),"Jem Mondoñedo")</f>
        <v>Jem Mondoñedo</v>
      </c>
      <c r="K7538" s="1" t="str">
        <f>IFERROR(__xludf.DUMMYFUNCTION("""COMPUTED_VALUE"""),"Advanced Billing &amp; Subscriptions")</f>
        <v>Advanced Billing &amp; Subscriptions</v>
      </c>
      <c r="L7538" s="1" t="str">
        <f>IFERROR(__xludf.DUMMYFUNCTION("""COMPUTED_VALUE"""),"CPS Advanced Billing and Subscriptions (ABS)")</f>
        <v>CPS Advanced Billing and Subscriptions (ABS)</v>
      </c>
    </row>
    <row r="7539">
      <c r="A7539" s="1" t="str">
        <f>IFERROR(__xludf.DUMMYFUNCTION("""COMPUTED_VALUE"""),"2025 Dec")</f>
        <v>2025 Dec</v>
      </c>
      <c r="B7539" s="2">
        <f>IFERROR(__xludf.DUMMYFUNCTION("""COMPUTED_VALUE"""),46013.0)</f>
        <v>46013</v>
      </c>
      <c r="C7539" s="1" t="str">
        <f>IFERROR(__xludf.DUMMYFUNCTION("""COMPUTED_VALUE"""),"Print Support")</f>
        <v>Print Support</v>
      </c>
      <c r="D7539" s="1" t="str">
        <f>IFERROR(__xludf.DUMMYFUNCTION("""COMPUTED_VALUE"""),"1d59ca6e-6219-4532-99a2-f499de8a1287")</f>
        <v>1d59ca6e-6219-4532-99a2-f499de8a1287</v>
      </c>
      <c r="E7539" s="1"/>
      <c r="F7539" s="1"/>
      <c r="G7539" s="1"/>
      <c r="H7539" s="3">
        <f>IFERROR(__xludf.DUMMYFUNCTION("""COMPUTED_VALUE"""),0.0)</f>
        <v>0</v>
      </c>
      <c r="I7539" s="4"/>
      <c r="J7539" s="1" t="str">
        <f>IFERROR(__xludf.DUMMYFUNCTION("""COMPUTED_VALUE"""),"Aliza Dote")</f>
        <v>Aliza Dote</v>
      </c>
      <c r="K7539" s="1" t="str">
        <f>IFERROR(__xludf.DUMMYFUNCTION("""COMPUTED_VALUE"""),"Print Design Support")</f>
        <v>Print Design Support</v>
      </c>
      <c r="L7539" s="1" t="str">
        <f>IFERROR(__xludf.DUMMYFUNCTION("""COMPUTED_VALUE"""),"Print Print Design")</f>
        <v>Print Print Design</v>
      </c>
    </row>
    <row r="7540">
      <c r="A7540" s="1" t="str">
        <f>IFERROR(__xludf.DUMMYFUNCTION("""COMPUTED_VALUE"""),"2025 Dec")</f>
        <v>2025 Dec</v>
      </c>
      <c r="B7540" s="2">
        <f>IFERROR(__xludf.DUMMYFUNCTION("""COMPUTED_VALUE"""),46013.0)</f>
        <v>46013</v>
      </c>
      <c r="C7540" s="1" t="str">
        <f>IFERROR(__xludf.DUMMYFUNCTION("""COMPUTED_VALUE"""),"Print Support")</f>
        <v>Print Support</v>
      </c>
      <c r="D7540" s="1" t="str">
        <f>IFERROR(__xludf.DUMMYFUNCTION("""COMPUTED_VALUE"""),"3eea6a70-1d1f-4def-93fa-d9de190c7fd7")</f>
        <v>3eea6a70-1d1f-4def-93fa-d9de190c7fd7</v>
      </c>
      <c r="E7540" s="1">
        <f>IFERROR(__xludf.DUMMYFUNCTION("""COMPUTED_VALUE"""),3.61726424736E11)</f>
        <v>361726424736</v>
      </c>
      <c r="F7540" s="1">
        <f>IFERROR(__xludf.DUMMYFUNCTION("""COMPUTED_VALUE"""),2.0)</f>
        <v>2</v>
      </c>
      <c r="G7540" s="1"/>
      <c r="H7540" s="3">
        <f>IFERROR(__xludf.DUMMYFUNCTION("""COMPUTED_VALUE"""),2.0)</f>
        <v>2</v>
      </c>
      <c r="I7540" s="4">
        <f>IFERROR(__xludf.DUMMYFUNCTION("""COMPUTED_VALUE"""),0.0)</f>
        <v>0</v>
      </c>
      <c r="J7540" s="1" t="str">
        <f>IFERROR(__xludf.DUMMYFUNCTION("""COMPUTED_VALUE"""),"Memae Faustino")</f>
        <v>Memae Faustino</v>
      </c>
      <c r="K7540" s="1" t="str">
        <f>IFERROR(__xludf.DUMMYFUNCTION("""COMPUTED_VALUE"""),"Print Support PH")</f>
        <v>Print Support PH</v>
      </c>
      <c r="L7540" s="1" t="str">
        <f>IFERROR(__xludf.DUMMYFUNCTION("""COMPUTED_VALUE"""),"Print Print - SEE")</f>
        <v>Print Print - SEE</v>
      </c>
    </row>
    <row r="7541">
      <c r="A7541" s="1" t="str">
        <f>IFERROR(__xludf.DUMMYFUNCTION("""COMPUTED_VALUE"""),"2025 Dec")</f>
        <v>2025 Dec</v>
      </c>
      <c r="B7541" s="2">
        <f>IFERROR(__xludf.DUMMYFUNCTION("""COMPUTED_VALUE"""),46013.0)</f>
        <v>46013</v>
      </c>
      <c r="C7541" s="1" t="str">
        <f>IFERROR(__xludf.DUMMYFUNCTION("""COMPUTED_VALUE"""),"High Sensitivity Support")</f>
        <v>High Sensitivity Support</v>
      </c>
      <c r="D7541" s="1" t="str">
        <f>IFERROR(__xludf.DUMMYFUNCTION("""COMPUTED_VALUE"""),"10c46fa3-c076-41b6-9aad-4ec7c4a07294")</f>
        <v>10c46fa3-c076-41b6-9aad-4ec7c4a07294</v>
      </c>
      <c r="E7541" s="1">
        <f>IFERROR(__xludf.DUMMYFUNCTION("""COMPUTED_VALUE"""),7.235815910671E12)</f>
        <v>7235815910671</v>
      </c>
      <c r="F7541" s="1">
        <f>IFERROR(__xludf.DUMMYFUNCTION("""COMPUTED_VALUE"""),4.0)</f>
        <v>4</v>
      </c>
      <c r="G7541" s="1"/>
      <c r="H7541" s="3">
        <f>IFERROR(__xludf.DUMMYFUNCTION("""COMPUTED_VALUE"""),4.0)</f>
        <v>4</v>
      </c>
      <c r="I7541" s="4">
        <f>IFERROR(__xludf.DUMMYFUNCTION("""COMPUTED_VALUE"""),0.0)</f>
        <v>0</v>
      </c>
      <c r="J7541" s="1" t="str">
        <f>IFERROR(__xludf.DUMMYFUNCTION("""COMPUTED_VALUE"""),"Xandy Azarcon")</f>
        <v>Xandy Azarcon</v>
      </c>
      <c r="K7541" s="1" t="str">
        <f>IFERROR(__xludf.DUMMYFUNCTION("""COMPUTED_VALUE"""),"High Sensitivity Support PH")</f>
        <v>High Sensitivity Support PH</v>
      </c>
      <c r="L7541" s="1" t="str">
        <f>IFERROR(__xludf.DUMMYFUNCTION("""COMPUTED_VALUE"""),"HSS High Sensitivity Support PH - CHT")</f>
        <v>HSS High Sensitivity Support PH - CHT</v>
      </c>
    </row>
    <row r="7542">
      <c r="A7542" s="1" t="str">
        <f>IFERROR(__xludf.DUMMYFUNCTION("""COMPUTED_VALUE"""),"2025 Dec")</f>
        <v>2025 Dec</v>
      </c>
      <c r="B7542" s="2">
        <f>IFERROR(__xludf.DUMMYFUNCTION("""COMPUTED_VALUE"""),46013.0)</f>
        <v>46013</v>
      </c>
      <c r="C7542" s="1" t="str">
        <f>IFERROR(__xludf.DUMMYFUNCTION("""COMPUTED_VALUE"""),"Core Product Support")</f>
        <v>Core Product Support</v>
      </c>
      <c r="D7542" s="1" t="str">
        <f>IFERROR(__xludf.DUMMYFUNCTION("""COMPUTED_VALUE"""),"cf4102e5-f522-43ac-bf51-15cc96666fde")</f>
        <v>cf4102e5-f522-43ac-bf51-15cc96666fde</v>
      </c>
      <c r="E7542" s="1"/>
      <c r="F7542" s="1">
        <f>IFERROR(__xludf.DUMMYFUNCTION("""COMPUTED_VALUE"""),0.5)</f>
        <v>0.5</v>
      </c>
      <c r="G7542" s="1"/>
      <c r="H7542" s="3">
        <f>IFERROR(__xludf.DUMMYFUNCTION("""COMPUTED_VALUE"""),0.5)</f>
        <v>0.5</v>
      </c>
      <c r="I7542" s="4">
        <f>IFERROR(__xludf.DUMMYFUNCTION("""COMPUTED_VALUE"""),0.0)</f>
        <v>0</v>
      </c>
      <c r="J7542" s="1" t="str">
        <f>IFERROR(__xludf.DUMMYFUNCTION("""COMPUTED_VALUE"""),"Mikhaela Decangchon")</f>
        <v>Mikhaela Decangchon</v>
      </c>
      <c r="K7542" s="1" t="str">
        <f>IFERROR(__xludf.DUMMYFUNCTION("""COMPUTED_VALUE"""),"Advanced Product Support")</f>
        <v>Advanced Product Support</v>
      </c>
      <c r="L7542" s="1" t="str">
        <f>IFERROR(__xludf.DUMMYFUNCTION("""COMPUTED_VALUE"""),"CPS Advanced Product Support (APS)")</f>
        <v>CPS Advanced Product Support (APS)</v>
      </c>
    </row>
    <row r="7543">
      <c r="A7543" s="1" t="str">
        <f>IFERROR(__xludf.DUMMYFUNCTION("""COMPUTED_VALUE"""),"2025 Dec")</f>
        <v>2025 Dec</v>
      </c>
      <c r="B7543" s="2">
        <f>IFERROR(__xludf.DUMMYFUNCTION("""COMPUTED_VALUE"""),46013.0)</f>
        <v>46013</v>
      </c>
      <c r="C7543" s="1" t="str">
        <f>IFERROR(__xludf.DUMMYFUNCTION("""COMPUTED_VALUE"""),"Core Product Support")</f>
        <v>Core Product Support</v>
      </c>
      <c r="D7543" s="1" t="str">
        <f>IFERROR(__xludf.DUMMYFUNCTION("""COMPUTED_VALUE"""),"b0e1557c-d0d9-4265-a67b-f94aae240d24")</f>
        <v>b0e1557c-d0d9-4265-a67b-f94aae240d24</v>
      </c>
      <c r="E7543" s="1">
        <f>IFERROR(__xludf.DUMMYFUNCTION("""COMPUTED_VALUE"""),8.519267619343E12)</f>
        <v>8519267619343</v>
      </c>
      <c r="F7543" s="1">
        <f>IFERROR(__xludf.DUMMYFUNCTION("""COMPUTED_VALUE"""),0.5)</f>
        <v>0.5</v>
      </c>
      <c r="G7543" s="1"/>
      <c r="H7543" s="3">
        <f>IFERROR(__xludf.DUMMYFUNCTION("""COMPUTED_VALUE"""),0.5)</f>
        <v>0.5</v>
      </c>
      <c r="I7543" s="4">
        <f>IFERROR(__xludf.DUMMYFUNCTION("""COMPUTED_VALUE"""),0.0)</f>
        <v>0</v>
      </c>
      <c r="J7543" s="1" t="str">
        <f>IFERROR(__xludf.DUMMYFUNCTION("""COMPUTED_VALUE"""),"Jahmie Mae Barrameda")</f>
        <v>Jahmie Mae Barrameda</v>
      </c>
      <c r="K7543" s="1" t="str">
        <f>IFERROR(__xludf.DUMMYFUNCTION("""COMPUTED_VALUE"""),"Advanced Billing &amp; Subscriptions")</f>
        <v>Advanced Billing &amp; Subscriptions</v>
      </c>
      <c r="L7543" s="1" t="str">
        <f>IFERROR(__xludf.DUMMYFUNCTION("""COMPUTED_VALUE"""),"CPS Advanced Billing and Subscriptions (ABS)")</f>
        <v>CPS Advanced Billing and Subscriptions (ABS)</v>
      </c>
    </row>
    <row r="7544">
      <c r="A7544" s="1" t="str">
        <f>IFERROR(__xludf.DUMMYFUNCTION("""COMPUTED_VALUE"""),"2025 Dec")</f>
        <v>2025 Dec</v>
      </c>
      <c r="B7544" s="2">
        <f>IFERROR(__xludf.DUMMYFUNCTION("""COMPUTED_VALUE"""),46013.0)</f>
        <v>46013</v>
      </c>
      <c r="C7544" s="1" t="str">
        <f>IFERROR(__xludf.DUMMYFUNCTION("""COMPUTED_VALUE"""),"Core Product Support")</f>
        <v>Core Product Support</v>
      </c>
      <c r="D7544" s="1" t="str">
        <f>IFERROR(__xludf.DUMMYFUNCTION("""COMPUTED_VALUE"""),"042e5ee4-7da0-42f9-92d0-d66496630cb9")</f>
        <v>042e5ee4-7da0-42f9-92d0-d66496630cb9</v>
      </c>
      <c r="E7544" s="1">
        <f>IFERROR(__xludf.DUMMYFUNCTION("""COMPUTED_VALUE"""),3.61861298335E11)</f>
        <v>361861298335</v>
      </c>
      <c r="F7544" s="1">
        <f>IFERROR(__xludf.DUMMYFUNCTION("""COMPUTED_VALUE"""),0.5)</f>
        <v>0.5</v>
      </c>
      <c r="G7544" s="1"/>
      <c r="H7544" s="3">
        <f>IFERROR(__xludf.DUMMYFUNCTION("""COMPUTED_VALUE"""),0.5)</f>
        <v>0.5</v>
      </c>
      <c r="I7544" s="4">
        <f>IFERROR(__xludf.DUMMYFUNCTION("""COMPUTED_VALUE"""),0.0)</f>
        <v>0</v>
      </c>
      <c r="J7544" s="1" t="str">
        <f>IFERROR(__xludf.DUMMYFUNCTION("""COMPUTED_VALUE"""),"Renette Bok")</f>
        <v>Renette Bok</v>
      </c>
      <c r="K7544" s="1" t="str">
        <f>IFERROR(__xludf.DUMMYFUNCTION("""COMPUTED_VALUE"""),"Advanced Billing &amp; Subscriptions")</f>
        <v>Advanced Billing &amp; Subscriptions</v>
      </c>
      <c r="L7544" s="1" t="str">
        <f>IFERROR(__xludf.DUMMYFUNCTION("""COMPUTED_VALUE"""),"CPS Advanced Billing and Subscriptions (ABS)")</f>
        <v>CPS Advanced Billing and Subscriptions (ABS)</v>
      </c>
    </row>
    <row r="7545">
      <c r="A7545" s="1" t="str">
        <f>IFERROR(__xludf.DUMMYFUNCTION("""COMPUTED_VALUE"""),"2025 Dec")</f>
        <v>2025 Dec</v>
      </c>
      <c r="B7545" s="2">
        <f>IFERROR(__xludf.DUMMYFUNCTION("""COMPUTED_VALUE"""),46013.0)</f>
        <v>46013</v>
      </c>
      <c r="C7545" s="1" t="str">
        <f>IFERROR(__xludf.DUMMYFUNCTION("""COMPUTED_VALUE"""),"Core Product Support")</f>
        <v>Core Product Support</v>
      </c>
      <c r="D7545" s="1" t="str">
        <f>IFERROR(__xludf.DUMMYFUNCTION("""COMPUTED_VALUE"""),"0cc61976-099e-4704-9248-c0d612333122")</f>
        <v>0cc61976-099e-4704-9248-c0d612333122</v>
      </c>
      <c r="E7545" s="1">
        <f>IFERROR(__xludf.DUMMYFUNCTION("""COMPUTED_VALUE"""),4.502607605263E12)</f>
        <v>4502607605263</v>
      </c>
      <c r="F7545" s="1"/>
      <c r="G7545" s="1">
        <f>IFERROR(__xludf.DUMMYFUNCTION("""COMPUTED_VALUE"""),1.5)</f>
        <v>1.5</v>
      </c>
      <c r="H7545" s="3">
        <f>IFERROR(__xludf.DUMMYFUNCTION("""COMPUTED_VALUE"""),1.5)</f>
        <v>1.5</v>
      </c>
      <c r="I7545" s="4">
        <f>IFERROR(__xludf.DUMMYFUNCTION("""COMPUTED_VALUE"""),1.0)</f>
        <v>1</v>
      </c>
      <c r="J7545" s="1" t="str">
        <f>IFERROR(__xludf.DUMMYFUNCTION("""COMPUTED_VALUE"""),"Ellaine Estayo")</f>
        <v>Ellaine Estayo</v>
      </c>
      <c r="K7545" s="1" t="str">
        <f>IFERROR(__xludf.DUMMYFUNCTION("""COMPUTED_VALUE"""),"Core Product Support Escalation Team")</f>
        <v>Core Product Support Escalation Team</v>
      </c>
      <c r="L7545" s="1" t="str">
        <f>IFERROR(__xludf.DUMMYFUNCTION("""COMPUTED_VALUE"""),"CPS Core Product Support Escalations (CPSET)")</f>
        <v>CPS Core Product Support Escalations (CPSET)</v>
      </c>
    </row>
    <row r="7546">
      <c r="A7546" s="1" t="str">
        <f>IFERROR(__xludf.DUMMYFUNCTION("""COMPUTED_VALUE"""),"2025 Dec")</f>
        <v>2025 Dec</v>
      </c>
      <c r="B7546" s="2">
        <f>IFERROR(__xludf.DUMMYFUNCTION("""COMPUTED_VALUE"""),46013.0)</f>
        <v>46013</v>
      </c>
      <c r="C7546" s="1" t="str">
        <f>IFERROR(__xludf.DUMMYFUNCTION("""COMPUTED_VALUE"""),"Print Support")</f>
        <v>Print Support</v>
      </c>
      <c r="D7546" s="1" t="str">
        <f>IFERROR(__xludf.DUMMYFUNCTION("""COMPUTED_VALUE"""),"1eb6d900-9254-4ad7-b5e2-1f27f00e2077")</f>
        <v>1eb6d900-9254-4ad7-b5e2-1f27f00e2077</v>
      </c>
      <c r="E7546" s="1">
        <f>IFERROR(__xludf.DUMMYFUNCTION("""COMPUTED_VALUE"""),1.3477715168271E13)</f>
        <v>13477715168271</v>
      </c>
      <c r="F7546" s="1"/>
      <c r="G7546" s="1"/>
      <c r="H7546" s="3">
        <f>IFERROR(__xludf.DUMMYFUNCTION("""COMPUTED_VALUE"""),0.0)</f>
        <v>0</v>
      </c>
      <c r="I7546" s="4"/>
      <c r="J7546" s="1" t="str">
        <f>IFERROR(__xludf.DUMMYFUNCTION("""COMPUTED_VALUE"""),"Jan Domingo")</f>
        <v>Jan Domingo</v>
      </c>
      <c r="K7546" s="1" t="str">
        <f>IFERROR(__xludf.DUMMYFUNCTION("""COMPUTED_VALUE"""),"Print Design Support")</f>
        <v>Print Design Support</v>
      </c>
      <c r="L7546" s="1" t="str">
        <f>IFERROR(__xludf.DUMMYFUNCTION("""COMPUTED_VALUE"""),"Print Print Design")</f>
        <v>Print Print Design</v>
      </c>
    </row>
    <row r="7547">
      <c r="A7547" s="1" t="str">
        <f>IFERROR(__xludf.DUMMYFUNCTION("""COMPUTED_VALUE"""),"2025 Dec")</f>
        <v>2025 Dec</v>
      </c>
      <c r="B7547" s="2">
        <f>IFERROR(__xludf.DUMMYFUNCTION("""COMPUTED_VALUE"""),46013.0)</f>
        <v>46013</v>
      </c>
      <c r="C7547" s="1" t="str">
        <f>IFERROR(__xludf.DUMMYFUNCTION("""COMPUTED_VALUE"""),"Core Product Support")</f>
        <v>Core Product Support</v>
      </c>
      <c r="D7547" s="1" t="str">
        <f>IFERROR(__xludf.DUMMYFUNCTION("""COMPUTED_VALUE"""),"fb4299a4-0e59-4c64-8fbb-5fd3f6a3cb3e")</f>
        <v>fb4299a4-0e59-4c64-8fbb-5fd3f6a3cb3e</v>
      </c>
      <c r="E7547" s="1">
        <f>IFERROR(__xludf.DUMMYFUNCTION("""COMPUTED_VALUE"""),3.61964324536E11)</f>
        <v>361964324536</v>
      </c>
      <c r="F7547" s="1">
        <f>IFERROR(__xludf.DUMMYFUNCTION("""COMPUTED_VALUE"""),0.5)</f>
        <v>0.5</v>
      </c>
      <c r="G7547" s="1">
        <f>IFERROR(__xludf.DUMMYFUNCTION("""COMPUTED_VALUE"""),2.5)</f>
        <v>2.5</v>
      </c>
      <c r="H7547" s="3">
        <f>IFERROR(__xludf.DUMMYFUNCTION("""COMPUTED_VALUE"""),3.0)</f>
        <v>3</v>
      </c>
      <c r="I7547" s="4">
        <f>IFERROR(__xludf.DUMMYFUNCTION("""COMPUTED_VALUE"""),0.8333333333333334)</f>
        <v>0.8333333333</v>
      </c>
      <c r="J7547" s="1" t="str">
        <f>IFERROR(__xludf.DUMMYFUNCTION("""COMPUTED_VALUE"""),"Sieg Ballelos")</f>
        <v>Sieg Ballelos</v>
      </c>
      <c r="K7547" s="1" t="str">
        <f>IFERROR(__xludf.DUMMYFUNCTION("""COMPUTED_VALUE"""),"Core Product Support Escalation Team")</f>
        <v>Core Product Support Escalation Team</v>
      </c>
      <c r="L7547" s="1" t="str">
        <f>IFERROR(__xludf.DUMMYFUNCTION("""COMPUTED_VALUE"""),"CPS Core Product Support Escalations (CPSET)")</f>
        <v>CPS Core Product Support Escalations (CPSET)</v>
      </c>
    </row>
    <row r="7548">
      <c r="A7548" s="1" t="str">
        <f>IFERROR(__xludf.DUMMYFUNCTION("""COMPUTED_VALUE"""),"2025 Dec")</f>
        <v>2025 Dec</v>
      </c>
      <c r="B7548" s="2">
        <f>IFERROR(__xludf.DUMMYFUNCTION("""COMPUTED_VALUE"""),46013.0)</f>
        <v>46013</v>
      </c>
      <c r="C7548" s="1" t="str">
        <f>IFERROR(__xludf.DUMMYFUNCTION("""COMPUTED_VALUE"""),"Admin Support")</f>
        <v>Admin Support</v>
      </c>
      <c r="D7548" s="1" t="str">
        <f>IFERROR(__xludf.DUMMYFUNCTION("""COMPUTED_VALUE"""),"b9737663-79f8-4cad-a8f9-6db9a37d36bf")</f>
        <v>b9737663-79f8-4cad-a8f9-6db9a37d36bf</v>
      </c>
      <c r="E7548" s="1">
        <f>IFERROR(__xludf.DUMMYFUNCTION("""COMPUTED_VALUE"""),3.61726427416E11)</f>
        <v>361726427416</v>
      </c>
      <c r="F7548" s="1"/>
      <c r="G7548" s="1"/>
      <c r="H7548" s="3">
        <f>IFERROR(__xludf.DUMMYFUNCTION("""COMPUTED_VALUE"""),0.0)</f>
        <v>0</v>
      </c>
      <c r="I7548" s="4"/>
      <c r="J7548" s="1" t="str">
        <f>IFERROR(__xludf.DUMMYFUNCTION("""COMPUTED_VALUE"""),"Camille Alvarez")</f>
        <v>Camille Alvarez</v>
      </c>
      <c r="K7548" s="1" t="str">
        <f>IFERROR(__xludf.DUMMYFUNCTION("""COMPUTED_VALUE"""),"Admin Support PH SSO")</f>
        <v>Admin Support PH SSO</v>
      </c>
      <c r="L7548" s="1" t="str">
        <f>IFERROR(__xludf.DUMMYFUNCTION("""COMPUTED_VALUE"""),"Admin SSO - SEE")</f>
        <v>Admin SSO - SEE</v>
      </c>
    </row>
    <row r="7549">
      <c r="A7549" s="1" t="str">
        <f>IFERROR(__xludf.DUMMYFUNCTION("""COMPUTED_VALUE"""),"2025 Dec")</f>
        <v>2025 Dec</v>
      </c>
      <c r="B7549" s="2">
        <f>IFERROR(__xludf.DUMMYFUNCTION("""COMPUTED_VALUE"""),46013.0)</f>
        <v>46013</v>
      </c>
      <c r="C7549" s="1" t="str">
        <f>IFERROR(__xludf.DUMMYFUNCTION("""COMPUTED_VALUE"""),"Core Product Support")</f>
        <v>Core Product Support</v>
      </c>
      <c r="D7549" s="1" t="str">
        <f>IFERROR(__xludf.DUMMYFUNCTION("""COMPUTED_VALUE"""),"253d67a9-d468-454b-b17c-b16b05cc6794")</f>
        <v>253d67a9-d468-454b-b17c-b16b05cc6794</v>
      </c>
      <c r="E7549" s="1">
        <f>IFERROR(__xludf.DUMMYFUNCTION("""COMPUTED_VALUE"""),1.0333034131599E13)</f>
        <v>10333034131599</v>
      </c>
      <c r="F7549" s="1">
        <f>IFERROR(__xludf.DUMMYFUNCTION("""COMPUTED_VALUE"""),0.5)</f>
        <v>0.5</v>
      </c>
      <c r="G7549" s="1"/>
      <c r="H7549" s="3">
        <f>IFERROR(__xludf.DUMMYFUNCTION("""COMPUTED_VALUE"""),0.5)</f>
        <v>0.5</v>
      </c>
      <c r="I7549" s="4">
        <f>IFERROR(__xludf.DUMMYFUNCTION("""COMPUTED_VALUE"""),0.0)</f>
        <v>0</v>
      </c>
      <c r="J7549" s="1" t="str">
        <f>IFERROR(__xludf.DUMMYFUNCTION("""COMPUTED_VALUE"""),"Marie Mordeno")</f>
        <v>Marie Mordeno</v>
      </c>
      <c r="K7549" s="1" t="str">
        <f>IFERROR(__xludf.DUMMYFUNCTION("""COMPUTED_VALUE"""),"Advanced Billing &amp; Subscriptions")</f>
        <v>Advanced Billing &amp; Subscriptions</v>
      </c>
      <c r="L7549" s="1" t="str">
        <f>IFERROR(__xludf.DUMMYFUNCTION("""COMPUTED_VALUE"""),"CPS Advanced Billing and Subscriptions (ABS)")</f>
        <v>CPS Advanced Billing and Subscriptions (ABS)</v>
      </c>
    </row>
    <row r="7550">
      <c r="A7550" s="1" t="str">
        <f>IFERROR(__xludf.DUMMYFUNCTION("""COMPUTED_VALUE"""),"2025 Dec")</f>
        <v>2025 Dec</v>
      </c>
      <c r="B7550" s="2">
        <f>IFERROR(__xludf.DUMMYFUNCTION("""COMPUTED_VALUE"""),46013.0)</f>
        <v>46013</v>
      </c>
      <c r="C7550" s="1" t="str">
        <f>IFERROR(__xludf.DUMMYFUNCTION("""COMPUTED_VALUE"""),"Core Product Support")</f>
        <v>Core Product Support</v>
      </c>
      <c r="D7550" s="1" t="str">
        <f>IFERROR(__xludf.DUMMYFUNCTION("""COMPUTED_VALUE"""),"e2ffb663-8d10-4463-8bb8-3bd130fdce1c")</f>
        <v>e2ffb663-8d10-4463-8bb8-3bd130fdce1c</v>
      </c>
      <c r="E7550" s="1">
        <f>IFERROR(__xludf.DUMMYFUNCTION("""COMPUTED_VALUE"""),1.1279730843407E13)</f>
        <v>11279730843407</v>
      </c>
      <c r="F7550" s="1"/>
      <c r="G7550" s="1"/>
      <c r="H7550" s="3">
        <f>IFERROR(__xludf.DUMMYFUNCTION("""COMPUTED_VALUE"""),0.0)</f>
        <v>0</v>
      </c>
      <c r="I7550" s="4"/>
      <c r="J7550" s="1" t="str">
        <f>IFERROR(__xludf.DUMMYFUNCTION("""COMPUTED_VALUE"""),"Ayza Marie Pascual")</f>
        <v>Ayza Marie Pascual</v>
      </c>
      <c r="K7550" s="1" t="str">
        <f>IFERROR(__xludf.DUMMYFUNCTION("""COMPUTED_VALUE"""),"Advanced Billing &amp; Subscriptions")</f>
        <v>Advanced Billing &amp; Subscriptions</v>
      </c>
      <c r="L7550" s="1" t="str">
        <f>IFERROR(__xludf.DUMMYFUNCTION("""COMPUTED_VALUE"""),"CPS Advanced Billing and Subscriptions (ABS)")</f>
        <v>CPS Advanced Billing and Subscriptions (ABS)</v>
      </c>
    </row>
    <row r="7551">
      <c r="A7551" s="1" t="str">
        <f>IFERROR(__xludf.DUMMYFUNCTION("""COMPUTED_VALUE"""),"2025 Dec")</f>
        <v>2025 Dec</v>
      </c>
      <c r="B7551" s="2">
        <f>IFERROR(__xludf.DUMMYFUNCTION("""COMPUTED_VALUE"""),46013.0)</f>
        <v>46013</v>
      </c>
      <c r="C7551" s="1" t="str">
        <f>IFERROR(__xludf.DUMMYFUNCTION("""COMPUTED_VALUE"""),"Core Product Support")</f>
        <v>Core Product Support</v>
      </c>
      <c r="D7551" s="1" t="str">
        <f>IFERROR(__xludf.DUMMYFUNCTION("""COMPUTED_VALUE"""),"1a6492df-fa9a-416f-b1d1-da6edc22036f")</f>
        <v>1a6492df-fa9a-416f-b1d1-da6edc22036f</v>
      </c>
      <c r="E7551" s="1">
        <f>IFERROR(__xludf.DUMMYFUNCTION("""COMPUTED_VALUE"""),7.874569114383E12)</f>
        <v>7874569114383</v>
      </c>
      <c r="F7551" s="1">
        <f>IFERROR(__xludf.DUMMYFUNCTION("""COMPUTED_VALUE"""),0.5)</f>
        <v>0.5</v>
      </c>
      <c r="G7551" s="1"/>
      <c r="H7551" s="3">
        <f>IFERROR(__xludf.DUMMYFUNCTION("""COMPUTED_VALUE"""),0.5)</f>
        <v>0.5</v>
      </c>
      <c r="I7551" s="4">
        <f>IFERROR(__xludf.DUMMYFUNCTION("""COMPUTED_VALUE"""),0.0)</f>
        <v>0</v>
      </c>
      <c r="J7551" s="1" t="str">
        <f>IFERROR(__xludf.DUMMYFUNCTION("""COMPUTED_VALUE"""),"Ana Lazaro")</f>
        <v>Ana Lazaro</v>
      </c>
      <c r="K7551" s="1" t="str">
        <f>IFERROR(__xludf.DUMMYFUNCTION("""COMPUTED_VALUE"""),"Advanced Billing &amp; Subscriptions")</f>
        <v>Advanced Billing &amp; Subscriptions</v>
      </c>
      <c r="L7551" s="1" t="str">
        <f>IFERROR(__xludf.DUMMYFUNCTION("""COMPUTED_VALUE"""),"CPS Advanced Billing and Subscriptions (ABS)")</f>
        <v>CPS Advanced Billing and Subscriptions (ABS)</v>
      </c>
    </row>
    <row r="7552">
      <c r="A7552" s="1" t="str">
        <f>IFERROR(__xludf.DUMMYFUNCTION("""COMPUTED_VALUE"""),"2025 Dec")</f>
        <v>2025 Dec</v>
      </c>
      <c r="B7552" s="2">
        <f>IFERROR(__xludf.DUMMYFUNCTION("""COMPUTED_VALUE"""),46013.0)</f>
        <v>46013</v>
      </c>
      <c r="C7552" s="1" t="str">
        <f>IFERROR(__xludf.DUMMYFUNCTION("""COMPUTED_VALUE"""),"High Sensitivity Support")</f>
        <v>High Sensitivity Support</v>
      </c>
      <c r="D7552" s="1" t="str">
        <f>IFERROR(__xludf.DUMMYFUNCTION("""COMPUTED_VALUE"""),"8b075f45-27b1-469e-bbc3-e97261e6934d")</f>
        <v>8b075f45-27b1-469e-bbc3-e97261e6934d</v>
      </c>
      <c r="E7552" s="1">
        <f>IFERROR(__xludf.DUMMYFUNCTION("""COMPUTED_VALUE"""),5.202423769487E12)</f>
        <v>5202423769487</v>
      </c>
      <c r="F7552" s="1">
        <f>IFERROR(__xludf.DUMMYFUNCTION("""COMPUTED_VALUE"""),4.0)</f>
        <v>4</v>
      </c>
      <c r="G7552" s="1"/>
      <c r="H7552" s="3">
        <f>IFERROR(__xludf.DUMMYFUNCTION("""COMPUTED_VALUE"""),4.0)</f>
        <v>4</v>
      </c>
      <c r="I7552" s="4">
        <f>IFERROR(__xludf.DUMMYFUNCTION("""COMPUTED_VALUE"""),0.0)</f>
        <v>0</v>
      </c>
      <c r="J7552" s="1" t="str">
        <f>IFERROR(__xludf.DUMMYFUNCTION("""COMPUTED_VALUE"""),"Rex Villamor")</f>
        <v>Rex Villamor</v>
      </c>
      <c r="K7552" s="1" t="str">
        <f>IFERROR(__xludf.DUMMYFUNCTION("""COMPUTED_VALUE"""),"High Sensitivity Support PH")</f>
        <v>High Sensitivity Support PH</v>
      </c>
      <c r="L7552" s="1" t="str">
        <f>IFERROR(__xludf.DUMMYFUNCTION("""COMPUTED_VALUE"""),"HSS High Sensitivity Support PH - CHT")</f>
        <v>HSS High Sensitivity Support PH - CHT</v>
      </c>
    </row>
    <row r="7553">
      <c r="A7553" s="1" t="str">
        <f>IFERROR(__xludf.DUMMYFUNCTION("""COMPUTED_VALUE"""),"2025 Dec")</f>
        <v>2025 Dec</v>
      </c>
      <c r="B7553" s="2">
        <f>IFERROR(__xludf.DUMMYFUNCTION("""COMPUTED_VALUE"""),46013.0)</f>
        <v>46013</v>
      </c>
      <c r="C7553" s="1" t="str">
        <f>IFERROR(__xludf.DUMMYFUNCTION("""COMPUTED_VALUE"""),"Core Product Support")</f>
        <v>Core Product Support</v>
      </c>
      <c r="D7553" s="1" t="str">
        <f>IFERROR(__xludf.DUMMYFUNCTION("""COMPUTED_VALUE"""),"50f6ee84-cef1-4ed8-84ed-42a64211811d")</f>
        <v>50f6ee84-cef1-4ed8-84ed-42a64211811d</v>
      </c>
      <c r="E7553" s="1">
        <f>IFERROR(__xludf.DUMMYFUNCTION("""COMPUTED_VALUE"""),3.61688608636E11)</f>
        <v>361688608636</v>
      </c>
      <c r="F7553" s="1">
        <f>IFERROR(__xludf.DUMMYFUNCTION("""COMPUTED_VALUE"""),1.0)</f>
        <v>1</v>
      </c>
      <c r="G7553" s="1">
        <f>IFERROR(__xludf.DUMMYFUNCTION("""COMPUTED_VALUE"""),2.5)</f>
        <v>2.5</v>
      </c>
      <c r="H7553" s="3">
        <f>IFERROR(__xludf.DUMMYFUNCTION("""COMPUTED_VALUE"""),3.5)</f>
        <v>3.5</v>
      </c>
      <c r="I7553" s="4">
        <f>IFERROR(__xludf.DUMMYFUNCTION("""COMPUTED_VALUE"""),0.7142857142857143)</f>
        <v>0.7142857143</v>
      </c>
      <c r="J7553" s="1" t="str">
        <f>IFERROR(__xludf.DUMMYFUNCTION("""COMPUTED_VALUE"""),"Sieg Ballelos")</f>
        <v>Sieg Ballelos</v>
      </c>
      <c r="K7553" s="1" t="str">
        <f>IFERROR(__xludf.DUMMYFUNCTION("""COMPUTED_VALUE"""),"Core Product Support Escalation Team")</f>
        <v>Core Product Support Escalation Team</v>
      </c>
      <c r="L7553" s="1" t="str">
        <f>IFERROR(__xludf.DUMMYFUNCTION("""COMPUTED_VALUE"""),"CPS Core Product Support Escalations (CPSET)")</f>
        <v>CPS Core Product Support Escalations (CPSET)</v>
      </c>
    </row>
    <row r="7554">
      <c r="A7554" s="1" t="str">
        <f>IFERROR(__xludf.DUMMYFUNCTION("""COMPUTED_VALUE"""),"2025 Dec")</f>
        <v>2025 Dec</v>
      </c>
      <c r="B7554" s="2">
        <f>IFERROR(__xludf.DUMMYFUNCTION("""COMPUTED_VALUE"""),46013.0)</f>
        <v>46013</v>
      </c>
      <c r="C7554" s="1" t="str">
        <f>IFERROR(__xludf.DUMMYFUNCTION("""COMPUTED_VALUE"""),"Segment-specific Support")</f>
        <v>Segment-specific Support</v>
      </c>
      <c r="D7554" s="1" t="str">
        <f>IFERROR(__xludf.DUMMYFUNCTION("""COMPUTED_VALUE"""),"68027150-37ee-48bc-8dee-e459591aca37")</f>
        <v>68027150-37ee-48bc-8dee-e459591aca37</v>
      </c>
      <c r="E7554" s="1">
        <f>IFERROR(__xludf.DUMMYFUNCTION("""COMPUTED_VALUE"""),9.586408606607E12)</f>
        <v>9586408606607</v>
      </c>
      <c r="F7554" s="1"/>
      <c r="G7554" s="1"/>
      <c r="H7554" s="3">
        <f>IFERROR(__xludf.DUMMYFUNCTION("""COMPUTED_VALUE"""),0.0)</f>
        <v>0</v>
      </c>
      <c r="I7554" s="4"/>
      <c r="J7554" s="1" t="str">
        <f>IFERROR(__xludf.DUMMYFUNCTION("""COMPUTED_VALUE"""),"Tash Kelly")</f>
        <v>Tash Kelly</v>
      </c>
      <c r="K7554" s="1" t="str">
        <f>IFERROR(__xludf.DUMMYFUNCTION("""COMPUTED_VALUE"""),"Affinity Support")</f>
        <v>Affinity Support</v>
      </c>
      <c r="L7554" s="1" t="str">
        <f>IFERROR(__xludf.DUMMYFUNCTION("""COMPUTED_VALUE"""),"SSS Affinity")</f>
        <v>SSS Affinity</v>
      </c>
    </row>
    <row r="7555">
      <c r="A7555" s="1" t="str">
        <f>IFERROR(__xludf.DUMMYFUNCTION("""COMPUTED_VALUE"""),"2025 Dec")</f>
        <v>2025 Dec</v>
      </c>
      <c r="B7555" s="2">
        <f>IFERROR(__xludf.DUMMYFUNCTION("""COMPUTED_VALUE"""),46013.0)</f>
        <v>46013</v>
      </c>
      <c r="C7555" s="1" t="str">
        <f>IFERROR(__xludf.DUMMYFUNCTION("""COMPUTED_VALUE"""),"Core Product Support")</f>
        <v>Core Product Support</v>
      </c>
      <c r="D7555" s="1" t="str">
        <f>IFERROR(__xludf.DUMMYFUNCTION("""COMPUTED_VALUE"""),"2417322d-d75a-4184-9e3c-95ae48393a05")</f>
        <v>2417322d-d75a-4184-9e3c-95ae48393a05</v>
      </c>
      <c r="E7555" s="1">
        <f>IFERROR(__xludf.DUMMYFUNCTION("""COMPUTED_VALUE"""),3.61861297995E11)</f>
        <v>361861297995</v>
      </c>
      <c r="F7555" s="1">
        <f>IFERROR(__xludf.DUMMYFUNCTION("""COMPUTED_VALUE"""),0.5)</f>
        <v>0.5</v>
      </c>
      <c r="G7555" s="1"/>
      <c r="H7555" s="3">
        <f>IFERROR(__xludf.DUMMYFUNCTION("""COMPUTED_VALUE"""),0.5)</f>
        <v>0.5</v>
      </c>
      <c r="I7555" s="4">
        <f>IFERROR(__xludf.DUMMYFUNCTION("""COMPUTED_VALUE"""),0.0)</f>
        <v>0</v>
      </c>
      <c r="J7555" s="1" t="str">
        <f>IFERROR(__xludf.DUMMYFUNCTION("""COMPUTED_VALUE"""),"Jem Mondoñedo")</f>
        <v>Jem Mondoñedo</v>
      </c>
      <c r="K7555" s="1" t="str">
        <f>IFERROR(__xludf.DUMMYFUNCTION("""COMPUTED_VALUE"""),"Advanced Chat Support")</f>
        <v>Advanced Chat Support</v>
      </c>
      <c r="L7555" s="1" t="str">
        <f>IFERROR(__xludf.DUMMYFUNCTION("""COMPUTED_VALUE"""),"CPS Advanced Chat Support (ACS)")</f>
        <v>CPS Advanced Chat Support (ACS)</v>
      </c>
    </row>
    <row r="7556">
      <c r="A7556" s="1" t="str">
        <f>IFERROR(__xludf.DUMMYFUNCTION("""COMPUTED_VALUE"""),"2025 Dec")</f>
        <v>2025 Dec</v>
      </c>
      <c r="B7556" s="2">
        <f>IFERROR(__xludf.DUMMYFUNCTION("""COMPUTED_VALUE"""),46013.0)</f>
        <v>46013</v>
      </c>
      <c r="C7556" s="1" t="str">
        <f>IFERROR(__xludf.DUMMYFUNCTION("""COMPUTED_VALUE"""),"Segment-specific Support")</f>
        <v>Segment-specific Support</v>
      </c>
      <c r="D7556" s="1" t="str">
        <f>IFERROR(__xludf.DUMMYFUNCTION("""COMPUTED_VALUE"""),"4cae5e1d-2159-4afc-b9cd-a826e7f3982e")</f>
        <v>4cae5e1d-2159-4afc-b9cd-a826e7f3982e</v>
      </c>
      <c r="E7556" s="1">
        <f>IFERROR(__xludf.DUMMYFUNCTION("""COMPUTED_VALUE"""),3.61726424816E11)</f>
        <v>361726424816</v>
      </c>
      <c r="F7556" s="1"/>
      <c r="G7556" s="1"/>
      <c r="H7556" s="3">
        <f>IFERROR(__xludf.DUMMYFUNCTION("""COMPUTED_VALUE"""),0.0)</f>
        <v>0</v>
      </c>
      <c r="I7556" s="4"/>
      <c r="J7556" s="1" t="str">
        <f>IFERROR(__xludf.DUMMYFUNCTION("""COMPUTED_VALUE"""),"Aileen Dayanghirang")</f>
        <v>Aileen Dayanghirang</v>
      </c>
      <c r="K7556" s="1" t="str">
        <f>IFERROR(__xludf.DUMMYFUNCTION("""COMPUTED_VALUE"""),"Creators Support")</f>
        <v>Creators Support</v>
      </c>
      <c r="L7556" s="1" t="str">
        <f>IFERROR(__xludf.DUMMYFUNCTION("""COMPUTED_VALUE"""),"SSS Creators")</f>
        <v>SSS Creators</v>
      </c>
    </row>
    <row r="7557">
      <c r="A7557" s="1" t="str">
        <f>IFERROR(__xludf.DUMMYFUNCTION("""COMPUTED_VALUE"""),"2025 Dec")</f>
        <v>2025 Dec</v>
      </c>
      <c r="B7557" s="2">
        <f>IFERROR(__xludf.DUMMYFUNCTION("""COMPUTED_VALUE"""),46013.0)</f>
        <v>46013</v>
      </c>
      <c r="C7557" s="1" t="str">
        <f>IFERROR(__xludf.DUMMYFUNCTION("""COMPUTED_VALUE"""),"Core Product Support")</f>
        <v>Core Product Support</v>
      </c>
      <c r="D7557" s="1" t="str">
        <f>IFERROR(__xludf.DUMMYFUNCTION("""COMPUTED_VALUE"""),"ecc3a54c-2b13-4ea5-ad1e-96b8b278e7da")</f>
        <v>ecc3a54c-2b13-4ea5-ad1e-96b8b278e7da</v>
      </c>
      <c r="E7557" s="1">
        <f>IFERROR(__xludf.DUMMYFUNCTION("""COMPUTED_VALUE"""),1.0333050571535E13)</f>
        <v>10333050571535</v>
      </c>
      <c r="F7557" s="1">
        <f>IFERROR(__xludf.DUMMYFUNCTION("""COMPUTED_VALUE"""),0.5)</f>
        <v>0.5</v>
      </c>
      <c r="G7557" s="1"/>
      <c r="H7557" s="3">
        <f>IFERROR(__xludf.DUMMYFUNCTION("""COMPUTED_VALUE"""),0.5)</f>
        <v>0.5</v>
      </c>
      <c r="I7557" s="4">
        <f>IFERROR(__xludf.DUMMYFUNCTION("""COMPUTED_VALUE"""),0.0)</f>
        <v>0</v>
      </c>
      <c r="J7557" s="1" t="str">
        <f>IFERROR(__xludf.DUMMYFUNCTION("""COMPUTED_VALUE"""),"Mikhaela Decangchon")</f>
        <v>Mikhaela Decangchon</v>
      </c>
      <c r="K7557" s="1" t="str">
        <f>IFERROR(__xludf.DUMMYFUNCTION("""COMPUTED_VALUE"""),"Advanced Product Support")</f>
        <v>Advanced Product Support</v>
      </c>
      <c r="L7557" s="1" t="str">
        <f>IFERROR(__xludf.DUMMYFUNCTION("""COMPUTED_VALUE"""),"CPS Advanced Product Support (APS)")</f>
        <v>CPS Advanced Product Support (APS)</v>
      </c>
    </row>
    <row r="7558">
      <c r="A7558" s="1" t="str">
        <f>IFERROR(__xludf.DUMMYFUNCTION("""COMPUTED_VALUE"""),"2025 Dec")</f>
        <v>2025 Dec</v>
      </c>
      <c r="B7558" s="2">
        <f>IFERROR(__xludf.DUMMYFUNCTION("""COMPUTED_VALUE"""),46013.0)</f>
        <v>46013</v>
      </c>
      <c r="C7558" s="1" t="str">
        <f>IFERROR(__xludf.DUMMYFUNCTION("""COMPUTED_VALUE"""),"Print Support")</f>
        <v>Print Support</v>
      </c>
      <c r="D7558" s="1" t="str">
        <f>IFERROR(__xludf.DUMMYFUNCTION("""COMPUTED_VALUE"""),"c6cec3c3-9fe7-48ea-b63e-7658cdee4747")</f>
        <v>c6cec3c3-9fe7-48ea-b63e-7658cdee4747</v>
      </c>
      <c r="E7558" s="1">
        <f>IFERROR(__xludf.DUMMYFUNCTION("""COMPUTED_VALUE"""),5.901960272783E12)</f>
        <v>5901960272783</v>
      </c>
      <c r="F7558" s="1"/>
      <c r="G7558" s="1"/>
      <c r="H7558" s="3">
        <f>IFERROR(__xludf.DUMMYFUNCTION("""COMPUTED_VALUE"""),0.0)</f>
        <v>0</v>
      </c>
      <c r="I7558" s="4"/>
      <c r="J7558" s="1" t="str">
        <f>IFERROR(__xludf.DUMMYFUNCTION("""COMPUTED_VALUE"""),"Aliza Dote")</f>
        <v>Aliza Dote</v>
      </c>
      <c r="K7558" s="1" t="str">
        <f>IFERROR(__xludf.DUMMYFUNCTION("""COMPUTED_VALUE"""),"Print Design Support")</f>
        <v>Print Design Support</v>
      </c>
      <c r="L7558" s="1" t="str">
        <f>IFERROR(__xludf.DUMMYFUNCTION("""COMPUTED_VALUE"""),"Print Print Design")</f>
        <v>Print Print Design</v>
      </c>
    </row>
    <row r="7559">
      <c r="A7559" s="1" t="str">
        <f>IFERROR(__xludf.DUMMYFUNCTION("""COMPUTED_VALUE"""),"2025 Dec")</f>
        <v>2025 Dec</v>
      </c>
      <c r="B7559" s="2">
        <f>IFERROR(__xludf.DUMMYFUNCTION("""COMPUTED_VALUE"""),46013.0)</f>
        <v>46013</v>
      </c>
      <c r="C7559" s="1" t="str">
        <f>IFERROR(__xludf.DUMMYFUNCTION("""COMPUTED_VALUE"""),"Admin Support")</f>
        <v>Admin Support</v>
      </c>
      <c r="D7559" s="1" t="str">
        <f>IFERROR(__xludf.DUMMYFUNCTION("""COMPUTED_VALUE"""),"f1bbdd3e-ea42-496f-87a0-14d656a67a92")</f>
        <v>f1bbdd3e-ea42-496f-87a0-14d656a67a92</v>
      </c>
      <c r="E7559" s="1">
        <f>IFERROR(__xludf.DUMMYFUNCTION("""COMPUTED_VALUE"""),5.563904587279E12)</f>
        <v>5563904587279</v>
      </c>
      <c r="F7559" s="1"/>
      <c r="G7559" s="1"/>
      <c r="H7559" s="3">
        <f>IFERROR(__xludf.DUMMYFUNCTION("""COMPUTED_VALUE"""),0.0)</f>
        <v>0</v>
      </c>
      <c r="I7559" s="4"/>
      <c r="J7559" s="1" t="str">
        <f>IFERROR(__xludf.DUMMYFUNCTION("""COMPUTED_VALUE"""),"Tash Kelly")</f>
        <v>Tash Kelly</v>
      </c>
      <c r="K7559" s="1" t="str">
        <f>IFERROR(__xludf.DUMMYFUNCTION("""COMPUTED_VALUE"""),"Admin Support NA")</f>
        <v>Admin Support NA</v>
      </c>
      <c r="L7559" s="1" t="str">
        <f>IFERROR(__xludf.DUMMYFUNCTION("""COMPUTED_VALUE"""),"Admin NA")</f>
        <v>Admin NA</v>
      </c>
    </row>
    <row r="7560">
      <c r="A7560" s="1" t="str">
        <f>IFERROR(__xludf.DUMMYFUNCTION("""COMPUTED_VALUE"""),"2025 Dec")</f>
        <v>2025 Dec</v>
      </c>
      <c r="B7560" s="2">
        <f>IFERROR(__xludf.DUMMYFUNCTION("""COMPUTED_VALUE"""),46013.0)</f>
        <v>46013</v>
      </c>
      <c r="C7560" s="1" t="str">
        <f>IFERROR(__xludf.DUMMYFUNCTION("""COMPUTED_VALUE"""),"Core Product Support")</f>
        <v>Core Product Support</v>
      </c>
      <c r="D7560" s="1" t="str">
        <f>IFERROR(__xludf.DUMMYFUNCTION("""COMPUTED_VALUE"""),"3146744a-956c-4560-bc5a-70bcebe20785")</f>
        <v>3146744a-956c-4560-bc5a-70bcebe20785</v>
      </c>
      <c r="E7560" s="1">
        <f>IFERROR(__xludf.DUMMYFUNCTION("""COMPUTED_VALUE"""),3.61861297835E11)</f>
        <v>361861297835</v>
      </c>
      <c r="F7560" s="1">
        <f>IFERROR(__xludf.DUMMYFUNCTION("""COMPUTED_VALUE"""),0.5)</f>
        <v>0.5</v>
      </c>
      <c r="G7560" s="1"/>
      <c r="H7560" s="3">
        <f>IFERROR(__xludf.DUMMYFUNCTION("""COMPUTED_VALUE"""),0.5)</f>
        <v>0.5</v>
      </c>
      <c r="I7560" s="4">
        <f>IFERROR(__xludf.DUMMYFUNCTION("""COMPUTED_VALUE"""),0.0)</f>
        <v>0</v>
      </c>
      <c r="J7560" s="1" t="str">
        <f>IFERROR(__xludf.DUMMYFUNCTION("""COMPUTED_VALUE"""),"Jem Mondoñedo")</f>
        <v>Jem Mondoñedo</v>
      </c>
      <c r="K7560" s="1" t="str">
        <f>IFERROR(__xludf.DUMMYFUNCTION("""COMPUTED_VALUE"""),"Advanced Chat Support")</f>
        <v>Advanced Chat Support</v>
      </c>
      <c r="L7560" s="1" t="str">
        <f>IFERROR(__xludf.DUMMYFUNCTION("""COMPUTED_VALUE"""),"CPS Advanced Chat Support (ACS)")</f>
        <v>CPS Advanced Chat Support (ACS)</v>
      </c>
    </row>
    <row r="7561">
      <c r="A7561" s="1" t="str">
        <f>IFERROR(__xludf.DUMMYFUNCTION("""COMPUTED_VALUE"""),"2025 Dec")</f>
        <v>2025 Dec</v>
      </c>
      <c r="B7561" s="2">
        <f>IFERROR(__xludf.DUMMYFUNCTION("""COMPUTED_VALUE"""),46013.0)</f>
        <v>46013</v>
      </c>
      <c r="C7561" s="1" t="str">
        <f>IFERROR(__xludf.DUMMYFUNCTION("""COMPUTED_VALUE"""),"Print Support")</f>
        <v>Print Support</v>
      </c>
      <c r="D7561" s="1" t="str">
        <f>IFERROR(__xludf.DUMMYFUNCTION("""COMPUTED_VALUE"""),"30527ca4-aa21-4ba1-bf53-3e00c15dfada")</f>
        <v>30527ca4-aa21-4ba1-bf53-3e00c15dfada</v>
      </c>
      <c r="E7561" s="1">
        <f>IFERROR(__xludf.DUMMYFUNCTION("""COMPUTED_VALUE"""),5.359149526287E12)</f>
        <v>5359149526287</v>
      </c>
      <c r="F7561" s="1"/>
      <c r="G7561" s="1"/>
      <c r="H7561" s="3">
        <f>IFERROR(__xludf.DUMMYFUNCTION("""COMPUTED_VALUE"""),0.0)</f>
        <v>0</v>
      </c>
      <c r="I7561" s="4"/>
      <c r="J7561" s="1" t="str">
        <f>IFERROR(__xludf.DUMMYFUNCTION("""COMPUTED_VALUE"""),"Rae Erlano")</f>
        <v>Rae Erlano</v>
      </c>
      <c r="K7561" s="1" t="str">
        <f>IFERROR(__xludf.DUMMYFUNCTION("""COMPUTED_VALUE"""),"Print Support PH")</f>
        <v>Print Support PH</v>
      </c>
      <c r="L7561" s="1" t="str">
        <f>IFERROR(__xludf.DUMMYFUNCTION("""COMPUTED_VALUE"""),"Print Print - CHT")</f>
        <v>Print Print - CHT</v>
      </c>
    </row>
    <row r="7562">
      <c r="A7562" s="1" t="str">
        <f>IFERROR(__xludf.DUMMYFUNCTION("""COMPUTED_VALUE"""),"2025 Dec")</f>
        <v>2025 Dec</v>
      </c>
      <c r="B7562" s="2">
        <f>IFERROR(__xludf.DUMMYFUNCTION("""COMPUTED_VALUE"""),46013.0)</f>
        <v>46013</v>
      </c>
      <c r="C7562" s="1" t="str">
        <f>IFERROR(__xludf.DUMMYFUNCTION("""COMPUTED_VALUE"""),"High Sensitivity Support")</f>
        <v>High Sensitivity Support</v>
      </c>
      <c r="D7562" s="1" t="str">
        <f>IFERROR(__xludf.DUMMYFUNCTION("""COMPUTED_VALUE"""),"ed28aa1c-230f-414c-b415-191d703a8bac")</f>
        <v>ed28aa1c-230f-414c-b415-191d703a8bac</v>
      </c>
      <c r="E7562" s="1">
        <f>IFERROR(__xludf.DUMMYFUNCTION("""COMPUTED_VALUE"""),8.409870322319E12)</f>
        <v>8409870322319</v>
      </c>
      <c r="F7562" s="1">
        <f>IFERROR(__xludf.DUMMYFUNCTION("""COMPUTED_VALUE"""),4.0)</f>
        <v>4</v>
      </c>
      <c r="G7562" s="1"/>
      <c r="H7562" s="3">
        <f>IFERROR(__xludf.DUMMYFUNCTION("""COMPUTED_VALUE"""),4.0)</f>
        <v>4</v>
      </c>
      <c r="I7562" s="4">
        <f>IFERROR(__xludf.DUMMYFUNCTION("""COMPUTED_VALUE"""),0.0)</f>
        <v>0</v>
      </c>
      <c r="J7562" s="1" t="str">
        <f>IFERROR(__xludf.DUMMYFUNCTION("""COMPUTED_VALUE"""),"Rossheen Pura")</f>
        <v>Rossheen Pura</v>
      </c>
      <c r="K7562" s="1" t="str">
        <f>IFERROR(__xludf.DUMMYFUNCTION("""COMPUTED_VALUE"""),"High Sensitivity Support PH")</f>
        <v>High Sensitivity Support PH</v>
      </c>
      <c r="L7562" s="1" t="str">
        <f>IFERROR(__xludf.DUMMYFUNCTION("""COMPUTED_VALUE"""),"HSS High Sensitivity Support PH - CHT")</f>
        <v>HSS High Sensitivity Support PH - CHT</v>
      </c>
    </row>
    <row r="7563">
      <c r="A7563" s="1" t="str">
        <f>IFERROR(__xludf.DUMMYFUNCTION("""COMPUTED_VALUE"""),"2025 Dec")</f>
        <v>2025 Dec</v>
      </c>
      <c r="B7563" s="2">
        <f>IFERROR(__xludf.DUMMYFUNCTION("""COMPUTED_VALUE"""),46013.0)</f>
        <v>46013</v>
      </c>
      <c r="C7563" s="1" t="str">
        <f>IFERROR(__xludf.DUMMYFUNCTION("""COMPUTED_VALUE"""),"Segment-specific Support")</f>
        <v>Segment-specific Support</v>
      </c>
      <c r="D7563" s="1" t="str">
        <f>IFERROR(__xludf.DUMMYFUNCTION("""COMPUTED_VALUE"""),"df9ba7dd-188f-4978-8344-eb262fcbed64")</f>
        <v>df9ba7dd-188f-4978-8344-eb262fcbed64</v>
      </c>
      <c r="E7563" s="1">
        <f>IFERROR(__xludf.DUMMYFUNCTION("""COMPUTED_VALUE"""),5.729839272719E12)</f>
        <v>5729839272719</v>
      </c>
      <c r="F7563" s="1"/>
      <c r="G7563" s="1"/>
      <c r="H7563" s="3">
        <f>IFERROR(__xludf.DUMMYFUNCTION("""COMPUTED_VALUE"""),0.0)</f>
        <v>0</v>
      </c>
      <c r="I7563" s="4"/>
      <c r="J7563" s="1" t="str">
        <f>IFERROR(__xludf.DUMMYFUNCTION("""COMPUTED_VALUE"""),"Tash Kelly")</f>
        <v>Tash Kelly</v>
      </c>
      <c r="K7563" s="1" t="str">
        <f>IFERROR(__xludf.DUMMYFUNCTION("""COMPUTED_VALUE"""),"Affinity Support")</f>
        <v>Affinity Support</v>
      </c>
      <c r="L7563" s="1" t="str">
        <f>IFERROR(__xludf.DUMMYFUNCTION("""COMPUTED_VALUE"""),"SSS Affinity")</f>
        <v>SSS Affinity</v>
      </c>
    </row>
    <row r="7564">
      <c r="A7564" s="1" t="str">
        <f>IFERROR(__xludf.DUMMYFUNCTION("""COMPUTED_VALUE"""),"2025 Dec")</f>
        <v>2025 Dec</v>
      </c>
      <c r="B7564" s="2">
        <f>IFERROR(__xludf.DUMMYFUNCTION("""COMPUTED_VALUE"""),46013.0)</f>
        <v>46013</v>
      </c>
      <c r="C7564" s="1" t="str">
        <f>IFERROR(__xludf.DUMMYFUNCTION("""COMPUTED_VALUE"""),"Print Support")</f>
        <v>Print Support</v>
      </c>
      <c r="D7564" s="1" t="str">
        <f>IFERROR(__xludf.DUMMYFUNCTION("""COMPUTED_VALUE"""),"438e36b3-4d38-44fd-b78d-2f3e27dfd609")</f>
        <v>438e36b3-4d38-44fd-b78d-2f3e27dfd609</v>
      </c>
      <c r="E7564" s="1">
        <f>IFERROR(__xludf.DUMMYFUNCTION("""COMPUTED_VALUE"""),5.359189606799E12)</f>
        <v>5359189606799</v>
      </c>
      <c r="F7564" s="1"/>
      <c r="G7564" s="1"/>
      <c r="H7564" s="3">
        <f>IFERROR(__xludf.DUMMYFUNCTION("""COMPUTED_VALUE"""),0.0)</f>
        <v>0</v>
      </c>
      <c r="I7564" s="4"/>
      <c r="J7564" s="1" t="str">
        <f>IFERROR(__xludf.DUMMYFUNCTION("""COMPUTED_VALUE"""),"Rae Erlano")</f>
        <v>Rae Erlano</v>
      </c>
      <c r="K7564" s="1" t="str">
        <f>IFERROR(__xludf.DUMMYFUNCTION("""COMPUTED_VALUE"""),"Print Support PH")</f>
        <v>Print Support PH</v>
      </c>
      <c r="L7564" s="1" t="str">
        <f>IFERROR(__xludf.DUMMYFUNCTION("""COMPUTED_VALUE"""),"Print Print - CHT")</f>
        <v>Print Print - CHT</v>
      </c>
    </row>
    <row r="7565">
      <c r="A7565" s="1" t="str">
        <f>IFERROR(__xludf.DUMMYFUNCTION("""COMPUTED_VALUE"""),"2025 Dec")</f>
        <v>2025 Dec</v>
      </c>
      <c r="B7565" s="2">
        <f>IFERROR(__xludf.DUMMYFUNCTION("""COMPUTED_VALUE"""),46013.0)</f>
        <v>46013</v>
      </c>
      <c r="C7565" s="1" t="str">
        <f>IFERROR(__xludf.DUMMYFUNCTION("""COMPUTED_VALUE"""),"Admin Support")</f>
        <v>Admin Support</v>
      </c>
      <c r="D7565" s="1" t="str">
        <f>IFERROR(__xludf.DUMMYFUNCTION("""COMPUTED_VALUE"""),"d7fa60f7-5345-4940-b70f-a9ee1e24882e")</f>
        <v>d7fa60f7-5345-4940-b70f-a9ee1e24882e</v>
      </c>
      <c r="E7565" s="1">
        <f>IFERROR(__xludf.DUMMYFUNCTION("""COMPUTED_VALUE"""),3.61731792375E11)</f>
        <v>361731792375</v>
      </c>
      <c r="F7565" s="1"/>
      <c r="G7565" s="1"/>
      <c r="H7565" s="3">
        <f>IFERROR(__xludf.DUMMYFUNCTION("""COMPUTED_VALUE"""),0.0)</f>
        <v>0</v>
      </c>
      <c r="I7565" s="4"/>
      <c r="J7565" s="1" t="str">
        <f>IFERROR(__xludf.DUMMYFUNCTION("""COMPUTED_VALUE"""),"Karla Mananghaya")</f>
        <v>Karla Mananghaya</v>
      </c>
      <c r="K7565" s="1" t="str">
        <f>IFERROR(__xludf.DUMMYFUNCTION("""COMPUTED_VALUE"""),"Admin Support PH")</f>
        <v>Admin Support PH</v>
      </c>
      <c r="L7565" s="1" t="str">
        <f>IFERROR(__xludf.DUMMYFUNCTION("""COMPUTED_VALUE"""),"Admin - SEE")</f>
        <v>Admin - SEE</v>
      </c>
    </row>
    <row r="7566">
      <c r="A7566" s="1" t="str">
        <f>IFERROR(__xludf.DUMMYFUNCTION("""COMPUTED_VALUE"""),"2025 Dec")</f>
        <v>2025 Dec</v>
      </c>
      <c r="B7566" s="2">
        <f>IFERROR(__xludf.DUMMYFUNCTION("""COMPUTED_VALUE"""),46013.0)</f>
        <v>46013</v>
      </c>
      <c r="C7566" s="1" t="str">
        <f>IFERROR(__xludf.DUMMYFUNCTION("""COMPUTED_VALUE"""),"Core Product Support")</f>
        <v>Core Product Support</v>
      </c>
      <c r="D7566" s="1" t="str">
        <f>IFERROR(__xludf.DUMMYFUNCTION("""COMPUTED_VALUE"""),"5a22b3ea-0755-416b-a006-f5a0d4b19aba")</f>
        <v>5a22b3ea-0755-416b-a006-f5a0d4b19aba</v>
      </c>
      <c r="E7566" s="1">
        <f>IFERROR(__xludf.DUMMYFUNCTION("""COMPUTED_VALUE"""),5.202392949391E12)</f>
        <v>5202392949391</v>
      </c>
      <c r="F7566" s="1">
        <f>IFERROR(__xludf.DUMMYFUNCTION("""COMPUTED_VALUE"""),0.5)</f>
        <v>0.5</v>
      </c>
      <c r="G7566" s="1">
        <f>IFERROR(__xludf.DUMMYFUNCTION("""COMPUTED_VALUE"""),2.0)</f>
        <v>2</v>
      </c>
      <c r="H7566" s="3">
        <f>IFERROR(__xludf.DUMMYFUNCTION("""COMPUTED_VALUE"""),2.5)</f>
        <v>2.5</v>
      </c>
      <c r="I7566" s="4">
        <f>IFERROR(__xludf.DUMMYFUNCTION("""COMPUTED_VALUE"""),0.8)</f>
        <v>0.8</v>
      </c>
      <c r="J7566" s="1" t="str">
        <f>IFERROR(__xludf.DUMMYFUNCTION("""COMPUTED_VALUE"""),"Sieg Ballelos")</f>
        <v>Sieg Ballelos</v>
      </c>
      <c r="K7566" s="1" t="str">
        <f>IFERROR(__xludf.DUMMYFUNCTION("""COMPUTED_VALUE"""),"Core Product Support Escalation Team")</f>
        <v>Core Product Support Escalation Team</v>
      </c>
      <c r="L7566" s="1" t="str">
        <f>IFERROR(__xludf.DUMMYFUNCTION("""COMPUTED_VALUE"""),"CPS Core Product Support Escalations (CPSET)")</f>
        <v>CPS Core Product Support Escalations (CPSET)</v>
      </c>
    </row>
    <row r="7567">
      <c r="A7567" s="1" t="str">
        <f>IFERROR(__xludf.DUMMYFUNCTION("""COMPUTED_VALUE"""),"2025 Dec")</f>
        <v>2025 Dec</v>
      </c>
      <c r="B7567" s="2">
        <f>IFERROR(__xludf.DUMMYFUNCTION("""COMPUTED_VALUE"""),46013.0)</f>
        <v>46013</v>
      </c>
      <c r="C7567" s="1" t="str">
        <f>IFERROR(__xludf.DUMMYFUNCTION("""COMPUTED_VALUE"""),"Core Product Support")</f>
        <v>Core Product Support</v>
      </c>
      <c r="D7567" s="1" t="str">
        <f>IFERROR(__xludf.DUMMYFUNCTION("""COMPUTED_VALUE"""),"0ae24c9b-6172-4326-bb51-99cd5756da29")</f>
        <v>0ae24c9b-6172-4326-bb51-99cd5756da29</v>
      </c>
      <c r="E7567" s="1">
        <f>IFERROR(__xludf.DUMMYFUNCTION("""COMPUTED_VALUE"""),8.904479838351E12)</f>
        <v>8904479838351</v>
      </c>
      <c r="F7567" s="1">
        <f>IFERROR(__xludf.DUMMYFUNCTION("""COMPUTED_VALUE"""),0.5)</f>
        <v>0.5</v>
      </c>
      <c r="G7567" s="1"/>
      <c r="H7567" s="3">
        <f>IFERROR(__xludf.DUMMYFUNCTION("""COMPUTED_VALUE"""),0.5)</f>
        <v>0.5</v>
      </c>
      <c r="I7567" s="4">
        <f>IFERROR(__xludf.DUMMYFUNCTION("""COMPUTED_VALUE"""),0.0)</f>
        <v>0</v>
      </c>
      <c r="J7567" s="1" t="str">
        <f>IFERROR(__xludf.DUMMYFUNCTION("""COMPUTED_VALUE"""),"Ana Lazaro")</f>
        <v>Ana Lazaro</v>
      </c>
      <c r="K7567" s="1" t="str">
        <f>IFERROR(__xludf.DUMMYFUNCTION("""COMPUTED_VALUE"""),"Advanced Billing &amp; Subscriptions")</f>
        <v>Advanced Billing &amp; Subscriptions</v>
      </c>
      <c r="L7567" s="1" t="str">
        <f>IFERROR(__xludf.DUMMYFUNCTION("""COMPUTED_VALUE"""),"CPS Advanced Billing and Subscriptions (ABS)")</f>
        <v>CPS Advanced Billing and Subscriptions (ABS)</v>
      </c>
    </row>
    <row r="7568">
      <c r="A7568" s="1" t="str">
        <f>IFERROR(__xludf.DUMMYFUNCTION("""COMPUTED_VALUE"""),"2025 Dec")</f>
        <v>2025 Dec</v>
      </c>
      <c r="B7568" s="2">
        <f>IFERROR(__xludf.DUMMYFUNCTION("""COMPUTED_VALUE"""),46013.0)</f>
        <v>46013</v>
      </c>
      <c r="C7568" s="1" t="str">
        <f>IFERROR(__xludf.DUMMYFUNCTION("""COMPUTED_VALUE"""),"Segment-specific Support")</f>
        <v>Segment-specific Support</v>
      </c>
      <c r="D7568" s="1" t="str">
        <f>IFERROR(__xludf.DUMMYFUNCTION("""COMPUTED_VALUE"""),"702a1682-65ec-47f2-b736-d60aecc92e68")</f>
        <v>702a1682-65ec-47f2-b736-d60aecc92e68</v>
      </c>
      <c r="E7568" s="1">
        <f>IFERROR(__xludf.DUMMYFUNCTION("""COMPUTED_VALUE"""),3.61726425496E11)</f>
        <v>361726425496</v>
      </c>
      <c r="F7568" s="1"/>
      <c r="G7568" s="1"/>
      <c r="H7568" s="3">
        <f>IFERROR(__xludf.DUMMYFUNCTION("""COMPUTED_VALUE"""),0.0)</f>
        <v>0</v>
      </c>
      <c r="I7568" s="4"/>
      <c r="J7568" s="1" t="str">
        <f>IFERROR(__xludf.DUMMYFUNCTION("""COMPUTED_VALUE"""),"Aileen Dayanghirang")</f>
        <v>Aileen Dayanghirang</v>
      </c>
      <c r="K7568" s="1" t="str">
        <f>IFERROR(__xludf.DUMMYFUNCTION("""COMPUTED_VALUE"""),"Creators Support")</f>
        <v>Creators Support</v>
      </c>
      <c r="L7568" s="1" t="str">
        <f>IFERROR(__xludf.DUMMYFUNCTION("""COMPUTED_VALUE"""),"SSS Creators")</f>
        <v>SSS Creators</v>
      </c>
    </row>
    <row r="7569">
      <c r="A7569" s="1" t="str">
        <f>IFERROR(__xludf.DUMMYFUNCTION("""COMPUTED_VALUE"""),"2025 Dec")</f>
        <v>2025 Dec</v>
      </c>
      <c r="B7569" s="2">
        <f>IFERROR(__xludf.DUMMYFUNCTION("""COMPUTED_VALUE"""),46013.0)</f>
        <v>46013</v>
      </c>
      <c r="C7569" s="1" t="str">
        <f>IFERROR(__xludf.DUMMYFUNCTION("""COMPUTED_VALUE"""),"Print Support")</f>
        <v>Print Support</v>
      </c>
      <c r="D7569" s="1" t="str">
        <f>IFERROR(__xludf.DUMMYFUNCTION("""COMPUTED_VALUE"""),"5b9a60b0-b877-48e1-8013-eb7cdd15bd64")</f>
        <v>5b9a60b0-b877-48e1-8013-eb7cdd15bd64</v>
      </c>
      <c r="E7569" s="1">
        <f>IFERROR(__xludf.DUMMYFUNCTION("""COMPUTED_VALUE"""),3.61825394516E11)</f>
        <v>361825394516</v>
      </c>
      <c r="F7569" s="1"/>
      <c r="G7569" s="1"/>
      <c r="H7569" s="3">
        <f>IFERROR(__xludf.DUMMYFUNCTION("""COMPUTED_VALUE"""),0.0)</f>
        <v>0</v>
      </c>
      <c r="I7569" s="4"/>
      <c r="J7569" s="1" t="str">
        <f>IFERROR(__xludf.DUMMYFUNCTION("""COMPUTED_VALUE"""),"G-Anne Murillo")</f>
        <v>G-Anne Murillo</v>
      </c>
      <c r="K7569" s="1" t="str">
        <f>IFERROR(__xludf.DUMMYFUNCTION("""COMPUTED_VALUE"""),"Print Design Support")</f>
        <v>Print Design Support</v>
      </c>
      <c r="L7569" s="1" t="str">
        <f>IFERROR(__xludf.DUMMYFUNCTION("""COMPUTED_VALUE"""),"Print Print Design")</f>
        <v>Print Print Design</v>
      </c>
    </row>
    <row r="7570">
      <c r="A7570" s="1" t="str">
        <f>IFERROR(__xludf.DUMMYFUNCTION("""COMPUTED_VALUE"""),"2025 Dec")</f>
        <v>2025 Dec</v>
      </c>
      <c r="B7570" s="2">
        <f>IFERROR(__xludf.DUMMYFUNCTION("""COMPUTED_VALUE"""),46013.0)</f>
        <v>46013</v>
      </c>
      <c r="C7570" s="1" t="str">
        <f>IFERROR(__xludf.DUMMYFUNCTION("""COMPUTED_VALUE"""),"Print Support")</f>
        <v>Print Support</v>
      </c>
      <c r="D7570" s="1" t="str">
        <f>IFERROR(__xludf.DUMMYFUNCTION("""COMPUTED_VALUE"""),"582c23f3-af21-4402-83b6-920f8fd6fe88")</f>
        <v>582c23f3-af21-4402-83b6-920f8fd6fe88</v>
      </c>
      <c r="E7570" s="1">
        <f>IFERROR(__xludf.DUMMYFUNCTION("""COMPUTED_VALUE"""),5.566843512207E12)</f>
        <v>5566843512207</v>
      </c>
      <c r="F7570" s="1"/>
      <c r="G7570" s="1"/>
      <c r="H7570" s="3">
        <f>IFERROR(__xludf.DUMMYFUNCTION("""COMPUTED_VALUE"""),0.0)</f>
        <v>0</v>
      </c>
      <c r="I7570" s="4"/>
      <c r="J7570" s="1" t="str">
        <f>IFERROR(__xludf.DUMMYFUNCTION("""COMPUTED_VALUE"""),"Ann Dumlao")</f>
        <v>Ann Dumlao</v>
      </c>
      <c r="K7570" s="1" t="str">
        <f>IFERROR(__xludf.DUMMYFUNCTION("""COMPUTED_VALUE"""),"Print Support PH")</f>
        <v>Print Support PH</v>
      </c>
      <c r="L7570" s="1" t="str">
        <f>IFERROR(__xludf.DUMMYFUNCTION("""COMPUTED_VALUE"""),"Print Print - CHT")</f>
        <v>Print Print - CHT</v>
      </c>
    </row>
    <row r="7571">
      <c r="A7571" s="1" t="str">
        <f>IFERROR(__xludf.DUMMYFUNCTION("""COMPUTED_VALUE"""),"2025 Dec")</f>
        <v>2025 Dec</v>
      </c>
      <c r="B7571" s="2">
        <f>IFERROR(__xludf.DUMMYFUNCTION("""COMPUTED_VALUE"""),46013.0)</f>
        <v>46013</v>
      </c>
      <c r="C7571" s="1" t="str">
        <f>IFERROR(__xludf.DUMMYFUNCTION("""COMPUTED_VALUE"""),"Multilingual Support")</f>
        <v>Multilingual Support</v>
      </c>
      <c r="D7571" s="1" t="str">
        <f>IFERROR(__xludf.DUMMYFUNCTION("""COMPUTED_VALUE"""),"a08e6c23-8f56-4eb2-a86d-ff398e709601")</f>
        <v>a08e6c23-8f56-4eb2-a86d-ff398e709601</v>
      </c>
      <c r="E7571" s="1">
        <f>IFERROR(__xludf.DUMMYFUNCTION("""COMPUTED_VALUE"""),3.61744520136E11)</f>
        <v>361744520136</v>
      </c>
      <c r="F7571" s="1"/>
      <c r="G7571" s="1"/>
      <c r="H7571" s="3">
        <f>IFERROR(__xludf.DUMMYFUNCTION("""COMPUTED_VALUE"""),0.0)</f>
        <v>0</v>
      </c>
      <c r="I7571" s="4"/>
      <c r="J7571" s="1" t="str">
        <f>IFERROR(__xludf.DUMMYFUNCTION("""COMPUTED_VALUE"""),"Arlene Maurillo")</f>
        <v>Arlene Maurillo</v>
      </c>
      <c r="K7571" s="1" t="str">
        <f>IFERROR(__xludf.DUMMYFUNCTION("""COMPUTED_VALUE"""),"PHL, Multilingual Support")</f>
        <v>PHL, Multilingual Support</v>
      </c>
      <c r="L7571" s="1" t="str">
        <f>IFERROR(__xludf.DUMMYFUNCTION("""COMPUTED_VALUE"""),"ML Spanish Support")</f>
        <v>ML Spanish Support</v>
      </c>
    </row>
    <row r="7572">
      <c r="A7572" s="1" t="str">
        <f>IFERROR(__xludf.DUMMYFUNCTION("""COMPUTED_VALUE"""),"2025 Dec")</f>
        <v>2025 Dec</v>
      </c>
      <c r="B7572" s="2">
        <f>IFERROR(__xludf.DUMMYFUNCTION("""COMPUTED_VALUE"""),46013.0)</f>
        <v>46013</v>
      </c>
      <c r="C7572" s="1" t="str">
        <f>IFERROR(__xludf.DUMMYFUNCTION("""COMPUTED_VALUE"""),"Core Product Support")</f>
        <v>Core Product Support</v>
      </c>
      <c r="D7572" s="1" t="str">
        <f>IFERROR(__xludf.DUMMYFUNCTION("""COMPUTED_VALUE"""),"9160bc84-9174-4736-bd46-926c52c66223")</f>
        <v>9160bc84-9174-4736-bd46-926c52c66223</v>
      </c>
      <c r="E7572" s="1">
        <f>IFERROR(__xludf.DUMMYFUNCTION("""COMPUTED_VALUE"""),3.61731516675E11)</f>
        <v>361731516675</v>
      </c>
      <c r="F7572" s="1">
        <f>IFERROR(__xludf.DUMMYFUNCTION("""COMPUTED_VALUE"""),0.5)</f>
        <v>0.5</v>
      </c>
      <c r="G7572" s="1"/>
      <c r="H7572" s="3">
        <f>IFERROR(__xludf.DUMMYFUNCTION("""COMPUTED_VALUE"""),0.5)</f>
        <v>0.5</v>
      </c>
      <c r="I7572" s="4">
        <f>IFERROR(__xludf.DUMMYFUNCTION("""COMPUTED_VALUE"""),0.0)</f>
        <v>0</v>
      </c>
      <c r="J7572" s="1" t="str">
        <f>IFERROR(__xludf.DUMMYFUNCTION("""COMPUTED_VALUE"""),"Marie Mordeno")</f>
        <v>Marie Mordeno</v>
      </c>
      <c r="K7572" s="1" t="str">
        <f>IFERROR(__xludf.DUMMYFUNCTION("""COMPUTED_VALUE"""),"Advanced Billing &amp; Subscriptions")</f>
        <v>Advanced Billing &amp; Subscriptions</v>
      </c>
      <c r="L7572" s="1" t="str">
        <f>IFERROR(__xludf.DUMMYFUNCTION("""COMPUTED_VALUE"""),"CPS Advanced Billing and Subscriptions (ABS)")</f>
        <v>CPS Advanced Billing and Subscriptions (ABS)</v>
      </c>
    </row>
    <row r="7573">
      <c r="A7573" s="1" t="str">
        <f>IFERROR(__xludf.DUMMYFUNCTION("""COMPUTED_VALUE"""),"2025 Dec")</f>
        <v>2025 Dec</v>
      </c>
      <c r="B7573" s="2">
        <f>IFERROR(__xludf.DUMMYFUNCTION("""COMPUTED_VALUE"""),46013.0)</f>
        <v>46013</v>
      </c>
      <c r="C7573" s="1" t="str">
        <f>IFERROR(__xludf.DUMMYFUNCTION("""COMPUTED_VALUE"""),"Core Product Support")</f>
        <v>Core Product Support</v>
      </c>
      <c r="D7573" s="1" t="str">
        <f>IFERROR(__xludf.DUMMYFUNCTION("""COMPUTED_VALUE"""),"4db6d8c1-797e-4f39-9494-3babf0366bc0")</f>
        <v>4db6d8c1-797e-4f39-9494-3babf0366bc0</v>
      </c>
      <c r="E7573" s="1">
        <f>IFERROR(__xludf.DUMMYFUNCTION("""COMPUTED_VALUE"""),3.61731943715E11)</f>
        <v>361731943715</v>
      </c>
      <c r="F7573" s="1">
        <f>IFERROR(__xludf.DUMMYFUNCTION("""COMPUTED_VALUE"""),0.5)</f>
        <v>0.5</v>
      </c>
      <c r="G7573" s="1">
        <f>IFERROR(__xludf.DUMMYFUNCTION("""COMPUTED_VALUE"""),2.5)</f>
        <v>2.5</v>
      </c>
      <c r="H7573" s="3">
        <f>IFERROR(__xludf.DUMMYFUNCTION("""COMPUTED_VALUE"""),3.0)</f>
        <v>3</v>
      </c>
      <c r="I7573" s="4">
        <f>IFERROR(__xludf.DUMMYFUNCTION("""COMPUTED_VALUE"""),0.8333333333333334)</f>
        <v>0.8333333333</v>
      </c>
      <c r="J7573" s="1" t="str">
        <f>IFERROR(__xludf.DUMMYFUNCTION("""COMPUTED_VALUE"""),"Sieg Ballelos")</f>
        <v>Sieg Ballelos</v>
      </c>
      <c r="K7573" s="1" t="str">
        <f>IFERROR(__xludf.DUMMYFUNCTION("""COMPUTED_VALUE"""),"Core Product Support Escalation Team")</f>
        <v>Core Product Support Escalation Team</v>
      </c>
      <c r="L7573" s="1" t="str">
        <f>IFERROR(__xludf.DUMMYFUNCTION("""COMPUTED_VALUE"""),"CPS Core Product Support Escalations (CPSET)")</f>
        <v>CPS Core Product Support Escalations (CPSET)</v>
      </c>
    </row>
    <row r="7574">
      <c r="A7574" s="1" t="str">
        <f>IFERROR(__xludf.DUMMYFUNCTION("""COMPUTED_VALUE"""),"2025 Dec")</f>
        <v>2025 Dec</v>
      </c>
      <c r="B7574" s="2">
        <f>IFERROR(__xludf.DUMMYFUNCTION("""COMPUTED_VALUE"""),46013.0)</f>
        <v>46013</v>
      </c>
      <c r="C7574" s="1" t="str">
        <f>IFERROR(__xludf.DUMMYFUNCTION("""COMPUTED_VALUE"""),"Core Product Support")</f>
        <v>Core Product Support</v>
      </c>
      <c r="D7574" s="1" t="str">
        <f>IFERROR(__xludf.DUMMYFUNCTION("""COMPUTED_VALUE"""),"961e0a53-62a6-4087-8811-6449381daa52")</f>
        <v>961e0a53-62a6-4087-8811-6449381daa52</v>
      </c>
      <c r="E7574" s="1">
        <f>IFERROR(__xludf.DUMMYFUNCTION("""COMPUTED_VALUE"""),3.61694638315E11)</f>
        <v>361694638315</v>
      </c>
      <c r="F7574" s="1">
        <f>IFERROR(__xludf.DUMMYFUNCTION("""COMPUTED_VALUE"""),0.5)</f>
        <v>0.5</v>
      </c>
      <c r="G7574" s="1">
        <f>IFERROR(__xludf.DUMMYFUNCTION("""COMPUTED_VALUE"""),2.5)</f>
        <v>2.5</v>
      </c>
      <c r="H7574" s="3">
        <f>IFERROR(__xludf.DUMMYFUNCTION("""COMPUTED_VALUE"""),3.0)</f>
        <v>3</v>
      </c>
      <c r="I7574" s="4">
        <f>IFERROR(__xludf.DUMMYFUNCTION("""COMPUTED_VALUE"""),0.8333333333333334)</f>
        <v>0.8333333333</v>
      </c>
      <c r="J7574" s="1" t="str">
        <f>IFERROR(__xludf.DUMMYFUNCTION("""COMPUTED_VALUE"""),"Ellaine Estayo")</f>
        <v>Ellaine Estayo</v>
      </c>
      <c r="K7574" s="1" t="str">
        <f>IFERROR(__xludf.DUMMYFUNCTION("""COMPUTED_VALUE"""),"Core Product Support Escalation Team")</f>
        <v>Core Product Support Escalation Team</v>
      </c>
      <c r="L7574" s="1" t="str">
        <f>IFERROR(__xludf.DUMMYFUNCTION("""COMPUTED_VALUE"""),"CPS Core Product Support Escalations (CPSET)")</f>
        <v>CPS Core Product Support Escalations (CPSET)</v>
      </c>
    </row>
    <row r="7575">
      <c r="A7575" s="1" t="str">
        <f>IFERROR(__xludf.DUMMYFUNCTION("""COMPUTED_VALUE"""),"2025 Dec")</f>
        <v>2025 Dec</v>
      </c>
      <c r="B7575" s="2">
        <f>IFERROR(__xludf.DUMMYFUNCTION("""COMPUTED_VALUE"""),46013.0)</f>
        <v>46013</v>
      </c>
      <c r="C7575" s="1" t="str">
        <f>IFERROR(__xludf.DUMMYFUNCTION("""COMPUTED_VALUE"""),"High Sensitivity Support")</f>
        <v>High Sensitivity Support</v>
      </c>
      <c r="D7575" s="1" t="str">
        <f>IFERROR(__xludf.DUMMYFUNCTION("""COMPUTED_VALUE"""),"50f4f34a-5f46-4ee9-a2ab-686901231801")</f>
        <v>50f4f34a-5f46-4ee9-a2ab-686901231801</v>
      </c>
      <c r="E7575" s="1">
        <f>IFERROR(__xludf.DUMMYFUNCTION("""COMPUTED_VALUE"""),1.0548602304527E13)</f>
        <v>10548602304527</v>
      </c>
      <c r="F7575" s="1">
        <f>IFERROR(__xludf.DUMMYFUNCTION("""COMPUTED_VALUE"""),3.0)</f>
        <v>3</v>
      </c>
      <c r="G7575" s="1"/>
      <c r="H7575" s="3">
        <f>IFERROR(__xludf.DUMMYFUNCTION("""COMPUTED_VALUE"""),3.0)</f>
        <v>3</v>
      </c>
      <c r="I7575" s="4">
        <f>IFERROR(__xludf.DUMMYFUNCTION("""COMPUTED_VALUE"""),0.0)</f>
        <v>0</v>
      </c>
      <c r="J7575" s="1" t="str">
        <f>IFERROR(__xludf.DUMMYFUNCTION("""COMPUTED_VALUE"""),"Rossheen Pura")</f>
        <v>Rossheen Pura</v>
      </c>
      <c r="K7575" s="1" t="str">
        <f>IFERROR(__xludf.DUMMYFUNCTION("""COMPUTED_VALUE"""),"High Sensitivity Support PH")</f>
        <v>High Sensitivity Support PH</v>
      </c>
      <c r="L7575" s="1" t="str">
        <f>IFERROR(__xludf.DUMMYFUNCTION("""COMPUTED_VALUE"""),"HSS High Sensitivity Support PH - CHT")</f>
        <v>HSS High Sensitivity Support PH - CHT</v>
      </c>
    </row>
    <row r="7576">
      <c r="A7576" s="1" t="str">
        <f>IFERROR(__xludf.DUMMYFUNCTION("""COMPUTED_VALUE"""),"2025 Dec")</f>
        <v>2025 Dec</v>
      </c>
      <c r="B7576" s="2">
        <f>IFERROR(__xludf.DUMMYFUNCTION("""COMPUTED_VALUE"""),46013.0)</f>
        <v>46013</v>
      </c>
      <c r="C7576" s="1" t="str">
        <f>IFERROR(__xludf.DUMMYFUNCTION("""COMPUTED_VALUE"""),"Print Support")</f>
        <v>Print Support</v>
      </c>
      <c r="D7576" s="1" t="str">
        <f>IFERROR(__xludf.DUMMYFUNCTION("""COMPUTED_VALUE"""),"4b906fe3-66c8-454a-a7d0-1f50f4b6cdf4")</f>
        <v>4b906fe3-66c8-454a-a7d0-1f50f4b6cdf4</v>
      </c>
      <c r="E7576" s="1">
        <f>IFERROR(__xludf.DUMMYFUNCTION("""COMPUTED_VALUE"""),3.61825398056E11)</f>
        <v>361825398056</v>
      </c>
      <c r="F7576" s="1"/>
      <c r="G7576" s="1"/>
      <c r="H7576" s="3">
        <f>IFERROR(__xludf.DUMMYFUNCTION("""COMPUTED_VALUE"""),0.0)</f>
        <v>0</v>
      </c>
      <c r="I7576" s="4"/>
      <c r="J7576" s="1" t="str">
        <f>IFERROR(__xludf.DUMMYFUNCTION("""COMPUTED_VALUE"""),"Rei De Jesus")</f>
        <v>Rei De Jesus</v>
      </c>
      <c r="K7576" s="1" t="str">
        <f>IFERROR(__xludf.DUMMYFUNCTION("""COMPUTED_VALUE"""),"Print Design Support")</f>
        <v>Print Design Support</v>
      </c>
      <c r="L7576" s="1" t="str">
        <f>IFERROR(__xludf.DUMMYFUNCTION("""COMPUTED_VALUE"""),"Print Print Design")</f>
        <v>Print Print Design</v>
      </c>
    </row>
    <row r="7577">
      <c r="A7577" s="1" t="str">
        <f>IFERROR(__xludf.DUMMYFUNCTION("""COMPUTED_VALUE"""),"2025 Dec")</f>
        <v>2025 Dec</v>
      </c>
      <c r="B7577" s="2">
        <f>IFERROR(__xludf.DUMMYFUNCTION("""COMPUTED_VALUE"""),46013.0)</f>
        <v>46013</v>
      </c>
      <c r="C7577" s="1" t="str">
        <f>IFERROR(__xludf.DUMMYFUNCTION("""COMPUTED_VALUE"""),"Core Product Support")</f>
        <v>Core Product Support</v>
      </c>
      <c r="D7577" s="1" t="str">
        <f>IFERROR(__xludf.DUMMYFUNCTION("""COMPUTED_VALUE"""),"7f8ea57d-3bc6-435c-ac89-36216f416d2b")</f>
        <v>7f8ea57d-3bc6-435c-ac89-36216f416d2b</v>
      </c>
      <c r="E7577" s="1">
        <f>IFERROR(__xludf.DUMMYFUNCTION("""COMPUTED_VALUE"""),5.202392782223E12)</f>
        <v>5202392782223</v>
      </c>
      <c r="F7577" s="1">
        <f>IFERROR(__xludf.DUMMYFUNCTION("""COMPUTED_VALUE"""),0.5)</f>
        <v>0.5</v>
      </c>
      <c r="G7577" s="1"/>
      <c r="H7577" s="3">
        <f>IFERROR(__xludf.DUMMYFUNCTION("""COMPUTED_VALUE"""),0.5)</f>
        <v>0.5</v>
      </c>
      <c r="I7577" s="4">
        <f>IFERROR(__xludf.DUMMYFUNCTION("""COMPUTED_VALUE"""),0.0)</f>
        <v>0</v>
      </c>
      <c r="J7577" s="1" t="str">
        <f>IFERROR(__xludf.DUMMYFUNCTION("""COMPUTED_VALUE"""),"Renette Bok")</f>
        <v>Renette Bok</v>
      </c>
      <c r="K7577" s="1" t="str">
        <f>IFERROR(__xludf.DUMMYFUNCTION("""COMPUTED_VALUE"""),"Advanced Billing &amp; Subscriptions")</f>
        <v>Advanced Billing &amp; Subscriptions</v>
      </c>
      <c r="L7577" s="1" t="str">
        <f>IFERROR(__xludf.DUMMYFUNCTION("""COMPUTED_VALUE"""),"CPS Advanced Billing and Subscriptions (ABS)")</f>
        <v>CPS Advanced Billing and Subscriptions (ABS)</v>
      </c>
    </row>
    <row r="7578">
      <c r="A7578" s="1" t="str">
        <f>IFERROR(__xludf.DUMMYFUNCTION("""COMPUTED_VALUE"""),"2025 Dec")</f>
        <v>2025 Dec</v>
      </c>
      <c r="B7578" s="2">
        <f>IFERROR(__xludf.DUMMYFUNCTION("""COMPUTED_VALUE"""),46013.0)</f>
        <v>46013</v>
      </c>
      <c r="C7578" s="1" t="str">
        <f>IFERROR(__xludf.DUMMYFUNCTION("""COMPUTED_VALUE"""),"Core Product Support")</f>
        <v>Core Product Support</v>
      </c>
      <c r="D7578" s="1" t="str">
        <f>IFERROR(__xludf.DUMMYFUNCTION("""COMPUTED_VALUE"""),"5aed746e-cb5c-469a-8821-9e6506c7b9e6")</f>
        <v>5aed746e-cb5c-469a-8821-9e6506c7b9e6</v>
      </c>
      <c r="E7578" s="1">
        <f>IFERROR(__xludf.DUMMYFUNCTION("""COMPUTED_VALUE"""),3.61731350535E11)</f>
        <v>361731350535</v>
      </c>
      <c r="F7578" s="1">
        <f>IFERROR(__xludf.DUMMYFUNCTION("""COMPUTED_VALUE"""),0.5)</f>
        <v>0.5</v>
      </c>
      <c r="G7578" s="1"/>
      <c r="H7578" s="3">
        <f>IFERROR(__xludf.DUMMYFUNCTION("""COMPUTED_VALUE"""),0.5)</f>
        <v>0.5</v>
      </c>
      <c r="I7578" s="4">
        <f>IFERROR(__xludf.DUMMYFUNCTION("""COMPUTED_VALUE"""),0.0)</f>
        <v>0</v>
      </c>
      <c r="J7578" s="1" t="str">
        <f>IFERROR(__xludf.DUMMYFUNCTION("""COMPUTED_VALUE"""),"Vinz Lazaro")</f>
        <v>Vinz Lazaro</v>
      </c>
      <c r="K7578" s="1" t="str">
        <f>IFERROR(__xludf.DUMMYFUNCTION("""COMPUTED_VALUE"""),"Advanced Product Support")</f>
        <v>Advanced Product Support</v>
      </c>
      <c r="L7578" s="1" t="str">
        <f>IFERROR(__xludf.DUMMYFUNCTION("""COMPUTED_VALUE"""),"CPS Advanced Product Support (APS)")</f>
        <v>CPS Advanced Product Support (APS)</v>
      </c>
    </row>
    <row r="7579">
      <c r="A7579" s="1" t="str">
        <f>IFERROR(__xludf.DUMMYFUNCTION("""COMPUTED_VALUE"""),"2025 Dec")</f>
        <v>2025 Dec</v>
      </c>
      <c r="B7579" s="2">
        <f>IFERROR(__xludf.DUMMYFUNCTION("""COMPUTED_VALUE"""),46013.0)</f>
        <v>46013</v>
      </c>
      <c r="C7579" s="1" t="str">
        <f>IFERROR(__xludf.DUMMYFUNCTION("""COMPUTED_VALUE"""),"Core Product Support")</f>
        <v>Core Product Support</v>
      </c>
      <c r="D7579" s="1" t="str">
        <f>IFERROR(__xludf.DUMMYFUNCTION("""COMPUTED_VALUE"""),"a5566f0b-0c7b-4dd5-a5bf-cc571ed45f36")</f>
        <v>a5566f0b-0c7b-4dd5-a5bf-cc571ed45f36</v>
      </c>
      <c r="E7579" s="1">
        <f>IFERROR(__xludf.DUMMYFUNCTION("""COMPUTED_VALUE"""),1.0333033796879E13)</f>
        <v>10333033796879</v>
      </c>
      <c r="F7579" s="1">
        <f>IFERROR(__xludf.DUMMYFUNCTION("""COMPUTED_VALUE"""),0.5)</f>
        <v>0.5</v>
      </c>
      <c r="G7579" s="1"/>
      <c r="H7579" s="3">
        <f>IFERROR(__xludf.DUMMYFUNCTION("""COMPUTED_VALUE"""),0.5)</f>
        <v>0.5</v>
      </c>
      <c r="I7579" s="4">
        <f>IFERROR(__xludf.DUMMYFUNCTION("""COMPUTED_VALUE"""),0.0)</f>
        <v>0</v>
      </c>
      <c r="J7579" s="1" t="str">
        <f>IFERROR(__xludf.DUMMYFUNCTION("""COMPUTED_VALUE"""),"Jelyn Elmido")</f>
        <v>Jelyn Elmido</v>
      </c>
      <c r="K7579" s="1" t="str">
        <f>IFERROR(__xludf.DUMMYFUNCTION("""COMPUTED_VALUE"""),"Advanced Product Support")</f>
        <v>Advanced Product Support</v>
      </c>
      <c r="L7579" s="1" t="str">
        <f>IFERROR(__xludf.DUMMYFUNCTION("""COMPUTED_VALUE"""),"CPS Advanced Product Support (APS)")</f>
        <v>CPS Advanced Product Support (APS)</v>
      </c>
    </row>
    <row r="7580">
      <c r="A7580" s="1" t="str">
        <f>IFERROR(__xludf.DUMMYFUNCTION("""COMPUTED_VALUE"""),"2025 Dec")</f>
        <v>2025 Dec</v>
      </c>
      <c r="B7580" s="2">
        <f>IFERROR(__xludf.DUMMYFUNCTION("""COMPUTED_VALUE"""),46013.0)</f>
        <v>46013</v>
      </c>
      <c r="C7580" s="1" t="str">
        <f>IFERROR(__xludf.DUMMYFUNCTION("""COMPUTED_VALUE"""),"Core Product Support")</f>
        <v>Core Product Support</v>
      </c>
      <c r="D7580" s="1" t="str">
        <f>IFERROR(__xludf.DUMMYFUNCTION("""COMPUTED_VALUE"""),"98f36067-d801-431b-ba9a-fcb9a6ae433a")</f>
        <v>98f36067-d801-431b-ba9a-fcb9a6ae433a</v>
      </c>
      <c r="E7580" s="1">
        <f>IFERROR(__xludf.DUMMYFUNCTION("""COMPUTED_VALUE"""),3.61731350795E11)</f>
        <v>361731350795</v>
      </c>
      <c r="F7580" s="1"/>
      <c r="G7580" s="1"/>
      <c r="H7580" s="3">
        <f>IFERROR(__xludf.DUMMYFUNCTION("""COMPUTED_VALUE"""),0.0)</f>
        <v>0</v>
      </c>
      <c r="I7580" s="4"/>
      <c r="J7580" s="1" t="str">
        <f>IFERROR(__xludf.DUMMYFUNCTION("""COMPUTED_VALUE"""),"Jem Mondoñedo")</f>
        <v>Jem Mondoñedo</v>
      </c>
      <c r="K7580" s="1" t="str">
        <f>IFERROR(__xludf.DUMMYFUNCTION("""COMPUTED_VALUE"""),"Advanced Chat Support")</f>
        <v>Advanced Chat Support</v>
      </c>
      <c r="L7580" s="1" t="str">
        <f>IFERROR(__xludf.DUMMYFUNCTION("""COMPUTED_VALUE"""),"CPS Advanced Chat Support (ACS)")</f>
        <v>CPS Advanced Chat Support (ACS)</v>
      </c>
    </row>
    <row r="7581">
      <c r="A7581" s="1" t="str">
        <f>IFERROR(__xludf.DUMMYFUNCTION("""COMPUTED_VALUE"""),"2025 Dec")</f>
        <v>2025 Dec</v>
      </c>
      <c r="B7581" s="2">
        <f>IFERROR(__xludf.DUMMYFUNCTION("""COMPUTED_VALUE"""),46013.0)</f>
        <v>46013</v>
      </c>
      <c r="C7581" s="1" t="str">
        <f>IFERROR(__xludf.DUMMYFUNCTION("""COMPUTED_VALUE"""),"Core Product Support")</f>
        <v>Core Product Support</v>
      </c>
      <c r="D7581" s="1" t="str">
        <f>IFERROR(__xludf.DUMMYFUNCTION("""COMPUTED_VALUE"""),"7d586eb5-1b74-4e56-b56f-6c2807700cb7")</f>
        <v>7d586eb5-1b74-4e56-b56f-6c2807700cb7</v>
      </c>
      <c r="E7581" s="1">
        <f>IFERROR(__xludf.DUMMYFUNCTION("""COMPUTED_VALUE"""),5.202378938383E12)</f>
        <v>5202378938383</v>
      </c>
      <c r="F7581" s="1">
        <f>IFERROR(__xludf.DUMMYFUNCTION("""COMPUTED_VALUE"""),0.5)</f>
        <v>0.5</v>
      </c>
      <c r="G7581" s="1">
        <f>IFERROR(__xludf.DUMMYFUNCTION("""COMPUTED_VALUE"""),2.5)</f>
        <v>2.5</v>
      </c>
      <c r="H7581" s="3">
        <f>IFERROR(__xludf.DUMMYFUNCTION("""COMPUTED_VALUE"""),3.0)</f>
        <v>3</v>
      </c>
      <c r="I7581" s="4">
        <f>IFERROR(__xludf.DUMMYFUNCTION("""COMPUTED_VALUE"""),0.8333333333333334)</f>
        <v>0.8333333333</v>
      </c>
      <c r="J7581" s="1" t="str">
        <f>IFERROR(__xludf.DUMMYFUNCTION("""COMPUTED_VALUE"""),"Sieg Ballelos")</f>
        <v>Sieg Ballelos</v>
      </c>
      <c r="K7581" s="1" t="str">
        <f>IFERROR(__xludf.DUMMYFUNCTION("""COMPUTED_VALUE"""),"Core Product Support Escalation Team")</f>
        <v>Core Product Support Escalation Team</v>
      </c>
      <c r="L7581" s="1" t="str">
        <f>IFERROR(__xludf.DUMMYFUNCTION("""COMPUTED_VALUE"""),"CPS Core Product Support Escalations (CPSET)")</f>
        <v>CPS Core Product Support Escalations (CPSET)</v>
      </c>
    </row>
    <row r="7582">
      <c r="A7582" s="1" t="str">
        <f>IFERROR(__xludf.DUMMYFUNCTION("""COMPUTED_VALUE"""),"2025 Dec")</f>
        <v>2025 Dec</v>
      </c>
      <c r="B7582" s="2">
        <f>IFERROR(__xludf.DUMMYFUNCTION("""COMPUTED_VALUE"""),46013.0)</f>
        <v>46013</v>
      </c>
      <c r="C7582" s="1" t="str">
        <f>IFERROR(__xludf.DUMMYFUNCTION("""COMPUTED_VALUE"""),"Core Product Support")</f>
        <v>Core Product Support</v>
      </c>
      <c r="D7582" s="1" t="str">
        <f>IFERROR(__xludf.DUMMYFUNCTION("""COMPUTED_VALUE"""),"c7d7e66b-4dfe-47b9-a47f-66af76d8fb19")</f>
        <v>c7d7e66b-4dfe-47b9-a47f-66af76d8fb19</v>
      </c>
      <c r="E7582" s="1">
        <f>IFERROR(__xludf.DUMMYFUNCTION("""COMPUTED_VALUE"""),1.1401981374607E13)</f>
        <v>11401981374607</v>
      </c>
      <c r="F7582" s="1">
        <f>IFERROR(__xludf.DUMMYFUNCTION("""COMPUTED_VALUE"""),0.5)</f>
        <v>0.5</v>
      </c>
      <c r="G7582" s="1"/>
      <c r="H7582" s="3">
        <f>IFERROR(__xludf.DUMMYFUNCTION("""COMPUTED_VALUE"""),0.5)</f>
        <v>0.5</v>
      </c>
      <c r="I7582" s="4">
        <f>IFERROR(__xludf.DUMMYFUNCTION("""COMPUTED_VALUE"""),0.0)</f>
        <v>0</v>
      </c>
      <c r="J7582" s="1" t="str">
        <f>IFERROR(__xludf.DUMMYFUNCTION("""COMPUTED_VALUE"""),"Jelyn Elmido")</f>
        <v>Jelyn Elmido</v>
      </c>
      <c r="K7582" s="1" t="str">
        <f>IFERROR(__xludf.DUMMYFUNCTION("""COMPUTED_VALUE"""),"Advanced Product Support")</f>
        <v>Advanced Product Support</v>
      </c>
      <c r="L7582" s="1" t="str">
        <f>IFERROR(__xludf.DUMMYFUNCTION("""COMPUTED_VALUE"""),"CPS Advanced Product Support (APS)")</f>
        <v>CPS Advanced Product Support (APS)</v>
      </c>
    </row>
    <row r="7583">
      <c r="A7583" s="1" t="str">
        <f>IFERROR(__xludf.DUMMYFUNCTION("""COMPUTED_VALUE"""),"2025 Dec")</f>
        <v>2025 Dec</v>
      </c>
      <c r="B7583" s="2">
        <f>IFERROR(__xludf.DUMMYFUNCTION("""COMPUTED_VALUE"""),46013.0)</f>
        <v>46013</v>
      </c>
      <c r="C7583" s="1" t="str">
        <f>IFERROR(__xludf.DUMMYFUNCTION("""COMPUTED_VALUE"""),"Print Support")</f>
        <v>Print Support</v>
      </c>
      <c r="D7583" s="1" t="str">
        <f>IFERROR(__xludf.DUMMYFUNCTION("""COMPUTED_VALUE"""),"10b96ef4-077e-4868-9c27-17d96d8b4f68")</f>
        <v>10b96ef4-077e-4868-9c27-17d96d8b4f68</v>
      </c>
      <c r="E7583" s="1">
        <f>IFERROR(__xludf.DUMMYFUNCTION("""COMPUTED_VALUE"""),3.61744117796E11)</f>
        <v>361744117796</v>
      </c>
      <c r="F7583" s="1"/>
      <c r="G7583" s="1"/>
      <c r="H7583" s="3">
        <f>IFERROR(__xludf.DUMMYFUNCTION("""COMPUTED_VALUE"""),0.0)</f>
        <v>0</v>
      </c>
      <c r="I7583" s="4"/>
      <c r="J7583" s="1" t="str">
        <f>IFERROR(__xludf.DUMMYFUNCTION("""COMPUTED_VALUE"""),"Jen Momo")</f>
        <v>Jen Momo</v>
      </c>
      <c r="K7583" s="1" t="str">
        <f>IFERROR(__xludf.DUMMYFUNCTION("""COMPUTED_VALUE"""),"Print Support PH")</f>
        <v>Print Support PH</v>
      </c>
      <c r="L7583" s="1" t="str">
        <f>IFERROR(__xludf.DUMMYFUNCTION("""COMPUTED_VALUE"""),"Print Print - CHT")</f>
        <v>Print Print - CHT</v>
      </c>
    </row>
    <row r="7584">
      <c r="A7584" s="1" t="str">
        <f>IFERROR(__xludf.DUMMYFUNCTION("""COMPUTED_VALUE"""),"2025 Dec")</f>
        <v>2025 Dec</v>
      </c>
      <c r="B7584" s="2">
        <f>IFERROR(__xludf.DUMMYFUNCTION("""COMPUTED_VALUE"""),46013.0)</f>
        <v>46013</v>
      </c>
      <c r="C7584" s="1" t="str">
        <f>IFERROR(__xludf.DUMMYFUNCTION("""COMPUTED_VALUE"""),"Print Support")</f>
        <v>Print Support</v>
      </c>
      <c r="D7584" s="1" t="str">
        <f>IFERROR(__xludf.DUMMYFUNCTION("""COMPUTED_VALUE"""),"12eca747-9244-47cb-894e-d3c873c08566")</f>
        <v>12eca747-9244-47cb-894e-d3c873c08566</v>
      </c>
      <c r="E7584" s="1">
        <f>IFERROR(__xludf.DUMMYFUNCTION("""COMPUTED_VALUE"""),1.0548625681423E13)</f>
        <v>10548625681423</v>
      </c>
      <c r="F7584" s="1"/>
      <c r="G7584" s="1"/>
      <c r="H7584" s="3">
        <f>IFERROR(__xludf.DUMMYFUNCTION("""COMPUTED_VALUE"""),0.0)</f>
        <v>0</v>
      </c>
      <c r="I7584" s="4"/>
      <c r="J7584" s="1" t="str">
        <f>IFERROR(__xludf.DUMMYFUNCTION("""COMPUTED_VALUE"""),"Ann Dumlao")</f>
        <v>Ann Dumlao</v>
      </c>
      <c r="K7584" s="1" t="str">
        <f>IFERROR(__xludf.DUMMYFUNCTION("""COMPUTED_VALUE"""),"Print Support PH")</f>
        <v>Print Support PH</v>
      </c>
      <c r="L7584" s="1" t="str">
        <f>IFERROR(__xludf.DUMMYFUNCTION("""COMPUTED_VALUE"""),"Print Print - CHT")</f>
        <v>Print Print - CHT</v>
      </c>
    </row>
    <row r="7585">
      <c r="A7585" s="1" t="str">
        <f>IFERROR(__xludf.DUMMYFUNCTION("""COMPUTED_VALUE"""),"2025 Dec")</f>
        <v>2025 Dec</v>
      </c>
      <c r="B7585" s="2">
        <f>IFERROR(__xludf.DUMMYFUNCTION("""COMPUTED_VALUE"""),46013.0)</f>
        <v>46013</v>
      </c>
      <c r="C7585" s="1" t="str">
        <f>IFERROR(__xludf.DUMMYFUNCTION("""COMPUTED_VALUE"""),"Multilingual Support")</f>
        <v>Multilingual Support</v>
      </c>
      <c r="D7585" s="1" t="str">
        <f>IFERROR(__xludf.DUMMYFUNCTION("""COMPUTED_VALUE"""),"757d9757-27bf-49d1-a07c-15a426289b02")</f>
        <v>757d9757-27bf-49d1-a07c-15a426289b02</v>
      </c>
      <c r="E7585" s="1">
        <f>IFERROR(__xludf.DUMMYFUNCTION("""COMPUTED_VALUE"""),1.1819962468111E13)</f>
        <v>11819962468111</v>
      </c>
      <c r="F7585" s="1"/>
      <c r="G7585" s="1"/>
      <c r="H7585" s="3">
        <f>IFERROR(__xludf.DUMMYFUNCTION("""COMPUTED_VALUE"""),0.0)</f>
        <v>0</v>
      </c>
      <c r="I7585" s="4"/>
      <c r="J7585" s="1" t="str">
        <f>IFERROR(__xludf.DUMMYFUNCTION("""COMPUTED_VALUE"""),"Arlene Maurillo")</f>
        <v>Arlene Maurillo</v>
      </c>
      <c r="K7585" s="1" t="str">
        <f>IFERROR(__xludf.DUMMYFUNCTION("""COMPUTED_VALUE"""),"PHL, Multilingual Support")</f>
        <v>PHL, Multilingual Support</v>
      </c>
      <c r="L7585" s="1" t="str">
        <f>IFERROR(__xludf.DUMMYFUNCTION("""COMPUTED_VALUE"""),"ML Spanish Support")</f>
        <v>ML Spanish Support</v>
      </c>
    </row>
    <row r="7586">
      <c r="A7586" s="1" t="str">
        <f>IFERROR(__xludf.DUMMYFUNCTION("""COMPUTED_VALUE"""),"2025 Dec")</f>
        <v>2025 Dec</v>
      </c>
      <c r="B7586" s="2">
        <f>IFERROR(__xludf.DUMMYFUNCTION("""COMPUTED_VALUE"""),46013.0)</f>
        <v>46013</v>
      </c>
      <c r="C7586" s="1" t="str">
        <f>IFERROR(__xludf.DUMMYFUNCTION("""COMPUTED_VALUE"""),"Core Product Support")</f>
        <v>Core Product Support</v>
      </c>
      <c r="D7586" s="1" t="str">
        <f>IFERROR(__xludf.DUMMYFUNCTION("""COMPUTED_VALUE"""),"a3fade96-9131-4bb4-90c2-f54d385ec4bf")</f>
        <v>a3fade96-9131-4bb4-90c2-f54d385ec4bf</v>
      </c>
      <c r="E7586" s="1">
        <f>IFERROR(__xludf.DUMMYFUNCTION("""COMPUTED_VALUE"""),3.61724829156E11)</f>
        <v>361724829156</v>
      </c>
      <c r="F7586" s="1">
        <f>IFERROR(__xludf.DUMMYFUNCTION("""COMPUTED_VALUE"""),0.5)</f>
        <v>0.5</v>
      </c>
      <c r="G7586" s="1">
        <f>IFERROR(__xludf.DUMMYFUNCTION("""COMPUTED_VALUE"""),2.0)</f>
        <v>2</v>
      </c>
      <c r="H7586" s="3">
        <f>IFERROR(__xludf.DUMMYFUNCTION("""COMPUTED_VALUE"""),2.5)</f>
        <v>2.5</v>
      </c>
      <c r="I7586" s="4">
        <f>IFERROR(__xludf.DUMMYFUNCTION("""COMPUTED_VALUE"""),0.8)</f>
        <v>0.8</v>
      </c>
      <c r="J7586" s="1" t="str">
        <f>IFERROR(__xludf.DUMMYFUNCTION("""COMPUTED_VALUE"""),"Sieg Ballelos")</f>
        <v>Sieg Ballelos</v>
      </c>
      <c r="K7586" s="1" t="str">
        <f>IFERROR(__xludf.DUMMYFUNCTION("""COMPUTED_VALUE"""),"Core Product Support Escalation Team")</f>
        <v>Core Product Support Escalation Team</v>
      </c>
      <c r="L7586" s="1" t="str">
        <f>IFERROR(__xludf.DUMMYFUNCTION("""COMPUTED_VALUE"""),"CPS Core Product Support Escalations (CPSET)")</f>
        <v>CPS Core Product Support Escalations (CPSET)</v>
      </c>
    </row>
    <row r="7587">
      <c r="A7587" s="1" t="str">
        <f>IFERROR(__xludf.DUMMYFUNCTION("""COMPUTED_VALUE"""),"2025 Dec")</f>
        <v>2025 Dec</v>
      </c>
      <c r="B7587" s="2">
        <f>IFERROR(__xludf.DUMMYFUNCTION("""COMPUTED_VALUE"""),46013.0)</f>
        <v>46013</v>
      </c>
      <c r="C7587" s="1" t="str">
        <f>IFERROR(__xludf.DUMMYFUNCTION("""COMPUTED_VALUE"""),"Admin Support")</f>
        <v>Admin Support</v>
      </c>
      <c r="D7587" s="1" t="str">
        <f>IFERROR(__xludf.DUMMYFUNCTION("""COMPUTED_VALUE"""),"09d87fc9-bd97-4b66-b6e5-fc2d50b135a4")</f>
        <v>09d87fc9-bd97-4b66-b6e5-fc2d50b135a4</v>
      </c>
      <c r="E7587" s="1">
        <f>IFERROR(__xludf.DUMMYFUNCTION("""COMPUTED_VALUE"""),3.61725260596E11)</f>
        <v>361725260596</v>
      </c>
      <c r="F7587" s="1"/>
      <c r="G7587" s="1"/>
      <c r="H7587" s="3">
        <f>IFERROR(__xludf.DUMMYFUNCTION("""COMPUTED_VALUE"""),0.0)</f>
        <v>0</v>
      </c>
      <c r="I7587" s="4"/>
      <c r="J7587" s="1" t="str">
        <f>IFERROR(__xludf.DUMMYFUNCTION("""COMPUTED_VALUE"""),"AL Suarez")</f>
        <v>AL Suarez</v>
      </c>
      <c r="K7587" s="1" t="str">
        <f>IFERROR(__xludf.DUMMYFUNCTION("""COMPUTED_VALUE"""),"Admin Support PH")</f>
        <v>Admin Support PH</v>
      </c>
      <c r="L7587" s="1" t="str">
        <f>IFERROR(__xludf.DUMMYFUNCTION("""COMPUTED_VALUE"""),"Admin PH")</f>
        <v>Admin PH</v>
      </c>
    </row>
    <row r="7588">
      <c r="A7588" s="1" t="str">
        <f>IFERROR(__xludf.DUMMYFUNCTION("""COMPUTED_VALUE"""),"2025 Dec")</f>
        <v>2025 Dec</v>
      </c>
      <c r="B7588" s="2">
        <f>IFERROR(__xludf.DUMMYFUNCTION("""COMPUTED_VALUE"""),46013.0)</f>
        <v>46013</v>
      </c>
      <c r="C7588" s="1" t="str">
        <f>IFERROR(__xludf.DUMMYFUNCTION("""COMPUTED_VALUE"""),"Core Product Support")</f>
        <v>Core Product Support</v>
      </c>
      <c r="D7588" s="1" t="str">
        <f>IFERROR(__xludf.DUMMYFUNCTION("""COMPUTED_VALUE"""),"f955e205-68df-47fa-8f47-3ee8758dc76e")</f>
        <v>f955e205-68df-47fa-8f47-3ee8758dc76e</v>
      </c>
      <c r="E7588" s="1">
        <f>IFERROR(__xludf.DUMMYFUNCTION("""COMPUTED_VALUE"""),6.839679630095E12)</f>
        <v>6839679630095</v>
      </c>
      <c r="F7588" s="1">
        <f>IFERROR(__xludf.DUMMYFUNCTION("""COMPUTED_VALUE"""),0.5)</f>
        <v>0.5</v>
      </c>
      <c r="G7588" s="1"/>
      <c r="H7588" s="3">
        <f>IFERROR(__xludf.DUMMYFUNCTION("""COMPUTED_VALUE"""),0.5)</f>
        <v>0.5</v>
      </c>
      <c r="I7588" s="4">
        <f>IFERROR(__xludf.DUMMYFUNCTION("""COMPUTED_VALUE"""),0.0)</f>
        <v>0</v>
      </c>
      <c r="J7588" s="1" t="str">
        <f>IFERROR(__xludf.DUMMYFUNCTION("""COMPUTED_VALUE"""),"Ayza Marie Pascual")</f>
        <v>Ayza Marie Pascual</v>
      </c>
      <c r="K7588" s="1" t="str">
        <f>IFERROR(__xludf.DUMMYFUNCTION("""COMPUTED_VALUE"""),"Advanced Billing &amp; Subscriptions")</f>
        <v>Advanced Billing &amp; Subscriptions</v>
      </c>
      <c r="L7588" s="1" t="str">
        <f>IFERROR(__xludf.DUMMYFUNCTION("""COMPUTED_VALUE"""),"CPS Advanced Billing and Subscriptions (ABS)")</f>
        <v>CPS Advanced Billing and Subscriptions (ABS)</v>
      </c>
    </row>
    <row r="7589">
      <c r="A7589" s="1" t="str">
        <f>IFERROR(__xludf.DUMMYFUNCTION("""COMPUTED_VALUE"""),"2025 Dec")</f>
        <v>2025 Dec</v>
      </c>
      <c r="B7589" s="2">
        <f>IFERROR(__xludf.DUMMYFUNCTION("""COMPUTED_VALUE"""),46013.0)</f>
        <v>46013</v>
      </c>
      <c r="C7589" s="1" t="str">
        <f>IFERROR(__xludf.DUMMYFUNCTION("""COMPUTED_VALUE"""),"Core Product Support")</f>
        <v>Core Product Support</v>
      </c>
      <c r="D7589" s="1" t="str">
        <f>IFERROR(__xludf.DUMMYFUNCTION("""COMPUTED_VALUE"""),"00be8036-de23-4dcc-a683-b039df965fa3")</f>
        <v>00be8036-de23-4dcc-a683-b039df965fa3</v>
      </c>
      <c r="E7589" s="1">
        <f>IFERROR(__xludf.DUMMYFUNCTION("""COMPUTED_VALUE"""),3.61861298295E11)</f>
        <v>361861298295</v>
      </c>
      <c r="F7589" s="1">
        <f>IFERROR(__xludf.DUMMYFUNCTION("""COMPUTED_VALUE"""),0.5)</f>
        <v>0.5</v>
      </c>
      <c r="G7589" s="1">
        <f>IFERROR(__xludf.DUMMYFUNCTION("""COMPUTED_VALUE"""),2.5)</f>
        <v>2.5</v>
      </c>
      <c r="H7589" s="3">
        <f>IFERROR(__xludf.DUMMYFUNCTION("""COMPUTED_VALUE"""),3.0)</f>
        <v>3</v>
      </c>
      <c r="I7589" s="4">
        <f>IFERROR(__xludf.DUMMYFUNCTION("""COMPUTED_VALUE"""),0.8333333333333334)</f>
        <v>0.8333333333</v>
      </c>
      <c r="J7589" s="1" t="str">
        <f>IFERROR(__xludf.DUMMYFUNCTION("""COMPUTED_VALUE"""),"Ellaine Estayo")</f>
        <v>Ellaine Estayo</v>
      </c>
      <c r="K7589" s="1" t="str">
        <f>IFERROR(__xludf.DUMMYFUNCTION("""COMPUTED_VALUE"""),"Core Product Support Escalation Team")</f>
        <v>Core Product Support Escalation Team</v>
      </c>
      <c r="L7589" s="1" t="str">
        <f>IFERROR(__xludf.DUMMYFUNCTION("""COMPUTED_VALUE"""),"CPS Core Product Support Escalations (CPSET)")</f>
        <v>CPS Core Product Support Escalations (CPSET)</v>
      </c>
    </row>
    <row r="7590">
      <c r="A7590" s="1" t="str">
        <f>IFERROR(__xludf.DUMMYFUNCTION("""COMPUTED_VALUE"""),"2025 Dec")</f>
        <v>2025 Dec</v>
      </c>
      <c r="B7590" s="2">
        <f>IFERROR(__xludf.DUMMYFUNCTION("""COMPUTED_VALUE"""),46013.0)</f>
        <v>46013</v>
      </c>
      <c r="C7590" s="1" t="str">
        <f>IFERROR(__xludf.DUMMYFUNCTION("""COMPUTED_VALUE"""),"Core Product Support")</f>
        <v>Core Product Support</v>
      </c>
      <c r="D7590" s="1" t="str">
        <f>IFERROR(__xludf.DUMMYFUNCTION("""COMPUTED_VALUE"""),"5f0096f6-f7a7-4fe8-ac45-0435aaacdfb4")</f>
        <v>5f0096f6-f7a7-4fe8-ac45-0435aaacdfb4</v>
      </c>
      <c r="E7590" s="1">
        <f>IFERROR(__xludf.DUMMYFUNCTION("""COMPUTED_VALUE"""),1.1035371839887E13)</f>
        <v>11035371839887</v>
      </c>
      <c r="F7590" s="1">
        <f>IFERROR(__xludf.DUMMYFUNCTION("""COMPUTED_VALUE"""),0.5)</f>
        <v>0.5</v>
      </c>
      <c r="G7590" s="1"/>
      <c r="H7590" s="3">
        <f>IFERROR(__xludf.DUMMYFUNCTION("""COMPUTED_VALUE"""),0.5)</f>
        <v>0.5</v>
      </c>
      <c r="I7590" s="4">
        <f>IFERROR(__xludf.DUMMYFUNCTION("""COMPUTED_VALUE"""),0.0)</f>
        <v>0</v>
      </c>
      <c r="J7590" s="1" t="str">
        <f>IFERROR(__xludf.DUMMYFUNCTION("""COMPUTED_VALUE"""),"Ayza Marie Pascual")</f>
        <v>Ayza Marie Pascual</v>
      </c>
      <c r="K7590" s="1" t="str">
        <f>IFERROR(__xludf.DUMMYFUNCTION("""COMPUTED_VALUE"""),"Advanced Billing &amp; Subscriptions")</f>
        <v>Advanced Billing &amp; Subscriptions</v>
      </c>
      <c r="L7590" s="1" t="str">
        <f>IFERROR(__xludf.DUMMYFUNCTION("""COMPUTED_VALUE"""),"CPS Advanced Billing and Subscriptions (ABS)")</f>
        <v>CPS Advanced Billing and Subscriptions (ABS)</v>
      </c>
    </row>
    <row r="7591">
      <c r="A7591" s="1" t="str">
        <f>IFERROR(__xludf.DUMMYFUNCTION("""COMPUTED_VALUE"""),"2025 Dec")</f>
        <v>2025 Dec</v>
      </c>
      <c r="B7591" s="2">
        <f>IFERROR(__xludf.DUMMYFUNCTION("""COMPUTED_VALUE"""),46013.0)</f>
        <v>46013</v>
      </c>
      <c r="C7591" s="1" t="str">
        <f>IFERROR(__xludf.DUMMYFUNCTION("""COMPUTED_VALUE"""),"Print Support")</f>
        <v>Print Support</v>
      </c>
      <c r="D7591" s="1" t="str">
        <f>IFERROR(__xludf.DUMMYFUNCTION("""COMPUTED_VALUE"""),"a5b6f808-7e87-4668-a7a6-2faa138923c8")</f>
        <v>a5b6f808-7e87-4668-a7a6-2faa138923c8</v>
      </c>
      <c r="E7591" s="1">
        <f>IFERROR(__xludf.DUMMYFUNCTION("""COMPUTED_VALUE"""),1.1279766049295E13)</f>
        <v>11279766049295</v>
      </c>
      <c r="F7591" s="1"/>
      <c r="G7591" s="1"/>
      <c r="H7591" s="3">
        <f>IFERROR(__xludf.DUMMYFUNCTION("""COMPUTED_VALUE"""),0.0)</f>
        <v>0</v>
      </c>
      <c r="I7591" s="4"/>
      <c r="J7591" s="1" t="str">
        <f>IFERROR(__xludf.DUMMYFUNCTION("""COMPUTED_VALUE"""),"Jen Momo")</f>
        <v>Jen Momo</v>
      </c>
      <c r="K7591" s="1" t="str">
        <f>IFERROR(__xludf.DUMMYFUNCTION("""COMPUTED_VALUE"""),"Print Support PH")</f>
        <v>Print Support PH</v>
      </c>
      <c r="L7591" s="1" t="str">
        <f>IFERROR(__xludf.DUMMYFUNCTION("""COMPUTED_VALUE"""),"Print Print - CHT")</f>
        <v>Print Print - CHT</v>
      </c>
    </row>
    <row r="7592">
      <c r="A7592" s="1" t="str">
        <f>IFERROR(__xludf.DUMMYFUNCTION("""COMPUTED_VALUE"""),"2025 Dec")</f>
        <v>2025 Dec</v>
      </c>
      <c r="B7592" s="2">
        <f>IFERROR(__xludf.DUMMYFUNCTION("""COMPUTED_VALUE"""),46013.0)</f>
        <v>46013</v>
      </c>
      <c r="C7592" s="1" t="str">
        <f>IFERROR(__xludf.DUMMYFUNCTION("""COMPUTED_VALUE"""),"Core Product Support")</f>
        <v>Core Product Support</v>
      </c>
      <c r="D7592" s="1" t="str">
        <f>IFERROR(__xludf.DUMMYFUNCTION("""COMPUTED_VALUE"""),"e930b948-a2f3-4c3f-8b54-7ddcb5c13c7b")</f>
        <v>e930b948-a2f3-4c3f-8b54-7ddcb5c13c7b</v>
      </c>
      <c r="E7592" s="1">
        <f>IFERROR(__xludf.DUMMYFUNCTION("""COMPUTED_VALUE"""),3.61725113576E11)</f>
        <v>361725113576</v>
      </c>
      <c r="F7592" s="1">
        <f>IFERROR(__xludf.DUMMYFUNCTION("""COMPUTED_VALUE"""),0.5)</f>
        <v>0.5</v>
      </c>
      <c r="G7592" s="1">
        <f>IFERROR(__xludf.DUMMYFUNCTION("""COMPUTED_VALUE"""),2.5)</f>
        <v>2.5</v>
      </c>
      <c r="H7592" s="3">
        <f>IFERROR(__xludf.DUMMYFUNCTION("""COMPUTED_VALUE"""),3.0)</f>
        <v>3</v>
      </c>
      <c r="I7592" s="4">
        <f>IFERROR(__xludf.DUMMYFUNCTION("""COMPUTED_VALUE"""),0.8333333333333334)</f>
        <v>0.8333333333</v>
      </c>
      <c r="J7592" s="1" t="str">
        <f>IFERROR(__xludf.DUMMYFUNCTION("""COMPUTED_VALUE"""),"Ellaine Estayo")</f>
        <v>Ellaine Estayo</v>
      </c>
      <c r="K7592" s="1" t="str">
        <f>IFERROR(__xludf.DUMMYFUNCTION("""COMPUTED_VALUE"""),"Core Product Support Escalation Team")</f>
        <v>Core Product Support Escalation Team</v>
      </c>
      <c r="L7592" s="1" t="str">
        <f>IFERROR(__xludf.DUMMYFUNCTION("""COMPUTED_VALUE"""),"CPS Core Product Support Escalations (CPSET)")</f>
        <v>CPS Core Product Support Escalations (CPSET)</v>
      </c>
    </row>
    <row r="7593">
      <c r="A7593" s="1" t="str">
        <f>IFERROR(__xludf.DUMMYFUNCTION("""COMPUTED_VALUE"""),"2025 Dec")</f>
        <v>2025 Dec</v>
      </c>
      <c r="B7593" s="2">
        <f>IFERROR(__xludf.DUMMYFUNCTION("""COMPUTED_VALUE"""),46013.0)</f>
        <v>46013</v>
      </c>
      <c r="C7593" s="1" t="str">
        <f>IFERROR(__xludf.DUMMYFUNCTION("""COMPUTED_VALUE"""),"Print Support")</f>
        <v>Print Support</v>
      </c>
      <c r="D7593" s="1" t="str">
        <f>IFERROR(__xludf.DUMMYFUNCTION("""COMPUTED_VALUE"""),"b5bf3764-4c76-47b7-b10d-b1f8e9a0087e")</f>
        <v>b5bf3764-4c76-47b7-b10d-b1f8e9a0087e</v>
      </c>
      <c r="E7593" s="1">
        <f>IFERROR(__xludf.DUMMYFUNCTION("""COMPUTED_VALUE"""),6.839674714895E12)</f>
        <v>6839674714895</v>
      </c>
      <c r="F7593" s="1"/>
      <c r="G7593" s="1"/>
      <c r="H7593" s="3">
        <f>IFERROR(__xludf.DUMMYFUNCTION("""COMPUTED_VALUE"""),0.0)</f>
        <v>0</v>
      </c>
      <c r="I7593" s="4"/>
      <c r="J7593" s="1" t="str">
        <f>IFERROR(__xludf.DUMMYFUNCTION("""COMPUTED_VALUE"""),"Aliza Dote")</f>
        <v>Aliza Dote</v>
      </c>
      <c r="K7593" s="1" t="str">
        <f>IFERROR(__xludf.DUMMYFUNCTION("""COMPUTED_VALUE"""),"Print Design Support")</f>
        <v>Print Design Support</v>
      </c>
      <c r="L7593" s="1" t="str">
        <f>IFERROR(__xludf.DUMMYFUNCTION("""COMPUTED_VALUE"""),"Print Print Design")</f>
        <v>Print Print Design</v>
      </c>
    </row>
    <row r="7594">
      <c r="A7594" s="1" t="str">
        <f>IFERROR(__xludf.DUMMYFUNCTION("""COMPUTED_VALUE"""),"2025 Dec")</f>
        <v>2025 Dec</v>
      </c>
      <c r="B7594" s="2">
        <f>IFERROR(__xludf.DUMMYFUNCTION("""COMPUTED_VALUE"""),46013.0)</f>
        <v>46013</v>
      </c>
      <c r="C7594" s="1" t="str">
        <f>IFERROR(__xludf.DUMMYFUNCTION("""COMPUTED_VALUE"""),"Admin Support")</f>
        <v>Admin Support</v>
      </c>
      <c r="D7594" s="1" t="str">
        <f>IFERROR(__xludf.DUMMYFUNCTION("""COMPUTED_VALUE"""),"d50b210b-01b8-4681-be11-0604b6046af3")</f>
        <v>d50b210b-01b8-4681-be11-0604b6046af3</v>
      </c>
      <c r="E7594" s="1">
        <f>IFERROR(__xludf.DUMMYFUNCTION("""COMPUTED_VALUE"""),1.0333049788943E13)</f>
        <v>10333049788943</v>
      </c>
      <c r="F7594" s="1"/>
      <c r="G7594" s="1"/>
      <c r="H7594" s="3">
        <f>IFERROR(__xludf.DUMMYFUNCTION("""COMPUTED_VALUE"""),0.0)</f>
        <v>0</v>
      </c>
      <c r="I7594" s="4"/>
      <c r="J7594" s="1" t="str">
        <f>IFERROR(__xludf.DUMMYFUNCTION("""COMPUTED_VALUE"""),"AL Suarez")</f>
        <v>AL Suarez</v>
      </c>
      <c r="K7594" s="1" t="str">
        <f>IFERROR(__xludf.DUMMYFUNCTION("""COMPUTED_VALUE"""),"Advanced Product Support")</f>
        <v>Advanced Product Support</v>
      </c>
      <c r="L7594" s="1" t="str">
        <f>IFERROR(__xludf.DUMMYFUNCTION("""COMPUTED_VALUE"""),"CPS Advanced Product Support (APS)")</f>
        <v>CPS Advanced Product Support (APS)</v>
      </c>
    </row>
    <row r="7595">
      <c r="A7595" s="1" t="str">
        <f>IFERROR(__xludf.DUMMYFUNCTION("""COMPUTED_VALUE"""),"2025 Dec")</f>
        <v>2025 Dec</v>
      </c>
      <c r="B7595" s="2">
        <f>IFERROR(__xludf.DUMMYFUNCTION("""COMPUTED_VALUE"""),46013.0)</f>
        <v>46013</v>
      </c>
      <c r="C7595" s="1" t="str">
        <f>IFERROR(__xludf.DUMMYFUNCTION("""COMPUTED_VALUE"""),"High Sensitivity Support")</f>
        <v>High Sensitivity Support</v>
      </c>
      <c r="D7595" s="1" t="str">
        <f>IFERROR(__xludf.DUMMYFUNCTION("""COMPUTED_VALUE"""),"bdf574f0-069d-4493-a93e-73eb74edd906")</f>
        <v>bdf574f0-069d-4493-a93e-73eb74edd906</v>
      </c>
      <c r="E7595" s="1">
        <f>IFERROR(__xludf.DUMMYFUNCTION("""COMPUTED_VALUE"""),3.61725261136E11)</f>
        <v>361725261136</v>
      </c>
      <c r="F7595" s="1">
        <f>IFERROR(__xludf.DUMMYFUNCTION("""COMPUTED_VALUE"""),4.0)</f>
        <v>4</v>
      </c>
      <c r="G7595" s="1"/>
      <c r="H7595" s="3">
        <f>IFERROR(__xludf.DUMMYFUNCTION("""COMPUTED_VALUE"""),4.0)</f>
        <v>4</v>
      </c>
      <c r="I7595" s="4">
        <f>IFERROR(__xludf.DUMMYFUNCTION("""COMPUTED_VALUE"""),0.0)</f>
        <v>0</v>
      </c>
      <c r="J7595" s="1" t="str">
        <f>IFERROR(__xludf.DUMMYFUNCTION("""COMPUTED_VALUE"""),"Rex Villamor")</f>
        <v>Rex Villamor</v>
      </c>
      <c r="K7595" s="1" t="str">
        <f>IFERROR(__xludf.DUMMYFUNCTION("""COMPUTED_VALUE"""),"High Sensitivity Support PH")</f>
        <v>High Sensitivity Support PH</v>
      </c>
      <c r="L7595" s="1" t="str">
        <f>IFERROR(__xludf.DUMMYFUNCTION("""COMPUTED_VALUE"""),"HSS High Sensitivity Support PH - CHT")</f>
        <v>HSS High Sensitivity Support PH - CHT</v>
      </c>
    </row>
    <row r="7596">
      <c r="A7596" s="1" t="str">
        <f>IFERROR(__xludf.DUMMYFUNCTION("""COMPUTED_VALUE"""),"2025 Dec")</f>
        <v>2025 Dec</v>
      </c>
      <c r="B7596" s="2">
        <f>IFERROR(__xludf.DUMMYFUNCTION("""COMPUTED_VALUE"""),46013.0)</f>
        <v>46013</v>
      </c>
      <c r="C7596" s="1" t="str">
        <f>IFERROR(__xludf.DUMMYFUNCTION("""COMPUTED_VALUE"""),"Core Product Support")</f>
        <v>Core Product Support</v>
      </c>
      <c r="D7596" s="1" t="str">
        <f>IFERROR(__xludf.DUMMYFUNCTION("""COMPUTED_VALUE"""),"1f5a4168-ecb9-42df-a403-8c86095beba7")</f>
        <v>1f5a4168-ecb9-42df-a403-8c86095beba7</v>
      </c>
      <c r="E7596" s="1"/>
      <c r="F7596" s="1">
        <f>IFERROR(__xludf.DUMMYFUNCTION("""COMPUTED_VALUE"""),0.5)</f>
        <v>0.5</v>
      </c>
      <c r="G7596" s="1"/>
      <c r="H7596" s="3">
        <f>IFERROR(__xludf.DUMMYFUNCTION("""COMPUTED_VALUE"""),0.5)</f>
        <v>0.5</v>
      </c>
      <c r="I7596" s="4">
        <f>IFERROR(__xludf.DUMMYFUNCTION("""COMPUTED_VALUE"""),0.0)</f>
        <v>0</v>
      </c>
      <c r="J7596" s="1" t="str">
        <f>IFERROR(__xludf.DUMMYFUNCTION("""COMPUTED_VALUE"""),"Mikhaela Decangchon")</f>
        <v>Mikhaela Decangchon</v>
      </c>
      <c r="K7596" s="1" t="str">
        <f>IFERROR(__xludf.DUMMYFUNCTION("""COMPUTED_VALUE"""),"Advanced Product Support")</f>
        <v>Advanced Product Support</v>
      </c>
      <c r="L7596" s="1" t="str">
        <f>IFERROR(__xludf.DUMMYFUNCTION("""COMPUTED_VALUE"""),"CPS Advanced Product Support (APS)")</f>
        <v>CPS Advanced Product Support (APS)</v>
      </c>
    </row>
    <row r="7597">
      <c r="A7597" s="1" t="str">
        <f>IFERROR(__xludf.DUMMYFUNCTION("""COMPUTED_VALUE"""),"2025 Dec")</f>
        <v>2025 Dec</v>
      </c>
      <c r="B7597" s="2">
        <f>IFERROR(__xludf.DUMMYFUNCTION("""COMPUTED_VALUE"""),46013.0)</f>
        <v>46013</v>
      </c>
      <c r="C7597" s="1" t="str">
        <f>IFERROR(__xludf.DUMMYFUNCTION("""COMPUTED_VALUE"""),"Admin Support")</f>
        <v>Admin Support</v>
      </c>
      <c r="D7597" s="1" t="str">
        <f>IFERROR(__xludf.DUMMYFUNCTION("""COMPUTED_VALUE"""),"a404c935-ed2c-453c-a3d5-0af18b23cb55")</f>
        <v>a404c935-ed2c-453c-a3d5-0af18b23cb55</v>
      </c>
      <c r="E7597" s="1">
        <f>IFERROR(__xludf.DUMMYFUNCTION("""COMPUTED_VALUE"""),3.61731792475E11)</f>
        <v>361731792475</v>
      </c>
      <c r="F7597" s="1"/>
      <c r="G7597" s="1"/>
      <c r="H7597" s="3">
        <f>IFERROR(__xludf.DUMMYFUNCTION("""COMPUTED_VALUE"""),0.0)</f>
        <v>0</v>
      </c>
      <c r="I7597" s="4"/>
      <c r="J7597" s="1" t="str">
        <f>IFERROR(__xludf.DUMMYFUNCTION("""COMPUTED_VALUE"""),"Karla Mananghaya")</f>
        <v>Karla Mananghaya</v>
      </c>
      <c r="K7597" s="1" t="str">
        <f>IFERROR(__xludf.DUMMYFUNCTION("""COMPUTED_VALUE"""),"Back of House Operations PH")</f>
        <v>Back of House Operations PH</v>
      </c>
      <c r="L7597" s="1" t="str">
        <f>IFERROR(__xludf.DUMMYFUNCTION("""COMPUTED_VALUE"""),"BoHO SEE")</f>
        <v>BoHO SEE</v>
      </c>
    </row>
    <row r="7598">
      <c r="A7598" s="1" t="str">
        <f>IFERROR(__xludf.DUMMYFUNCTION("""COMPUTED_VALUE"""),"2025 Dec")</f>
        <v>2025 Dec</v>
      </c>
      <c r="B7598" s="2">
        <f>IFERROR(__xludf.DUMMYFUNCTION("""COMPUTED_VALUE"""),46013.0)</f>
        <v>46013</v>
      </c>
      <c r="C7598" s="1" t="str">
        <f>IFERROR(__xludf.DUMMYFUNCTION("""COMPUTED_VALUE"""),"Print Support")</f>
        <v>Print Support</v>
      </c>
      <c r="D7598" s="1" t="str">
        <f>IFERROR(__xludf.DUMMYFUNCTION("""COMPUTED_VALUE"""),"d34aba25-1e55-4f8e-b85b-ef3d3928a2d3")</f>
        <v>d34aba25-1e55-4f8e-b85b-ef3d3928a2d3</v>
      </c>
      <c r="E7598" s="1">
        <f>IFERROR(__xludf.DUMMYFUNCTION("""COMPUTED_VALUE"""),5.566810533775E12)</f>
        <v>5566810533775</v>
      </c>
      <c r="F7598" s="1"/>
      <c r="G7598" s="1"/>
      <c r="H7598" s="3">
        <f>IFERROR(__xludf.DUMMYFUNCTION("""COMPUTED_VALUE"""),0.0)</f>
        <v>0</v>
      </c>
      <c r="I7598" s="4"/>
      <c r="J7598" s="1" t="str">
        <f>IFERROR(__xludf.DUMMYFUNCTION("""COMPUTED_VALUE"""),"Althea Mercado")</f>
        <v>Althea Mercado</v>
      </c>
      <c r="K7598" s="1" t="str">
        <f>IFERROR(__xludf.DUMMYFUNCTION("""COMPUTED_VALUE"""),"Print Support PH")</f>
        <v>Print Support PH</v>
      </c>
      <c r="L7598" s="1" t="str">
        <f>IFERROR(__xludf.DUMMYFUNCTION("""COMPUTED_VALUE"""),"Print Print - CHT")</f>
        <v>Print Print - CHT</v>
      </c>
    </row>
    <row r="7599">
      <c r="A7599" s="1" t="str">
        <f>IFERROR(__xludf.DUMMYFUNCTION("""COMPUTED_VALUE"""),"2025 Dec")</f>
        <v>2025 Dec</v>
      </c>
      <c r="B7599" s="2">
        <f>IFERROR(__xludf.DUMMYFUNCTION("""COMPUTED_VALUE"""),46013.0)</f>
        <v>46013</v>
      </c>
      <c r="C7599" s="1" t="str">
        <f>IFERROR(__xludf.DUMMYFUNCTION("""COMPUTED_VALUE"""),"Core Product Support")</f>
        <v>Core Product Support</v>
      </c>
      <c r="D7599" s="1" t="str">
        <f>IFERROR(__xludf.DUMMYFUNCTION("""COMPUTED_VALUE"""),"c5ba42b5-b56e-4880-adbe-57292f722509")</f>
        <v>c5ba42b5-b56e-4880-adbe-57292f722509</v>
      </c>
      <c r="E7599" s="1">
        <f>IFERROR(__xludf.DUMMYFUNCTION("""COMPUTED_VALUE"""),1.1401945362575E13)</f>
        <v>11401945362575</v>
      </c>
      <c r="F7599" s="1">
        <f>IFERROR(__xludf.DUMMYFUNCTION("""COMPUTED_VALUE"""),0.5)</f>
        <v>0.5</v>
      </c>
      <c r="G7599" s="1"/>
      <c r="H7599" s="3">
        <f>IFERROR(__xludf.DUMMYFUNCTION("""COMPUTED_VALUE"""),0.5)</f>
        <v>0.5</v>
      </c>
      <c r="I7599" s="4">
        <f>IFERROR(__xludf.DUMMYFUNCTION("""COMPUTED_VALUE"""),0.0)</f>
        <v>0</v>
      </c>
      <c r="J7599" s="1" t="str">
        <f>IFERROR(__xludf.DUMMYFUNCTION("""COMPUTED_VALUE"""),"Ayza Marie Pascual")</f>
        <v>Ayza Marie Pascual</v>
      </c>
      <c r="K7599" s="1" t="str">
        <f>IFERROR(__xludf.DUMMYFUNCTION("""COMPUTED_VALUE"""),"Advanced Billing &amp; Subscriptions")</f>
        <v>Advanced Billing &amp; Subscriptions</v>
      </c>
      <c r="L7599" s="1" t="str">
        <f>IFERROR(__xludf.DUMMYFUNCTION("""COMPUTED_VALUE"""),"CPS Advanced Billing and Subscriptions (ABS)")</f>
        <v>CPS Advanced Billing and Subscriptions (ABS)</v>
      </c>
    </row>
    <row r="7600">
      <c r="A7600" s="1" t="str">
        <f>IFERROR(__xludf.DUMMYFUNCTION("""COMPUTED_VALUE"""),"2025 Dec")</f>
        <v>2025 Dec</v>
      </c>
      <c r="B7600" s="2">
        <f>IFERROR(__xludf.DUMMYFUNCTION("""COMPUTED_VALUE"""),46013.0)</f>
        <v>46013</v>
      </c>
      <c r="C7600" s="1" t="str">
        <f>IFERROR(__xludf.DUMMYFUNCTION("""COMPUTED_VALUE"""),"Print Support")</f>
        <v>Print Support</v>
      </c>
      <c r="D7600" s="1" t="str">
        <f>IFERROR(__xludf.DUMMYFUNCTION("""COMPUTED_VALUE"""),"f154e992-ffb0-484a-b731-9da1092e886a")</f>
        <v>f154e992-ffb0-484a-b731-9da1092e886a</v>
      </c>
      <c r="E7600" s="1"/>
      <c r="F7600" s="1"/>
      <c r="G7600" s="1"/>
      <c r="H7600" s="3">
        <f>IFERROR(__xludf.DUMMYFUNCTION("""COMPUTED_VALUE"""),0.0)</f>
        <v>0</v>
      </c>
      <c r="I7600" s="4"/>
      <c r="J7600" s="1" t="str">
        <f>IFERROR(__xludf.DUMMYFUNCTION("""COMPUTED_VALUE"""),"Gem Agoncillo")</f>
        <v>Gem Agoncillo</v>
      </c>
      <c r="K7600" s="1" t="str">
        <f>IFERROR(__xludf.DUMMYFUNCTION("""COMPUTED_VALUE"""),"Print Design Support")</f>
        <v>Print Design Support</v>
      </c>
      <c r="L7600" s="1" t="str">
        <f>IFERROR(__xludf.DUMMYFUNCTION("""COMPUTED_VALUE"""),"Print Print Design")</f>
        <v>Print Print Design</v>
      </c>
    </row>
    <row r="7601">
      <c r="A7601" s="1" t="str">
        <f>IFERROR(__xludf.DUMMYFUNCTION("""COMPUTED_VALUE"""),"2025 Dec")</f>
        <v>2025 Dec</v>
      </c>
      <c r="B7601" s="2">
        <f>IFERROR(__xludf.DUMMYFUNCTION("""COMPUTED_VALUE"""),46013.0)</f>
        <v>46013</v>
      </c>
      <c r="C7601" s="1" t="str">
        <f>IFERROR(__xludf.DUMMYFUNCTION("""COMPUTED_VALUE"""),"Core Product Support")</f>
        <v>Core Product Support</v>
      </c>
      <c r="D7601" s="1" t="str">
        <f>IFERROR(__xludf.DUMMYFUNCTION("""COMPUTED_VALUE"""),"123e8c80-f84d-46ba-8ddf-e514a808d270")</f>
        <v>123e8c80-f84d-46ba-8ddf-e514a808d270</v>
      </c>
      <c r="E7601" s="1">
        <f>IFERROR(__xludf.DUMMYFUNCTION("""COMPUTED_VALUE"""),7.235815845903E12)</f>
        <v>7235815845903</v>
      </c>
      <c r="F7601" s="1">
        <f>IFERROR(__xludf.DUMMYFUNCTION("""COMPUTED_VALUE"""),0.5)</f>
        <v>0.5</v>
      </c>
      <c r="G7601" s="1"/>
      <c r="H7601" s="3">
        <f>IFERROR(__xludf.DUMMYFUNCTION("""COMPUTED_VALUE"""),0.5)</f>
        <v>0.5</v>
      </c>
      <c r="I7601" s="4">
        <f>IFERROR(__xludf.DUMMYFUNCTION("""COMPUTED_VALUE"""),0.0)</f>
        <v>0</v>
      </c>
      <c r="J7601" s="1" t="str">
        <f>IFERROR(__xludf.DUMMYFUNCTION("""COMPUTED_VALUE"""),"Marie Mordeno")</f>
        <v>Marie Mordeno</v>
      </c>
      <c r="K7601" s="1" t="str">
        <f>IFERROR(__xludf.DUMMYFUNCTION("""COMPUTED_VALUE"""),"Advanced Billing &amp; Subscriptions")</f>
        <v>Advanced Billing &amp; Subscriptions</v>
      </c>
      <c r="L7601" s="1" t="str">
        <f>IFERROR(__xludf.DUMMYFUNCTION("""COMPUTED_VALUE"""),"CPS Advanced Billing and Subscriptions (ABS)")</f>
        <v>CPS Advanced Billing and Subscriptions (ABS)</v>
      </c>
    </row>
    <row r="7602">
      <c r="A7602" s="1" t="str">
        <f>IFERROR(__xludf.DUMMYFUNCTION("""COMPUTED_VALUE"""),"2025 Dec")</f>
        <v>2025 Dec</v>
      </c>
      <c r="B7602" s="2">
        <f>IFERROR(__xludf.DUMMYFUNCTION("""COMPUTED_VALUE"""),46013.0)</f>
        <v>46013</v>
      </c>
      <c r="C7602" s="1" t="str">
        <f>IFERROR(__xludf.DUMMYFUNCTION("""COMPUTED_VALUE"""),"High Sensitivity Support")</f>
        <v>High Sensitivity Support</v>
      </c>
      <c r="D7602" s="1" t="str">
        <f>IFERROR(__xludf.DUMMYFUNCTION("""COMPUTED_VALUE"""),"12813a5b-5274-49dd-9f6b-59da40c97ee7")</f>
        <v>12813a5b-5274-49dd-9f6b-59da40c97ee7</v>
      </c>
      <c r="E7602" s="1">
        <f>IFERROR(__xludf.DUMMYFUNCTION("""COMPUTED_VALUE"""),9.795905227023E12)</f>
        <v>9795905227023</v>
      </c>
      <c r="F7602" s="1">
        <f>IFERROR(__xludf.DUMMYFUNCTION("""COMPUTED_VALUE"""),4.0)</f>
        <v>4</v>
      </c>
      <c r="G7602" s="1"/>
      <c r="H7602" s="3">
        <f>IFERROR(__xludf.DUMMYFUNCTION("""COMPUTED_VALUE"""),4.0)</f>
        <v>4</v>
      </c>
      <c r="I7602" s="4">
        <f>IFERROR(__xludf.DUMMYFUNCTION("""COMPUTED_VALUE"""),0.0)</f>
        <v>0</v>
      </c>
      <c r="J7602" s="1" t="str">
        <f>IFERROR(__xludf.DUMMYFUNCTION("""COMPUTED_VALUE"""),"Xandy Azarcon")</f>
        <v>Xandy Azarcon</v>
      </c>
      <c r="K7602" s="1" t="str">
        <f>IFERROR(__xludf.DUMMYFUNCTION("""COMPUTED_VALUE"""),"High Sensitivity Support PH")</f>
        <v>High Sensitivity Support PH</v>
      </c>
      <c r="L7602" s="1" t="str">
        <f>IFERROR(__xludf.DUMMYFUNCTION("""COMPUTED_VALUE"""),"HSS High Sensitivity Support PH - CHT")</f>
        <v>HSS High Sensitivity Support PH - CHT</v>
      </c>
    </row>
    <row r="7603">
      <c r="A7603" s="1" t="str">
        <f>IFERROR(__xludf.DUMMYFUNCTION("""COMPUTED_VALUE"""),"2025 Dec")</f>
        <v>2025 Dec</v>
      </c>
      <c r="B7603" s="2">
        <f>IFERROR(__xludf.DUMMYFUNCTION("""COMPUTED_VALUE"""),46013.0)</f>
        <v>46013</v>
      </c>
      <c r="C7603" s="1" t="str">
        <f>IFERROR(__xludf.DUMMYFUNCTION("""COMPUTED_VALUE"""),"Admin Support")</f>
        <v>Admin Support</v>
      </c>
      <c r="D7603" s="1" t="str">
        <f>IFERROR(__xludf.DUMMYFUNCTION("""COMPUTED_VALUE"""),"3a47626d-5d83-4eb3-99f0-da594375a7a4")</f>
        <v>3a47626d-5d83-4eb3-99f0-da594375a7a4</v>
      </c>
      <c r="E7603" s="1">
        <f>IFERROR(__xludf.DUMMYFUNCTION("""COMPUTED_VALUE"""),3.61731944855E11)</f>
        <v>361731944855</v>
      </c>
      <c r="F7603" s="1"/>
      <c r="G7603" s="1"/>
      <c r="H7603" s="3">
        <f>IFERROR(__xludf.DUMMYFUNCTION("""COMPUTED_VALUE"""),0.0)</f>
        <v>0</v>
      </c>
      <c r="I7603" s="4"/>
      <c r="J7603" s="1" t="str">
        <f>IFERROR(__xludf.DUMMYFUNCTION("""COMPUTED_VALUE"""),"Pau Palmero")</f>
        <v>Pau Palmero</v>
      </c>
      <c r="K7603" s="1" t="str">
        <f>IFERROR(__xludf.DUMMYFUNCTION("""COMPUTED_VALUE"""),"Admin Support PH CEDD")</f>
        <v>Admin Support PH CEDD</v>
      </c>
      <c r="L7603" s="1" t="str">
        <f>IFERROR(__xludf.DUMMYFUNCTION("""COMPUTED_VALUE"""),"Admin CEDD Apps,Admin CEDD Inbox Mgt")</f>
        <v>Admin CEDD Apps,Admin CEDD Inbox Mgt</v>
      </c>
    </row>
    <row r="7604">
      <c r="A7604" s="1" t="str">
        <f>IFERROR(__xludf.DUMMYFUNCTION("""COMPUTED_VALUE"""),"2025 Dec")</f>
        <v>2025 Dec</v>
      </c>
      <c r="B7604" s="2">
        <f>IFERROR(__xludf.DUMMYFUNCTION("""COMPUTED_VALUE"""),46013.0)</f>
        <v>46013</v>
      </c>
      <c r="C7604" s="1" t="str">
        <f>IFERROR(__xludf.DUMMYFUNCTION("""COMPUTED_VALUE"""),"Core Product Support")</f>
        <v>Core Product Support</v>
      </c>
      <c r="D7604" s="1" t="str">
        <f>IFERROR(__xludf.DUMMYFUNCTION("""COMPUTED_VALUE"""),"4ab45a4c-a376-4058-a184-5b3f466a5947")</f>
        <v>4ab45a4c-a376-4058-a184-5b3f466a5947</v>
      </c>
      <c r="E7604" s="1">
        <f>IFERROR(__xludf.DUMMYFUNCTION("""COMPUTED_VALUE"""),4.967084440335E12)</f>
        <v>4967084440335</v>
      </c>
      <c r="F7604" s="1">
        <f>IFERROR(__xludf.DUMMYFUNCTION("""COMPUTED_VALUE"""),0.5)</f>
        <v>0.5</v>
      </c>
      <c r="G7604" s="1"/>
      <c r="H7604" s="3">
        <f>IFERROR(__xludf.DUMMYFUNCTION("""COMPUTED_VALUE"""),0.5)</f>
        <v>0.5</v>
      </c>
      <c r="I7604" s="4">
        <f>IFERROR(__xludf.DUMMYFUNCTION("""COMPUTED_VALUE"""),0.0)</f>
        <v>0</v>
      </c>
      <c r="J7604" s="1" t="str">
        <f>IFERROR(__xludf.DUMMYFUNCTION("""COMPUTED_VALUE"""),"Vianca De Jesus")</f>
        <v>Vianca De Jesus</v>
      </c>
      <c r="K7604" s="1" t="str">
        <f>IFERROR(__xludf.DUMMYFUNCTION("""COMPUTED_VALUE"""),"Advanced Chat Support")</f>
        <v>Advanced Chat Support</v>
      </c>
      <c r="L7604" s="1" t="str">
        <f>IFERROR(__xludf.DUMMYFUNCTION("""COMPUTED_VALUE"""),"CPS Advanced Chat Support (ACS)")</f>
        <v>CPS Advanced Chat Support (ACS)</v>
      </c>
    </row>
    <row r="7605">
      <c r="A7605" s="1" t="str">
        <f>IFERROR(__xludf.DUMMYFUNCTION("""COMPUTED_VALUE"""),"2025 Dec")</f>
        <v>2025 Dec</v>
      </c>
      <c r="B7605" s="2">
        <f>IFERROR(__xludf.DUMMYFUNCTION("""COMPUTED_VALUE"""),46013.0)</f>
        <v>46013</v>
      </c>
      <c r="C7605" s="1" t="str">
        <f>IFERROR(__xludf.DUMMYFUNCTION("""COMPUTED_VALUE"""),"Print Support")</f>
        <v>Print Support</v>
      </c>
      <c r="D7605" s="1" t="str">
        <f>IFERROR(__xludf.DUMMYFUNCTION("""COMPUTED_VALUE"""),"73b91882-25ef-4c9c-8b6f-9152a825d832")</f>
        <v>73b91882-25ef-4c9c-8b6f-9152a825d832</v>
      </c>
      <c r="E7605" s="1">
        <f>IFERROR(__xludf.DUMMYFUNCTION("""COMPUTED_VALUE"""),3.61825397936E11)</f>
        <v>361825397936</v>
      </c>
      <c r="F7605" s="1"/>
      <c r="G7605" s="1"/>
      <c r="H7605" s="3">
        <f>IFERROR(__xludf.DUMMYFUNCTION("""COMPUTED_VALUE"""),0.0)</f>
        <v>0</v>
      </c>
      <c r="I7605" s="4"/>
      <c r="J7605" s="1" t="str">
        <f>IFERROR(__xludf.DUMMYFUNCTION("""COMPUTED_VALUE"""),"Jan Domingo")</f>
        <v>Jan Domingo</v>
      </c>
      <c r="K7605" s="1" t="str">
        <f>IFERROR(__xludf.DUMMYFUNCTION("""COMPUTED_VALUE"""),"Print Design Support")</f>
        <v>Print Design Support</v>
      </c>
      <c r="L7605" s="1" t="str">
        <f>IFERROR(__xludf.DUMMYFUNCTION("""COMPUTED_VALUE"""),"Print Print Design")</f>
        <v>Print Print Design</v>
      </c>
    </row>
    <row r="7606">
      <c r="A7606" s="1" t="str">
        <f>IFERROR(__xludf.DUMMYFUNCTION("""COMPUTED_VALUE"""),"2025 Dec")</f>
        <v>2025 Dec</v>
      </c>
      <c r="B7606" s="2">
        <f>IFERROR(__xludf.DUMMYFUNCTION("""COMPUTED_VALUE"""),46013.0)</f>
        <v>46013</v>
      </c>
      <c r="C7606" s="1" t="str">
        <f>IFERROR(__xludf.DUMMYFUNCTION("""COMPUTED_VALUE"""),"Core Product Support")</f>
        <v>Core Product Support</v>
      </c>
      <c r="D7606" s="1" t="str">
        <f>IFERROR(__xludf.DUMMYFUNCTION("""COMPUTED_VALUE"""),"75169e9a-969f-480f-aae4-eff49591cf56")</f>
        <v>75169e9a-969f-480f-aae4-eff49591cf56</v>
      </c>
      <c r="E7606" s="1"/>
      <c r="F7606" s="1">
        <f>IFERROR(__xludf.DUMMYFUNCTION("""COMPUTED_VALUE"""),0.5)</f>
        <v>0.5</v>
      </c>
      <c r="G7606" s="1"/>
      <c r="H7606" s="3">
        <f>IFERROR(__xludf.DUMMYFUNCTION("""COMPUTED_VALUE"""),0.5)</f>
        <v>0.5</v>
      </c>
      <c r="I7606" s="4">
        <f>IFERROR(__xludf.DUMMYFUNCTION("""COMPUTED_VALUE"""),0.0)</f>
        <v>0</v>
      </c>
      <c r="J7606" s="1" t="str">
        <f>IFERROR(__xludf.DUMMYFUNCTION("""COMPUTED_VALUE"""),"Jelyn Elmido")</f>
        <v>Jelyn Elmido</v>
      </c>
      <c r="K7606" s="1" t="str">
        <f>IFERROR(__xludf.DUMMYFUNCTION("""COMPUTED_VALUE"""),"Advanced Product Support")</f>
        <v>Advanced Product Support</v>
      </c>
      <c r="L7606" s="1" t="str">
        <f>IFERROR(__xludf.DUMMYFUNCTION("""COMPUTED_VALUE"""),"CPS Advanced Product Support (APS)")</f>
        <v>CPS Advanced Product Support (APS)</v>
      </c>
    </row>
    <row r="7607">
      <c r="A7607" s="1" t="str">
        <f>IFERROR(__xludf.DUMMYFUNCTION("""COMPUTED_VALUE"""),"2025 Dec")</f>
        <v>2025 Dec</v>
      </c>
      <c r="B7607" s="2">
        <f>IFERROR(__xludf.DUMMYFUNCTION("""COMPUTED_VALUE"""),46013.0)</f>
        <v>46013</v>
      </c>
      <c r="C7607" s="1" t="str">
        <f>IFERROR(__xludf.DUMMYFUNCTION("""COMPUTED_VALUE"""),"Core Product Support")</f>
        <v>Core Product Support</v>
      </c>
      <c r="D7607" s="1" t="str">
        <f>IFERROR(__xludf.DUMMYFUNCTION("""COMPUTED_VALUE"""),"d235389b-3321-47e0-9816-c2275d682304")</f>
        <v>d235389b-3321-47e0-9816-c2275d682304</v>
      </c>
      <c r="E7607" s="1">
        <f>IFERROR(__xludf.DUMMYFUNCTION("""COMPUTED_VALUE"""),5.202378916623E12)</f>
        <v>5202378916623</v>
      </c>
      <c r="F7607" s="1">
        <f>IFERROR(__xludf.DUMMYFUNCTION("""COMPUTED_VALUE"""),0.5)</f>
        <v>0.5</v>
      </c>
      <c r="G7607" s="1"/>
      <c r="H7607" s="3">
        <f>IFERROR(__xludf.DUMMYFUNCTION("""COMPUTED_VALUE"""),0.5)</f>
        <v>0.5</v>
      </c>
      <c r="I7607" s="4">
        <f>IFERROR(__xludf.DUMMYFUNCTION("""COMPUTED_VALUE"""),0.0)</f>
        <v>0</v>
      </c>
      <c r="J7607" s="1" t="str">
        <f>IFERROR(__xludf.DUMMYFUNCTION("""COMPUTED_VALUE"""),"Renette Bok")</f>
        <v>Renette Bok</v>
      </c>
      <c r="K7607" s="1" t="str">
        <f>IFERROR(__xludf.DUMMYFUNCTION("""COMPUTED_VALUE"""),"Advanced Billing &amp; Subscriptions")</f>
        <v>Advanced Billing &amp; Subscriptions</v>
      </c>
      <c r="L7607" s="1" t="str">
        <f>IFERROR(__xludf.DUMMYFUNCTION("""COMPUTED_VALUE"""),"CPS Advanced Billing and Subscriptions (ABS)")</f>
        <v>CPS Advanced Billing and Subscriptions (ABS)</v>
      </c>
    </row>
    <row r="7608">
      <c r="A7608" s="1" t="str">
        <f>IFERROR(__xludf.DUMMYFUNCTION("""COMPUTED_VALUE"""),"2025 Dec")</f>
        <v>2025 Dec</v>
      </c>
      <c r="B7608" s="2">
        <f>IFERROR(__xludf.DUMMYFUNCTION("""COMPUTED_VALUE"""),46013.0)</f>
        <v>46013</v>
      </c>
      <c r="C7608" s="1" t="str">
        <f>IFERROR(__xludf.DUMMYFUNCTION("""COMPUTED_VALUE"""),"Core Product Support")</f>
        <v>Core Product Support</v>
      </c>
      <c r="D7608" s="1" t="str">
        <f>IFERROR(__xludf.DUMMYFUNCTION("""COMPUTED_VALUE"""),"e5eebde5-1bdf-4fc4-a4e5-e5f13689363d")</f>
        <v>e5eebde5-1bdf-4fc4-a4e5-e5f13689363d</v>
      </c>
      <c r="E7608" s="1">
        <f>IFERROR(__xludf.DUMMYFUNCTION("""COMPUTED_VALUE"""),8.303581036047E12)</f>
        <v>8303581036047</v>
      </c>
      <c r="F7608" s="1">
        <f>IFERROR(__xludf.DUMMYFUNCTION("""COMPUTED_VALUE"""),1.0)</f>
        <v>1</v>
      </c>
      <c r="G7608" s="1"/>
      <c r="H7608" s="3">
        <f>IFERROR(__xludf.DUMMYFUNCTION("""COMPUTED_VALUE"""),1.0)</f>
        <v>1</v>
      </c>
      <c r="I7608" s="4">
        <f>IFERROR(__xludf.DUMMYFUNCTION("""COMPUTED_VALUE"""),0.0)</f>
        <v>0</v>
      </c>
      <c r="J7608" s="1" t="str">
        <f>IFERROR(__xludf.DUMMYFUNCTION("""COMPUTED_VALUE"""),"Jelyn Elmido")</f>
        <v>Jelyn Elmido</v>
      </c>
      <c r="K7608" s="1" t="str">
        <f>IFERROR(__xludf.DUMMYFUNCTION("""COMPUTED_VALUE"""),"Advanced Product Support")</f>
        <v>Advanced Product Support</v>
      </c>
      <c r="L7608" s="1" t="str">
        <f>IFERROR(__xludf.DUMMYFUNCTION("""COMPUTED_VALUE"""),"CPS Advanced Product Support (APS)")</f>
        <v>CPS Advanced Product Support (APS)</v>
      </c>
    </row>
    <row r="7609">
      <c r="A7609" s="1" t="str">
        <f>IFERROR(__xludf.DUMMYFUNCTION("""COMPUTED_VALUE"""),"2025 Dec")</f>
        <v>2025 Dec</v>
      </c>
      <c r="B7609" s="2">
        <f>IFERROR(__xludf.DUMMYFUNCTION("""COMPUTED_VALUE"""),46013.0)</f>
        <v>46013</v>
      </c>
      <c r="C7609" s="1" t="str">
        <f>IFERROR(__xludf.DUMMYFUNCTION("""COMPUTED_VALUE"""),"Admin Support")</f>
        <v>Admin Support</v>
      </c>
      <c r="D7609" s="1" t="str">
        <f>IFERROR(__xludf.DUMMYFUNCTION("""COMPUTED_VALUE"""),"298d5f55-b7f6-4164-b84e-face9b3cbecb")</f>
        <v>298d5f55-b7f6-4164-b84e-face9b3cbecb</v>
      </c>
      <c r="E7609" s="1">
        <f>IFERROR(__xludf.DUMMYFUNCTION("""COMPUTED_VALUE"""),6.182237177103E12)</f>
        <v>6182237177103</v>
      </c>
      <c r="F7609" s="1"/>
      <c r="G7609" s="1">
        <f>IFERROR(__xludf.DUMMYFUNCTION("""COMPUTED_VALUE"""),8.5)</f>
        <v>8.5</v>
      </c>
      <c r="H7609" s="3">
        <f>IFERROR(__xludf.DUMMYFUNCTION("""COMPUTED_VALUE"""),8.5)</f>
        <v>8.5</v>
      </c>
      <c r="I7609" s="4">
        <f>IFERROR(__xludf.DUMMYFUNCTION("""COMPUTED_VALUE"""),1.0)</f>
        <v>1</v>
      </c>
      <c r="J7609" s="1" t="str">
        <f>IFERROR(__xludf.DUMMYFUNCTION("""COMPUTED_VALUE"""),"AL Suarez")</f>
        <v>AL Suarez</v>
      </c>
      <c r="K7609" s="1" t="str">
        <f>IFERROR(__xludf.DUMMYFUNCTION("""COMPUTED_VALUE"""),"Admin Support PH")</f>
        <v>Admin Support PH</v>
      </c>
      <c r="L7609" s="1" t="str">
        <f>IFERROR(__xludf.DUMMYFUNCTION("""COMPUTED_VALUE"""),"Admin PH")</f>
        <v>Admin PH</v>
      </c>
    </row>
    <row r="7610">
      <c r="A7610" s="1" t="str">
        <f>IFERROR(__xludf.DUMMYFUNCTION("""COMPUTED_VALUE"""),"2025 Dec")</f>
        <v>2025 Dec</v>
      </c>
      <c r="B7610" s="2">
        <f>IFERROR(__xludf.DUMMYFUNCTION("""COMPUTED_VALUE"""),46013.0)</f>
        <v>46013</v>
      </c>
      <c r="C7610" s="1" t="str">
        <f>IFERROR(__xludf.DUMMYFUNCTION("""COMPUTED_VALUE"""),"Admin Support")</f>
        <v>Admin Support</v>
      </c>
      <c r="D7610" s="1" t="str">
        <f>IFERROR(__xludf.DUMMYFUNCTION("""COMPUTED_VALUE"""),"bb9992e4-86b4-4be4-9177-e09f03299559")</f>
        <v>bb9992e4-86b4-4be4-9177-e09f03299559</v>
      </c>
      <c r="E7610" s="1">
        <f>IFERROR(__xludf.DUMMYFUNCTION("""COMPUTED_VALUE"""),3.61724830696E11)</f>
        <v>361724830696</v>
      </c>
      <c r="F7610" s="1"/>
      <c r="G7610" s="1">
        <f>IFERROR(__xludf.DUMMYFUNCTION("""COMPUTED_VALUE"""),5.0)</f>
        <v>5</v>
      </c>
      <c r="H7610" s="3">
        <f>IFERROR(__xludf.DUMMYFUNCTION("""COMPUTED_VALUE"""),5.0)</f>
        <v>5</v>
      </c>
      <c r="I7610" s="4">
        <f>IFERROR(__xludf.DUMMYFUNCTION("""COMPUTED_VALUE"""),1.0)</f>
        <v>1</v>
      </c>
      <c r="J7610" s="1" t="str">
        <f>IFERROR(__xludf.DUMMYFUNCTION("""COMPUTED_VALUE"""),"Rose Gabilan")</f>
        <v>Rose Gabilan</v>
      </c>
      <c r="K7610" s="1" t="str">
        <f>IFERROR(__xludf.DUMMYFUNCTION("""COMPUTED_VALUE"""),"Admin Support PH SSO")</f>
        <v>Admin Support PH SSO</v>
      </c>
      <c r="L7610" s="1" t="str">
        <f>IFERROR(__xludf.DUMMYFUNCTION("""COMPUTED_VALUE"""),"Admin SSO - CHT")</f>
        <v>Admin SSO - CHT</v>
      </c>
    </row>
    <row r="7611">
      <c r="A7611" s="1" t="str">
        <f>IFERROR(__xludf.DUMMYFUNCTION("""COMPUTED_VALUE"""),"2025 Dec")</f>
        <v>2025 Dec</v>
      </c>
      <c r="B7611" s="2">
        <f>IFERROR(__xludf.DUMMYFUNCTION("""COMPUTED_VALUE"""),46013.0)</f>
        <v>46013</v>
      </c>
      <c r="C7611" s="1" t="str">
        <f>IFERROR(__xludf.DUMMYFUNCTION("""COMPUTED_VALUE"""),"Core Product Support")</f>
        <v>Core Product Support</v>
      </c>
      <c r="D7611" s="1" t="str">
        <f>IFERROR(__xludf.DUMMYFUNCTION("""COMPUTED_VALUE"""),"1fa942bd-1815-4054-9636-810d3c7d937c")</f>
        <v>1fa942bd-1815-4054-9636-810d3c7d937c</v>
      </c>
      <c r="E7611" s="1">
        <f>IFERROR(__xludf.DUMMYFUNCTION("""COMPUTED_VALUE"""),3.61731348455E11)</f>
        <v>361731348455</v>
      </c>
      <c r="F7611" s="1">
        <f>IFERROR(__xludf.DUMMYFUNCTION("""COMPUTED_VALUE"""),0.5)</f>
        <v>0.5</v>
      </c>
      <c r="G7611" s="1">
        <f>IFERROR(__xludf.DUMMYFUNCTION("""COMPUTED_VALUE"""),2.5)</f>
        <v>2.5</v>
      </c>
      <c r="H7611" s="3">
        <f>IFERROR(__xludf.DUMMYFUNCTION("""COMPUTED_VALUE"""),3.0)</f>
        <v>3</v>
      </c>
      <c r="I7611" s="4">
        <f>IFERROR(__xludf.DUMMYFUNCTION("""COMPUTED_VALUE"""),0.8333333333333334)</f>
        <v>0.8333333333</v>
      </c>
      <c r="J7611" s="1" t="str">
        <f>IFERROR(__xludf.DUMMYFUNCTION("""COMPUTED_VALUE"""),"Sieg Ballelos")</f>
        <v>Sieg Ballelos</v>
      </c>
      <c r="K7611" s="1" t="str">
        <f>IFERROR(__xludf.DUMMYFUNCTION("""COMPUTED_VALUE"""),"Core Product Support Escalation Team")</f>
        <v>Core Product Support Escalation Team</v>
      </c>
      <c r="L7611" s="1" t="str">
        <f>IFERROR(__xludf.DUMMYFUNCTION("""COMPUTED_VALUE"""),"CPS Core Product Support Escalations (CPSET)")</f>
        <v>CPS Core Product Support Escalations (CPSET)</v>
      </c>
    </row>
    <row r="7612">
      <c r="A7612" s="1" t="str">
        <f>IFERROR(__xludf.DUMMYFUNCTION("""COMPUTED_VALUE"""),"2025 Dec")</f>
        <v>2025 Dec</v>
      </c>
      <c r="B7612" s="2">
        <f>IFERROR(__xludf.DUMMYFUNCTION("""COMPUTED_VALUE"""),46013.0)</f>
        <v>46013</v>
      </c>
      <c r="C7612" s="1" t="str">
        <f>IFERROR(__xludf.DUMMYFUNCTION("""COMPUTED_VALUE"""),"Core Product Support")</f>
        <v>Core Product Support</v>
      </c>
      <c r="D7612" s="1" t="str">
        <f>IFERROR(__xludf.DUMMYFUNCTION("""COMPUTED_VALUE"""),"b366931c-0597-40c7-babb-0a89ffc75e01")</f>
        <v>b366931c-0597-40c7-babb-0a89ffc75e01</v>
      </c>
      <c r="E7612" s="1"/>
      <c r="F7612" s="1">
        <f>IFERROR(__xludf.DUMMYFUNCTION("""COMPUTED_VALUE"""),0.5)</f>
        <v>0.5</v>
      </c>
      <c r="G7612" s="1"/>
      <c r="H7612" s="3">
        <f>IFERROR(__xludf.DUMMYFUNCTION("""COMPUTED_VALUE"""),0.5)</f>
        <v>0.5</v>
      </c>
      <c r="I7612" s="4">
        <f>IFERROR(__xludf.DUMMYFUNCTION("""COMPUTED_VALUE"""),0.0)</f>
        <v>0</v>
      </c>
      <c r="J7612" s="1" t="str">
        <f>IFERROR(__xludf.DUMMYFUNCTION("""COMPUTED_VALUE"""),"Marie Mordeno")</f>
        <v>Marie Mordeno</v>
      </c>
      <c r="K7612" s="1" t="str">
        <f>IFERROR(__xludf.DUMMYFUNCTION("""COMPUTED_VALUE"""),"Advanced Billing &amp; Subscriptions")</f>
        <v>Advanced Billing &amp; Subscriptions</v>
      </c>
      <c r="L7612" s="1" t="str">
        <f>IFERROR(__xludf.DUMMYFUNCTION("""COMPUTED_VALUE"""),"CPS Advanced Billing and Subscriptions (ABS)")</f>
        <v>CPS Advanced Billing and Subscriptions (ABS)</v>
      </c>
    </row>
    <row r="7613">
      <c r="A7613" s="1" t="str">
        <f>IFERROR(__xludf.DUMMYFUNCTION("""COMPUTED_VALUE"""),"2025 Dec")</f>
        <v>2025 Dec</v>
      </c>
      <c r="B7613" s="2">
        <f>IFERROR(__xludf.DUMMYFUNCTION("""COMPUTED_VALUE"""),46013.0)</f>
        <v>46013</v>
      </c>
      <c r="C7613" s="1" t="str">
        <f>IFERROR(__xludf.DUMMYFUNCTION("""COMPUTED_VALUE"""),"Core Product Support")</f>
        <v>Core Product Support</v>
      </c>
      <c r="D7613" s="1" t="str">
        <f>IFERROR(__xludf.DUMMYFUNCTION("""COMPUTED_VALUE"""),"d8cafb49-0513-4066-8298-8198c1c303c8")</f>
        <v>d8cafb49-0513-4066-8298-8198c1c303c8</v>
      </c>
      <c r="E7613" s="1">
        <f>IFERROR(__xludf.DUMMYFUNCTION("""COMPUTED_VALUE"""),5.566859239951E12)</f>
        <v>5566859239951</v>
      </c>
      <c r="F7613" s="1">
        <f>IFERROR(__xludf.DUMMYFUNCTION("""COMPUTED_VALUE"""),0.5)</f>
        <v>0.5</v>
      </c>
      <c r="G7613" s="1"/>
      <c r="H7613" s="3">
        <f>IFERROR(__xludf.DUMMYFUNCTION("""COMPUTED_VALUE"""),0.5)</f>
        <v>0.5</v>
      </c>
      <c r="I7613" s="4">
        <f>IFERROR(__xludf.DUMMYFUNCTION("""COMPUTED_VALUE"""),0.0)</f>
        <v>0</v>
      </c>
      <c r="J7613" s="1" t="str">
        <f>IFERROR(__xludf.DUMMYFUNCTION("""COMPUTED_VALUE"""),"Jahmie Mae Barrameda")</f>
        <v>Jahmie Mae Barrameda</v>
      </c>
      <c r="K7613" s="1" t="str">
        <f>IFERROR(__xludf.DUMMYFUNCTION("""COMPUTED_VALUE"""),"Advanced Billing &amp; Subscriptions")</f>
        <v>Advanced Billing &amp; Subscriptions</v>
      </c>
      <c r="L7613" s="1" t="str">
        <f>IFERROR(__xludf.DUMMYFUNCTION("""COMPUTED_VALUE"""),"CPS Advanced Billing and Subscriptions (ABS)")</f>
        <v>CPS Advanced Billing and Subscriptions (ABS)</v>
      </c>
    </row>
    <row r="7614">
      <c r="A7614" s="1" t="str">
        <f>IFERROR(__xludf.DUMMYFUNCTION("""COMPUTED_VALUE"""),"2025 Dec")</f>
        <v>2025 Dec</v>
      </c>
      <c r="B7614" s="2">
        <f>IFERROR(__xludf.DUMMYFUNCTION("""COMPUTED_VALUE"""),46013.0)</f>
        <v>46013</v>
      </c>
      <c r="C7614" s="1" t="str">
        <f>IFERROR(__xludf.DUMMYFUNCTION("""COMPUTED_VALUE"""),"Print Support")</f>
        <v>Print Support</v>
      </c>
      <c r="D7614" s="1" t="str">
        <f>IFERROR(__xludf.DUMMYFUNCTION("""COMPUTED_VALUE"""),"b38dd32d-e840-4454-9bff-9270032e26ec")</f>
        <v>b38dd32d-e840-4454-9bff-9270032e26ec</v>
      </c>
      <c r="E7614" s="1">
        <f>IFERROR(__xludf.DUMMYFUNCTION("""COMPUTED_VALUE"""),1.1279671882767E13)</f>
        <v>11279671882767</v>
      </c>
      <c r="F7614" s="1"/>
      <c r="G7614" s="1"/>
      <c r="H7614" s="3">
        <f>IFERROR(__xludf.DUMMYFUNCTION("""COMPUTED_VALUE"""),0.0)</f>
        <v>0</v>
      </c>
      <c r="I7614" s="4"/>
      <c r="J7614" s="1" t="str">
        <f>IFERROR(__xludf.DUMMYFUNCTION("""COMPUTED_VALUE"""),"Jen Momo")</f>
        <v>Jen Momo</v>
      </c>
      <c r="K7614" s="1" t="str">
        <f>IFERROR(__xludf.DUMMYFUNCTION("""COMPUTED_VALUE"""),"Print Support PH")</f>
        <v>Print Support PH</v>
      </c>
      <c r="L7614" s="1" t="str">
        <f>IFERROR(__xludf.DUMMYFUNCTION("""COMPUTED_VALUE"""),"Print Print - CHT")</f>
        <v>Print Print - CHT</v>
      </c>
    </row>
    <row r="7615">
      <c r="A7615" s="1" t="str">
        <f>IFERROR(__xludf.DUMMYFUNCTION("""COMPUTED_VALUE"""),"2025 Dec")</f>
        <v>2025 Dec</v>
      </c>
      <c r="B7615" s="2">
        <f>IFERROR(__xludf.DUMMYFUNCTION("""COMPUTED_VALUE"""),46013.0)</f>
        <v>46013</v>
      </c>
      <c r="C7615" s="1" t="str">
        <f>IFERROR(__xludf.DUMMYFUNCTION("""COMPUTED_VALUE"""),"Print Support")</f>
        <v>Print Support</v>
      </c>
      <c r="D7615" s="1" t="str">
        <f>IFERROR(__xludf.DUMMYFUNCTION("""COMPUTED_VALUE"""),"f6ab909a-8fae-4139-af23-d06c28a32b8c")</f>
        <v>f6ab909a-8fae-4139-af23-d06c28a32b8c</v>
      </c>
      <c r="E7615" s="1">
        <f>IFERROR(__xludf.DUMMYFUNCTION("""COMPUTED_VALUE"""),3.61724667376E11)</f>
        <v>361724667376</v>
      </c>
      <c r="F7615" s="1"/>
      <c r="G7615" s="1"/>
      <c r="H7615" s="3">
        <f>IFERROR(__xludf.DUMMYFUNCTION("""COMPUTED_VALUE"""),0.0)</f>
        <v>0</v>
      </c>
      <c r="I7615" s="4"/>
      <c r="J7615" s="1" t="str">
        <f>IFERROR(__xludf.DUMMYFUNCTION("""COMPUTED_VALUE"""),"Ann Dumlao")</f>
        <v>Ann Dumlao</v>
      </c>
      <c r="K7615" s="1" t="str">
        <f>IFERROR(__xludf.DUMMYFUNCTION("""COMPUTED_VALUE"""),"Print Support PH")</f>
        <v>Print Support PH</v>
      </c>
      <c r="L7615" s="1" t="str">
        <f>IFERROR(__xludf.DUMMYFUNCTION("""COMPUTED_VALUE"""),"Print Print - CHT")</f>
        <v>Print Print - CHT</v>
      </c>
    </row>
    <row r="7616">
      <c r="A7616" s="1" t="str">
        <f>IFERROR(__xludf.DUMMYFUNCTION("""COMPUTED_VALUE"""),"2025 Dec")</f>
        <v>2025 Dec</v>
      </c>
      <c r="B7616" s="2">
        <f>IFERROR(__xludf.DUMMYFUNCTION("""COMPUTED_VALUE"""),46013.0)</f>
        <v>46013</v>
      </c>
      <c r="C7616" s="1" t="str">
        <f>IFERROR(__xludf.DUMMYFUNCTION("""COMPUTED_VALUE"""),"Admin Support")</f>
        <v>Admin Support</v>
      </c>
      <c r="D7616" s="1" t="str">
        <f>IFERROR(__xludf.DUMMYFUNCTION("""COMPUTED_VALUE"""),"2440a395-2ee9-49c8-95dd-ec980955ac7b")</f>
        <v>2440a395-2ee9-49c8-95dd-ec980955ac7b</v>
      </c>
      <c r="E7616" s="1">
        <f>IFERROR(__xludf.DUMMYFUNCTION("""COMPUTED_VALUE"""),3.61725375656E11)</f>
        <v>361725375656</v>
      </c>
      <c r="F7616" s="1"/>
      <c r="G7616" s="1"/>
      <c r="H7616" s="3">
        <f>IFERROR(__xludf.DUMMYFUNCTION("""COMPUTED_VALUE"""),0.0)</f>
        <v>0</v>
      </c>
      <c r="I7616" s="4"/>
      <c r="J7616" s="1" t="str">
        <f>IFERROR(__xludf.DUMMYFUNCTION("""COMPUTED_VALUE"""),"Karla Mananghaya")</f>
        <v>Karla Mananghaya</v>
      </c>
      <c r="K7616" s="1" t="str">
        <f>IFERROR(__xludf.DUMMYFUNCTION("""COMPUTED_VALUE"""),"Back of House Operations PH")</f>
        <v>Back of House Operations PH</v>
      </c>
      <c r="L7616" s="1" t="str">
        <f>IFERROR(__xludf.DUMMYFUNCTION("""COMPUTED_VALUE"""),"BoHO SEE")</f>
        <v>BoHO SEE</v>
      </c>
    </row>
    <row r="7617">
      <c r="A7617" s="1" t="str">
        <f>IFERROR(__xludf.DUMMYFUNCTION("""COMPUTED_VALUE"""),"2025 Dec")</f>
        <v>2025 Dec</v>
      </c>
      <c r="B7617" s="2">
        <f>IFERROR(__xludf.DUMMYFUNCTION("""COMPUTED_VALUE"""),46013.0)</f>
        <v>46013</v>
      </c>
      <c r="C7617" s="1" t="str">
        <f>IFERROR(__xludf.DUMMYFUNCTION("""COMPUTED_VALUE"""),"High Sensitivity Support")</f>
        <v>High Sensitivity Support</v>
      </c>
      <c r="D7617" s="1" t="str">
        <f>IFERROR(__xludf.DUMMYFUNCTION("""COMPUTED_VALUE"""),"0bb396c0-8b48-4382-addc-66818b7167ec")</f>
        <v>0bb396c0-8b48-4382-addc-66818b7167ec</v>
      </c>
      <c r="E7617" s="1">
        <f>IFERROR(__xludf.DUMMYFUNCTION("""COMPUTED_VALUE"""),5.566867976335E12)</f>
        <v>5566867976335</v>
      </c>
      <c r="F7617" s="1"/>
      <c r="G7617" s="1"/>
      <c r="H7617" s="3">
        <f>IFERROR(__xludf.DUMMYFUNCTION("""COMPUTED_VALUE"""),0.0)</f>
        <v>0</v>
      </c>
      <c r="I7617" s="4"/>
      <c r="J7617" s="1" t="str">
        <f>IFERROR(__xludf.DUMMYFUNCTION("""COMPUTED_VALUE"""),"Issi Afable")</f>
        <v>Issi Afable</v>
      </c>
      <c r="K7617" s="1" t="str">
        <f>IFERROR(__xludf.DUMMYFUNCTION("""COMPUTED_VALUE"""),"High Sensitivity Support PH")</f>
        <v>High Sensitivity Support PH</v>
      </c>
      <c r="L7617" s="1" t="str">
        <f>IFERROR(__xludf.DUMMYFUNCTION("""COMPUTED_VALUE"""),"HSS High Sensitivity Support PH - SEE")</f>
        <v>HSS High Sensitivity Support PH - SEE</v>
      </c>
    </row>
    <row r="7618">
      <c r="A7618" s="1" t="str">
        <f>IFERROR(__xludf.DUMMYFUNCTION("""COMPUTED_VALUE"""),"2025 Dec")</f>
        <v>2025 Dec</v>
      </c>
      <c r="B7618" s="2">
        <f>IFERROR(__xludf.DUMMYFUNCTION("""COMPUTED_VALUE"""),46013.0)</f>
        <v>46013</v>
      </c>
      <c r="C7618" s="1" t="str">
        <f>IFERROR(__xludf.DUMMYFUNCTION("""COMPUTED_VALUE"""),"Print Support")</f>
        <v>Print Support</v>
      </c>
      <c r="D7618" s="1" t="str">
        <f>IFERROR(__xludf.DUMMYFUNCTION("""COMPUTED_VALUE"""),"bfafe2d2-bab4-4d76-87e0-5b42d5285805")</f>
        <v>bfafe2d2-bab4-4d76-87e0-5b42d5285805</v>
      </c>
      <c r="E7618" s="1">
        <f>IFERROR(__xludf.DUMMYFUNCTION("""COMPUTED_VALUE"""),5.202379009423E12)</f>
        <v>5202379009423</v>
      </c>
      <c r="F7618" s="1"/>
      <c r="G7618" s="1"/>
      <c r="H7618" s="3">
        <f>IFERROR(__xludf.DUMMYFUNCTION("""COMPUTED_VALUE"""),0.0)</f>
        <v>0</v>
      </c>
      <c r="I7618" s="4"/>
      <c r="J7618" s="1" t="str">
        <f>IFERROR(__xludf.DUMMYFUNCTION("""COMPUTED_VALUE"""),"Althea Mercado")</f>
        <v>Althea Mercado</v>
      </c>
      <c r="K7618" s="1" t="str">
        <f>IFERROR(__xludf.DUMMYFUNCTION("""COMPUTED_VALUE"""),"Print Support PH")</f>
        <v>Print Support PH</v>
      </c>
      <c r="L7618" s="1" t="str">
        <f>IFERROR(__xludf.DUMMYFUNCTION("""COMPUTED_VALUE"""),"Print Print - CHT")</f>
        <v>Print Print - CHT</v>
      </c>
    </row>
    <row r="7619">
      <c r="A7619" s="1" t="str">
        <f>IFERROR(__xludf.DUMMYFUNCTION("""COMPUTED_VALUE"""),"2025 Dec")</f>
        <v>2025 Dec</v>
      </c>
      <c r="B7619" s="2">
        <f>IFERROR(__xludf.DUMMYFUNCTION("""COMPUTED_VALUE"""),46013.0)</f>
        <v>46013</v>
      </c>
      <c r="C7619" s="1" t="str">
        <f>IFERROR(__xludf.DUMMYFUNCTION("""COMPUTED_VALUE"""),"Core Product Support")</f>
        <v>Core Product Support</v>
      </c>
      <c r="D7619" s="1" t="str">
        <f>IFERROR(__xludf.DUMMYFUNCTION("""COMPUTED_VALUE"""),"c0f3492c-b6e0-4663-88e9-07ef49890f6a")</f>
        <v>c0f3492c-b6e0-4663-88e9-07ef49890f6a</v>
      </c>
      <c r="E7619" s="1">
        <f>IFERROR(__xludf.DUMMYFUNCTION("""COMPUTED_VALUE"""),7.437401161487E12)</f>
        <v>7437401161487</v>
      </c>
      <c r="F7619" s="1"/>
      <c r="G7619" s="1"/>
      <c r="H7619" s="3">
        <f>IFERROR(__xludf.DUMMYFUNCTION("""COMPUTED_VALUE"""),0.0)</f>
        <v>0</v>
      </c>
      <c r="I7619" s="4"/>
      <c r="J7619" s="1" t="str">
        <f>IFERROR(__xludf.DUMMYFUNCTION("""COMPUTED_VALUE"""),"Renette Bok")</f>
        <v>Renette Bok</v>
      </c>
      <c r="K7619" s="1" t="str">
        <f>IFERROR(__xludf.DUMMYFUNCTION("""COMPUTED_VALUE"""),"Advanced Billing &amp; Subscriptions")</f>
        <v>Advanced Billing &amp; Subscriptions</v>
      </c>
      <c r="L7619" s="1" t="str">
        <f>IFERROR(__xludf.DUMMYFUNCTION("""COMPUTED_VALUE"""),"CPS Advanced Billing and Subscriptions (ABS)")</f>
        <v>CPS Advanced Billing and Subscriptions (ABS)</v>
      </c>
    </row>
    <row r="7620">
      <c r="A7620" s="1" t="str">
        <f>IFERROR(__xludf.DUMMYFUNCTION("""COMPUTED_VALUE"""),"2025 Dec")</f>
        <v>2025 Dec</v>
      </c>
      <c r="B7620" s="2">
        <f>IFERROR(__xludf.DUMMYFUNCTION("""COMPUTED_VALUE"""),46013.0)</f>
        <v>46013</v>
      </c>
      <c r="C7620" s="1" t="str">
        <f>IFERROR(__xludf.DUMMYFUNCTION("""COMPUTED_VALUE"""),"Core Product Support")</f>
        <v>Core Product Support</v>
      </c>
      <c r="D7620" s="1" t="str">
        <f>IFERROR(__xludf.DUMMYFUNCTION("""COMPUTED_VALUE"""),"3335501a-b303-4b1b-b874-e502875b9c00")</f>
        <v>3335501a-b303-4b1b-b874-e502875b9c00</v>
      </c>
      <c r="E7620" s="1">
        <f>IFERROR(__xludf.DUMMYFUNCTION("""COMPUTED_VALUE"""),5.901973624079E12)</f>
        <v>5901973624079</v>
      </c>
      <c r="F7620" s="1">
        <f>IFERROR(__xludf.DUMMYFUNCTION("""COMPUTED_VALUE"""),0.5)</f>
        <v>0.5</v>
      </c>
      <c r="G7620" s="1">
        <f>IFERROR(__xludf.DUMMYFUNCTION("""COMPUTED_VALUE"""),2.5)</f>
        <v>2.5</v>
      </c>
      <c r="H7620" s="3">
        <f>IFERROR(__xludf.DUMMYFUNCTION("""COMPUTED_VALUE"""),3.0)</f>
        <v>3</v>
      </c>
      <c r="I7620" s="4">
        <f>IFERROR(__xludf.DUMMYFUNCTION("""COMPUTED_VALUE"""),0.8333333333333334)</f>
        <v>0.8333333333</v>
      </c>
      <c r="J7620" s="1" t="str">
        <f>IFERROR(__xludf.DUMMYFUNCTION("""COMPUTED_VALUE"""),"Bem Launte")</f>
        <v>Bem Launte</v>
      </c>
      <c r="K7620" s="1" t="str">
        <f>IFERROR(__xludf.DUMMYFUNCTION("""COMPUTED_VALUE"""),"Core Product Support Escalation Team")</f>
        <v>Core Product Support Escalation Team</v>
      </c>
      <c r="L7620" s="1" t="str">
        <f>IFERROR(__xludf.DUMMYFUNCTION("""COMPUTED_VALUE"""),"CPS Core Product Support Escalations (CPSET)")</f>
        <v>CPS Core Product Support Escalations (CPSET)</v>
      </c>
    </row>
    <row r="7621">
      <c r="A7621" s="1" t="str">
        <f>IFERROR(__xludf.DUMMYFUNCTION("""COMPUTED_VALUE"""),"2025 Dec")</f>
        <v>2025 Dec</v>
      </c>
      <c r="B7621" s="2">
        <f>IFERROR(__xludf.DUMMYFUNCTION("""COMPUTED_VALUE"""),46013.0)</f>
        <v>46013</v>
      </c>
      <c r="C7621" s="1" t="str">
        <f>IFERROR(__xludf.DUMMYFUNCTION("""COMPUTED_VALUE"""),"Print Support")</f>
        <v>Print Support</v>
      </c>
      <c r="D7621" s="1" t="str">
        <f>IFERROR(__xludf.DUMMYFUNCTION("""COMPUTED_VALUE"""),"81f19830-f845-4879-96ee-0654dc8f6f68")</f>
        <v>81f19830-f845-4879-96ee-0654dc8f6f68</v>
      </c>
      <c r="E7621" s="1">
        <f>IFERROR(__xludf.DUMMYFUNCTION("""COMPUTED_VALUE"""),3.61750058635E11)</f>
        <v>361750058635</v>
      </c>
      <c r="F7621" s="1"/>
      <c r="G7621" s="1"/>
      <c r="H7621" s="3">
        <f>IFERROR(__xludf.DUMMYFUNCTION("""COMPUTED_VALUE"""),0.0)</f>
        <v>0</v>
      </c>
      <c r="I7621" s="4"/>
      <c r="J7621" s="1" t="str">
        <f>IFERROR(__xludf.DUMMYFUNCTION("""COMPUTED_VALUE"""),"Rae Erlano")</f>
        <v>Rae Erlano</v>
      </c>
      <c r="K7621" s="1" t="str">
        <f>IFERROR(__xludf.DUMMYFUNCTION("""COMPUTED_VALUE"""),"Print Support PH")</f>
        <v>Print Support PH</v>
      </c>
      <c r="L7621" s="1" t="str">
        <f>IFERROR(__xludf.DUMMYFUNCTION("""COMPUTED_VALUE"""),"Print Print - CHT")</f>
        <v>Print Print - CHT</v>
      </c>
    </row>
    <row r="7622">
      <c r="A7622" s="1" t="str">
        <f>IFERROR(__xludf.DUMMYFUNCTION("""COMPUTED_VALUE"""),"2025 Dec")</f>
        <v>2025 Dec</v>
      </c>
      <c r="B7622" s="2">
        <f>IFERROR(__xludf.DUMMYFUNCTION("""COMPUTED_VALUE"""),46013.0)</f>
        <v>46013</v>
      </c>
      <c r="C7622" s="1" t="str">
        <f>IFERROR(__xludf.DUMMYFUNCTION("""COMPUTED_VALUE"""),"Core Product Support")</f>
        <v>Core Product Support</v>
      </c>
      <c r="D7622" s="1" t="str">
        <f>IFERROR(__xludf.DUMMYFUNCTION("""COMPUTED_VALUE"""),"2e981db7-61ee-4b53-aef6-4c4cc65464d7")</f>
        <v>2e981db7-61ee-4b53-aef6-4c4cc65464d7</v>
      </c>
      <c r="E7622" s="1">
        <f>IFERROR(__xludf.DUMMYFUNCTION("""COMPUTED_VALUE"""),8.904435850895E12)</f>
        <v>8904435850895</v>
      </c>
      <c r="F7622" s="1">
        <f>IFERROR(__xludf.DUMMYFUNCTION("""COMPUTED_VALUE"""),0.5)</f>
        <v>0.5</v>
      </c>
      <c r="G7622" s="1"/>
      <c r="H7622" s="3">
        <f>IFERROR(__xludf.DUMMYFUNCTION("""COMPUTED_VALUE"""),0.5)</f>
        <v>0.5</v>
      </c>
      <c r="I7622" s="4">
        <f>IFERROR(__xludf.DUMMYFUNCTION("""COMPUTED_VALUE"""),0.0)</f>
        <v>0</v>
      </c>
      <c r="J7622" s="1" t="str">
        <f>IFERROR(__xludf.DUMMYFUNCTION("""COMPUTED_VALUE"""),"Mikhaela Decangchon")</f>
        <v>Mikhaela Decangchon</v>
      </c>
      <c r="K7622" s="1" t="str">
        <f>IFERROR(__xludf.DUMMYFUNCTION("""COMPUTED_VALUE"""),"Advanced Product Support")</f>
        <v>Advanced Product Support</v>
      </c>
      <c r="L7622" s="1" t="str">
        <f>IFERROR(__xludf.DUMMYFUNCTION("""COMPUTED_VALUE"""),"CPS Advanced Product Support (APS)")</f>
        <v>CPS Advanced Product Support (APS)</v>
      </c>
    </row>
    <row r="7623">
      <c r="A7623" s="1" t="str">
        <f>IFERROR(__xludf.DUMMYFUNCTION("""COMPUTED_VALUE"""),"2025 Dec")</f>
        <v>2025 Dec</v>
      </c>
      <c r="B7623" s="2">
        <f>IFERROR(__xludf.DUMMYFUNCTION("""COMPUTED_VALUE"""),46013.0)</f>
        <v>46013</v>
      </c>
      <c r="C7623" s="1" t="str">
        <f>IFERROR(__xludf.DUMMYFUNCTION("""COMPUTED_VALUE"""),"Segment-specific Support")</f>
        <v>Segment-specific Support</v>
      </c>
      <c r="D7623" s="1" t="str">
        <f>IFERROR(__xludf.DUMMYFUNCTION("""COMPUTED_VALUE"""),"a9175f4e-c2a3-4f80-bd6c-76adc2cfcef8")</f>
        <v>a9175f4e-c2a3-4f80-bd6c-76adc2cfcef8</v>
      </c>
      <c r="E7623" s="1">
        <f>IFERROR(__xludf.DUMMYFUNCTION("""COMPUTED_VALUE"""),5.359144633743E12)</f>
        <v>5359144633743</v>
      </c>
      <c r="F7623" s="1"/>
      <c r="G7623" s="1"/>
      <c r="H7623" s="3">
        <f>IFERROR(__xludf.DUMMYFUNCTION("""COMPUTED_VALUE"""),0.0)</f>
        <v>0</v>
      </c>
      <c r="I7623" s="4"/>
      <c r="J7623" s="1" t="str">
        <f>IFERROR(__xludf.DUMMYFUNCTION("""COMPUTED_VALUE"""),"Tash Kelly")</f>
        <v>Tash Kelly</v>
      </c>
      <c r="K7623" s="1" t="str">
        <f>IFERROR(__xludf.DUMMYFUNCTION("""COMPUTED_VALUE"""),"Affinity Support")</f>
        <v>Affinity Support</v>
      </c>
      <c r="L7623" s="1" t="str">
        <f>IFERROR(__xludf.DUMMYFUNCTION("""COMPUTED_VALUE"""),"SSS Affinity")</f>
        <v>SSS Affinity</v>
      </c>
    </row>
    <row r="7624">
      <c r="A7624" s="1" t="str">
        <f>IFERROR(__xludf.DUMMYFUNCTION("""COMPUTED_VALUE"""),"2025 Dec")</f>
        <v>2025 Dec</v>
      </c>
      <c r="B7624" s="2">
        <f>IFERROR(__xludf.DUMMYFUNCTION("""COMPUTED_VALUE"""),46013.0)</f>
        <v>46013</v>
      </c>
      <c r="C7624" s="1" t="str">
        <f>IFERROR(__xludf.DUMMYFUNCTION("""COMPUTED_VALUE"""),"Print Support")</f>
        <v>Print Support</v>
      </c>
      <c r="D7624" s="1" t="str">
        <f>IFERROR(__xludf.DUMMYFUNCTION("""COMPUTED_VALUE"""),"c099fecd-f2e4-4b33-8ba3-1c6779033d42")</f>
        <v>c099fecd-f2e4-4b33-8ba3-1c6779033d42</v>
      </c>
      <c r="E7624" s="1">
        <f>IFERROR(__xludf.DUMMYFUNCTION("""COMPUTED_VALUE"""),5.901988081807E12)</f>
        <v>5901988081807</v>
      </c>
      <c r="F7624" s="1"/>
      <c r="G7624" s="1"/>
      <c r="H7624" s="3">
        <f>IFERROR(__xludf.DUMMYFUNCTION("""COMPUTED_VALUE"""),0.0)</f>
        <v>0</v>
      </c>
      <c r="I7624" s="4"/>
      <c r="J7624" s="1" t="str">
        <f>IFERROR(__xludf.DUMMYFUNCTION("""COMPUTED_VALUE"""),"Rae Erlano")</f>
        <v>Rae Erlano</v>
      </c>
      <c r="K7624" s="1" t="str">
        <f>IFERROR(__xludf.DUMMYFUNCTION("""COMPUTED_VALUE"""),"Print Support PH")</f>
        <v>Print Support PH</v>
      </c>
      <c r="L7624" s="1" t="str">
        <f>IFERROR(__xludf.DUMMYFUNCTION("""COMPUTED_VALUE"""),"Print Print - CHT")</f>
        <v>Print Print - CHT</v>
      </c>
    </row>
    <row r="7625">
      <c r="A7625" s="1" t="str">
        <f>IFERROR(__xludf.DUMMYFUNCTION("""COMPUTED_VALUE"""),"2025 Dec")</f>
        <v>2025 Dec</v>
      </c>
      <c r="B7625" s="2">
        <f>IFERROR(__xludf.DUMMYFUNCTION("""COMPUTED_VALUE"""),46013.0)</f>
        <v>46013</v>
      </c>
      <c r="C7625" s="1" t="str">
        <f>IFERROR(__xludf.DUMMYFUNCTION("""COMPUTED_VALUE"""),"Print Support")</f>
        <v>Print Support</v>
      </c>
      <c r="D7625" s="1" t="str">
        <f>IFERROR(__xludf.DUMMYFUNCTION("""COMPUTED_VALUE"""),"f49619b0-d053-442f-946d-b652dbfb2703")</f>
        <v>f49619b0-d053-442f-946d-b652dbfb2703</v>
      </c>
      <c r="E7625" s="1"/>
      <c r="F7625" s="1"/>
      <c r="G7625" s="1"/>
      <c r="H7625" s="3">
        <f>IFERROR(__xludf.DUMMYFUNCTION("""COMPUTED_VALUE"""),0.0)</f>
        <v>0</v>
      </c>
      <c r="I7625" s="4"/>
      <c r="J7625" s="1" t="str">
        <f>IFERROR(__xludf.DUMMYFUNCTION("""COMPUTED_VALUE"""),"Aliza Dote")</f>
        <v>Aliza Dote</v>
      </c>
      <c r="K7625" s="1" t="str">
        <f>IFERROR(__xludf.DUMMYFUNCTION("""COMPUTED_VALUE"""),"Print Design Support")</f>
        <v>Print Design Support</v>
      </c>
      <c r="L7625" s="1" t="str">
        <f>IFERROR(__xludf.DUMMYFUNCTION("""COMPUTED_VALUE"""),"Print Print Design")</f>
        <v>Print Print Design</v>
      </c>
    </row>
    <row r="7626">
      <c r="A7626" s="1" t="str">
        <f>IFERROR(__xludf.DUMMYFUNCTION("""COMPUTED_VALUE"""),"2025 Dec")</f>
        <v>2025 Dec</v>
      </c>
      <c r="B7626" s="2">
        <f>IFERROR(__xludf.DUMMYFUNCTION("""COMPUTED_VALUE"""),46013.0)</f>
        <v>46013</v>
      </c>
      <c r="C7626" s="1" t="str">
        <f>IFERROR(__xludf.DUMMYFUNCTION("""COMPUTED_VALUE"""),"Core Product Support")</f>
        <v>Core Product Support</v>
      </c>
      <c r="D7626" s="1" t="str">
        <f>IFERROR(__xludf.DUMMYFUNCTION("""COMPUTED_VALUE"""),"34b01611-0778-4238-845c-71a5fb4b19f1")</f>
        <v>34b01611-0778-4238-845c-71a5fb4b19f1</v>
      </c>
      <c r="E7626" s="1">
        <f>IFERROR(__xludf.DUMMYFUNCTION("""COMPUTED_VALUE"""),1.0005722473615E13)</f>
        <v>10005722473615</v>
      </c>
      <c r="F7626" s="1">
        <f>IFERROR(__xludf.DUMMYFUNCTION("""COMPUTED_VALUE"""),0.5)</f>
        <v>0.5</v>
      </c>
      <c r="G7626" s="1"/>
      <c r="H7626" s="3">
        <f>IFERROR(__xludf.DUMMYFUNCTION("""COMPUTED_VALUE"""),0.5)</f>
        <v>0.5</v>
      </c>
      <c r="I7626" s="4">
        <f>IFERROR(__xludf.DUMMYFUNCTION("""COMPUTED_VALUE"""),0.0)</f>
        <v>0</v>
      </c>
      <c r="J7626" s="1" t="str">
        <f>IFERROR(__xludf.DUMMYFUNCTION("""COMPUTED_VALUE"""),"Vianca De Jesus")</f>
        <v>Vianca De Jesus</v>
      </c>
      <c r="K7626" s="1" t="str">
        <f>IFERROR(__xludf.DUMMYFUNCTION("""COMPUTED_VALUE"""),"Advanced Billing &amp; Subscriptions")</f>
        <v>Advanced Billing &amp; Subscriptions</v>
      </c>
      <c r="L7626" s="1" t="str">
        <f>IFERROR(__xludf.DUMMYFUNCTION("""COMPUTED_VALUE"""),"CPS Advanced Billing and Subscriptions (ABS)")</f>
        <v>CPS Advanced Billing and Subscriptions (ABS)</v>
      </c>
    </row>
    <row r="7627">
      <c r="A7627" s="1" t="str">
        <f>IFERROR(__xludf.DUMMYFUNCTION("""COMPUTED_VALUE"""),"2025 Dec")</f>
        <v>2025 Dec</v>
      </c>
      <c r="B7627" s="2">
        <f>IFERROR(__xludf.DUMMYFUNCTION("""COMPUTED_VALUE"""),46013.0)</f>
        <v>46013</v>
      </c>
      <c r="C7627" s="1" t="str">
        <f>IFERROR(__xludf.DUMMYFUNCTION("""COMPUTED_VALUE"""),"Core Product Support")</f>
        <v>Core Product Support</v>
      </c>
      <c r="D7627" s="1" t="str">
        <f>IFERROR(__xludf.DUMMYFUNCTION("""COMPUTED_VALUE"""),"29f1cfbb-326c-4f39-b32d-9350f380b21a")</f>
        <v>29f1cfbb-326c-4f39-b32d-9350f380b21a</v>
      </c>
      <c r="E7627" s="1">
        <f>IFERROR(__xludf.DUMMYFUNCTION("""COMPUTED_VALUE"""),3.61732161455E11)</f>
        <v>361732161455</v>
      </c>
      <c r="F7627" s="1">
        <f>IFERROR(__xludf.DUMMYFUNCTION("""COMPUTED_VALUE"""),0.5)</f>
        <v>0.5</v>
      </c>
      <c r="G7627" s="1">
        <f>IFERROR(__xludf.DUMMYFUNCTION("""COMPUTED_VALUE"""),2.0)</f>
        <v>2</v>
      </c>
      <c r="H7627" s="3">
        <f>IFERROR(__xludf.DUMMYFUNCTION("""COMPUTED_VALUE"""),2.5)</f>
        <v>2.5</v>
      </c>
      <c r="I7627" s="4">
        <f>IFERROR(__xludf.DUMMYFUNCTION("""COMPUTED_VALUE"""),0.8)</f>
        <v>0.8</v>
      </c>
      <c r="J7627" s="1" t="str">
        <f>IFERROR(__xludf.DUMMYFUNCTION("""COMPUTED_VALUE"""),"Bem Launte")</f>
        <v>Bem Launte</v>
      </c>
      <c r="K7627" s="1" t="str">
        <f>IFERROR(__xludf.DUMMYFUNCTION("""COMPUTED_VALUE"""),"Core Product Support Escalation Team")</f>
        <v>Core Product Support Escalation Team</v>
      </c>
      <c r="L7627" s="1" t="str">
        <f>IFERROR(__xludf.DUMMYFUNCTION("""COMPUTED_VALUE"""),"CPS Core Product Support Escalations (CPSET)")</f>
        <v>CPS Core Product Support Escalations (CPSET)</v>
      </c>
    </row>
    <row r="7628">
      <c r="A7628" s="1" t="str">
        <f>IFERROR(__xludf.DUMMYFUNCTION("""COMPUTED_VALUE"""),"2025 Dec")</f>
        <v>2025 Dec</v>
      </c>
      <c r="B7628" s="2">
        <f>IFERROR(__xludf.DUMMYFUNCTION("""COMPUTED_VALUE"""),46013.0)</f>
        <v>46013</v>
      </c>
      <c r="C7628" s="1" t="str">
        <f>IFERROR(__xludf.DUMMYFUNCTION("""COMPUTED_VALUE"""),"Print Support")</f>
        <v>Print Support</v>
      </c>
      <c r="D7628" s="1" t="str">
        <f>IFERROR(__xludf.DUMMYFUNCTION("""COMPUTED_VALUE"""),"e7288a86-def8-455e-9571-0e09ee52eb10")</f>
        <v>e7288a86-def8-455e-9571-0e09ee52eb10</v>
      </c>
      <c r="E7628" s="1">
        <f>IFERROR(__xludf.DUMMYFUNCTION("""COMPUTED_VALUE"""),5.566843775631E12)</f>
        <v>5566843775631</v>
      </c>
      <c r="F7628" s="1"/>
      <c r="G7628" s="1"/>
      <c r="H7628" s="3">
        <f>IFERROR(__xludf.DUMMYFUNCTION("""COMPUTED_VALUE"""),0.0)</f>
        <v>0</v>
      </c>
      <c r="I7628" s="4"/>
      <c r="J7628" s="1" t="str">
        <f>IFERROR(__xludf.DUMMYFUNCTION("""COMPUTED_VALUE"""),"Rae Erlano")</f>
        <v>Rae Erlano</v>
      </c>
      <c r="K7628" s="1" t="str">
        <f>IFERROR(__xludf.DUMMYFUNCTION("""COMPUTED_VALUE"""),"Print Support PH")</f>
        <v>Print Support PH</v>
      </c>
      <c r="L7628" s="1" t="str">
        <f>IFERROR(__xludf.DUMMYFUNCTION("""COMPUTED_VALUE"""),"Print Print - CHT")</f>
        <v>Print Print - CHT</v>
      </c>
    </row>
    <row r="7629">
      <c r="A7629" s="1" t="str">
        <f>IFERROR(__xludf.DUMMYFUNCTION("""COMPUTED_VALUE"""),"2025 Dec")</f>
        <v>2025 Dec</v>
      </c>
      <c r="B7629" s="2">
        <f>IFERROR(__xludf.DUMMYFUNCTION("""COMPUTED_VALUE"""),46013.0)</f>
        <v>46013</v>
      </c>
      <c r="C7629" s="1" t="str">
        <f>IFERROR(__xludf.DUMMYFUNCTION("""COMPUTED_VALUE"""),"Admin Support")</f>
        <v>Admin Support</v>
      </c>
      <c r="D7629" s="1" t="str">
        <f>IFERROR(__xludf.DUMMYFUNCTION("""COMPUTED_VALUE"""),"c771ba05-3c70-40d0-afa5-186bade746f2")</f>
        <v>c771ba05-3c70-40d0-afa5-186bade746f2</v>
      </c>
      <c r="E7629" s="1">
        <f>IFERROR(__xludf.DUMMYFUNCTION("""COMPUTED_VALUE"""),7.437392979983E12)</f>
        <v>7437392979983</v>
      </c>
      <c r="F7629" s="1"/>
      <c r="G7629" s="1"/>
      <c r="H7629" s="3">
        <f>IFERROR(__xludf.DUMMYFUNCTION("""COMPUTED_VALUE"""),0.0)</f>
        <v>0</v>
      </c>
      <c r="I7629" s="4"/>
      <c r="J7629" s="1" t="str">
        <f>IFERROR(__xludf.DUMMYFUNCTION("""COMPUTED_VALUE"""),"Rose Gabilan")</f>
        <v>Rose Gabilan</v>
      </c>
      <c r="K7629" s="1" t="str">
        <f>IFERROR(__xludf.DUMMYFUNCTION("""COMPUTED_VALUE"""),"Admin Support PH SSO")</f>
        <v>Admin Support PH SSO</v>
      </c>
      <c r="L7629" s="1" t="str">
        <f>IFERROR(__xludf.DUMMYFUNCTION("""COMPUTED_VALUE"""),"Admin SSO - CHT")</f>
        <v>Admin SSO - CHT</v>
      </c>
    </row>
    <row r="7630">
      <c r="A7630" s="1" t="str">
        <f>IFERROR(__xludf.DUMMYFUNCTION("""COMPUTED_VALUE"""),"2025 Dec")</f>
        <v>2025 Dec</v>
      </c>
      <c r="B7630" s="2">
        <f>IFERROR(__xludf.DUMMYFUNCTION("""COMPUTED_VALUE"""),46013.0)</f>
        <v>46013</v>
      </c>
      <c r="C7630" s="1" t="str">
        <f>IFERROR(__xludf.DUMMYFUNCTION("""COMPUTED_VALUE"""),"Admin Support")</f>
        <v>Admin Support</v>
      </c>
      <c r="D7630" s="1" t="str">
        <f>IFERROR(__xludf.DUMMYFUNCTION("""COMPUTED_VALUE"""),"5e57a2c8-fe7b-40fb-b179-0090e8e3060b")</f>
        <v>5e57a2c8-fe7b-40fb-b179-0090e8e3060b</v>
      </c>
      <c r="E7630" s="1">
        <f>IFERROR(__xludf.DUMMYFUNCTION("""COMPUTED_VALUE"""),3.61733079315E11)</f>
        <v>361733079315</v>
      </c>
      <c r="F7630" s="1"/>
      <c r="G7630" s="1"/>
      <c r="H7630" s="3">
        <f>IFERROR(__xludf.DUMMYFUNCTION("""COMPUTED_VALUE"""),0.0)</f>
        <v>0</v>
      </c>
      <c r="I7630" s="4"/>
      <c r="J7630" s="1" t="str">
        <f>IFERROR(__xludf.DUMMYFUNCTION("""COMPUTED_VALUE"""),"Kelden Laguting")</f>
        <v>Kelden Laguting</v>
      </c>
      <c r="K7630" s="1" t="str">
        <f>IFERROR(__xludf.DUMMYFUNCTION("""COMPUTED_VALUE"""),"Admin Support PH")</f>
        <v>Admin Support PH</v>
      </c>
      <c r="L7630" s="1" t="str">
        <f>IFERROR(__xludf.DUMMYFUNCTION("""COMPUTED_VALUE"""),"Admin PH")</f>
        <v>Admin PH</v>
      </c>
    </row>
    <row r="7631">
      <c r="A7631" s="1" t="str">
        <f>IFERROR(__xludf.DUMMYFUNCTION("""COMPUTED_VALUE"""),"2025 Dec")</f>
        <v>2025 Dec</v>
      </c>
      <c r="B7631" s="2">
        <f>IFERROR(__xludf.DUMMYFUNCTION("""COMPUTED_VALUE"""),46013.0)</f>
        <v>46013</v>
      </c>
      <c r="C7631" s="1" t="str">
        <f>IFERROR(__xludf.DUMMYFUNCTION("""COMPUTED_VALUE"""),"High Sensitivity Support")</f>
        <v>High Sensitivity Support</v>
      </c>
      <c r="D7631" s="1" t="str">
        <f>IFERROR(__xludf.DUMMYFUNCTION("""COMPUTED_VALUE"""),"b7fd1097-c419-4ccc-9d67-4b66f71021a1")</f>
        <v>b7fd1097-c419-4ccc-9d67-4b66f71021a1</v>
      </c>
      <c r="E7631" s="1">
        <f>IFERROR(__xludf.DUMMYFUNCTION("""COMPUTED_VALUE"""),8.139562541455E12)</f>
        <v>8139562541455</v>
      </c>
      <c r="F7631" s="1">
        <f>IFERROR(__xludf.DUMMYFUNCTION("""COMPUTED_VALUE"""),4.0)</f>
        <v>4</v>
      </c>
      <c r="G7631" s="1"/>
      <c r="H7631" s="3">
        <f>IFERROR(__xludf.DUMMYFUNCTION("""COMPUTED_VALUE"""),4.0)</f>
        <v>4</v>
      </c>
      <c r="I7631" s="4">
        <f>IFERROR(__xludf.DUMMYFUNCTION("""COMPUTED_VALUE"""),0.0)</f>
        <v>0</v>
      </c>
      <c r="J7631" s="1" t="str">
        <f>IFERROR(__xludf.DUMMYFUNCTION("""COMPUTED_VALUE"""),"Rossheen Pura")</f>
        <v>Rossheen Pura</v>
      </c>
      <c r="K7631" s="1" t="str">
        <f>IFERROR(__xludf.DUMMYFUNCTION("""COMPUTED_VALUE"""),"High Sensitivity Support PH")</f>
        <v>High Sensitivity Support PH</v>
      </c>
      <c r="L7631" s="1" t="str">
        <f>IFERROR(__xludf.DUMMYFUNCTION("""COMPUTED_VALUE"""),"HSS High Sensitivity Support PH - CHT")</f>
        <v>HSS High Sensitivity Support PH - CHT</v>
      </c>
    </row>
    <row r="7632">
      <c r="A7632" s="1" t="str">
        <f>IFERROR(__xludf.DUMMYFUNCTION("""COMPUTED_VALUE"""),"2025 Dec")</f>
        <v>2025 Dec</v>
      </c>
      <c r="B7632" s="2">
        <f>IFERROR(__xludf.DUMMYFUNCTION("""COMPUTED_VALUE"""),46013.0)</f>
        <v>46013</v>
      </c>
      <c r="C7632" s="1" t="str">
        <f>IFERROR(__xludf.DUMMYFUNCTION("""COMPUTED_VALUE"""),"Core Product Support")</f>
        <v>Core Product Support</v>
      </c>
      <c r="D7632" s="1" t="str">
        <f>IFERROR(__xludf.DUMMYFUNCTION("""COMPUTED_VALUE"""),"20080360-d6b6-487a-ad2b-4d92f14a3e3a")</f>
        <v>20080360-d6b6-487a-ad2b-4d92f14a3e3a</v>
      </c>
      <c r="E7632" s="1">
        <f>IFERROR(__xludf.DUMMYFUNCTION("""COMPUTED_VALUE"""),5.901973593231E12)</f>
        <v>5901973593231</v>
      </c>
      <c r="F7632" s="1">
        <f>IFERROR(__xludf.DUMMYFUNCTION("""COMPUTED_VALUE"""),0.5)</f>
        <v>0.5</v>
      </c>
      <c r="G7632" s="1"/>
      <c r="H7632" s="3">
        <f>IFERROR(__xludf.DUMMYFUNCTION("""COMPUTED_VALUE"""),0.5)</f>
        <v>0.5</v>
      </c>
      <c r="I7632" s="4">
        <f>IFERROR(__xludf.DUMMYFUNCTION("""COMPUTED_VALUE"""),0.0)</f>
        <v>0</v>
      </c>
      <c r="J7632" s="1" t="str">
        <f>IFERROR(__xludf.DUMMYFUNCTION("""COMPUTED_VALUE"""),"Jelyn Elmido")</f>
        <v>Jelyn Elmido</v>
      </c>
      <c r="K7632" s="1" t="str">
        <f>IFERROR(__xludf.DUMMYFUNCTION("""COMPUTED_VALUE"""),"Advanced Product Support")</f>
        <v>Advanced Product Support</v>
      </c>
      <c r="L7632" s="1" t="str">
        <f>IFERROR(__xludf.DUMMYFUNCTION("""COMPUTED_VALUE"""),"CPS Advanced Product Support (APS)")</f>
        <v>CPS Advanced Product Support (APS)</v>
      </c>
    </row>
    <row r="7633">
      <c r="A7633" s="1" t="str">
        <f>IFERROR(__xludf.DUMMYFUNCTION("""COMPUTED_VALUE"""),"2025 Dec")</f>
        <v>2025 Dec</v>
      </c>
      <c r="B7633" s="2">
        <f>IFERROR(__xludf.DUMMYFUNCTION("""COMPUTED_VALUE"""),46013.0)</f>
        <v>46013</v>
      </c>
      <c r="C7633" s="1" t="str">
        <f>IFERROR(__xludf.DUMMYFUNCTION("""COMPUTED_VALUE"""),"High Sensitivity Support")</f>
        <v>High Sensitivity Support</v>
      </c>
      <c r="D7633" s="1" t="str">
        <f>IFERROR(__xludf.DUMMYFUNCTION("""COMPUTED_VALUE"""),"27bbaf2c-6971-4b55-91a0-193260eb00dd")</f>
        <v>27bbaf2c-6971-4b55-91a0-193260eb00dd</v>
      </c>
      <c r="E7633" s="1">
        <f>IFERROR(__xludf.DUMMYFUNCTION("""COMPUTED_VALUE"""),5.202441057551E12)</f>
        <v>5202441057551</v>
      </c>
      <c r="F7633" s="1">
        <f>IFERROR(__xludf.DUMMYFUNCTION("""COMPUTED_VALUE"""),4.0)</f>
        <v>4</v>
      </c>
      <c r="G7633" s="1"/>
      <c r="H7633" s="3">
        <f>IFERROR(__xludf.DUMMYFUNCTION("""COMPUTED_VALUE"""),4.0)</f>
        <v>4</v>
      </c>
      <c r="I7633" s="4">
        <f>IFERROR(__xludf.DUMMYFUNCTION("""COMPUTED_VALUE"""),0.0)</f>
        <v>0</v>
      </c>
      <c r="J7633" s="1" t="str">
        <f>IFERROR(__xludf.DUMMYFUNCTION("""COMPUTED_VALUE"""),"Xandy Azarcon")</f>
        <v>Xandy Azarcon</v>
      </c>
      <c r="K7633" s="1" t="str">
        <f>IFERROR(__xludf.DUMMYFUNCTION("""COMPUTED_VALUE"""),"High Sensitivity Support PH")</f>
        <v>High Sensitivity Support PH</v>
      </c>
      <c r="L7633" s="1" t="str">
        <f>IFERROR(__xludf.DUMMYFUNCTION("""COMPUTED_VALUE"""),"HSS High Sensitivity Support PH - CHT")</f>
        <v>HSS High Sensitivity Support PH - CHT</v>
      </c>
    </row>
    <row r="7634">
      <c r="A7634" s="1" t="str">
        <f>IFERROR(__xludf.DUMMYFUNCTION("""COMPUTED_VALUE"""),"2025 Dec")</f>
        <v>2025 Dec</v>
      </c>
      <c r="B7634" s="2">
        <f>IFERROR(__xludf.DUMMYFUNCTION("""COMPUTED_VALUE"""),46013.0)</f>
        <v>46013</v>
      </c>
      <c r="C7634" s="1" t="str">
        <f>IFERROR(__xludf.DUMMYFUNCTION("""COMPUTED_VALUE"""),"Core Product Support")</f>
        <v>Core Product Support</v>
      </c>
      <c r="D7634" s="1" t="str">
        <f>IFERROR(__xludf.DUMMYFUNCTION("""COMPUTED_VALUE"""),"426201d1-0b5d-4900-95cc-7a8b0c35e471")</f>
        <v>426201d1-0b5d-4900-95cc-7a8b0c35e471</v>
      </c>
      <c r="E7634" s="1">
        <f>IFERROR(__xludf.DUMMYFUNCTION("""COMPUTED_VALUE"""),7.235417174415E12)</f>
        <v>7235417174415</v>
      </c>
      <c r="F7634" s="1">
        <f>IFERROR(__xludf.DUMMYFUNCTION("""COMPUTED_VALUE"""),0.5)</f>
        <v>0.5</v>
      </c>
      <c r="G7634" s="1"/>
      <c r="H7634" s="3">
        <f>IFERROR(__xludf.DUMMYFUNCTION("""COMPUTED_VALUE"""),0.5)</f>
        <v>0.5</v>
      </c>
      <c r="I7634" s="4">
        <f>IFERROR(__xludf.DUMMYFUNCTION("""COMPUTED_VALUE"""),0.0)</f>
        <v>0</v>
      </c>
      <c r="J7634" s="1" t="str">
        <f>IFERROR(__xludf.DUMMYFUNCTION("""COMPUTED_VALUE"""),"Ana Lazaro")</f>
        <v>Ana Lazaro</v>
      </c>
      <c r="K7634" s="1" t="str">
        <f>IFERROR(__xludf.DUMMYFUNCTION("""COMPUTED_VALUE"""),"Advanced Billing &amp; Subscriptions")</f>
        <v>Advanced Billing &amp; Subscriptions</v>
      </c>
      <c r="L7634" s="1" t="str">
        <f>IFERROR(__xludf.DUMMYFUNCTION("""COMPUTED_VALUE"""),"CPS Advanced Billing and Subscriptions (ABS)")</f>
        <v>CPS Advanced Billing and Subscriptions (ABS)</v>
      </c>
    </row>
    <row r="7635">
      <c r="A7635" s="1" t="str">
        <f>IFERROR(__xludf.DUMMYFUNCTION("""COMPUTED_VALUE"""),"2025 Dec")</f>
        <v>2025 Dec</v>
      </c>
      <c r="B7635" s="2">
        <f>IFERROR(__xludf.DUMMYFUNCTION("""COMPUTED_VALUE"""),46013.0)</f>
        <v>46013</v>
      </c>
      <c r="C7635" s="1" t="str">
        <f>IFERROR(__xludf.DUMMYFUNCTION("""COMPUTED_VALUE"""),"Print Support")</f>
        <v>Print Support</v>
      </c>
      <c r="D7635" s="1" t="str">
        <f>IFERROR(__xludf.DUMMYFUNCTION("""COMPUTED_VALUE"""),"ae33c457-9730-4b61-af51-a03edb80253a")</f>
        <v>ae33c457-9730-4b61-af51-a03edb80253a</v>
      </c>
      <c r="E7635" s="1">
        <f>IFERROR(__xludf.DUMMYFUNCTION("""COMPUTED_VALUE"""),3.61733077175E11)</f>
        <v>361733077175</v>
      </c>
      <c r="F7635" s="1"/>
      <c r="G7635" s="1"/>
      <c r="H7635" s="3">
        <f>IFERROR(__xludf.DUMMYFUNCTION("""COMPUTED_VALUE"""),0.0)</f>
        <v>0</v>
      </c>
      <c r="I7635" s="4"/>
      <c r="J7635" s="1" t="str">
        <f>IFERROR(__xludf.DUMMYFUNCTION("""COMPUTED_VALUE"""),"Ann Dumlao")</f>
        <v>Ann Dumlao</v>
      </c>
      <c r="K7635" s="1" t="str">
        <f>IFERROR(__xludf.DUMMYFUNCTION("""COMPUTED_VALUE"""),"Print Support PH")</f>
        <v>Print Support PH</v>
      </c>
      <c r="L7635" s="1" t="str">
        <f>IFERROR(__xludf.DUMMYFUNCTION("""COMPUTED_VALUE"""),"Print Print - CHT")</f>
        <v>Print Print - CHT</v>
      </c>
    </row>
    <row r="7636">
      <c r="A7636" s="1" t="str">
        <f>IFERROR(__xludf.DUMMYFUNCTION("""COMPUTED_VALUE"""),"2025 Dec")</f>
        <v>2025 Dec</v>
      </c>
      <c r="B7636" s="2">
        <f>IFERROR(__xludf.DUMMYFUNCTION("""COMPUTED_VALUE"""),46013.0)</f>
        <v>46013</v>
      </c>
      <c r="C7636" s="1" t="str">
        <f>IFERROR(__xludf.DUMMYFUNCTION("""COMPUTED_VALUE"""),"Core Product Support")</f>
        <v>Core Product Support</v>
      </c>
      <c r="D7636" s="1" t="str">
        <f>IFERROR(__xludf.DUMMYFUNCTION("""COMPUTED_VALUE"""),"2436b15f-d23f-4ea2-bd46-0852b5df957c")</f>
        <v>2436b15f-d23f-4ea2-bd46-0852b5df957c</v>
      </c>
      <c r="E7636" s="1">
        <f>IFERROR(__xludf.DUMMYFUNCTION("""COMPUTED_VALUE"""),3.61731349115E11)</f>
        <v>361731349115</v>
      </c>
      <c r="F7636" s="1">
        <f>IFERROR(__xludf.DUMMYFUNCTION("""COMPUTED_VALUE"""),0.5)</f>
        <v>0.5</v>
      </c>
      <c r="G7636" s="1"/>
      <c r="H7636" s="3">
        <f>IFERROR(__xludf.DUMMYFUNCTION("""COMPUTED_VALUE"""),0.5)</f>
        <v>0.5</v>
      </c>
      <c r="I7636" s="4">
        <f>IFERROR(__xludf.DUMMYFUNCTION("""COMPUTED_VALUE"""),0.0)</f>
        <v>0</v>
      </c>
      <c r="J7636" s="1" t="str">
        <f>IFERROR(__xludf.DUMMYFUNCTION("""COMPUTED_VALUE"""),"Vinz Lazaro")</f>
        <v>Vinz Lazaro</v>
      </c>
      <c r="K7636" s="1" t="str">
        <f>IFERROR(__xludf.DUMMYFUNCTION("""COMPUTED_VALUE"""),"Advanced Product Support")</f>
        <v>Advanced Product Support</v>
      </c>
      <c r="L7636" s="1" t="str">
        <f>IFERROR(__xludf.DUMMYFUNCTION("""COMPUTED_VALUE"""),"CPS Advanced Product Support (APS)")</f>
        <v>CPS Advanced Product Support (APS)</v>
      </c>
    </row>
    <row r="7637">
      <c r="A7637" s="1" t="str">
        <f>IFERROR(__xludf.DUMMYFUNCTION("""COMPUTED_VALUE"""),"2025 Dec")</f>
        <v>2025 Dec</v>
      </c>
      <c r="B7637" s="2">
        <f>IFERROR(__xludf.DUMMYFUNCTION("""COMPUTED_VALUE"""),46013.0)</f>
        <v>46013</v>
      </c>
      <c r="C7637" s="1" t="str">
        <f>IFERROR(__xludf.DUMMYFUNCTION("""COMPUTED_VALUE"""),"High Sensitivity Support")</f>
        <v>High Sensitivity Support</v>
      </c>
      <c r="D7637" s="1" t="str">
        <f>IFERROR(__xludf.DUMMYFUNCTION("""COMPUTED_VALUE"""),"3a5a6ab5-8abf-422b-9670-8975c03a0818")</f>
        <v>3a5a6ab5-8abf-422b-9670-8975c03a0818</v>
      </c>
      <c r="E7637" s="1">
        <f>IFERROR(__xludf.DUMMYFUNCTION("""COMPUTED_VALUE"""),3.61725260976E11)</f>
        <v>361725260976</v>
      </c>
      <c r="F7637" s="1">
        <f>IFERROR(__xludf.DUMMYFUNCTION("""COMPUTED_VALUE"""),4.0)</f>
        <v>4</v>
      </c>
      <c r="G7637" s="1"/>
      <c r="H7637" s="3">
        <f>IFERROR(__xludf.DUMMYFUNCTION("""COMPUTED_VALUE"""),4.0)</f>
        <v>4</v>
      </c>
      <c r="I7637" s="4">
        <f>IFERROR(__xludf.DUMMYFUNCTION("""COMPUTED_VALUE"""),0.0)</f>
        <v>0</v>
      </c>
      <c r="J7637" s="1" t="str">
        <f>IFERROR(__xludf.DUMMYFUNCTION("""COMPUTED_VALUE"""),"Rossheen Pura")</f>
        <v>Rossheen Pura</v>
      </c>
      <c r="K7637" s="1" t="str">
        <f>IFERROR(__xludf.DUMMYFUNCTION("""COMPUTED_VALUE"""),"High Sensitivity Support PH")</f>
        <v>High Sensitivity Support PH</v>
      </c>
      <c r="L7637" s="1" t="str">
        <f>IFERROR(__xludf.DUMMYFUNCTION("""COMPUTED_VALUE"""),"HSS High Sensitivity Support PH - CHT")</f>
        <v>HSS High Sensitivity Support PH - CHT</v>
      </c>
    </row>
    <row r="7638">
      <c r="A7638" s="1" t="str">
        <f>IFERROR(__xludf.DUMMYFUNCTION("""COMPUTED_VALUE"""),"2025 Dec")</f>
        <v>2025 Dec</v>
      </c>
      <c r="B7638" s="2">
        <f>IFERROR(__xludf.DUMMYFUNCTION("""COMPUTED_VALUE"""),46013.0)</f>
        <v>46013</v>
      </c>
      <c r="C7638" s="1" t="str">
        <f>IFERROR(__xludf.DUMMYFUNCTION("""COMPUTED_VALUE"""),"Core Product Support")</f>
        <v>Core Product Support</v>
      </c>
      <c r="D7638" s="1" t="str">
        <f>IFERROR(__xludf.DUMMYFUNCTION("""COMPUTED_VALUE"""),"ec2c53f2-66fa-462e-9ac9-b9e626e485b4")</f>
        <v>ec2c53f2-66fa-462e-9ac9-b9e626e485b4</v>
      </c>
      <c r="E7638" s="1">
        <f>IFERROR(__xludf.DUMMYFUNCTION("""COMPUTED_VALUE"""),5.047318720783E12)</f>
        <v>5047318720783</v>
      </c>
      <c r="F7638" s="1">
        <f>IFERROR(__xludf.DUMMYFUNCTION("""COMPUTED_VALUE"""),0.5)</f>
        <v>0.5</v>
      </c>
      <c r="G7638" s="1"/>
      <c r="H7638" s="3">
        <f>IFERROR(__xludf.DUMMYFUNCTION("""COMPUTED_VALUE"""),0.5)</f>
        <v>0.5</v>
      </c>
      <c r="I7638" s="4">
        <f>IFERROR(__xludf.DUMMYFUNCTION("""COMPUTED_VALUE"""),0.0)</f>
        <v>0</v>
      </c>
      <c r="J7638" s="1" t="str">
        <f>IFERROR(__xludf.DUMMYFUNCTION("""COMPUTED_VALUE"""),"Vinz Lazaro")</f>
        <v>Vinz Lazaro</v>
      </c>
      <c r="K7638" s="1" t="str">
        <f>IFERROR(__xludf.DUMMYFUNCTION("""COMPUTED_VALUE"""),"Advanced Product Support")</f>
        <v>Advanced Product Support</v>
      </c>
      <c r="L7638" s="1" t="str">
        <f>IFERROR(__xludf.DUMMYFUNCTION("""COMPUTED_VALUE"""),"CPS Advanced Product Support (APS)")</f>
        <v>CPS Advanced Product Support (APS)</v>
      </c>
    </row>
    <row r="7639">
      <c r="A7639" s="1" t="str">
        <f>IFERROR(__xludf.DUMMYFUNCTION("""COMPUTED_VALUE"""),"2025 Dec")</f>
        <v>2025 Dec</v>
      </c>
      <c r="B7639" s="2">
        <f>IFERROR(__xludf.DUMMYFUNCTION("""COMPUTED_VALUE"""),46013.0)</f>
        <v>46013</v>
      </c>
      <c r="C7639" s="1" t="str">
        <f>IFERROR(__xludf.DUMMYFUNCTION("""COMPUTED_VALUE"""),"High Sensitivity Support")</f>
        <v>High Sensitivity Support</v>
      </c>
      <c r="D7639" s="1" t="str">
        <f>IFERROR(__xludf.DUMMYFUNCTION("""COMPUTED_VALUE"""),"ac409d1d-146f-4f2e-97cf-ac668184be31")</f>
        <v>ac409d1d-146f-4f2e-97cf-ac668184be31</v>
      </c>
      <c r="E7639" s="1">
        <f>IFERROR(__xludf.DUMMYFUNCTION("""COMPUTED_VALUE"""),9.285050515215E12)</f>
        <v>9285050515215</v>
      </c>
      <c r="F7639" s="1">
        <f>IFERROR(__xludf.DUMMYFUNCTION("""COMPUTED_VALUE"""),4.0)</f>
        <v>4</v>
      </c>
      <c r="G7639" s="1"/>
      <c r="H7639" s="3">
        <f>IFERROR(__xludf.DUMMYFUNCTION("""COMPUTED_VALUE"""),4.0)</f>
        <v>4</v>
      </c>
      <c r="I7639" s="4">
        <f>IFERROR(__xludf.DUMMYFUNCTION("""COMPUTED_VALUE"""),0.0)</f>
        <v>0</v>
      </c>
      <c r="J7639" s="1" t="str">
        <f>IFERROR(__xludf.DUMMYFUNCTION("""COMPUTED_VALUE"""),"Xandy Azarcon")</f>
        <v>Xandy Azarcon</v>
      </c>
      <c r="K7639" s="1" t="str">
        <f>IFERROR(__xludf.DUMMYFUNCTION("""COMPUTED_VALUE"""),"High Sensitivity Support PH")</f>
        <v>High Sensitivity Support PH</v>
      </c>
      <c r="L7639" s="1" t="str">
        <f>IFERROR(__xludf.DUMMYFUNCTION("""COMPUTED_VALUE"""),"HSS High Sensitivity Support PH - CHT")</f>
        <v>HSS High Sensitivity Support PH - CHT</v>
      </c>
    </row>
    <row r="7640">
      <c r="A7640" s="1" t="str">
        <f>IFERROR(__xludf.DUMMYFUNCTION("""COMPUTED_VALUE"""),"2025 Dec")</f>
        <v>2025 Dec</v>
      </c>
      <c r="B7640" s="2">
        <f>IFERROR(__xludf.DUMMYFUNCTION("""COMPUTED_VALUE"""),46013.0)</f>
        <v>46013</v>
      </c>
      <c r="C7640" s="1" t="str">
        <f>IFERROR(__xludf.DUMMYFUNCTION("""COMPUTED_VALUE"""),"Admin Support")</f>
        <v>Admin Support</v>
      </c>
      <c r="D7640" s="1" t="str">
        <f>IFERROR(__xludf.DUMMYFUNCTION("""COMPUTED_VALUE"""),"390ace33-d7f9-4dda-8f95-3d06e72320ce")</f>
        <v>390ace33-d7f9-4dda-8f95-3d06e72320ce</v>
      </c>
      <c r="E7640" s="1">
        <f>IFERROR(__xludf.DUMMYFUNCTION("""COMPUTED_VALUE"""),3.61724963216E11)</f>
        <v>361724963216</v>
      </c>
      <c r="F7640" s="1"/>
      <c r="G7640" s="1"/>
      <c r="H7640" s="3">
        <f>IFERROR(__xludf.DUMMYFUNCTION("""COMPUTED_VALUE"""),0.0)</f>
        <v>0</v>
      </c>
      <c r="I7640" s="4"/>
      <c r="J7640" s="1" t="str">
        <f>IFERROR(__xludf.DUMMYFUNCTION("""COMPUTED_VALUE"""),"Karla Mananghaya")</f>
        <v>Karla Mananghaya</v>
      </c>
      <c r="K7640" s="1" t="str">
        <f>IFERROR(__xludf.DUMMYFUNCTION("""COMPUTED_VALUE"""),"Admin Support PH")</f>
        <v>Admin Support PH</v>
      </c>
      <c r="L7640" s="1" t="str">
        <f>IFERROR(__xludf.DUMMYFUNCTION("""COMPUTED_VALUE"""),"Admin - SEE")</f>
        <v>Admin - SEE</v>
      </c>
    </row>
    <row r="7641">
      <c r="A7641" s="1" t="str">
        <f>IFERROR(__xludf.DUMMYFUNCTION("""COMPUTED_VALUE"""),"2025 Dec")</f>
        <v>2025 Dec</v>
      </c>
      <c r="B7641" s="2">
        <f>IFERROR(__xludf.DUMMYFUNCTION("""COMPUTED_VALUE"""),46013.0)</f>
        <v>46013</v>
      </c>
      <c r="C7641" s="1" t="str">
        <f>IFERROR(__xludf.DUMMYFUNCTION("""COMPUTED_VALUE"""),"Core Product Support")</f>
        <v>Core Product Support</v>
      </c>
      <c r="D7641" s="1" t="str">
        <f>IFERROR(__xludf.DUMMYFUNCTION("""COMPUTED_VALUE"""),"4213e169-349c-47c9-b613-f4356c986a3d")</f>
        <v>4213e169-349c-47c9-b613-f4356c986a3d</v>
      </c>
      <c r="E7641" s="1">
        <f>IFERROR(__xludf.DUMMYFUNCTION("""COMPUTED_VALUE"""),1.0548588312463E13)</f>
        <v>10548588312463</v>
      </c>
      <c r="F7641" s="1">
        <f>IFERROR(__xludf.DUMMYFUNCTION("""COMPUTED_VALUE"""),0.5)</f>
        <v>0.5</v>
      </c>
      <c r="G7641" s="1"/>
      <c r="H7641" s="3">
        <f>IFERROR(__xludf.DUMMYFUNCTION("""COMPUTED_VALUE"""),0.5)</f>
        <v>0.5</v>
      </c>
      <c r="I7641" s="4">
        <f>IFERROR(__xludf.DUMMYFUNCTION("""COMPUTED_VALUE"""),0.0)</f>
        <v>0</v>
      </c>
      <c r="J7641" s="1" t="str">
        <f>IFERROR(__xludf.DUMMYFUNCTION("""COMPUTED_VALUE"""),"Belle Bentazal")</f>
        <v>Belle Bentazal</v>
      </c>
      <c r="K7641" s="1" t="str">
        <f>IFERROR(__xludf.DUMMYFUNCTION("""COMPUTED_VALUE"""),"Advanced Product Support")</f>
        <v>Advanced Product Support</v>
      </c>
      <c r="L7641" s="1" t="str">
        <f>IFERROR(__xludf.DUMMYFUNCTION("""COMPUTED_VALUE"""),"CPS Advanced Product Support (APS)")</f>
        <v>CPS Advanced Product Support (APS)</v>
      </c>
    </row>
    <row r="7642">
      <c r="A7642" s="1" t="str">
        <f>IFERROR(__xludf.DUMMYFUNCTION("""COMPUTED_VALUE"""),"2025 Dec")</f>
        <v>2025 Dec</v>
      </c>
      <c r="B7642" s="2">
        <f>IFERROR(__xludf.DUMMYFUNCTION("""COMPUTED_VALUE"""),46013.0)</f>
        <v>46013</v>
      </c>
      <c r="C7642" s="1" t="str">
        <f>IFERROR(__xludf.DUMMYFUNCTION("""COMPUTED_VALUE"""),"Core Product Support")</f>
        <v>Core Product Support</v>
      </c>
      <c r="D7642" s="1" t="str">
        <f>IFERROR(__xludf.DUMMYFUNCTION("""COMPUTED_VALUE"""),"3d49537c-dbf0-4f04-896b-1d3cc141a183")</f>
        <v>3d49537c-dbf0-4f04-896b-1d3cc141a183</v>
      </c>
      <c r="E7642" s="1">
        <f>IFERROR(__xludf.DUMMYFUNCTION("""COMPUTED_VALUE"""),5.901988041103E12)</f>
        <v>5901988041103</v>
      </c>
      <c r="F7642" s="1">
        <f>IFERROR(__xludf.DUMMYFUNCTION("""COMPUTED_VALUE"""),0.5)</f>
        <v>0.5</v>
      </c>
      <c r="G7642" s="1"/>
      <c r="H7642" s="3">
        <f>IFERROR(__xludf.DUMMYFUNCTION("""COMPUTED_VALUE"""),0.5)</f>
        <v>0.5</v>
      </c>
      <c r="I7642" s="4">
        <f>IFERROR(__xludf.DUMMYFUNCTION("""COMPUTED_VALUE"""),0.0)</f>
        <v>0</v>
      </c>
      <c r="J7642" s="1" t="str">
        <f>IFERROR(__xludf.DUMMYFUNCTION("""COMPUTED_VALUE"""),"Vianca De Jesus")</f>
        <v>Vianca De Jesus</v>
      </c>
      <c r="K7642" s="1" t="str">
        <f>IFERROR(__xludf.DUMMYFUNCTION("""COMPUTED_VALUE"""),"Advanced Chat Support")</f>
        <v>Advanced Chat Support</v>
      </c>
      <c r="L7642" s="1" t="str">
        <f>IFERROR(__xludf.DUMMYFUNCTION("""COMPUTED_VALUE"""),"CPS Advanced Chat Support (ACS)")</f>
        <v>CPS Advanced Chat Support (ACS)</v>
      </c>
    </row>
    <row r="7643">
      <c r="A7643" s="1" t="str">
        <f>IFERROR(__xludf.DUMMYFUNCTION("""COMPUTED_VALUE"""),"2025 Dec")</f>
        <v>2025 Dec</v>
      </c>
      <c r="B7643" s="2">
        <f>IFERROR(__xludf.DUMMYFUNCTION("""COMPUTED_VALUE"""),46013.0)</f>
        <v>46013</v>
      </c>
      <c r="C7643" s="1" t="str">
        <f>IFERROR(__xludf.DUMMYFUNCTION("""COMPUTED_VALUE"""),"Core Product Support")</f>
        <v>Core Product Support</v>
      </c>
      <c r="D7643" s="1" t="str">
        <f>IFERROR(__xludf.DUMMYFUNCTION("""COMPUTED_VALUE"""),"b5f49a72-6ea0-44a0-8325-970c0e83dea7")</f>
        <v>b5f49a72-6ea0-44a0-8325-970c0e83dea7</v>
      </c>
      <c r="E7643" s="1">
        <f>IFERROR(__xludf.DUMMYFUNCTION("""COMPUTED_VALUE"""),9.586408388239E12)</f>
        <v>9586408388239</v>
      </c>
      <c r="F7643" s="1">
        <f>IFERROR(__xludf.DUMMYFUNCTION("""COMPUTED_VALUE"""),0.5)</f>
        <v>0.5</v>
      </c>
      <c r="G7643" s="1"/>
      <c r="H7643" s="3">
        <f>IFERROR(__xludf.DUMMYFUNCTION("""COMPUTED_VALUE"""),0.5)</f>
        <v>0.5</v>
      </c>
      <c r="I7643" s="4">
        <f>IFERROR(__xludf.DUMMYFUNCTION("""COMPUTED_VALUE"""),0.0)</f>
        <v>0</v>
      </c>
      <c r="J7643" s="1" t="str">
        <f>IFERROR(__xludf.DUMMYFUNCTION("""COMPUTED_VALUE"""),"Belle Bentazal")</f>
        <v>Belle Bentazal</v>
      </c>
      <c r="K7643" s="1" t="str">
        <f>IFERROR(__xludf.DUMMYFUNCTION("""COMPUTED_VALUE"""),"Advanced Product Support")</f>
        <v>Advanced Product Support</v>
      </c>
      <c r="L7643" s="1" t="str">
        <f>IFERROR(__xludf.DUMMYFUNCTION("""COMPUTED_VALUE"""),"CPS Advanced Product Support (APS)")</f>
        <v>CPS Advanced Product Support (APS)</v>
      </c>
    </row>
    <row r="7644">
      <c r="A7644" s="1" t="str">
        <f>IFERROR(__xludf.DUMMYFUNCTION("""COMPUTED_VALUE"""),"2025 Dec")</f>
        <v>2025 Dec</v>
      </c>
      <c r="B7644" s="2">
        <f>IFERROR(__xludf.DUMMYFUNCTION("""COMPUTED_VALUE"""),46013.0)</f>
        <v>46013</v>
      </c>
      <c r="C7644" s="1" t="str">
        <f>IFERROR(__xludf.DUMMYFUNCTION("""COMPUTED_VALUE"""),"Admin Support")</f>
        <v>Admin Support</v>
      </c>
      <c r="D7644" s="1" t="str">
        <f>IFERROR(__xludf.DUMMYFUNCTION("""COMPUTED_VALUE"""),"3960812e-748b-47a3-8dea-3a0c6b21aee1")</f>
        <v>3960812e-748b-47a3-8dea-3a0c6b21aee1</v>
      </c>
      <c r="E7644" s="1">
        <f>IFERROR(__xludf.DUMMYFUNCTION("""COMPUTED_VALUE"""),9.107749076367E12)</f>
        <v>9107749076367</v>
      </c>
      <c r="F7644" s="1"/>
      <c r="G7644" s="1"/>
      <c r="H7644" s="3">
        <f>IFERROR(__xludf.DUMMYFUNCTION("""COMPUTED_VALUE"""),0.0)</f>
        <v>0</v>
      </c>
      <c r="I7644" s="4"/>
      <c r="J7644" s="1" t="str">
        <f>IFERROR(__xludf.DUMMYFUNCTION("""COMPUTED_VALUE"""),"Pau Palmero")</f>
        <v>Pau Palmero</v>
      </c>
      <c r="K7644" s="1" t="str">
        <f>IFERROR(__xludf.DUMMYFUNCTION("""COMPUTED_VALUE"""),"Admin Support PH CEDD")</f>
        <v>Admin Support PH CEDD</v>
      </c>
      <c r="L7644" s="1" t="str">
        <f>IFERROR(__xludf.DUMMYFUNCTION("""COMPUTED_VALUE"""),"Admin CEDD Apps,Admin CEDD Inbox Mgt")</f>
        <v>Admin CEDD Apps,Admin CEDD Inbox Mgt</v>
      </c>
    </row>
    <row r="7645">
      <c r="A7645" s="1" t="str">
        <f>IFERROR(__xludf.DUMMYFUNCTION("""COMPUTED_VALUE"""),"2025 Dec")</f>
        <v>2025 Dec</v>
      </c>
      <c r="B7645" s="2">
        <f>IFERROR(__xludf.DUMMYFUNCTION("""COMPUTED_VALUE"""),46013.0)</f>
        <v>46013</v>
      </c>
      <c r="C7645" s="1" t="str">
        <f>IFERROR(__xludf.DUMMYFUNCTION("""COMPUTED_VALUE"""),"Segment-specific Support")</f>
        <v>Segment-specific Support</v>
      </c>
      <c r="D7645" s="1" t="str">
        <f>IFERROR(__xludf.DUMMYFUNCTION("""COMPUTED_VALUE"""),"0519f8dd-38e2-4c44-b925-77b43587196d")</f>
        <v>0519f8dd-38e2-4c44-b925-77b43587196d</v>
      </c>
      <c r="E7645" s="1">
        <f>IFERROR(__xludf.DUMMYFUNCTION("""COMPUTED_VALUE"""),3.61731348815E11)</f>
        <v>361731348815</v>
      </c>
      <c r="F7645" s="1"/>
      <c r="G7645" s="1"/>
      <c r="H7645" s="3">
        <f>IFERROR(__xludf.DUMMYFUNCTION("""COMPUTED_VALUE"""),0.0)</f>
        <v>0</v>
      </c>
      <c r="I7645" s="4"/>
      <c r="J7645" s="1" t="str">
        <f>IFERROR(__xludf.DUMMYFUNCTION("""COMPUTED_VALUE"""),"Aileen Dayanghirang")</f>
        <v>Aileen Dayanghirang</v>
      </c>
      <c r="K7645" s="1" t="str">
        <f>IFERROR(__xludf.DUMMYFUNCTION("""COMPUTED_VALUE"""),"Creators Support")</f>
        <v>Creators Support</v>
      </c>
      <c r="L7645" s="1" t="str">
        <f>IFERROR(__xludf.DUMMYFUNCTION("""COMPUTED_VALUE"""),"SSS Creators")</f>
        <v>SSS Creators</v>
      </c>
    </row>
    <row r="7646">
      <c r="A7646" s="1" t="str">
        <f>IFERROR(__xludf.DUMMYFUNCTION("""COMPUTED_VALUE"""),"2025 Dec")</f>
        <v>2025 Dec</v>
      </c>
      <c r="B7646" s="2">
        <f>IFERROR(__xludf.DUMMYFUNCTION("""COMPUTED_VALUE"""),46013.0)</f>
        <v>46013</v>
      </c>
      <c r="C7646" s="1" t="str">
        <f>IFERROR(__xludf.DUMMYFUNCTION("""COMPUTED_VALUE"""),"Core Product Support")</f>
        <v>Core Product Support</v>
      </c>
      <c r="D7646" s="1" t="str">
        <f>IFERROR(__xludf.DUMMYFUNCTION("""COMPUTED_VALUE"""),"3ea48634-b6a2-4b3f-b17e-bc63a77dd069")</f>
        <v>3ea48634-b6a2-4b3f-b17e-bc63a77dd069</v>
      </c>
      <c r="E7646" s="1">
        <f>IFERROR(__xludf.DUMMYFUNCTION("""COMPUTED_VALUE"""),3.61969384715E11)</f>
        <v>361969384715</v>
      </c>
      <c r="F7646" s="1"/>
      <c r="G7646" s="1"/>
      <c r="H7646" s="3">
        <f>IFERROR(__xludf.DUMMYFUNCTION("""COMPUTED_VALUE"""),0.0)</f>
        <v>0</v>
      </c>
      <c r="I7646" s="4"/>
      <c r="J7646" s="1" t="str">
        <f>IFERROR(__xludf.DUMMYFUNCTION("""COMPUTED_VALUE"""),"Vianca De Jesus")</f>
        <v>Vianca De Jesus</v>
      </c>
      <c r="K7646" s="1" t="str">
        <f>IFERROR(__xludf.DUMMYFUNCTION("""COMPUTED_VALUE"""),"Advanced Chat Support")</f>
        <v>Advanced Chat Support</v>
      </c>
      <c r="L7646" s="1" t="str">
        <f>IFERROR(__xludf.DUMMYFUNCTION("""COMPUTED_VALUE"""),"CPS Advanced Chat Support (ACS)")</f>
        <v>CPS Advanced Chat Support (ACS)</v>
      </c>
    </row>
    <row r="7647">
      <c r="A7647" s="1" t="str">
        <f>IFERROR(__xludf.DUMMYFUNCTION("""COMPUTED_VALUE"""),"2025 Dec")</f>
        <v>2025 Dec</v>
      </c>
      <c r="B7647" s="2">
        <f>IFERROR(__xludf.DUMMYFUNCTION("""COMPUTED_VALUE"""),46013.0)</f>
        <v>46013</v>
      </c>
      <c r="C7647" s="1" t="str">
        <f>IFERROR(__xludf.DUMMYFUNCTION("""COMPUTED_VALUE"""),"Print Support")</f>
        <v>Print Support</v>
      </c>
      <c r="D7647" s="1" t="str">
        <f>IFERROR(__xludf.DUMMYFUNCTION("""COMPUTED_VALUE"""),"5957e659-d004-4b50-a833-96d89b506744")</f>
        <v>5957e659-d004-4b50-a833-96d89b506744</v>
      </c>
      <c r="E7647" s="1">
        <f>IFERROR(__xludf.DUMMYFUNCTION("""COMPUTED_VALUE"""),1.3475786244239E13)</f>
        <v>13475786244239</v>
      </c>
      <c r="F7647" s="1"/>
      <c r="G7647" s="1"/>
      <c r="H7647" s="3">
        <f>IFERROR(__xludf.DUMMYFUNCTION("""COMPUTED_VALUE"""),0.0)</f>
        <v>0</v>
      </c>
      <c r="I7647" s="4"/>
      <c r="J7647" s="1" t="str">
        <f>IFERROR(__xludf.DUMMYFUNCTION("""COMPUTED_VALUE"""),"Gem Agoncillo")</f>
        <v>Gem Agoncillo</v>
      </c>
      <c r="K7647" s="1" t="str">
        <f>IFERROR(__xludf.DUMMYFUNCTION("""COMPUTED_VALUE"""),"Print Design Support")</f>
        <v>Print Design Support</v>
      </c>
      <c r="L7647" s="1" t="str">
        <f>IFERROR(__xludf.DUMMYFUNCTION("""COMPUTED_VALUE"""),"Print Print Design")</f>
        <v>Print Print Design</v>
      </c>
    </row>
    <row r="7648">
      <c r="A7648" s="1" t="str">
        <f>IFERROR(__xludf.DUMMYFUNCTION("""COMPUTED_VALUE"""),"2025 Dec")</f>
        <v>2025 Dec</v>
      </c>
      <c r="B7648" s="2">
        <f>IFERROR(__xludf.DUMMYFUNCTION("""COMPUTED_VALUE"""),46013.0)</f>
        <v>46013</v>
      </c>
      <c r="C7648" s="1" t="str">
        <f>IFERROR(__xludf.DUMMYFUNCTION("""COMPUTED_VALUE"""),"Admin Support")</f>
        <v>Admin Support</v>
      </c>
      <c r="D7648" s="1" t="str">
        <f>IFERROR(__xludf.DUMMYFUNCTION("""COMPUTED_VALUE"""),"aba1b506-4ed6-4f4a-abad-f264703b1937")</f>
        <v>aba1b506-4ed6-4f4a-abad-f264703b1937</v>
      </c>
      <c r="E7648" s="1">
        <f>IFERROR(__xludf.DUMMYFUNCTION("""COMPUTED_VALUE"""),9.684963584655E12)</f>
        <v>9684963584655</v>
      </c>
      <c r="F7648" s="1">
        <f>IFERROR(__xludf.DUMMYFUNCTION("""COMPUTED_VALUE"""),0.5)</f>
        <v>0.5</v>
      </c>
      <c r="G7648" s="1"/>
      <c r="H7648" s="3">
        <f>IFERROR(__xludf.DUMMYFUNCTION("""COMPUTED_VALUE"""),0.5)</f>
        <v>0.5</v>
      </c>
      <c r="I7648" s="4">
        <f>IFERROR(__xludf.DUMMYFUNCTION("""COMPUTED_VALUE"""),0.0)</f>
        <v>0</v>
      </c>
      <c r="J7648" s="1" t="str">
        <f>IFERROR(__xludf.DUMMYFUNCTION("""COMPUTED_VALUE"""),"Tash Kelly")</f>
        <v>Tash Kelly</v>
      </c>
      <c r="K7648" s="1" t="str">
        <f>IFERROR(__xludf.DUMMYFUNCTION("""COMPUTED_VALUE"""),"Admin Support NA")</f>
        <v>Admin Support NA</v>
      </c>
      <c r="L7648" s="1" t="str">
        <f>IFERROR(__xludf.DUMMYFUNCTION("""COMPUTED_VALUE"""),"Admin NA")</f>
        <v>Admin NA</v>
      </c>
    </row>
    <row r="7649">
      <c r="A7649" s="1" t="str">
        <f>IFERROR(__xludf.DUMMYFUNCTION("""COMPUTED_VALUE"""),"2025 Dec")</f>
        <v>2025 Dec</v>
      </c>
      <c r="B7649" s="2">
        <f>IFERROR(__xludf.DUMMYFUNCTION("""COMPUTED_VALUE"""),46013.0)</f>
        <v>46013</v>
      </c>
      <c r="C7649" s="1" t="str">
        <f>IFERROR(__xludf.DUMMYFUNCTION("""COMPUTED_VALUE"""),"High Sensitivity Support")</f>
        <v>High Sensitivity Support</v>
      </c>
      <c r="D7649" s="1" t="str">
        <f>IFERROR(__xludf.DUMMYFUNCTION("""COMPUTED_VALUE"""),"1b0e8a89-47b2-4607-8a32-61610d221409")</f>
        <v>1b0e8a89-47b2-4607-8a32-61610d221409</v>
      </c>
      <c r="E7649" s="1">
        <f>IFERROR(__xludf.DUMMYFUNCTION("""COMPUTED_VALUE"""),9.107749325455E12)</f>
        <v>9107749325455</v>
      </c>
      <c r="F7649" s="1">
        <f>IFERROR(__xludf.DUMMYFUNCTION("""COMPUTED_VALUE"""),4.0)</f>
        <v>4</v>
      </c>
      <c r="G7649" s="1"/>
      <c r="H7649" s="3">
        <f>IFERROR(__xludf.DUMMYFUNCTION("""COMPUTED_VALUE"""),4.0)</f>
        <v>4</v>
      </c>
      <c r="I7649" s="4">
        <f>IFERROR(__xludf.DUMMYFUNCTION("""COMPUTED_VALUE"""),0.0)</f>
        <v>0</v>
      </c>
      <c r="J7649" s="1" t="str">
        <f>IFERROR(__xludf.DUMMYFUNCTION("""COMPUTED_VALUE"""),"Rex Villamor")</f>
        <v>Rex Villamor</v>
      </c>
      <c r="K7649" s="1" t="str">
        <f>IFERROR(__xludf.DUMMYFUNCTION("""COMPUTED_VALUE"""),"High Sensitivity Support PH")</f>
        <v>High Sensitivity Support PH</v>
      </c>
      <c r="L7649" s="1" t="str">
        <f>IFERROR(__xludf.DUMMYFUNCTION("""COMPUTED_VALUE"""),"HSS High Sensitivity Support PH - CHT")</f>
        <v>HSS High Sensitivity Support PH - CHT</v>
      </c>
    </row>
    <row r="7650">
      <c r="A7650" s="1" t="str">
        <f>IFERROR(__xludf.DUMMYFUNCTION("""COMPUTED_VALUE"""),"2025 Dec")</f>
        <v>2025 Dec</v>
      </c>
      <c r="B7650" s="2">
        <f>IFERROR(__xludf.DUMMYFUNCTION("""COMPUTED_VALUE"""),46013.0)</f>
        <v>46013</v>
      </c>
      <c r="C7650" s="1" t="str">
        <f>IFERROR(__xludf.DUMMYFUNCTION("""COMPUTED_VALUE"""),"Core Product Support")</f>
        <v>Core Product Support</v>
      </c>
      <c r="D7650" s="1" t="str">
        <f>IFERROR(__xludf.DUMMYFUNCTION("""COMPUTED_VALUE"""),"34f2d71e-2948-4046-b11a-6ec3d91fb2f7")</f>
        <v>34f2d71e-2948-4046-b11a-6ec3d91fb2f7</v>
      </c>
      <c r="E7650" s="1">
        <f>IFERROR(__xludf.DUMMYFUNCTION("""COMPUTED_VALUE"""),3.61725261076E11)</f>
        <v>361725261076</v>
      </c>
      <c r="F7650" s="1"/>
      <c r="G7650" s="1">
        <f>IFERROR(__xludf.DUMMYFUNCTION("""COMPUTED_VALUE"""),1.5)</f>
        <v>1.5</v>
      </c>
      <c r="H7650" s="3">
        <f>IFERROR(__xludf.DUMMYFUNCTION("""COMPUTED_VALUE"""),1.5)</f>
        <v>1.5</v>
      </c>
      <c r="I7650" s="4">
        <f>IFERROR(__xludf.DUMMYFUNCTION("""COMPUTED_VALUE"""),1.0)</f>
        <v>1</v>
      </c>
      <c r="J7650" s="1" t="str">
        <f>IFERROR(__xludf.DUMMYFUNCTION("""COMPUTED_VALUE"""),"Bem Launte")</f>
        <v>Bem Launte</v>
      </c>
      <c r="K7650" s="1" t="str">
        <f>IFERROR(__xludf.DUMMYFUNCTION("""COMPUTED_VALUE"""),"Core Product Support Escalation Team")</f>
        <v>Core Product Support Escalation Team</v>
      </c>
      <c r="L7650" s="1" t="str">
        <f>IFERROR(__xludf.DUMMYFUNCTION("""COMPUTED_VALUE"""),"CPS Core Product Support Escalations (CPSET)")</f>
        <v>CPS Core Product Support Escalations (CPSET)</v>
      </c>
    </row>
    <row r="7651">
      <c r="A7651" s="1" t="str">
        <f>IFERROR(__xludf.DUMMYFUNCTION("""COMPUTED_VALUE"""),"2025 Dec")</f>
        <v>2025 Dec</v>
      </c>
      <c r="B7651" s="2">
        <f>IFERROR(__xludf.DUMMYFUNCTION("""COMPUTED_VALUE"""),46013.0)</f>
        <v>46013</v>
      </c>
      <c r="C7651" s="1" t="str">
        <f>IFERROR(__xludf.DUMMYFUNCTION("""COMPUTED_VALUE"""),"Core Product Support")</f>
        <v>Core Product Support</v>
      </c>
      <c r="D7651" s="1" t="str">
        <f>IFERROR(__xludf.DUMMYFUNCTION("""COMPUTED_VALUE"""),"d0bf168c-4c21-43be-abef-2d821133980c")</f>
        <v>d0bf168c-4c21-43be-abef-2d821133980c</v>
      </c>
      <c r="E7651" s="1">
        <f>IFERROR(__xludf.DUMMYFUNCTION("""COMPUTED_VALUE"""),7.437371735567E12)</f>
        <v>7437371735567</v>
      </c>
      <c r="F7651" s="1">
        <f>IFERROR(__xludf.DUMMYFUNCTION("""COMPUTED_VALUE"""),0.5)</f>
        <v>0.5</v>
      </c>
      <c r="G7651" s="1"/>
      <c r="H7651" s="3">
        <f>IFERROR(__xludf.DUMMYFUNCTION("""COMPUTED_VALUE"""),0.5)</f>
        <v>0.5</v>
      </c>
      <c r="I7651" s="4">
        <f>IFERROR(__xludf.DUMMYFUNCTION("""COMPUTED_VALUE"""),0.0)</f>
        <v>0</v>
      </c>
      <c r="J7651" s="1" t="str">
        <f>IFERROR(__xludf.DUMMYFUNCTION("""COMPUTED_VALUE"""),"Renette Bok")</f>
        <v>Renette Bok</v>
      </c>
      <c r="K7651" s="1" t="str">
        <f>IFERROR(__xludf.DUMMYFUNCTION("""COMPUTED_VALUE"""),"Advanced Billing &amp; Subscriptions")</f>
        <v>Advanced Billing &amp; Subscriptions</v>
      </c>
      <c r="L7651" s="1" t="str">
        <f>IFERROR(__xludf.DUMMYFUNCTION("""COMPUTED_VALUE"""),"CPS Advanced Billing and Subscriptions (ABS)")</f>
        <v>CPS Advanced Billing and Subscriptions (ABS)</v>
      </c>
    </row>
    <row r="7652">
      <c r="A7652" s="1" t="str">
        <f>IFERROR(__xludf.DUMMYFUNCTION("""COMPUTED_VALUE"""),"2025 Dec")</f>
        <v>2025 Dec</v>
      </c>
      <c r="B7652" s="2">
        <f>IFERROR(__xludf.DUMMYFUNCTION("""COMPUTED_VALUE"""),46013.0)</f>
        <v>46013</v>
      </c>
      <c r="C7652" s="1" t="str">
        <f>IFERROR(__xludf.DUMMYFUNCTION("""COMPUTED_VALUE"""),"High Sensitivity Support")</f>
        <v>High Sensitivity Support</v>
      </c>
      <c r="D7652" s="1" t="str">
        <f>IFERROR(__xludf.DUMMYFUNCTION("""COMPUTED_VALUE"""),"f56a1f10-27ad-435d-9c50-8e847d04dbcf")</f>
        <v>f56a1f10-27ad-435d-9c50-8e847d04dbcf</v>
      </c>
      <c r="E7652" s="1">
        <f>IFERROR(__xludf.DUMMYFUNCTION("""COMPUTED_VALUE"""),5.566811301007E12)</f>
        <v>5566811301007</v>
      </c>
      <c r="F7652" s="1"/>
      <c r="G7652" s="1"/>
      <c r="H7652" s="3">
        <f>IFERROR(__xludf.DUMMYFUNCTION("""COMPUTED_VALUE"""),0.0)</f>
        <v>0</v>
      </c>
      <c r="I7652" s="4"/>
      <c r="J7652" s="1" t="str">
        <f>IFERROR(__xludf.DUMMYFUNCTION("""COMPUTED_VALUE"""),"Issi Afable")</f>
        <v>Issi Afable</v>
      </c>
      <c r="K7652" s="1" t="str">
        <f>IFERROR(__xludf.DUMMYFUNCTION("""COMPUTED_VALUE"""),"High Sensitivity Support PH")</f>
        <v>High Sensitivity Support PH</v>
      </c>
      <c r="L7652" s="1" t="str">
        <f>IFERROR(__xludf.DUMMYFUNCTION("""COMPUTED_VALUE"""),"HSS High Sensitivity Support PH - SEE")</f>
        <v>HSS High Sensitivity Support PH - SEE</v>
      </c>
    </row>
    <row r="7653">
      <c r="A7653" s="1" t="str">
        <f>IFERROR(__xludf.DUMMYFUNCTION("""COMPUTED_VALUE"""),"2025 Dec")</f>
        <v>2025 Dec</v>
      </c>
      <c r="B7653" s="2">
        <f>IFERROR(__xludf.DUMMYFUNCTION("""COMPUTED_VALUE"""),46013.0)</f>
        <v>46013</v>
      </c>
      <c r="C7653" s="1" t="str">
        <f>IFERROR(__xludf.DUMMYFUNCTION("""COMPUTED_VALUE"""),"Print Support")</f>
        <v>Print Support</v>
      </c>
      <c r="D7653" s="1" t="str">
        <f>IFERROR(__xludf.DUMMYFUNCTION("""COMPUTED_VALUE"""),"298f0d76-bd7a-4274-ba39-7bf5fff1a6f0")</f>
        <v>298f0d76-bd7a-4274-ba39-7bf5fff1a6f0</v>
      </c>
      <c r="E7653" s="1"/>
      <c r="F7653" s="1"/>
      <c r="G7653" s="1"/>
      <c r="H7653" s="3">
        <f>IFERROR(__xludf.DUMMYFUNCTION("""COMPUTED_VALUE"""),0.0)</f>
        <v>0</v>
      </c>
      <c r="I7653" s="4"/>
      <c r="J7653" s="1" t="str">
        <f>IFERROR(__xludf.DUMMYFUNCTION("""COMPUTED_VALUE"""),"Gem Agoncillo")</f>
        <v>Gem Agoncillo</v>
      </c>
      <c r="K7653" s="1" t="str">
        <f>IFERROR(__xludf.DUMMYFUNCTION("""COMPUTED_VALUE"""),"Print Design Support")</f>
        <v>Print Design Support</v>
      </c>
      <c r="L7653" s="1" t="str">
        <f>IFERROR(__xludf.DUMMYFUNCTION("""COMPUTED_VALUE"""),"Print Print Design")</f>
        <v>Print Print Design</v>
      </c>
    </row>
    <row r="7654">
      <c r="A7654" s="1" t="str">
        <f>IFERROR(__xludf.DUMMYFUNCTION("""COMPUTED_VALUE"""),"2025 Dec")</f>
        <v>2025 Dec</v>
      </c>
      <c r="B7654" s="2">
        <f>IFERROR(__xludf.DUMMYFUNCTION("""COMPUTED_VALUE"""),46013.0)</f>
        <v>46013</v>
      </c>
      <c r="C7654" s="1" t="str">
        <f>IFERROR(__xludf.DUMMYFUNCTION("""COMPUTED_VALUE"""),"Print Support")</f>
        <v>Print Support</v>
      </c>
      <c r="D7654" s="1" t="str">
        <f>IFERROR(__xludf.DUMMYFUNCTION("""COMPUTED_VALUE"""),"6a7b954c-b6c3-49ee-b531-c1516331ca46")</f>
        <v>6a7b954c-b6c3-49ee-b531-c1516331ca46</v>
      </c>
      <c r="E7654" s="1">
        <f>IFERROR(__xludf.DUMMYFUNCTION("""COMPUTED_VALUE"""),3.61725484216E11)</f>
        <v>361725484216</v>
      </c>
      <c r="F7654" s="1"/>
      <c r="G7654" s="1"/>
      <c r="H7654" s="3">
        <f>IFERROR(__xludf.DUMMYFUNCTION("""COMPUTED_VALUE"""),0.0)</f>
        <v>0</v>
      </c>
      <c r="I7654" s="4"/>
      <c r="J7654" s="1" t="str">
        <f>IFERROR(__xludf.DUMMYFUNCTION("""COMPUTED_VALUE"""),"Louise Dianne Estrella")</f>
        <v>Louise Dianne Estrella</v>
      </c>
      <c r="K7654" s="1" t="str">
        <f>IFERROR(__xludf.DUMMYFUNCTION("""COMPUTED_VALUE"""),"Print Support PH")</f>
        <v>Print Support PH</v>
      </c>
      <c r="L7654" s="1" t="str">
        <f>IFERROR(__xludf.DUMMYFUNCTION("""COMPUTED_VALUE"""),"Print Print - CHT")</f>
        <v>Print Print - CHT</v>
      </c>
    </row>
    <row r="7655">
      <c r="A7655" s="1" t="str">
        <f>IFERROR(__xludf.DUMMYFUNCTION("""COMPUTED_VALUE"""),"2025 Dec")</f>
        <v>2025 Dec</v>
      </c>
      <c r="B7655" s="2">
        <f>IFERROR(__xludf.DUMMYFUNCTION("""COMPUTED_VALUE"""),46013.0)</f>
        <v>46013</v>
      </c>
      <c r="C7655" s="1" t="str">
        <f>IFERROR(__xludf.DUMMYFUNCTION("""COMPUTED_VALUE"""),"Print Support")</f>
        <v>Print Support</v>
      </c>
      <c r="D7655" s="1" t="str">
        <f>IFERROR(__xludf.DUMMYFUNCTION("""COMPUTED_VALUE"""),"795981ce-4d10-4d82-8c86-abfaee5aa819")</f>
        <v>795981ce-4d10-4d82-8c86-abfaee5aa819</v>
      </c>
      <c r="E7655" s="1"/>
      <c r="F7655" s="1"/>
      <c r="G7655" s="1"/>
      <c r="H7655" s="3">
        <f>IFERROR(__xludf.DUMMYFUNCTION("""COMPUTED_VALUE"""),0.0)</f>
        <v>0</v>
      </c>
      <c r="I7655" s="4"/>
      <c r="J7655" s="1" t="str">
        <f>IFERROR(__xludf.DUMMYFUNCTION("""COMPUTED_VALUE"""),"Rei De Jesus")</f>
        <v>Rei De Jesus</v>
      </c>
      <c r="K7655" s="1" t="str">
        <f>IFERROR(__xludf.DUMMYFUNCTION("""COMPUTED_VALUE"""),"Print Design Support")</f>
        <v>Print Design Support</v>
      </c>
      <c r="L7655" s="1" t="str">
        <f>IFERROR(__xludf.DUMMYFUNCTION("""COMPUTED_VALUE"""),"Print Print Design")</f>
        <v>Print Print Design</v>
      </c>
    </row>
    <row r="7656">
      <c r="A7656" s="1" t="str">
        <f>IFERROR(__xludf.DUMMYFUNCTION("""COMPUTED_VALUE"""),"2025 Dec")</f>
        <v>2025 Dec</v>
      </c>
      <c r="B7656" s="2">
        <f>IFERROR(__xludf.DUMMYFUNCTION("""COMPUTED_VALUE"""),46013.0)</f>
        <v>46013</v>
      </c>
      <c r="C7656" s="1" t="str">
        <f>IFERROR(__xludf.DUMMYFUNCTION("""COMPUTED_VALUE"""),"Core Product Support")</f>
        <v>Core Product Support</v>
      </c>
      <c r="D7656" s="1" t="str">
        <f>IFERROR(__xludf.DUMMYFUNCTION("""COMPUTED_VALUE"""),"c3188fb3-23e5-43d8-86c2-072029c768d3")</f>
        <v>c3188fb3-23e5-43d8-86c2-072029c768d3</v>
      </c>
      <c r="E7656" s="1">
        <f>IFERROR(__xludf.DUMMYFUNCTION("""COMPUTED_VALUE"""),1.0808000160399E13)</f>
        <v>10808000160399</v>
      </c>
      <c r="F7656" s="1">
        <f>IFERROR(__xludf.DUMMYFUNCTION("""COMPUTED_VALUE"""),0.5)</f>
        <v>0.5</v>
      </c>
      <c r="G7656" s="1"/>
      <c r="H7656" s="3">
        <f>IFERROR(__xludf.DUMMYFUNCTION("""COMPUTED_VALUE"""),0.5)</f>
        <v>0.5</v>
      </c>
      <c r="I7656" s="4">
        <f>IFERROR(__xludf.DUMMYFUNCTION("""COMPUTED_VALUE"""),0.0)</f>
        <v>0</v>
      </c>
      <c r="J7656" s="1" t="str">
        <f>IFERROR(__xludf.DUMMYFUNCTION("""COMPUTED_VALUE"""),"Cate Velasco")</f>
        <v>Cate Velasco</v>
      </c>
      <c r="K7656" s="1" t="str">
        <f>IFERROR(__xludf.DUMMYFUNCTION("""COMPUTED_VALUE"""),"Advanced Product Support")</f>
        <v>Advanced Product Support</v>
      </c>
      <c r="L7656" s="1" t="str">
        <f>IFERROR(__xludf.DUMMYFUNCTION("""COMPUTED_VALUE"""),"CPS Advanced Product Support (APS)")</f>
        <v>CPS Advanced Product Support (APS)</v>
      </c>
    </row>
    <row r="7657">
      <c r="A7657" s="1" t="str">
        <f>IFERROR(__xludf.DUMMYFUNCTION("""COMPUTED_VALUE"""),"2025 Dec")</f>
        <v>2025 Dec</v>
      </c>
      <c r="B7657" s="2">
        <f>IFERROR(__xludf.DUMMYFUNCTION("""COMPUTED_VALUE"""),46013.0)</f>
        <v>46013</v>
      </c>
      <c r="C7657" s="1" t="str">
        <f>IFERROR(__xludf.DUMMYFUNCTION("""COMPUTED_VALUE"""),"Core Product Support")</f>
        <v>Core Product Support</v>
      </c>
      <c r="D7657" s="1" t="str">
        <f>IFERROR(__xludf.DUMMYFUNCTION("""COMPUTED_VALUE"""),"484a67d0-5e69-4c98-848a-5ffa0b23046e")</f>
        <v>484a67d0-5e69-4c98-848a-5ffa0b23046e</v>
      </c>
      <c r="E7657" s="1">
        <f>IFERROR(__xludf.DUMMYFUNCTION("""COMPUTED_VALUE"""),5.202392804111E12)</f>
        <v>5202392804111</v>
      </c>
      <c r="F7657" s="1">
        <f>IFERROR(__xludf.DUMMYFUNCTION("""COMPUTED_VALUE"""),0.5)</f>
        <v>0.5</v>
      </c>
      <c r="G7657" s="1"/>
      <c r="H7657" s="3">
        <f>IFERROR(__xludf.DUMMYFUNCTION("""COMPUTED_VALUE"""),0.5)</f>
        <v>0.5</v>
      </c>
      <c r="I7657" s="4">
        <f>IFERROR(__xludf.DUMMYFUNCTION("""COMPUTED_VALUE"""),0.0)</f>
        <v>0</v>
      </c>
      <c r="J7657" s="1" t="str">
        <f>IFERROR(__xludf.DUMMYFUNCTION("""COMPUTED_VALUE"""),"Renette Bok")</f>
        <v>Renette Bok</v>
      </c>
      <c r="K7657" s="1" t="str">
        <f>IFERROR(__xludf.DUMMYFUNCTION("""COMPUTED_VALUE"""),"Advanced Billing &amp; Subscriptions")</f>
        <v>Advanced Billing &amp; Subscriptions</v>
      </c>
      <c r="L7657" s="1" t="str">
        <f>IFERROR(__xludf.DUMMYFUNCTION("""COMPUTED_VALUE"""),"CPS Advanced Billing and Subscriptions (ABS)")</f>
        <v>CPS Advanced Billing and Subscriptions (ABS)</v>
      </c>
    </row>
    <row r="7658">
      <c r="A7658" s="1" t="str">
        <f>IFERROR(__xludf.DUMMYFUNCTION("""COMPUTED_VALUE"""),"2025 Dec")</f>
        <v>2025 Dec</v>
      </c>
      <c r="B7658" s="2">
        <f>IFERROR(__xludf.DUMMYFUNCTION("""COMPUTED_VALUE"""),46013.0)</f>
        <v>46013</v>
      </c>
      <c r="C7658" s="1" t="str">
        <f>IFERROR(__xludf.DUMMYFUNCTION("""COMPUTED_VALUE"""),"Core Product Support")</f>
        <v>Core Product Support</v>
      </c>
      <c r="D7658" s="1" t="str">
        <f>IFERROR(__xludf.DUMMYFUNCTION("""COMPUTED_VALUE"""),"64aee857-09bd-4a17-90d8-7b6e2d71c216")</f>
        <v>64aee857-09bd-4a17-90d8-7b6e2d71c216</v>
      </c>
      <c r="E7658" s="1">
        <f>IFERROR(__xludf.DUMMYFUNCTION("""COMPUTED_VALUE"""),3.61725374316E11)</f>
        <v>361725374316</v>
      </c>
      <c r="F7658" s="1">
        <f>IFERROR(__xludf.DUMMYFUNCTION("""COMPUTED_VALUE"""),0.5)</f>
        <v>0.5</v>
      </c>
      <c r="G7658" s="1">
        <f>IFERROR(__xludf.DUMMYFUNCTION("""COMPUTED_VALUE"""),1.5)</f>
        <v>1.5</v>
      </c>
      <c r="H7658" s="3">
        <f>IFERROR(__xludf.DUMMYFUNCTION("""COMPUTED_VALUE"""),2.0)</f>
        <v>2</v>
      </c>
      <c r="I7658" s="4">
        <f>IFERROR(__xludf.DUMMYFUNCTION("""COMPUTED_VALUE"""),0.75)</f>
        <v>0.75</v>
      </c>
      <c r="J7658" s="1" t="str">
        <f>IFERROR(__xludf.DUMMYFUNCTION("""COMPUTED_VALUE"""),"Sieg Ballelos")</f>
        <v>Sieg Ballelos</v>
      </c>
      <c r="K7658" s="1" t="str">
        <f>IFERROR(__xludf.DUMMYFUNCTION("""COMPUTED_VALUE"""),"Core Product Support Escalation Team")</f>
        <v>Core Product Support Escalation Team</v>
      </c>
      <c r="L7658" s="1" t="str">
        <f>IFERROR(__xludf.DUMMYFUNCTION("""COMPUTED_VALUE"""),"CPS Core Product Support Escalations (CPSET)")</f>
        <v>CPS Core Product Support Escalations (CPSET)</v>
      </c>
    </row>
    <row r="7659">
      <c r="A7659" s="1" t="str">
        <f>IFERROR(__xludf.DUMMYFUNCTION("""COMPUTED_VALUE"""),"2025 Dec")</f>
        <v>2025 Dec</v>
      </c>
      <c r="B7659" s="2">
        <f>IFERROR(__xludf.DUMMYFUNCTION("""COMPUTED_VALUE"""),46013.0)</f>
        <v>46013</v>
      </c>
      <c r="C7659" s="1" t="str">
        <f>IFERROR(__xludf.DUMMYFUNCTION("""COMPUTED_VALUE"""),"High Sensitivity Support")</f>
        <v>High Sensitivity Support</v>
      </c>
      <c r="D7659" s="1" t="str">
        <f>IFERROR(__xludf.DUMMYFUNCTION("""COMPUTED_VALUE"""),"c7c30477-846d-4f22-bc04-2aab19385d44")</f>
        <v>c7c30477-846d-4f22-bc04-2aab19385d44</v>
      </c>
      <c r="E7659" s="1">
        <f>IFERROR(__xludf.DUMMYFUNCTION("""COMPUTED_VALUE"""),5.359149433359E12)</f>
        <v>5359149433359</v>
      </c>
      <c r="F7659" s="1"/>
      <c r="G7659" s="1"/>
      <c r="H7659" s="3">
        <f>IFERROR(__xludf.DUMMYFUNCTION("""COMPUTED_VALUE"""),0.0)</f>
        <v>0</v>
      </c>
      <c r="I7659" s="4"/>
      <c r="J7659" s="1" t="str">
        <f>IFERROR(__xludf.DUMMYFUNCTION("""COMPUTED_VALUE"""),"Xandy Azarcon")</f>
        <v>Xandy Azarcon</v>
      </c>
      <c r="K7659" s="1" t="str">
        <f>IFERROR(__xludf.DUMMYFUNCTION("""COMPUTED_VALUE"""),"#N/A")</f>
        <v>#N/A</v>
      </c>
      <c r="L7659" s="1"/>
    </row>
    <row r="7660">
      <c r="A7660" s="1" t="str">
        <f>IFERROR(__xludf.DUMMYFUNCTION("""COMPUTED_VALUE"""),"2025 Dec")</f>
        <v>2025 Dec</v>
      </c>
      <c r="B7660" s="2">
        <f>IFERROR(__xludf.DUMMYFUNCTION("""COMPUTED_VALUE"""),46013.0)</f>
        <v>46013</v>
      </c>
      <c r="C7660" s="1" t="str">
        <f>IFERROR(__xludf.DUMMYFUNCTION("""COMPUTED_VALUE"""),"Core Product Support")</f>
        <v>Core Product Support</v>
      </c>
      <c r="D7660" s="1" t="str">
        <f>IFERROR(__xludf.DUMMYFUNCTION("""COMPUTED_VALUE"""),"1b08e244-a5e3-48ac-9d85-880d42b6e733")</f>
        <v>1b08e244-a5e3-48ac-9d85-880d42b6e733</v>
      </c>
      <c r="E7660" s="1">
        <f>IFERROR(__xludf.DUMMYFUNCTION("""COMPUTED_VALUE"""),3.61744094696E11)</f>
        <v>361744094696</v>
      </c>
      <c r="F7660" s="1">
        <f>IFERROR(__xludf.DUMMYFUNCTION("""COMPUTED_VALUE"""),0.5)</f>
        <v>0.5</v>
      </c>
      <c r="G7660" s="1"/>
      <c r="H7660" s="3">
        <f>IFERROR(__xludf.DUMMYFUNCTION("""COMPUTED_VALUE"""),0.5)</f>
        <v>0.5</v>
      </c>
      <c r="I7660" s="4">
        <f>IFERROR(__xludf.DUMMYFUNCTION("""COMPUTED_VALUE"""),0.0)</f>
        <v>0</v>
      </c>
      <c r="J7660" s="1" t="str">
        <f>IFERROR(__xludf.DUMMYFUNCTION("""COMPUTED_VALUE"""),"Vinz Lazaro")</f>
        <v>Vinz Lazaro</v>
      </c>
      <c r="K7660" s="1" t="str">
        <f>IFERROR(__xludf.DUMMYFUNCTION("""COMPUTED_VALUE"""),"Advanced Product Support")</f>
        <v>Advanced Product Support</v>
      </c>
      <c r="L7660" s="1" t="str">
        <f>IFERROR(__xludf.DUMMYFUNCTION("""COMPUTED_VALUE"""),"CPS Advanced Product Support (APS)")</f>
        <v>CPS Advanced Product Support (APS)</v>
      </c>
    </row>
    <row r="7661">
      <c r="A7661" s="1" t="str">
        <f>IFERROR(__xludf.DUMMYFUNCTION("""COMPUTED_VALUE"""),"2025 Dec")</f>
        <v>2025 Dec</v>
      </c>
      <c r="B7661" s="2">
        <f>IFERROR(__xludf.DUMMYFUNCTION("""COMPUTED_VALUE"""),46013.0)</f>
        <v>46013</v>
      </c>
      <c r="C7661" s="1" t="str">
        <f>IFERROR(__xludf.DUMMYFUNCTION("""COMPUTED_VALUE"""),"Core Product Support")</f>
        <v>Core Product Support</v>
      </c>
      <c r="D7661" s="1" t="str">
        <f>IFERROR(__xludf.DUMMYFUNCTION("""COMPUTED_VALUE"""),"fc9b38e6-bcda-447e-bc09-efbb10174ad9")</f>
        <v>fc9b38e6-bcda-447e-bc09-efbb10174ad9</v>
      </c>
      <c r="E7661" s="1">
        <f>IFERROR(__xludf.DUMMYFUNCTION("""COMPUTED_VALUE"""),3.61733222835E11)</f>
        <v>361733222835</v>
      </c>
      <c r="F7661" s="1">
        <f>IFERROR(__xludf.DUMMYFUNCTION("""COMPUTED_VALUE"""),0.5)</f>
        <v>0.5</v>
      </c>
      <c r="G7661" s="1">
        <f>IFERROR(__xludf.DUMMYFUNCTION("""COMPUTED_VALUE"""),2.5)</f>
        <v>2.5</v>
      </c>
      <c r="H7661" s="3">
        <f>IFERROR(__xludf.DUMMYFUNCTION("""COMPUTED_VALUE"""),3.0)</f>
        <v>3</v>
      </c>
      <c r="I7661" s="4">
        <f>IFERROR(__xludf.DUMMYFUNCTION("""COMPUTED_VALUE"""),0.8333333333333334)</f>
        <v>0.8333333333</v>
      </c>
      <c r="J7661" s="1" t="str">
        <f>IFERROR(__xludf.DUMMYFUNCTION("""COMPUTED_VALUE"""),"Ellaine Estayo")</f>
        <v>Ellaine Estayo</v>
      </c>
      <c r="K7661" s="1" t="str">
        <f>IFERROR(__xludf.DUMMYFUNCTION("""COMPUTED_VALUE"""),"Core Product Support Escalation Team")</f>
        <v>Core Product Support Escalation Team</v>
      </c>
      <c r="L7661" s="1" t="str">
        <f>IFERROR(__xludf.DUMMYFUNCTION("""COMPUTED_VALUE"""),"CPS Core Product Support Escalations (CPSET)")</f>
        <v>CPS Core Product Support Escalations (CPSET)</v>
      </c>
    </row>
    <row r="7662">
      <c r="A7662" s="1" t="str">
        <f>IFERROR(__xludf.DUMMYFUNCTION("""COMPUTED_VALUE"""),"2025 Dec")</f>
        <v>2025 Dec</v>
      </c>
      <c r="B7662" s="2">
        <f>IFERROR(__xludf.DUMMYFUNCTION("""COMPUTED_VALUE"""),46013.0)</f>
        <v>46013</v>
      </c>
      <c r="C7662" s="1" t="str">
        <f>IFERROR(__xludf.DUMMYFUNCTION("""COMPUTED_VALUE"""),"High Sensitivity Support")</f>
        <v>High Sensitivity Support</v>
      </c>
      <c r="D7662" s="1" t="str">
        <f>IFERROR(__xludf.DUMMYFUNCTION("""COMPUTED_VALUE"""),"42147b58-e8e5-4766-a41a-8d98cf8a5872")</f>
        <v>42147b58-e8e5-4766-a41a-8d98cf8a5872</v>
      </c>
      <c r="E7662" s="1">
        <f>IFERROR(__xludf.DUMMYFUNCTION("""COMPUTED_VALUE"""),5.359185373455E12)</f>
        <v>5359185373455</v>
      </c>
      <c r="F7662" s="1">
        <f>IFERROR(__xludf.DUMMYFUNCTION("""COMPUTED_VALUE"""),3.0)</f>
        <v>3</v>
      </c>
      <c r="G7662" s="1"/>
      <c r="H7662" s="3">
        <f>IFERROR(__xludf.DUMMYFUNCTION("""COMPUTED_VALUE"""),3.0)</f>
        <v>3</v>
      </c>
      <c r="I7662" s="4">
        <f>IFERROR(__xludf.DUMMYFUNCTION("""COMPUTED_VALUE"""),0.0)</f>
        <v>0</v>
      </c>
      <c r="J7662" s="1" t="str">
        <f>IFERROR(__xludf.DUMMYFUNCTION("""COMPUTED_VALUE"""),"Rossheen Pura")</f>
        <v>Rossheen Pura</v>
      </c>
      <c r="K7662" s="1" t="str">
        <f>IFERROR(__xludf.DUMMYFUNCTION("""COMPUTED_VALUE"""),"High Sensitivity Support PH")</f>
        <v>High Sensitivity Support PH</v>
      </c>
      <c r="L7662" s="1" t="str">
        <f>IFERROR(__xludf.DUMMYFUNCTION("""COMPUTED_VALUE"""),"HSS High Sensitivity Support PH - CHT")</f>
        <v>HSS High Sensitivity Support PH - CHT</v>
      </c>
    </row>
    <row r="7663">
      <c r="A7663" s="1" t="str">
        <f>IFERROR(__xludf.DUMMYFUNCTION("""COMPUTED_VALUE"""),"2025 Dec")</f>
        <v>2025 Dec</v>
      </c>
      <c r="B7663" s="2">
        <f>IFERROR(__xludf.DUMMYFUNCTION("""COMPUTED_VALUE"""),46013.0)</f>
        <v>46013</v>
      </c>
      <c r="C7663" s="1" t="str">
        <f>IFERROR(__xludf.DUMMYFUNCTION("""COMPUTED_VALUE"""),"Core Product Support")</f>
        <v>Core Product Support</v>
      </c>
      <c r="D7663" s="1" t="str">
        <f>IFERROR(__xludf.DUMMYFUNCTION("""COMPUTED_VALUE"""),"b70eebc6-c7c9-48bc-a876-82736f994fb9")</f>
        <v>b70eebc6-c7c9-48bc-a876-82736f994fb9</v>
      </c>
      <c r="E7663" s="1">
        <f>IFERROR(__xludf.DUMMYFUNCTION("""COMPUTED_VALUE"""),1.1401980902415E13)</f>
        <v>11401980902415</v>
      </c>
      <c r="F7663" s="1">
        <f>IFERROR(__xludf.DUMMYFUNCTION("""COMPUTED_VALUE"""),0.5)</f>
        <v>0.5</v>
      </c>
      <c r="G7663" s="1"/>
      <c r="H7663" s="3">
        <f>IFERROR(__xludf.DUMMYFUNCTION("""COMPUTED_VALUE"""),0.5)</f>
        <v>0.5</v>
      </c>
      <c r="I7663" s="4">
        <f>IFERROR(__xludf.DUMMYFUNCTION("""COMPUTED_VALUE"""),0.0)</f>
        <v>0</v>
      </c>
      <c r="J7663" s="1" t="str">
        <f>IFERROR(__xludf.DUMMYFUNCTION("""COMPUTED_VALUE"""),"Ayza Marie Pascual")</f>
        <v>Ayza Marie Pascual</v>
      </c>
      <c r="K7663" s="1" t="str">
        <f>IFERROR(__xludf.DUMMYFUNCTION("""COMPUTED_VALUE"""),"Advanced Billing &amp; Subscriptions")</f>
        <v>Advanced Billing &amp; Subscriptions</v>
      </c>
      <c r="L7663" s="1" t="str">
        <f>IFERROR(__xludf.DUMMYFUNCTION("""COMPUTED_VALUE"""),"CPS Advanced Billing and Subscriptions (ABS)")</f>
        <v>CPS Advanced Billing and Subscriptions (ABS)</v>
      </c>
    </row>
    <row r="7664">
      <c r="A7664" s="1" t="str">
        <f>IFERROR(__xludf.DUMMYFUNCTION("""COMPUTED_VALUE"""),"2025 Dec")</f>
        <v>2025 Dec</v>
      </c>
      <c r="B7664" s="2">
        <f>IFERROR(__xludf.DUMMYFUNCTION("""COMPUTED_VALUE"""),46013.0)</f>
        <v>46013</v>
      </c>
      <c r="C7664" s="1" t="str">
        <f>IFERROR(__xludf.DUMMYFUNCTION("""COMPUTED_VALUE"""),"Core Product Support")</f>
        <v>Core Product Support</v>
      </c>
      <c r="D7664" s="1" t="str">
        <f>IFERROR(__xludf.DUMMYFUNCTION("""COMPUTED_VALUE"""),"9d825d2e-3519-4559-9782-f32e81d2d824")</f>
        <v>9d825d2e-3519-4559-9782-f32e81d2d824</v>
      </c>
      <c r="E7664" s="1">
        <f>IFERROR(__xludf.DUMMYFUNCTION("""COMPUTED_VALUE"""),3.61861297715E11)</f>
        <v>361861297715</v>
      </c>
      <c r="F7664" s="1">
        <f>IFERROR(__xludf.DUMMYFUNCTION("""COMPUTED_VALUE"""),0.5)</f>
        <v>0.5</v>
      </c>
      <c r="G7664" s="1"/>
      <c r="H7664" s="3">
        <f>IFERROR(__xludf.DUMMYFUNCTION("""COMPUTED_VALUE"""),0.5)</f>
        <v>0.5</v>
      </c>
      <c r="I7664" s="4">
        <f>IFERROR(__xludf.DUMMYFUNCTION("""COMPUTED_VALUE"""),0.0)</f>
        <v>0</v>
      </c>
      <c r="J7664" s="1" t="str">
        <f>IFERROR(__xludf.DUMMYFUNCTION("""COMPUTED_VALUE"""),"Jem Mondoñedo")</f>
        <v>Jem Mondoñedo</v>
      </c>
      <c r="K7664" s="1" t="str">
        <f>IFERROR(__xludf.DUMMYFUNCTION("""COMPUTED_VALUE"""),"Advanced Chat Support")</f>
        <v>Advanced Chat Support</v>
      </c>
      <c r="L7664" s="1" t="str">
        <f>IFERROR(__xludf.DUMMYFUNCTION("""COMPUTED_VALUE"""),"CPS Advanced Chat Support (ACS)")</f>
        <v>CPS Advanced Chat Support (ACS)</v>
      </c>
    </row>
    <row r="7665">
      <c r="A7665" s="1" t="str">
        <f>IFERROR(__xludf.DUMMYFUNCTION("""COMPUTED_VALUE"""),"2025 Dec")</f>
        <v>2025 Dec</v>
      </c>
      <c r="B7665" s="2">
        <f>IFERROR(__xludf.DUMMYFUNCTION("""COMPUTED_VALUE"""),46013.0)</f>
        <v>46013</v>
      </c>
      <c r="C7665" s="1" t="str">
        <f>IFERROR(__xludf.DUMMYFUNCTION("""COMPUTED_VALUE"""),"Core Product Support")</f>
        <v>Core Product Support</v>
      </c>
      <c r="D7665" s="1" t="str">
        <f>IFERROR(__xludf.DUMMYFUNCTION("""COMPUTED_VALUE"""),"f05426fa-d3ef-48ef-9506-1b0d003468b9")</f>
        <v>f05426fa-d3ef-48ef-9506-1b0d003468b9</v>
      </c>
      <c r="E7665" s="1">
        <f>IFERROR(__xludf.DUMMYFUNCTION("""COMPUTED_VALUE"""),8.409892191631E12)</f>
        <v>8409892191631</v>
      </c>
      <c r="F7665" s="1">
        <f>IFERROR(__xludf.DUMMYFUNCTION("""COMPUTED_VALUE"""),1.0)</f>
        <v>1</v>
      </c>
      <c r="G7665" s="1"/>
      <c r="H7665" s="3">
        <f>IFERROR(__xludf.DUMMYFUNCTION("""COMPUTED_VALUE"""),1.0)</f>
        <v>1</v>
      </c>
      <c r="I7665" s="4">
        <f>IFERROR(__xludf.DUMMYFUNCTION("""COMPUTED_VALUE"""),0.0)</f>
        <v>0</v>
      </c>
      <c r="J7665" s="1" t="str">
        <f>IFERROR(__xludf.DUMMYFUNCTION("""COMPUTED_VALUE"""),"Jahmie Mae Barrameda")</f>
        <v>Jahmie Mae Barrameda</v>
      </c>
      <c r="K7665" s="1" t="str">
        <f>IFERROR(__xludf.DUMMYFUNCTION("""COMPUTED_VALUE"""),"Advanced Billing &amp; Subscriptions")</f>
        <v>Advanced Billing &amp; Subscriptions</v>
      </c>
      <c r="L7665" s="1" t="str">
        <f>IFERROR(__xludf.DUMMYFUNCTION("""COMPUTED_VALUE"""),"CPS Advanced Billing and Subscriptions (ABS)")</f>
        <v>CPS Advanced Billing and Subscriptions (ABS)</v>
      </c>
    </row>
    <row r="7666">
      <c r="A7666" s="1" t="str">
        <f>IFERROR(__xludf.DUMMYFUNCTION("""COMPUTED_VALUE"""),"2025 Dec")</f>
        <v>2025 Dec</v>
      </c>
      <c r="B7666" s="2">
        <f>IFERROR(__xludf.DUMMYFUNCTION("""COMPUTED_VALUE"""),46013.0)</f>
        <v>46013</v>
      </c>
      <c r="C7666" s="1" t="str">
        <f>IFERROR(__xludf.DUMMYFUNCTION("""COMPUTED_VALUE"""),"Multilingual Support")</f>
        <v>Multilingual Support</v>
      </c>
      <c r="D7666" s="1" t="str">
        <f>IFERROR(__xludf.DUMMYFUNCTION("""COMPUTED_VALUE"""),"ddff770a-8bbb-4a78-9bec-f5c563c6b901")</f>
        <v>ddff770a-8bbb-4a78-9bec-f5c563c6b901</v>
      </c>
      <c r="E7666" s="1">
        <f>IFERROR(__xludf.DUMMYFUNCTION("""COMPUTED_VALUE"""),4.759846838031E12)</f>
        <v>4759846838031</v>
      </c>
      <c r="F7666" s="1"/>
      <c r="G7666" s="1"/>
      <c r="H7666" s="3">
        <f>IFERROR(__xludf.DUMMYFUNCTION("""COMPUTED_VALUE"""),0.0)</f>
        <v>0</v>
      </c>
      <c r="I7666" s="4"/>
      <c r="J7666" s="1" t="str">
        <f>IFERROR(__xludf.DUMMYFUNCTION("""COMPUTED_VALUE"""),"Arlene Maurillo")</f>
        <v>Arlene Maurillo</v>
      </c>
      <c r="K7666" s="1" t="str">
        <f>IFERROR(__xludf.DUMMYFUNCTION("""COMPUTED_VALUE"""),"PHL, Multilingual Support")</f>
        <v>PHL, Multilingual Support</v>
      </c>
      <c r="L7666" s="1" t="str">
        <f>IFERROR(__xludf.DUMMYFUNCTION("""COMPUTED_VALUE"""),"ML Portuguese Support")</f>
        <v>ML Portuguese Support</v>
      </c>
    </row>
    <row r="7667">
      <c r="A7667" s="1" t="str">
        <f>IFERROR(__xludf.DUMMYFUNCTION("""COMPUTED_VALUE"""),"2025 Dec")</f>
        <v>2025 Dec</v>
      </c>
      <c r="B7667" s="2">
        <f>IFERROR(__xludf.DUMMYFUNCTION("""COMPUTED_VALUE"""),46013.0)</f>
        <v>46013</v>
      </c>
      <c r="C7667" s="1" t="str">
        <f>IFERROR(__xludf.DUMMYFUNCTION("""COMPUTED_VALUE"""),"Core Product Support")</f>
        <v>Core Product Support</v>
      </c>
      <c r="D7667" s="1" t="str">
        <f>IFERROR(__xludf.DUMMYFUNCTION("""COMPUTED_VALUE"""),"50370a17-1382-4a9f-8e42-5d34af042f22")</f>
        <v>50370a17-1382-4a9f-8e42-5d34af042f22</v>
      </c>
      <c r="E7667" s="1">
        <f>IFERROR(__xludf.DUMMYFUNCTION("""COMPUTED_VALUE"""),1.1401981770511E13)</f>
        <v>11401981770511</v>
      </c>
      <c r="F7667" s="1">
        <f>IFERROR(__xludf.DUMMYFUNCTION("""COMPUTED_VALUE"""),0.5)</f>
        <v>0.5</v>
      </c>
      <c r="G7667" s="1"/>
      <c r="H7667" s="3">
        <f>IFERROR(__xludf.DUMMYFUNCTION("""COMPUTED_VALUE"""),0.5)</f>
        <v>0.5</v>
      </c>
      <c r="I7667" s="4">
        <f>IFERROR(__xludf.DUMMYFUNCTION("""COMPUTED_VALUE"""),0.0)</f>
        <v>0</v>
      </c>
      <c r="J7667" s="1" t="str">
        <f>IFERROR(__xludf.DUMMYFUNCTION("""COMPUTED_VALUE"""),"Mikhaela Decangchon")</f>
        <v>Mikhaela Decangchon</v>
      </c>
      <c r="K7667" s="1" t="str">
        <f>IFERROR(__xludf.DUMMYFUNCTION("""COMPUTED_VALUE"""),"Advanced Product Support")</f>
        <v>Advanced Product Support</v>
      </c>
      <c r="L7667" s="1" t="str">
        <f>IFERROR(__xludf.DUMMYFUNCTION("""COMPUTED_VALUE"""),"CPS Advanced Product Support (APS)")</f>
        <v>CPS Advanced Product Support (APS)</v>
      </c>
    </row>
    <row r="7668">
      <c r="A7668" s="1" t="str">
        <f>IFERROR(__xludf.DUMMYFUNCTION("""COMPUTED_VALUE"""),"2025 Dec")</f>
        <v>2025 Dec</v>
      </c>
      <c r="B7668" s="2">
        <f>IFERROR(__xludf.DUMMYFUNCTION("""COMPUTED_VALUE"""),46013.0)</f>
        <v>46013</v>
      </c>
      <c r="C7668" s="1" t="str">
        <f>IFERROR(__xludf.DUMMYFUNCTION("""COMPUTED_VALUE"""),"Core Product Support")</f>
        <v>Core Product Support</v>
      </c>
      <c r="D7668" s="1" t="str">
        <f>IFERROR(__xludf.DUMMYFUNCTION("""COMPUTED_VALUE"""),"6472d23f-e427-46f0-a9cb-1e9b17ddfd44")</f>
        <v>6472d23f-e427-46f0-a9cb-1e9b17ddfd44</v>
      </c>
      <c r="E7668" s="1">
        <f>IFERROR(__xludf.DUMMYFUNCTION("""COMPUTED_VALUE"""),1.0548627051023E13)</f>
        <v>10548627051023</v>
      </c>
      <c r="F7668" s="1">
        <f>IFERROR(__xludf.DUMMYFUNCTION("""COMPUTED_VALUE"""),0.5)</f>
        <v>0.5</v>
      </c>
      <c r="G7668" s="1"/>
      <c r="H7668" s="3">
        <f>IFERROR(__xludf.DUMMYFUNCTION("""COMPUTED_VALUE"""),0.5)</f>
        <v>0.5</v>
      </c>
      <c r="I7668" s="4">
        <f>IFERROR(__xludf.DUMMYFUNCTION("""COMPUTED_VALUE"""),0.0)</f>
        <v>0</v>
      </c>
      <c r="J7668" s="1" t="str">
        <f>IFERROR(__xludf.DUMMYFUNCTION("""COMPUTED_VALUE"""),"Belle Bentazal")</f>
        <v>Belle Bentazal</v>
      </c>
      <c r="K7668" s="1" t="str">
        <f>IFERROR(__xludf.DUMMYFUNCTION("""COMPUTED_VALUE"""),"Advanced Product Support")</f>
        <v>Advanced Product Support</v>
      </c>
      <c r="L7668" s="1" t="str">
        <f>IFERROR(__xludf.DUMMYFUNCTION("""COMPUTED_VALUE"""),"CPS Advanced Product Support (APS)")</f>
        <v>CPS Advanced Product Support (APS)</v>
      </c>
    </row>
    <row r="7669">
      <c r="A7669" s="1" t="str">
        <f>IFERROR(__xludf.DUMMYFUNCTION("""COMPUTED_VALUE"""),"2025 Dec")</f>
        <v>2025 Dec</v>
      </c>
      <c r="B7669" s="2">
        <f>IFERROR(__xludf.DUMMYFUNCTION("""COMPUTED_VALUE"""),46013.0)</f>
        <v>46013</v>
      </c>
      <c r="C7669" s="1" t="str">
        <f>IFERROR(__xludf.DUMMYFUNCTION("""COMPUTED_VALUE"""),"Core Product Support")</f>
        <v>Core Product Support</v>
      </c>
      <c r="D7669" s="1" t="str">
        <f>IFERROR(__xludf.DUMMYFUNCTION("""COMPUTED_VALUE"""),"03428ca1-a361-4015-9a9f-9609cb3ad0fe")</f>
        <v>03428ca1-a361-4015-9a9f-9609cb3ad0fe</v>
      </c>
      <c r="E7669" s="1">
        <f>IFERROR(__xludf.DUMMYFUNCTION("""COMPUTED_VALUE"""),5.047314651919E12)</f>
        <v>5047314651919</v>
      </c>
      <c r="F7669" s="1">
        <f>IFERROR(__xludf.DUMMYFUNCTION("""COMPUTED_VALUE"""),0.5)</f>
        <v>0.5</v>
      </c>
      <c r="G7669" s="1">
        <f>IFERROR(__xludf.DUMMYFUNCTION("""COMPUTED_VALUE"""),2.0)</f>
        <v>2</v>
      </c>
      <c r="H7669" s="3">
        <f>IFERROR(__xludf.DUMMYFUNCTION("""COMPUTED_VALUE"""),2.5)</f>
        <v>2.5</v>
      </c>
      <c r="I7669" s="4">
        <f>IFERROR(__xludf.DUMMYFUNCTION("""COMPUTED_VALUE"""),0.8)</f>
        <v>0.8</v>
      </c>
      <c r="J7669" s="1" t="str">
        <f>IFERROR(__xludf.DUMMYFUNCTION("""COMPUTED_VALUE"""),"Bem Launte")</f>
        <v>Bem Launte</v>
      </c>
      <c r="K7669" s="1" t="str">
        <f>IFERROR(__xludf.DUMMYFUNCTION("""COMPUTED_VALUE"""),"Core Product Support Escalation Team")</f>
        <v>Core Product Support Escalation Team</v>
      </c>
      <c r="L7669" s="1" t="str">
        <f>IFERROR(__xludf.DUMMYFUNCTION("""COMPUTED_VALUE"""),"CPS Core Product Support Escalations (CPSET)")</f>
        <v>CPS Core Product Support Escalations (CPSET)</v>
      </c>
    </row>
    <row r="7670">
      <c r="A7670" s="1" t="str">
        <f>IFERROR(__xludf.DUMMYFUNCTION("""COMPUTED_VALUE"""),"2025 Dec")</f>
        <v>2025 Dec</v>
      </c>
      <c r="B7670" s="2">
        <f>IFERROR(__xludf.DUMMYFUNCTION("""COMPUTED_VALUE"""),46013.0)</f>
        <v>46013</v>
      </c>
      <c r="C7670" s="1" t="str">
        <f>IFERROR(__xludf.DUMMYFUNCTION("""COMPUTED_VALUE"""),"Core Product Support")</f>
        <v>Core Product Support</v>
      </c>
      <c r="D7670" s="1" t="str">
        <f>IFERROR(__xludf.DUMMYFUNCTION("""COMPUTED_VALUE"""),"eb75942b-e616-42a5-bbc5-1d6cc92843bb")</f>
        <v>eb75942b-e616-42a5-bbc5-1d6cc92843bb</v>
      </c>
      <c r="E7670" s="1">
        <f>IFERROR(__xludf.DUMMYFUNCTION("""COMPUTED_VALUE"""),7.437355919375E12)</f>
        <v>7437355919375</v>
      </c>
      <c r="F7670" s="1">
        <f>IFERROR(__xludf.DUMMYFUNCTION("""COMPUTED_VALUE"""),0.5)</f>
        <v>0.5</v>
      </c>
      <c r="G7670" s="1"/>
      <c r="H7670" s="3">
        <f>IFERROR(__xludf.DUMMYFUNCTION("""COMPUTED_VALUE"""),0.5)</f>
        <v>0.5</v>
      </c>
      <c r="I7670" s="4">
        <f>IFERROR(__xludf.DUMMYFUNCTION("""COMPUTED_VALUE"""),0.0)</f>
        <v>0</v>
      </c>
      <c r="J7670" s="1" t="str">
        <f>IFERROR(__xludf.DUMMYFUNCTION("""COMPUTED_VALUE"""),"Ana Lazaro")</f>
        <v>Ana Lazaro</v>
      </c>
      <c r="K7670" s="1" t="str">
        <f>IFERROR(__xludf.DUMMYFUNCTION("""COMPUTED_VALUE"""),"Advanced Billing &amp; Subscriptions")</f>
        <v>Advanced Billing &amp; Subscriptions</v>
      </c>
      <c r="L7670" s="1" t="str">
        <f>IFERROR(__xludf.DUMMYFUNCTION("""COMPUTED_VALUE"""),"CPS Advanced Billing and Subscriptions (ABS)")</f>
        <v>CPS Advanced Billing and Subscriptions (ABS)</v>
      </c>
    </row>
    <row r="7671">
      <c r="A7671" s="1" t="str">
        <f>IFERROR(__xludf.DUMMYFUNCTION("""COMPUTED_VALUE"""),"2025 Dec")</f>
        <v>2025 Dec</v>
      </c>
      <c r="B7671" s="2">
        <f>IFERROR(__xludf.DUMMYFUNCTION("""COMPUTED_VALUE"""),46013.0)</f>
        <v>46013</v>
      </c>
      <c r="C7671" s="1" t="str">
        <f>IFERROR(__xludf.DUMMYFUNCTION("""COMPUTED_VALUE"""),"Admin Support")</f>
        <v>Admin Support</v>
      </c>
      <c r="D7671" s="1" t="str">
        <f>IFERROR(__xludf.DUMMYFUNCTION("""COMPUTED_VALUE"""),"3f58d026-d7af-4464-8ba2-17fb4976b8ac")</f>
        <v>3f58d026-d7af-4464-8ba2-17fb4976b8ac</v>
      </c>
      <c r="E7671" s="1">
        <f>IFERROR(__xludf.DUMMYFUNCTION("""COMPUTED_VALUE"""),3.61724668516E11)</f>
        <v>361724668516</v>
      </c>
      <c r="F7671" s="1"/>
      <c r="G7671" s="1"/>
      <c r="H7671" s="3">
        <f>IFERROR(__xludf.DUMMYFUNCTION("""COMPUTED_VALUE"""),0.0)</f>
        <v>0</v>
      </c>
      <c r="I7671" s="4"/>
      <c r="J7671" s="1" t="str">
        <f>IFERROR(__xludf.DUMMYFUNCTION("""COMPUTED_VALUE"""),"Karla Mananghaya")</f>
        <v>Karla Mananghaya</v>
      </c>
      <c r="K7671" s="1" t="str">
        <f>IFERROR(__xludf.DUMMYFUNCTION("""COMPUTED_VALUE"""),"Admin Support PH SSO")</f>
        <v>Admin Support PH SSO</v>
      </c>
      <c r="L7671" s="1" t="str">
        <f>IFERROR(__xludf.DUMMYFUNCTION("""COMPUTED_VALUE"""),"Admin SSO - CHT")</f>
        <v>Admin SSO - CHT</v>
      </c>
    </row>
    <row r="7672">
      <c r="A7672" s="1" t="str">
        <f>IFERROR(__xludf.DUMMYFUNCTION("""COMPUTED_VALUE"""),"2025 Dec")</f>
        <v>2025 Dec</v>
      </c>
      <c r="B7672" s="2">
        <f>IFERROR(__xludf.DUMMYFUNCTION("""COMPUTED_VALUE"""),46013.0)</f>
        <v>46013</v>
      </c>
      <c r="C7672" s="1" t="str">
        <f>IFERROR(__xludf.DUMMYFUNCTION("""COMPUTED_VALUE"""),"Admin Support")</f>
        <v>Admin Support</v>
      </c>
      <c r="D7672" s="1" t="str">
        <f>IFERROR(__xludf.DUMMYFUNCTION("""COMPUTED_VALUE"""),"021b74ea-5511-4b56-9f2a-6ea9d6443caa")</f>
        <v>021b74ea-5511-4b56-9f2a-6ea9d6443caa</v>
      </c>
      <c r="E7672" s="1">
        <f>IFERROR(__xludf.DUMMYFUNCTION("""COMPUTED_VALUE"""),3.61725374416E11)</f>
        <v>361725374416</v>
      </c>
      <c r="F7672" s="1"/>
      <c r="G7672" s="1"/>
      <c r="H7672" s="3">
        <f>IFERROR(__xludf.DUMMYFUNCTION("""COMPUTED_VALUE"""),0.0)</f>
        <v>0</v>
      </c>
      <c r="I7672" s="4"/>
      <c r="J7672" s="1" t="str">
        <f>IFERROR(__xludf.DUMMYFUNCTION("""COMPUTED_VALUE"""),"Rose Gabilan")</f>
        <v>Rose Gabilan</v>
      </c>
      <c r="K7672" s="1" t="str">
        <f>IFERROR(__xludf.DUMMYFUNCTION("""COMPUTED_VALUE"""),"Admin Support PH SSO")</f>
        <v>Admin Support PH SSO</v>
      </c>
      <c r="L7672" s="1" t="str">
        <f>IFERROR(__xludf.DUMMYFUNCTION("""COMPUTED_VALUE"""),"Admin SSO - CHT")</f>
        <v>Admin SSO - CHT</v>
      </c>
    </row>
    <row r="7673">
      <c r="A7673" s="1" t="str">
        <f>IFERROR(__xludf.DUMMYFUNCTION("""COMPUTED_VALUE"""),"2025 Dec")</f>
        <v>2025 Dec</v>
      </c>
      <c r="B7673" s="2">
        <f>IFERROR(__xludf.DUMMYFUNCTION("""COMPUTED_VALUE"""),46013.0)</f>
        <v>46013</v>
      </c>
      <c r="C7673" s="1" t="str">
        <f>IFERROR(__xludf.DUMMYFUNCTION("""COMPUTED_VALUE"""),"Admin Support")</f>
        <v>Admin Support</v>
      </c>
      <c r="D7673" s="1" t="str">
        <f>IFERROR(__xludf.DUMMYFUNCTION("""COMPUTED_VALUE"""),"328935f7-c639-4b8f-8512-a9641b2cf808")</f>
        <v>328935f7-c639-4b8f-8512-a9641b2cf808</v>
      </c>
      <c r="E7673" s="1">
        <f>IFERROR(__xludf.DUMMYFUNCTION("""COMPUTED_VALUE"""),3.61731648215E11)</f>
        <v>361731648215</v>
      </c>
      <c r="F7673" s="1"/>
      <c r="G7673" s="1">
        <f>IFERROR(__xludf.DUMMYFUNCTION("""COMPUTED_VALUE"""),5.0)</f>
        <v>5</v>
      </c>
      <c r="H7673" s="3">
        <f>IFERROR(__xludf.DUMMYFUNCTION("""COMPUTED_VALUE"""),5.0)</f>
        <v>5</v>
      </c>
      <c r="I7673" s="4">
        <f>IFERROR(__xludf.DUMMYFUNCTION("""COMPUTED_VALUE"""),1.0)</f>
        <v>1</v>
      </c>
      <c r="J7673" s="1" t="str">
        <f>IFERROR(__xludf.DUMMYFUNCTION("""COMPUTED_VALUE"""),"Rose Gabilan")</f>
        <v>Rose Gabilan</v>
      </c>
      <c r="K7673" s="1" t="str">
        <f>IFERROR(__xludf.DUMMYFUNCTION("""COMPUTED_VALUE"""),"Admin Support PH SSO")</f>
        <v>Admin Support PH SSO</v>
      </c>
      <c r="L7673" s="1" t="str">
        <f>IFERROR(__xludf.DUMMYFUNCTION("""COMPUTED_VALUE"""),"Admin SSO - CHT")</f>
        <v>Admin SSO - CHT</v>
      </c>
    </row>
    <row r="7674">
      <c r="A7674" s="1" t="str">
        <f>IFERROR(__xludf.DUMMYFUNCTION("""COMPUTED_VALUE"""),"2025 Dec")</f>
        <v>2025 Dec</v>
      </c>
      <c r="B7674" s="2">
        <f>IFERROR(__xludf.DUMMYFUNCTION("""COMPUTED_VALUE"""),46013.0)</f>
        <v>46013</v>
      </c>
      <c r="C7674" s="1" t="str">
        <f>IFERROR(__xludf.DUMMYFUNCTION("""COMPUTED_VALUE"""),"Core Product Support")</f>
        <v>Core Product Support</v>
      </c>
      <c r="D7674" s="1" t="str">
        <f>IFERROR(__xludf.DUMMYFUNCTION("""COMPUTED_VALUE"""),"157b66db-b9f4-4a3d-a00a-5cf3eefe9b58")</f>
        <v>157b66db-b9f4-4a3d-a00a-5cf3eefe9b58</v>
      </c>
      <c r="E7674" s="1">
        <f>IFERROR(__xludf.DUMMYFUNCTION("""COMPUTED_VALUE"""),3.61731791835E11)</f>
        <v>361731791835</v>
      </c>
      <c r="F7674" s="1">
        <f>IFERROR(__xludf.DUMMYFUNCTION("""COMPUTED_VALUE"""),0.5)</f>
        <v>0.5</v>
      </c>
      <c r="G7674" s="1"/>
      <c r="H7674" s="3">
        <f>IFERROR(__xludf.DUMMYFUNCTION("""COMPUTED_VALUE"""),0.5)</f>
        <v>0.5</v>
      </c>
      <c r="I7674" s="4">
        <f>IFERROR(__xludf.DUMMYFUNCTION("""COMPUTED_VALUE"""),0.0)</f>
        <v>0</v>
      </c>
      <c r="J7674" s="1" t="str">
        <f>IFERROR(__xludf.DUMMYFUNCTION("""COMPUTED_VALUE"""),"Renette Bok")</f>
        <v>Renette Bok</v>
      </c>
      <c r="K7674" s="1" t="str">
        <f>IFERROR(__xludf.DUMMYFUNCTION("""COMPUTED_VALUE"""),"Advanced Billing &amp; Subscriptions")</f>
        <v>Advanced Billing &amp; Subscriptions</v>
      </c>
      <c r="L7674" s="1" t="str">
        <f>IFERROR(__xludf.DUMMYFUNCTION("""COMPUTED_VALUE"""),"CPS Advanced Billing and Subscriptions (ABS)")</f>
        <v>CPS Advanced Billing and Subscriptions (ABS)</v>
      </c>
    </row>
    <row r="7675">
      <c r="A7675" s="1" t="str">
        <f>IFERROR(__xludf.DUMMYFUNCTION("""COMPUTED_VALUE"""),"2025 Dec")</f>
        <v>2025 Dec</v>
      </c>
      <c r="B7675" s="2">
        <f>IFERROR(__xludf.DUMMYFUNCTION("""COMPUTED_VALUE"""),46013.0)</f>
        <v>46013</v>
      </c>
      <c r="C7675" s="1" t="str">
        <f>IFERROR(__xludf.DUMMYFUNCTION("""COMPUTED_VALUE"""),"Core Product Support")</f>
        <v>Core Product Support</v>
      </c>
      <c r="D7675" s="1" t="str">
        <f>IFERROR(__xludf.DUMMYFUNCTION("""COMPUTED_VALUE"""),"9f2b3750-482b-4498-a201-4e32c8fad021")</f>
        <v>9f2b3750-482b-4498-a201-4e32c8fad021</v>
      </c>
      <c r="E7675" s="1">
        <f>IFERROR(__xludf.DUMMYFUNCTION("""COMPUTED_VALUE"""),3.61861298275E11)</f>
        <v>361861298275</v>
      </c>
      <c r="F7675" s="1">
        <f>IFERROR(__xludf.DUMMYFUNCTION("""COMPUTED_VALUE"""),0.5)</f>
        <v>0.5</v>
      </c>
      <c r="G7675" s="1">
        <f>IFERROR(__xludf.DUMMYFUNCTION("""COMPUTED_VALUE"""),2.5)</f>
        <v>2.5</v>
      </c>
      <c r="H7675" s="3">
        <f>IFERROR(__xludf.DUMMYFUNCTION("""COMPUTED_VALUE"""),3.0)</f>
        <v>3</v>
      </c>
      <c r="I7675" s="4">
        <f>IFERROR(__xludf.DUMMYFUNCTION("""COMPUTED_VALUE"""),0.8333333333333334)</f>
        <v>0.8333333333</v>
      </c>
      <c r="J7675" s="1" t="str">
        <f>IFERROR(__xludf.DUMMYFUNCTION("""COMPUTED_VALUE"""),"Bem Launte")</f>
        <v>Bem Launte</v>
      </c>
      <c r="K7675" s="1" t="str">
        <f>IFERROR(__xludf.DUMMYFUNCTION("""COMPUTED_VALUE"""),"Core Product Support Escalation Team")</f>
        <v>Core Product Support Escalation Team</v>
      </c>
      <c r="L7675" s="1" t="str">
        <f>IFERROR(__xludf.DUMMYFUNCTION("""COMPUTED_VALUE"""),"CPS Core Product Support Escalations (CPSET)")</f>
        <v>CPS Core Product Support Escalations (CPSET)</v>
      </c>
    </row>
    <row r="7676">
      <c r="A7676" s="1" t="str">
        <f>IFERROR(__xludf.DUMMYFUNCTION("""COMPUTED_VALUE"""),"2025 Dec")</f>
        <v>2025 Dec</v>
      </c>
      <c r="B7676" s="2">
        <f>IFERROR(__xludf.DUMMYFUNCTION("""COMPUTED_VALUE"""),46013.0)</f>
        <v>46013</v>
      </c>
      <c r="C7676" s="1" t="str">
        <f>IFERROR(__xludf.DUMMYFUNCTION("""COMPUTED_VALUE"""),"High Sensitivity Support")</f>
        <v>High Sensitivity Support</v>
      </c>
      <c r="D7676" s="1" t="str">
        <f>IFERROR(__xludf.DUMMYFUNCTION("""COMPUTED_VALUE"""),"572f7cc4-e4a6-4132-92cf-6f6ba75ee4d7")</f>
        <v>572f7cc4-e4a6-4132-92cf-6f6ba75ee4d7</v>
      </c>
      <c r="E7676" s="1">
        <f>IFERROR(__xludf.DUMMYFUNCTION("""COMPUTED_VALUE"""),5.202419220111E12)</f>
        <v>5202419220111</v>
      </c>
      <c r="F7676" s="1"/>
      <c r="G7676" s="1"/>
      <c r="H7676" s="3">
        <f>IFERROR(__xludf.DUMMYFUNCTION("""COMPUTED_VALUE"""),0.0)</f>
        <v>0</v>
      </c>
      <c r="I7676" s="4"/>
      <c r="J7676" s="1" t="str">
        <f>IFERROR(__xludf.DUMMYFUNCTION("""COMPUTED_VALUE"""),"Issi Afable")</f>
        <v>Issi Afable</v>
      </c>
      <c r="K7676" s="1" t="str">
        <f>IFERROR(__xludf.DUMMYFUNCTION("""COMPUTED_VALUE"""),"High Sensitivity Support PH")</f>
        <v>High Sensitivity Support PH</v>
      </c>
      <c r="L7676" s="1" t="str">
        <f>IFERROR(__xludf.DUMMYFUNCTION("""COMPUTED_VALUE"""),"HSS High Sensitivity Support PH - SEE")</f>
        <v>HSS High Sensitivity Support PH - SEE</v>
      </c>
    </row>
    <row r="7677">
      <c r="A7677" s="1" t="str">
        <f>IFERROR(__xludf.DUMMYFUNCTION("""COMPUTED_VALUE"""),"2025 Dec")</f>
        <v>2025 Dec</v>
      </c>
      <c r="B7677" s="2">
        <f>IFERROR(__xludf.DUMMYFUNCTION("""COMPUTED_VALUE"""),46013.0)</f>
        <v>46013</v>
      </c>
      <c r="C7677" s="1" t="str">
        <f>IFERROR(__xludf.DUMMYFUNCTION("""COMPUTED_VALUE"""),"Segment-specific Support")</f>
        <v>Segment-specific Support</v>
      </c>
      <c r="D7677" s="1" t="str">
        <f>IFERROR(__xludf.DUMMYFUNCTION("""COMPUTED_VALUE"""),"78d3efd2-2d00-4986-b5cc-7ca6a1d3542d")</f>
        <v>78d3efd2-2d00-4986-b5cc-7ca6a1d3542d</v>
      </c>
      <c r="E7677" s="1">
        <f>IFERROR(__xludf.DUMMYFUNCTION("""COMPUTED_VALUE"""),5.566867981071E12)</f>
        <v>5566867981071</v>
      </c>
      <c r="F7677" s="1"/>
      <c r="G7677" s="1"/>
      <c r="H7677" s="3">
        <f>IFERROR(__xludf.DUMMYFUNCTION("""COMPUTED_VALUE"""),0.0)</f>
        <v>0</v>
      </c>
      <c r="I7677" s="4"/>
      <c r="J7677" s="1" t="str">
        <f>IFERROR(__xludf.DUMMYFUNCTION("""COMPUTED_VALUE"""),"Tash Kelly")</f>
        <v>Tash Kelly</v>
      </c>
      <c r="K7677" s="1" t="str">
        <f>IFERROR(__xludf.DUMMYFUNCTION("""COMPUTED_VALUE"""),"Affinity Support")</f>
        <v>Affinity Support</v>
      </c>
      <c r="L7677" s="1" t="str">
        <f>IFERROR(__xludf.DUMMYFUNCTION("""COMPUTED_VALUE"""),"SSS Affinity")</f>
        <v>SSS Affinity</v>
      </c>
    </row>
    <row r="7678">
      <c r="A7678" s="1" t="str">
        <f>IFERROR(__xludf.DUMMYFUNCTION("""COMPUTED_VALUE"""),"2025 Dec")</f>
        <v>2025 Dec</v>
      </c>
      <c r="B7678" s="2">
        <f>IFERROR(__xludf.DUMMYFUNCTION("""COMPUTED_VALUE"""),46013.0)</f>
        <v>46013</v>
      </c>
      <c r="C7678" s="1" t="str">
        <f>IFERROR(__xludf.DUMMYFUNCTION("""COMPUTED_VALUE"""),"Print Support")</f>
        <v>Print Support</v>
      </c>
      <c r="D7678" s="1" t="str">
        <f>IFERROR(__xludf.DUMMYFUNCTION("""COMPUTED_VALUE"""),"03738c45-2c9f-44bf-bb4b-58a2fe9fdf5d")</f>
        <v>03738c45-2c9f-44bf-bb4b-58a2fe9fdf5d</v>
      </c>
      <c r="E7678" s="1"/>
      <c r="F7678" s="1"/>
      <c r="G7678" s="1"/>
      <c r="H7678" s="3">
        <f>IFERROR(__xludf.DUMMYFUNCTION("""COMPUTED_VALUE"""),0.0)</f>
        <v>0</v>
      </c>
      <c r="I7678" s="4"/>
      <c r="J7678" s="1" t="str">
        <f>IFERROR(__xludf.DUMMYFUNCTION("""COMPUTED_VALUE"""),"Aliza Dote")</f>
        <v>Aliza Dote</v>
      </c>
      <c r="K7678" s="1" t="str">
        <f>IFERROR(__xludf.DUMMYFUNCTION("""COMPUTED_VALUE"""),"Print Design Support")</f>
        <v>Print Design Support</v>
      </c>
      <c r="L7678" s="1" t="str">
        <f>IFERROR(__xludf.DUMMYFUNCTION("""COMPUTED_VALUE"""),"Print Print Design")</f>
        <v>Print Print Design</v>
      </c>
    </row>
    <row r="7679">
      <c r="A7679" s="1" t="str">
        <f>IFERROR(__xludf.DUMMYFUNCTION("""COMPUTED_VALUE"""),"2025 Dec")</f>
        <v>2025 Dec</v>
      </c>
      <c r="B7679" s="2">
        <f>IFERROR(__xludf.DUMMYFUNCTION("""COMPUTED_VALUE"""),46013.0)</f>
        <v>46013</v>
      </c>
      <c r="C7679" s="1" t="str">
        <f>IFERROR(__xludf.DUMMYFUNCTION("""COMPUTED_VALUE"""),"Core Product Support")</f>
        <v>Core Product Support</v>
      </c>
      <c r="D7679" s="1" t="str">
        <f>IFERROR(__xludf.DUMMYFUNCTION("""COMPUTED_VALUE"""),"9c934de8-6199-4bb2-bcc9-bd8b70ec7a9c")</f>
        <v>9c934de8-6199-4bb2-bcc9-bd8b70ec7a9c</v>
      </c>
      <c r="E7679" s="1">
        <f>IFERROR(__xludf.DUMMYFUNCTION("""COMPUTED_VALUE"""),9.795939875087E12)</f>
        <v>9795939875087</v>
      </c>
      <c r="F7679" s="1">
        <f>IFERROR(__xludf.DUMMYFUNCTION("""COMPUTED_VALUE"""),0.5)</f>
        <v>0.5</v>
      </c>
      <c r="G7679" s="1"/>
      <c r="H7679" s="3">
        <f>IFERROR(__xludf.DUMMYFUNCTION("""COMPUTED_VALUE"""),0.5)</f>
        <v>0.5</v>
      </c>
      <c r="I7679" s="4">
        <f>IFERROR(__xludf.DUMMYFUNCTION("""COMPUTED_VALUE"""),0.0)</f>
        <v>0</v>
      </c>
      <c r="J7679" s="1" t="str">
        <f>IFERROR(__xludf.DUMMYFUNCTION("""COMPUTED_VALUE"""),"Cate Velasco")</f>
        <v>Cate Velasco</v>
      </c>
      <c r="K7679" s="1" t="str">
        <f>IFERROR(__xludf.DUMMYFUNCTION("""COMPUTED_VALUE"""),"Advanced Product Support")</f>
        <v>Advanced Product Support</v>
      </c>
      <c r="L7679" s="1" t="str">
        <f>IFERROR(__xludf.DUMMYFUNCTION("""COMPUTED_VALUE"""),"CPS Advanced Product Support (APS)")</f>
        <v>CPS Advanced Product Support (APS)</v>
      </c>
    </row>
    <row r="7680">
      <c r="A7680" s="1" t="str">
        <f>IFERROR(__xludf.DUMMYFUNCTION("""COMPUTED_VALUE"""),"2025 Dec")</f>
        <v>2025 Dec</v>
      </c>
      <c r="B7680" s="2">
        <f>IFERROR(__xludf.DUMMYFUNCTION("""COMPUTED_VALUE"""),46013.0)</f>
        <v>46013</v>
      </c>
      <c r="C7680" s="1" t="str">
        <f>IFERROR(__xludf.DUMMYFUNCTION("""COMPUTED_VALUE"""),"Core Product Support")</f>
        <v>Core Product Support</v>
      </c>
      <c r="D7680" s="1" t="str">
        <f>IFERROR(__xludf.DUMMYFUNCTION("""COMPUTED_VALUE"""),"0f8d8927-aad1-40c2-82ac-95b7b823eec0")</f>
        <v>0f8d8927-aad1-40c2-82ac-95b7b823eec0</v>
      </c>
      <c r="E7680" s="1">
        <f>IFERROR(__xludf.DUMMYFUNCTION("""COMPUTED_VALUE"""),5.202441056015E12)</f>
        <v>5202441056015</v>
      </c>
      <c r="F7680" s="1">
        <f>IFERROR(__xludf.DUMMYFUNCTION("""COMPUTED_VALUE"""),0.5)</f>
        <v>0.5</v>
      </c>
      <c r="G7680" s="1"/>
      <c r="H7680" s="3">
        <f>IFERROR(__xludf.DUMMYFUNCTION("""COMPUTED_VALUE"""),0.5)</f>
        <v>0.5</v>
      </c>
      <c r="I7680" s="4">
        <f>IFERROR(__xludf.DUMMYFUNCTION("""COMPUTED_VALUE"""),0.0)</f>
        <v>0</v>
      </c>
      <c r="J7680" s="1" t="str">
        <f>IFERROR(__xludf.DUMMYFUNCTION("""COMPUTED_VALUE"""),"Renette Bok")</f>
        <v>Renette Bok</v>
      </c>
      <c r="K7680" s="1" t="str">
        <f>IFERROR(__xludf.DUMMYFUNCTION("""COMPUTED_VALUE"""),"Advanced Billing &amp; Subscriptions")</f>
        <v>Advanced Billing &amp; Subscriptions</v>
      </c>
      <c r="L7680" s="1" t="str">
        <f>IFERROR(__xludf.DUMMYFUNCTION("""COMPUTED_VALUE"""),"CPS Advanced Billing and Subscriptions (ABS)")</f>
        <v>CPS Advanced Billing and Subscriptions (ABS)</v>
      </c>
    </row>
    <row r="7681">
      <c r="A7681" s="1" t="str">
        <f>IFERROR(__xludf.DUMMYFUNCTION("""COMPUTED_VALUE"""),"2025 Dec")</f>
        <v>2025 Dec</v>
      </c>
      <c r="B7681" s="2">
        <f>IFERROR(__xludf.DUMMYFUNCTION("""COMPUTED_VALUE"""),46013.0)</f>
        <v>46013</v>
      </c>
      <c r="C7681" s="1" t="str">
        <f>IFERROR(__xludf.DUMMYFUNCTION("""COMPUTED_VALUE"""),"Core Product Support")</f>
        <v>Core Product Support</v>
      </c>
      <c r="D7681" s="1" t="str">
        <f>IFERROR(__xludf.DUMMYFUNCTION("""COMPUTED_VALUE"""),"e33e46e4-d59d-4c5b-9834-288e99d79b63")</f>
        <v>e33e46e4-d59d-4c5b-9834-288e99d79b63</v>
      </c>
      <c r="E7681" s="1">
        <f>IFERROR(__xludf.DUMMYFUNCTION("""COMPUTED_VALUE"""),1.0333049582991E13)</f>
        <v>10333049582991</v>
      </c>
      <c r="F7681" s="1">
        <f>IFERROR(__xludf.DUMMYFUNCTION("""COMPUTED_VALUE"""),0.5)</f>
        <v>0.5</v>
      </c>
      <c r="G7681" s="1"/>
      <c r="H7681" s="3">
        <f>IFERROR(__xludf.DUMMYFUNCTION("""COMPUTED_VALUE"""),0.5)</f>
        <v>0.5</v>
      </c>
      <c r="I7681" s="4">
        <f>IFERROR(__xludf.DUMMYFUNCTION("""COMPUTED_VALUE"""),0.0)</f>
        <v>0</v>
      </c>
      <c r="J7681" s="1" t="str">
        <f>IFERROR(__xludf.DUMMYFUNCTION("""COMPUTED_VALUE"""),"Cate Velasco")</f>
        <v>Cate Velasco</v>
      </c>
      <c r="K7681" s="1" t="str">
        <f>IFERROR(__xludf.DUMMYFUNCTION("""COMPUTED_VALUE"""),"Advanced Product Support")</f>
        <v>Advanced Product Support</v>
      </c>
      <c r="L7681" s="1" t="str">
        <f>IFERROR(__xludf.DUMMYFUNCTION("""COMPUTED_VALUE"""),"CPS Advanced Product Support (APS)")</f>
        <v>CPS Advanced Product Support (APS)</v>
      </c>
    </row>
    <row r="7682">
      <c r="A7682" s="1" t="str">
        <f>IFERROR(__xludf.DUMMYFUNCTION("""COMPUTED_VALUE"""),"2025 Dec")</f>
        <v>2025 Dec</v>
      </c>
      <c r="B7682" s="2">
        <f>IFERROR(__xludf.DUMMYFUNCTION("""COMPUTED_VALUE"""),46013.0)</f>
        <v>46013</v>
      </c>
      <c r="C7682" s="1" t="str">
        <f>IFERROR(__xludf.DUMMYFUNCTION("""COMPUTED_VALUE"""),"Core Product Support")</f>
        <v>Core Product Support</v>
      </c>
      <c r="D7682" s="1" t="str">
        <f>IFERROR(__xludf.DUMMYFUNCTION("""COMPUTED_VALUE"""),"748f7375-5497-4286-b6df-38229b609d09")</f>
        <v>748f7375-5497-4286-b6df-38229b609d09</v>
      </c>
      <c r="E7682" s="1"/>
      <c r="F7682" s="1">
        <f>IFERROR(__xludf.DUMMYFUNCTION("""COMPUTED_VALUE"""),0.5)</f>
        <v>0.5</v>
      </c>
      <c r="G7682" s="1"/>
      <c r="H7682" s="3">
        <f>IFERROR(__xludf.DUMMYFUNCTION("""COMPUTED_VALUE"""),0.5)</f>
        <v>0.5</v>
      </c>
      <c r="I7682" s="4">
        <f>IFERROR(__xludf.DUMMYFUNCTION("""COMPUTED_VALUE"""),0.0)</f>
        <v>0</v>
      </c>
      <c r="J7682" s="1" t="str">
        <f>IFERROR(__xludf.DUMMYFUNCTION("""COMPUTED_VALUE"""),"Mikhaela Decangchon")</f>
        <v>Mikhaela Decangchon</v>
      </c>
      <c r="K7682" s="1" t="str">
        <f>IFERROR(__xludf.DUMMYFUNCTION("""COMPUTED_VALUE"""),"Advanced Product Support")</f>
        <v>Advanced Product Support</v>
      </c>
      <c r="L7682" s="1" t="str">
        <f>IFERROR(__xludf.DUMMYFUNCTION("""COMPUTED_VALUE"""),"CPS Advanced Product Support (APS)")</f>
        <v>CPS Advanced Product Support (APS)</v>
      </c>
    </row>
    <row r="7683">
      <c r="A7683" s="1" t="str">
        <f>IFERROR(__xludf.DUMMYFUNCTION("""COMPUTED_VALUE"""),"2025 Dec")</f>
        <v>2025 Dec</v>
      </c>
      <c r="B7683" s="2">
        <f>IFERROR(__xludf.DUMMYFUNCTION("""COMPUTED_VALUE"""),46013.0)</f>
        <v>46013</v>
      </c>
      <c r="C7683" s="1" t="str">
        <f>IFERROR(__xludf.DUMMYFUNCTION("""COMPUTED_VALUE"""),"Admin Support")</f>
        <v>Admin Support</v>
      </c>
      <c r="D7683" s="1" t="str">
        <f>IFERROR(__xludf.DUMMYFUNCTION("""COMPUTED_VALUE"""),"8d05170b-44c2-4973-963a-14bb293f18ab")</f>
        <v>8d05170b-44c2-4973-963a-14bb293f18ab</v>
      </c>
      <c r="E7683" s="1">
        <f>IFERROR(__xludf.DUMMYFUNCTION("""COMPUTED_VALUE"""),3.61731348415E11)</f>
        <v>361731348415</v>
      </c>
      <c r="F7683" s="1"/>
      <c r="G7683" s="1"/>
      <c r="H7683" s="3">
        <f>IFERROR(__xludf.DUMMYFUNCTION("""COMPUTED_VALUE"""),0.0)</f>
        <v>0</v>
      </c>
      <c r="I7683" s="4"/>
      <c r="J7683" s="1" t="str">
        <f>IFERROR(__xludf.DUMMYFUNCTION("""COMPUTED_VALUE"""),"Kelden Laguting")</f>
        <v>Kelden Laguting</v>
      </c>
      <c r="K7683" s="1" t="str">
        <f>IFERROR(__xludf.DUMMYFUNCTION("""COMPUTED_VALUE"""),"Admin Support PH")</f>
        <v>Admin Support PH</v>
      </c>
      <c r="L7683" s="1" t="str">
        <f>IFERROR(__xludf.DUMMYFUNCTION("""COMPUTED_VALUE"""),"Admin PH")</f>
        <v>Admin PH</v>
      </c>
    </row>
    <row r="7684">
      <c r="A7684" s="1" t="str">
        <f>IFERROR(__xludf.DUMMYFUNCTION("""COMPUTED_VALUE"""),"2025 Dec")</f>
        <v>2025 Dec</v>
      </c>
      <c r="B7684" s="2">
        <f>IFERROR(__xludf.DUMMYFUNCTION("""COMPUTED_VALUE"""),46013.0)</f>
        <v>46013</v>
      </c>
      <c r="C7684" s="1" t="str">
        <f>IFERROR(__xludf.DUMMYFUNCTION("""COMPUTED_VALUE"""),"Admin Support")</f>
        <v>Admin Support</v>
      </c>
      <c r="D7684" s="1" t="str">
        <f>IFERROR(__xludf.DUMMYFUNCTION("""COMPUTED_VALUE"""),"c51116f5-04d9-48df-a12a-dbf63eaf9c18")</f>
        <v>c51116f5-04d9-48df-a12a-dbf63eaf9c18</v>
      </c>
      <c r="E7684" s="1">
        <f>IFERROR(__xludf.DUMMYFUNCTION("""COMPUTED_VALUE"""),3.61731647035E11)</f>
        <v>361731647035</v>
      </c>
      <c r="F7684" s="1"/>
      <c r="G7684" s="1">
        <f>IFERROR(__xludf.DUMMYFUNCTION("""COMPUTED_VALUE"""),0.75)</f>
        <v>0.75</v>
      </c>
      <c r="H7684" s="3">
        <f>IFERROR(__xludf.DUMMYFUNCTION("""COMPUTED_VALUE"""),0.75)</f>
        <v>0.75</v>
      </c>
      <c r="I7684" s="4">
        <f>IFERROR(__xludf.DUMMYFUNCTION("""COMPUTED_VALUE"""),1.0)</f>
        <v>1</v>
      </c>
      <c r="J7684" s="1" t="str">
        <f>IFERROR(__xludf.DUMMYFUNCTION("""COMPUTED_VALUE"""),"Rose Gabilan")</f>
        <v>Rose Gabilan</v>
      </c>
      <c r="K7684" s="1" t="str">
        <f>IFERROR(__xludf.DUMMYFUNCTION("""COMPUTED_VALUE"""),"Admin Support PH SSO")</f>
        <v>Admin Support PH SSO</v>
      </c>
      <c r="L7684" s="1" t="str">
        <f>IFERROR(__xludf.DUMMYFUNCTION("""COMPUTED_VALUE"""),"Admin SSO - CHT")</f>
        <v>Admin SSO - CHT</v>
      </c>
    </row>
    <row r="7685">
      <c r="A7685" s="1" t="str">
        <f>IFERROR(__xludf.DUMMYFUNCTION("""COMPUTED_VALUE"""),"2025 Dec")</f>
        <v>2025 Dec</v>
      </c>
      <c r="B7685" s="2">
        <f>IFERROR(__xludf.DUMMYFUNCTION("""COMPUTED_VALUE"""),46013.0)</f>
        <v>46013</v>
      </c>
      <c r="C7685" s="1" t="str">
        <f>IFERROR(__xludf.DUMMYFUNCTION("""COMPUTED_VALUE"""),"Core Product Support")</f>
        <v>Core Product Support</v>
      </c>
      <c r="D7685" s="1" t="str">
        <f>IFERROR(__xludf.DUMMYFUNCTION("""COMPUTED_VALUE"""),"ee26274a-f5bb-4f8f-aa29-94921d6e67a9")</f>
        <v>ee26274a-f5bb-4f8f-aa29-94921d6e67a9</v>
      </c>
      <c r="E7685" s="1">
        <f>IFERROR(__xludf.DUMMYFUNCTION("""COMPUTED_VALUE"""),9.107717956879E12)</f>
        <v>9107717956879</v>
      </c>
      <c r="F7685" s="1">
        <f>IFERROR(__xludf.DUMMYFUNCTION("""COMPUTED_VALUE"""),0.5)</f>
        <v>0.5</v>
      </c>
      <c r="G7685" s="1"/>
      <c r="H7685" s="3">
        <f>IFERROR(__xludf.DUMMYFUNCTION("""COMPUTED_VALUE"""),0.5)</f>
        <v>0.5</v>
      </c>
      <c r="I7685" s="4">
        <f>IFERROR(__xludf.DUMMYFUNCTION("""COMPUTED_VALUE"""),0.0)</f>
        <v>0</v>
      </c>
      <c r="J7685" s="1" t="str">
        <f>IFERROR(__xludf.DUMMYFUNCTION("""COMPUTED_VALUE"""),"Marie Mordeno")</f>
        <v>Marie Mordeno</v>
      </c>
      <c r="K7685" s="1" t="str">
        <f>IFERROR(__xludf.DUMMYFUNCTION("""COMPUTED_VALUE"""),"Advanced Billing &amp; Subscriptions")</f>
        <v>Advanced Billing &amp; Subscriptions</v>
      </c>
      <c r="L7685" s="1" t="str">
        <f>IFERROR(__xludf.DUMMYFUNCTION("""COMPUTED_VALUE"""),"CPS Advanced Billing and Subscriptions (ABS)")</f>
        <v>CPS Advanced Billing and Subscriptions (ABS)</v>
      </c>
    </row>
    <row r="7686">
      <c r="A7686" s="1" t="str">
        <f>IFERROR(__xludf.DUMMYFUNCTION("""COMPUTED_VALUE"""),"2025 Dec")</f>
        <v>2025 Dec</v>
      </c>
      <c r="B7686" s="2">
        <f>IFERROR(__xludf.DUMMYFUNCTION("""COMPUTED_VALUE"""),46013.0)</f>
        <v>46013</v>
      </c>
      <c r="C7686" s="1" t="str">
        <f>IFERROR(__xludf.DUMMYFUNCTION("""COMPUTED_VALUE"""),"Core Product Support")</f>
        <v>Core Product Support</v>
      </c>
      <c r="D7686" s="1" t="str">
        <f>IFERROR(__xludf.DUMMYFUNCTION("""COMPUTED_VALUE"""),"9ec42277-802e-4dea-b288-c3f190cff1eb")</f>
        <v>9ec42277-802e-4dea-b288-c3f190cff1eb</v>
      </c>
      <c r="E7686" s="1">
        <f>IFERROR(__xludf.DUMMYFUNCTION("""COMPUTED_VALUE"""),3.61726427476E11)</f>
        <v>361726427476</v>
      </c>
      <c r="F7686" s="1">
        <f>IFERROR(__xludf.DUMMYFUNCTION("""COMPUTED_VALUE"""),0.5)</f>
        <v>0.5</v>
      </c>
      <c r="G7686" s="1">
        <f>IFERROR(__xludf.DUMMYFUNCTION("""COMPUTED_VALUE"""),2.0)</f>
        <v>2</v>
      </c>
      <c r="H7686" s="3">
        <f>IFERROR(__xludf.DUMMYFUNCTION("""COMPUTED_VALUE"""),2.5)</f>
        <v>2.5</v>
      </c>
      <c r="I7686" s="4">
        <f>IFERROR(__xludf.DUMMYFUNCTION("""COMPUTED_VALUE"""),0.8)</f>
        <v>0.8</v>
      </c>
      <c r="J7686" s="1" t="str">
        <f>IFERROR(__xludf.DUMMYFUNCTION("""COMPUTED_VALUE"""),"Ellaine Estayo")</f>
        <v>Ellaine Estayo</v>
      </c>
      <c r="K7686" s="1" t="str">
        <f>IFERROR(__xludf.DUMMYFUNCTION("""COMPUTED_VALUE"""),"Core Product Support Escalation Team")</f>
        <v>Core Product Support Escalation Team</v>
      </c>
      <c r="L7686" s="1" t="str">
        <f>IFERROR(__xludf.DUMMYFUNCTION("""COMPUTED_VALUE"""),"CPS Core Product Support Escalations (CPSET)")</f>
        <v>CPS Core Product Support Escalations (CPSET)</v>
      </c>
    </row>
    <row r="7687">
      <c r="A7687" s="1" t="str">
        <f>IFERROR(__xludf.DUMMYFUNCTION("""COMPUTED_VALUE"""),"2025 Dec")</f>
        <v>2025 Dec</v>
      </c>
      <c r="B7687" s="2">
        <f>IFERROR(__xludf.DUMMYFUNCTION("""COMPUTED_VALUE"""),46013.0)</f>
        <v>46013</v>
      </c>
      <c r="C7687" s="1" t="str">
        <f>IFERROR(__xludf.DUMMYFUNCTION("""COMPUTED_VALUE"""),"Print Support")</f>
        <v>Print Support</v>
      </c>
      <c r="D7687" s="1" t="str">
        <f>IFERROR(__xludf.DUMMYFUNCTION("""COMPUTED_VALUE"""),"9e3b5d29-0e29-4565-a70a-6e7ee3c7be84")</f>
        <v>9e3b5d29-0e29-4565-a70a-6e7ee3c7be84</v>
      </c>
      <c r="E7687" s="1">
        <f>IFERROR(__xludf.DUMMYFUNCTION("""COMPUTED_VALUE"""),1.0548602091791E13)</f>
        <v>10548602091791</v>
      </c>
      <c r="F7687" s="1"/>
      <c r="G7687" s="1"/>
      <c r="H7687" s="3">
        <f>IFERROR(__xludf.DUMMYFUNCTION("""COMPUTED_VALUE"""),0.0)</f>
        <v>0</v>
      </c>
      <c r="I7687" s="4"/>
      <c r="J7687" s="1" t="str">
        <f>IFERROR(__xludf.DUMMYFUNCTION("""COMPUTED_VALUE"""),"Jen Momo")</f>
        <v>Jen Momo</v>
      </c>
      <c r="K7687" s="1" t="str">
        <f>IFERROR(__xludf.DUMMYFUNCTION("""COMPUTED_VALUE"""),"Print Support PH")</f>
        <v>Print Support PH</v>
      </c>
      <c r="L7687" s="1" t="str">
        <f>IFERROR(__xludf.DUMMYFUNCTION("""COMPUTED_VALUE"""),"Print Print - CHT")</f>
        <v>Print Print - CHT</v>
      </c>
    </row>
    <row r="7688">
      <c r="A7688" s="1" t="str">
        <f>IFERROR(__xludf.DUMMYFUNCTION("""COMPUTED_VALUE"""),"2025 Dec")</f>
        <v>2025 Dec</v>
      </c>
      <c r="B7688" s="2">
        <f>IFERROR(__xludf.DUMMYFUNCTION("""COMPUTED_VALUE"""),46013.0)</f>
        <v>46013</v>
      </c>
      <c r="C7688" s="1" t="str">
        <f>IFERROR(__xludf.DUMMYFUNCTION("""COMPUTED_VALUE"""),"Segment-specific Support")</f>
        <v>Segment-specific Support</v>
      </c>
      <c r="D7688" s="1" t="str">
        <f>IFERROR(__xludf.DUMMYFUNCTION("""COMPUTED_VALUE"""),"eda8dc46-d638-4955-b85e-554ac98c41d8")</f>
        <v>eda8dc46-d638-4955-b85e-554ac98c41d8</v>
      </c>
      <c r="E7688" s="1">
        <f>IFERROR(__xludf.DUMMYFUNCTION("""COMPUTED_VALUE"""),3.61731943235E11)</f>
        <v>361731943235</v>
      </c>
      <c r="F7688" s="1"/>
      <c r="G7688" s="1"/>
      <c r="H7688" s="3">
        <f>IFERROR(__xludf.DUMMYFUNCTION("""COMPUTED_VALUE"""),0.0)</f>
        <v>0</v>
      </c>
      <c r="I7688" s="4"/>
      <c r="J7688" s="1" t="str">
        <f>IFERROR(__xludf.DUMMYFUNCTION("""COMPUTED_VALUE"""),"Aileen Dayanghirang")</f>
        <v>Aileen Dayanghirang</v>
      </c>
      <c r="K7688" s="1" t="str">
        <f>IFERROR(__xludf.DUMMYFUNCTION("""COMPUTED_VALUE"""),"Creators Support")</f>
        <v>Creators Support</v>
      </c>
      <c r="L7688" s="1" t="str">
        <f>IFERROR(__xludf.DUMMYFUNCTION("""COMPUTED_VALUE"""),"SSS Creators")</f>
        <v>SSS Creators</v>
      </c>
    </row>
    <row r="7689">
      <c r="A7689" s="1" t="str">
        <f>IFERROR(__xludf.DUMMYFUNCTION("""COMPUTED_VALUE"""),"2025 Dec")</f>
        <v>2025 Dec</v>
      </c>
      <c r="B7689" s="2">
        <f>IFERROR(__xludf.DUMMYFUNCTION("""COMPUTED_VALUE"""),46013.0)</f>
        <v>46013</v>
      </c>
      <c r="C7689" s="1" t="str">
        <f>IFERROR(__xludf.DUMMYFUNCTION("""COMPUTED_VALUE"""),"Admin Support")</f>
        <v>Admin Support</v>
      </c>
      <c r="D7689" s="1" t="str">
        <f>IFERROR(__xludf.DUMMYFUNCTION("""COMPUTED_VALUE"""),"1135d838-4518-48e7-a5b8-f1738f44245c")</f>
        <v>1135d838-4518-48e7-a5b8-f1738f44245c</v>
      </c>
      <c r="E7689" s="1">
        <f>IFERROR(__xludf.DUMMYFUNCTION("""COMPUTED_VALUE"""),9.795666354191E12)</f>
        <v>9795666354191</v>
      </c>
      <c r="F7689" s="1"/>
      <c r="G7689" s="1"/>
      <c r="H7689" s="3">
        <f>IFERROR(__xludf.DUMMYFUNCTION("""COMPUTED_VALUE"""),0.0)</f>
        <v>0</v>
      </c>
      <c r="I7689" s="4"/>
      <c r="J7689" s="1" t="str">
        <f>IFERROR(__xludf.DUMMYFUNCTION("""COMPUTED_VALUE"""),"Elise Cesario Mendes")</f>
        <v>Elise Cesario Mendes</v>
      </c>
      <c r="K7689" s="1" t="str">
        <f>IFERROR(__xludf.DUMMYFUNCTION("""COMPUTED_VALUE"""),"Admin Support APJ")</f>
        <v>Admin Support APJ</v>
      </c>
      <c r="L7689" s="1" t="str">
        <f>IFERROR(__xludf.DUMMYFUNCTION("""COMPUTED_VALUE"""),"Admin APJ")</f>
        <v>Admin APJ</v>
      </c>
    </row>
    <row r="7690">
      <c r="A7690" s="1" t="str">
        <f>IFERROR(__xludf.DUMMYFUNCTION("""COMPUTED_VALUE"""),"2025 Dec")</f>
        <v>2025 Dec</v>
      </c>
      <c r="B7690" s="2">
        <f>IFERROR(__xludf.DUMMYFUNCTION("""COMPUTED_VALUE"""),46013.0)</f>
        <v>46013</v>
      </c>
      <c r="C7690" s="1" t="str">
        <f>IFERROR(__xludf.DUMMYFUNCTION("""COMPUTED_VALUE"""),"High Sensitivity Support")</f>
        <v>High Sensitivity Support</v>
      </c>
      <c r="D7690" s="1" t="str">
        <f>IFERROR(__xludf.DUMMYFUNCTION("""COMPUTED_VALUE"""),"a3bbe934-01ae-4e93-9369-021e3581998d")</f>
        <v>a3bbe934-01ae-4e93-9369-021e3581998d</v>
      </c>
      <c r="E7690" s="1">
        <f>IFERROR(__xludf.DUMMYFUNCTION("""COMPUTED_VALUE"""),8.409869745551E12)</f>
        <v>8409869745551</v>
      </c>
      <c r="F7690" s="1">
        <f>IFERROR(__xludf.DUMMYFUNCTION("""COMPUTED_VALUE"""),4.0)</f>
        <v>4</v>
      </c>
      <c r="G7690" s="1"/>
      <c r="H7690" s="3">
        <f>IFERROR(__xludf.DUMMYFUNCTION("""COMPUTED_VALUE"""),4.0)</f>
        <v>4</v>
      </c>
      <c r="I7690" s="4">
        <f>IFERROR(__xludf.DUMMYFUNCTION("""COMPUTED_VALUE"""),0.0)</f>
        <v>0</v>
      </c>
      <c r="J7690" s="1" t="str">
        <f>IFERROR(__xludf.DUMMYFUNCTION("""COMPUTED_VALUE"""),"Rex Villamor")</f>
        <v>Rex Villamor</v>
      </c>
      <c r="K7690" s="1" t="str">
        <f>IFERROR(__xludf.DUMMYFUNCTION("""COMPUTED_VALUE"""),"High Sensitivity Support PH")</f>
        <v>High Sensitivity Support PH</v>
      </c>
      <c r="L7690" s="1" t="str">
        <f>IFERROR(__xludf.DUMMYFUNCTION("""COMPUTED_VALUE"""),"HSS High Sensitivity Support PH - CHT")</f>
        <v>HSS High Sensitivity Support PH - CHT</v>
      </c>
    </row>
    <row r="7691">
      <c r="A7691" s="1" t="str">
        <f>IFERROR(__xludf.DUMMYFUNCTION("""COMPUTED_VALUE"""),"2025 Dec")</f>
        <v>2025 Dec</v>
      </c>
      <c r="B7691" s="2">
        <f>IFERROR(__xludf.DUMMYFUNCTION("""COMPUTED_VALUE"""),46013.0)</f>
        <v>46013</v>
      </c>
      <c r="C7691" s="1" t="str">
        <f>IFERROR(__xludf.DUMMYFUNCTION("""COMPUTED_VALUE"""),"Core Product Support")</f>
        <v>Core Product Support</v>
      </c>
      <c r="D7691" s="1" t="str">
        <f>IFERROR(__xludf.DUMMYFUNCTION("""COMPUTED_VALUE"""),"3160ea91-bbe8-47f3-b356-db1889bfb947")</f>
        <v>3160ea91-bbe8-47f3-b356-db1889bfb947</v>
      </c>
      <c r="E7691" s="1">
        <f>IFERROR(__xludf.DUMMYFUNCTION("""COMPUTED_VALUE"""),8.904462217231E12)</f>
        <v>8904462217231</v>
      </c>
      <c r="F7691" s="1">
        <f>IFERROR(__xludf.DUMMYFUNCTION("""COMPUTED_VALUE"""),0.5)</f>
        <v>0.5</v>
      </c>
      <c r="G7691" s="1"/>
      <c r="H7691" s="3">
        <f>IFERROR(__xludf.DUMMYFUNCTION("""COMPUTED_VALUE"""),0.5)</f>
        <v>0.5</v>
      </c>
      <c r="I7691" s="4">
        <f>IFERROR(__xludf.DUMMYFUNCTION("""COMPUTED_VALUE"""),0.0)</f>
        <v>0</v>
      </c>
      <c r="J7691" s="1" t="str">
        <f>IFERROR(__xludf.DUMMYFUNCTION("""COMPUTED_VALUE"""),"Ana Lazaro")</f>
        <v>Ana Lazaro</v>
      </c>
      <c r="K7691" s="1" t="str">
        <f>IFERROR(__xludf.DUMMYFUNCTION("""COMPUTED_VALUE"""),"Advanced Billing &amp; Subscriptions")</f>
        <v>Advanced Billing &amp; Subscriptions</v>
      </c>
      <c r="L7691" s="1" t="str">
        <f>IFERROR(__xludf.DUMMYFUNCTION("""COMPUTED_VALUE"""),"CPS Advanced Billing and Subscriptions (ABS)")</f>
        <v>CPS Advanced Billing and Subscriptions (ABS)</v>
      </c>
    </row>
    <row r="7692">
      <c r="A7692" s="1" t="str">
        <f>IFERROR(__xludf.DUMMYFUNCTION("""COMPUTED_VALUE"""),"2025 Dec")</f>
        <v>2025 Dec</v>
      </c>
      <c r="B7692" s="2">
        <f>IFERROR(__xludf.DUMMYFUNCTION("""COMPUTED_VALUE"""),46013.0)</f>
        <v>46013</v>
      </c>
      <c r="C7692" s="1" t="str">
        <f>IFERROR(__xludf.DUMMYFUNCTION("""COMPUTED_VALUE"""),"Admin Support")</f>
        <v>Admin Support</v>
      </c>
      <c r="D7692" s="1" t="str">
        <f>IFERROR(__xludf.DUMMYFUNCTION("""COMPUTED_VALUE"""),"0c4907ba-7b85-4f42-8afb-a62cdeb8fbd3")</f>
        <v>0c4907ba-7b85-4f42-8afb-a62cdeb8fbd3</v>
      </c>
      <c r="E7692" s="1">
        <f>IFERROR(__xludf.DUMMYFUNCTION("""COMPUTED_VALUE"""),3.61731944975E11)</f>
        <v>361731944975</v>
      </c>
      <c r="F7692" s="1"/>
      <c r="G7692" s="1"/>
      <c r="H7692" s="3">
        <f>IFERROR(__xludf.DUMMYFUNCTION("""COMPUTED_VALUE"""),0.0)</f>
        <v>0</v>
      </c>
      <c r="I7692" s="4"/>
      <c r="J7692" s="1" t="str">
        <f>IFERROR(__xludf.DUMMYFUNCTION("""COMPUTED_VALUE"""),"Kelden Laguting")</f>
        <v>Kelden Laguting</v>
      </c>
      <c r="K7692" s="1" t="str">
        <f>IFERROR(__xludf.DUMMYFUNCTION("""COMPUTED_VALUE"""),"Admin Support PH")</f>
        <v>Admin Support PH</v>
      </c>
      <c r="L7692" s="1" t="str">
        <f>IFERROR(__xludf.DUMMYFUNCTION("""COMPUTED_VALUE"""),"Admin PH")</f>
        <v>Admin PH</v>
      </c>
    </row>
    <row r="7693">
      <c r="A7693" s="1" t="str">
        <f>IFERROR(__xludf.DUMMYFUNCTION("""COMPUTED_VALUE"""),"2025 Dec")</f>
        <v>2025 Dec</v>
      </c>
      <c r="B7693" s="2">
        <f>IFERROR(__xludf.DUMMYFUNCTION("""COMPUTED_VALUE"""),46013.0)</f>
        <v>46013</v>
      </c>
      <c r="C7693" s="1" t="str">
        <f>IFERROR(__xludf.DUMMYFUNCTION("""COMPUTED_VALUE"""),"Admin Support")</f>
        <v>Admin Support</v>
      </c>
      <c r="D7693" s="1" t="str">
        <f>IFERROR(__xludf.DUMMYFUNCTION("""COMPUTED_VALUE"""),"f3e01c36-ae47-4587-bb42-c4f8b42102e5")</f>
        <v>f3e01c36-ae47-4587-bb42-c4f8b42102e5</v>
      </c>
      <c r="E7693" s="1">
        <f>IFERROR(__xludf.DUMMYFUNCTION("""COMPUTED_VALUE"""),3.61725484056E11)</f>
        <v>361725484056</v>
      </c>
      <c r="F7693" s="1"/>
      <c r="G7693" s="1"/>
      <c r="H7693" s="3">
        <f>IFERROR(__xludf.DUMMYFUNCTION("""COMPUTED_VALUE"""),0.0)</f>
        <v>0</v>
      </c>
      <c r="I7693" s="4"/>
      <c r="J7693" s="1" t="str">
        <f>IFERROR(__xludf.DUMMYFUNCTION("""COMPUTED_VALUE"""),"Rose Gabilan")</f>
        <v>Rose Gabilan</v>
      </c>
      <c r="K7693" s="1" t="str">
        <f>IFERROR(__xludf.DUMMYFUNCTION("""COMPUTED_VALUE"""),"Admin Support PH SSO")</f>
        <v>Admin Support PH SSO</v>
      </c>
      <c r="L7693" s="1" t="str">
        <f>IFERROR(__xludf.DUMMYFUNCTION("""COMPUTED_VALUE"""),"Admin SSO - CHT")</f>
        <v>Admin SSO - CHT</v>
      </c>
    </row>
    <row r="7694">
      <c r="A7694" s="1" t="str">
        <f>IFERROR(__xludf.DUMMYFUNCTION("""COMPUTED_VALUE"""),"2025 Dec")</f>
        <v>2025 Dec</v>
      </c>
      <c r="B7694" s="2">
        <f>IFERROR(__xludf.DUMMYFUNCTION("""COMPUTED_VALUE"""),46013.0)</f>
        <v>46013</v>
      </c>
      <c r="C7694" s="1" t="str">
        <f>IFERROR(__xludf.DUMMYFUNCTION("""COMPUTED_VALUE"""),"Segment-specific Support")</f>
        <v>Segment-specific Support</v>
      </c>
      <c r="D7694" s="1" t="str">
        <f>IFERROR(__xludf.DUMMYFUNCTION("""COMPUTED_VALUE"""),"0a760e6d-f69c-4cfc-a59a-917274456550")</f>
        <v>0a760e6d-f69c-4cfc-a59a-917274456550</v>
      </c>
      <c r="E7694" s="1">
        <f>IFERROR(__xludf.DUMMYFUNCTION("""COMPUTED_VALUE"""),5.047314632975E12)</f>
        <v>5047314632975</v>
      </c>
      <c r="F7694" s="1"/>
      <c r="G7694" s="1"/>
      <c r="H7694" s="3">
        <f>IFERROR(__xludf.DUMMYFUNCTION("""COMPUTED_VALUE"""),0.0)</f>
        <v>0</v>
      </c>
      <c r="I7694" s="4"/>
      <c r="J7694" s="1" t="str">
        <f>IFERROR(__xludf.DUMMYFUNCTION("""COMPUTED_VALUE"""),"Tash Kelly")</f>
        <v>Tash Kelly</v>
      </c>
      <c r="K7694" s="1" t="str">
        <f>IFERROR(__xludf.DUMMYFUNCTION("""COMPUTED_VALUE"""),"Affinity Support")</f>
        <v>Affinity Support</v>
      </c>
      <c r="L7694" s="1" t="str">
        <f>IFERROR(__xludf.DUMMYFUNCTION("""COMPUTED_VALUE"""),"SSS Affinity")</f>
        <v>SSS Affinity</v>
      </c>
    </row>
    <row r="7695">
      <c r="A7695" s="1" t="str">
        <f>IFERROR(__xludf.DUMMYFUNCTION("""COMPUTED_VALUE"""),"2025 Dec")</f>
        <v>2025 Dec</v>
      </c>
      <c r="B7695" s="2">
        <f>IFERROR(__xludf.DUMMYFUNCTION("""COMPUTED_VALUE"""),46013.0)</f>
        <v>46013</v>
      </c>
      <c r="C7695" s="1" t="str">
        <f>IFERROR(__xludf.DUMMYFUNCTION("""COMPUTED_VALUE"""),"Admin Support")</f>
        <v>Admin Support</v>
      </c>
      <c r="D7695" s="1" t="str">
        <f>IFERROR(__xludf.DUMMYFUNCTION("""COMPUTED_VALUE"""),"97756389-1733-4bfe-bf0b-b3fe225fe510")</f>
        <v>97756389-1733-4bfe-bf0b-b3fe225fe510</v>
      </c>
      <c r="E7695" s="1">
        <f>IFERROR(__xludf.DUMMYFUNCTION("""COMPUTED_VALUE"""),9.153847235087E12)</f>
        <v>9153847235087</v>
      </c>
      <c r="F7695" s="1"/>
      <c r="G7695" s="1"/>
      <c r="H7695" s="3">
        <f>IFERROR(__xludf.DUMMYFUNCTION("""COMPUTED_VALUE"""),0.0)</f>
        <v>0</v>
      </c>
      <c r="I7695" s="4"/>
      <c r="J7695" s="1" t="str">
        <f>IFERROR(__xludf.DUMMYFUNCTION("""COMPUTED_VALUE"""),"Tash Kelly")</f>
        <v>Tash Kelly</v>
      </c>
      <c r="K7695" s="1" t="str">
        <f>IFERROR(__xludf.DUMMYFUNCTION("""COMPUTED_VALUE"""),"Admin Support EMEA")</f>
        <v>Admin Support EMEA</v>
      </c>
      <c r="L7695" s="1" t="str">
        <f>IFERROR(__xludf.DUMMYFUNCTION("""COMPUTED_VALUE"""),"Admin EMEA")</f>
        <v>Admin EMEA</v>
      </c>
    </row>
    <row r="7696">
      <c r="A7696" s="1" t="str">
        <f>IFERROR(__xludf.DUMMYFUNCTION("""COMPUTED_VALUE"""),"2025 Dec")</f>
        <v>2025 Dec</v>
      </c>
      <c r="B7696" s="2">
        <f>IFERROR(__xludf.DUMMYFUNCTION("""COMPUTED_VALUE"""),46013.0)</f>
        <v>46013</v>
      </c>
      <c r="C7696" s="1" t="str">
        <f>IFERROR(__xludf.DUMMYFUNCTION("""COMPUTED_VALUE"""),"Admin Support")</f>
        <v>Admin Support</v>
      </c>
      <c r="D7696" s="1" t="str">
        <f>IFERROR(__xludf.DUMMYFUNCTION("""COMPUTED_VALUE"""),"b8e64047-ce95-4bd1-ba70-97209dbdd968")</f>
        <v>b8e64047-ce95-4bd1-ba70-97209dbdd968</v>
      </c>
      <c r="E7696" s="1">
        <f>IFERROR(__xludf.DUMMYFUNCTION("""COMPUTED_VALUE"""),5.813415515279E12)</f>
        <v>5813415515279</v>
      </c>
      <c r="F7696" s="1">
        <f>IFERROR(__xludf.DUMMYFUNCTION("""COMPUTED_VALUE"""),0.5)</f>
        <v>0.5</v>
      </c>
      <c r="G7696" s="1"/>
      <c r="H7696" s="3">
        <f>IFERROR(__xludf.DUMMYFUNCTION("""COMPUTED_VALUE"""),0.5)</f>
        <v>0.5</v>
      </c>
      <c r="I7696" s="4">
        <f>IFERROR(__xludf.DUMMYFUNCTION("""COMPUTED_VALUE"""),0.0)</f>
        <v>0</v>
      </c>
      <c r="J7696" s="1" t="str">
        <f>IFERROR(__xludf.DUMMYFUNCTION("""COMPUTED_VALUE"""),"Tash Kelly")</f>
        <v>Tash Kelly</v>
      </c>
      <c r="K7696" s="1" t="str">
        <f>IFERROR(__xludf.DUMMYFUNCTION("""COMPUTED_VALUE"""),"Admin Support NA")</f>
        <v>Admin Support NA</v>
      </c>
      <c r="L7696" s="1" t="str">
        <f>IFERROR(__xludf.DUMMYFUNCTION("""COMPUTED_VALUE"""),"Admin NA")</f>
        <v>Admin NA</v>
      </c>
    </row>
    <row r="7697">
      <c r="A7697" s="1" t="str">
        <f>IFERROR(__xludf.DUMMYFUNCTION("""COMPUTED_VALUE"""),"2025 Dec")</f>
        <v>2025 Dec</v>
      </c>
      <c r="B7697" s="2">
        <f>IFERROR(__xludf.DUMMYFUNCTION("""COMPUTED_VALUE"""),46013.0)</f>
        <v>46013</v>
      </c>
      <c r="C7697" s="1" t="str">
        <f>IFERROR(__xludf.DUMMYFUNCTION("""COMPUTED_VALUE"""),"Print Support")</f>
        <v>Print Support</v>
      </c>
      <c r="D7697" s="1" t="str">
        <f>IFERROR(__xludf.DUMMYFUNCTION("""COMPUTED_VALUE"""),"0a8eade5-f55e-4b55-9dca-c83c736a8818")</f>
        <v>0a8eade5-f55e-4b55-9dca-c83c736a8818</v>
      </c>
      <c r="E7697" s="1">
        <f>IFERROR(__xludf.DUMMYFUNCTION("""COMPUTED_VALUE"""),3.61744044436E11)</f>
        <v>361744044436</v>
      </c>
      <c r="F7697" s="1">
        <f>IFERROR(__xludf.DUMMYFUNCTION("""COMPUTED_VALUE"""),2.0)</f>
        <v>2</v>
      </c>
      <c r="G7697" s="1"/>
      <c r="H7697" s="3">
        <f>IFERROR(__xludf.DUMMYFUNCTION("""COMPUTED_VALUE"""),2.0)</f>
        <v>2</v>
      </c>
      <c r="I7697" s="4">
        <f>IFERROR(__xludf.DUMMYFUNCTION("""COMPUTED_VALUE"""),0.0)</f>
        <v>0</v>
      </c>
      <c r="J7697" s="1" t="str">
        <f>IFERROR(__xludf.DUMMYFUNCTION("""COMPUTED_VALUE"""),"Rae Erlano")</f>
        <v>Rae Erlano</v>
      </c>
      <c r="K7697" s="1" t="str">
        <f>IFERROR(__xludf.DUMMYFUNCTION("""COMPUTED_VALUE"""),"Print Support PH")</f>
        <v>Print Support PH</v>
      </c>
      <c r="L7697" s="1" t="str">
        <f>IFERROR(__xludf.DUMMYFUNCTION("""COMPUTED_VALUE"""),"Print Print - SEE")</f>
        <v>Print Print - SEE</v>
      </c>
    </row>
    <row r="7698">
      <c r="A7698" s="1" t="str">
        <f>IFERROR(__xludf.DUMMYFUNCTION("""COMPUTED_VALUE"""),"2025 Dec")</f>
        <v>2025 Dec</v>
      </c>
      <c r="B7698" s="2">
        <f>IFERROR(__xludf.DUMMYFUNCTION("""COMPUTED_VALUE"""),46013.0)</f>
        <v>46013</v>
      </c>
      <c r="C7698" s="1" t="str">
        <f>IFERROR(__xludf.DUMMYFUNCTION("""COMPUTED_VALUE"""),"Print Support")</f>
        <v>Print Support</v>
      </c>
      <c r="D7698" s="1" t="str">
        <f>IFERROR(__xludf.DUMMYFUNCTION("""COMPUTED_VALUE"""),"7938e720-2f23-4ae8-a8bc-a1aeb68883d0")</f>
        <v>7938e720-2f23-4ae8-a8bc-a1aeb68883d0</v>
      </c>
      <c r="E7698" s="1">
        <f>IFERROR(__xludf.DUMMYFUNCTION("""COMPUTED_VALUE"""),5.359144671119E12)</f>
        <v>5359144671119</v>
      </c>
      <c r="F7698" s="1"/>
      <c r="G7698" s="1"/>
      <c r="H7698" s="3">
        <f>IFERROR(__xludf.DUMMYFUNCTION("""COMPUTED_VALUE"""),0.0)</f>
        <v>0</v>
      </c>
      <c r="I7698" s="4"/>
      <c r="J7698" s="1" t="str">
        <f>IFERROR(__xludf.DUMMYFUNCTION("""COMPUTED_VALUE"""),"Rae Erlano")</f>
        <v>Rae Erlano</v>
      </c>
      <c r="K7698" s="1" t="str">
        <f>IFERROR(__xludf.DUMMYFUNCTION("""COMPUTED_VALUE"""),"Print Support PH")</f>
        <v>Print Support PH</v>
      </c>
      <c r="L7698" s="1" t="str">
        <f>IFERROR(__xludf.DUMMYFUNCTION("""COMPUTED_VALUE"""),"Print Print - CHT")</f>
        <v>Print Print - CHT</v>
      </c>
    </row>
    <row r="7699">
      <c r="A7699" s="1" t="str">
        <f>IFERROR(__xludf.DUMMYFUNCTION("""COMPUTED_VALUE"""),"2025 Dec")</f>
        <v>2025 Dec</v>
      </c>
      <c r="B7699" s="2">
        <f>IFERROR(__xludf.DUMMYFUNCTION("""COMPUTED_VALUE"""),46013.0)</f>
        <v>46013</v>
      </c>
      <c r="C7699" s="1" t="str">
        <f>IFERROR(__xludf.DUMMYFUNCTION("""COMPUTED_VALUE"""),"Core Product Support")</f>
        <v>Core Product Support</v>
      </c>
      <c r="D7699" s="1" t="str">
        <f>IFERROR(__xludf.DUMMYFUNCTION("""COMPUTED_VALUE"""),"7bf5cef1-9473-43c3-9aff-115283ed0e7a")</f>
        <v>7bf5cef1-9473-43c3-9aff-115283ed0e7a</v>
      </c>
      <c r="E7699" s="1">
        <f>IFERROR(__xludf.DUMMYFUNCTION("""COMPUTED_VALUE"""),1.0005707260559E13)</f>
        <v>10005707260559</v>
      </c>
      <c r="F7699" s="1">
        <f>IFERROR(__xludf.DUMMYFUNCTION("""COMPUTED_VALUE"""),0.5)</f>
        <v>0.5</v>
      </c>
      <c r="G7699" s="1"/>
      <c r="H7699" s="3">
        <f>IFERROR(__xludf.DUMMYFUNCTION("""COMPUTED_VALUE"""),0.5)</f>
        <v>0.5</v>
      </c>
      <c r="I7699" s="4">
        <f>IFERROR(__xludf.DUMMYFUNCTION("""COMPUTED_VALUE"""),0.0)</f>
        <v>0</v>
      </c>
      <c r="J7699" s="1" t="str">
        <f>IFERROR(__xludf.DUMMYFUNCTION("""COMPUTED_VALUE"""),"Jahmie Mae Barrameda")</f>
        <v>Jahmie Mae Barrameda</v>
      </c>
      <c r="K7699" s="1" t="str">
        <f>IFERROR(__xludf.DUMMYFUNCTION("""COMPUTED_VALUE"""),"Advanced Billing &amp; Subscriptions")</f>
        <v>Advanced Billing &amp; Subscriptions</v>
      </c>
      <c r="L7699" s="1" t="str">
        <f>IFERROR(__xludf.DUMMYFUNCTION("""COMPUTED_VALUE"""),"CPS Advanced Billing and Subscriptions (ABS)")</f>
        <v>CPS Advanced Billing and Subscriptions (ABS)</v>
      </c>
    </row>
    <row r="7700">
      <c r="A7700" s="1" t="str">
        <f>IFERROR(__xludf.DUMMYFUNCTION("""COMPUTED_VALUE"""),"2025 Dec")</f>
        <v>2025 Dec</v>
      </c>
      <c r="B7700" s="2">
        <f>IFERROR(__xludf.DUMMYFUNCTION("""COMPUTED_VALUE"""),46013.0)</f>
        <v>46013</v>
      </c>
      <c r="C7700" s="1" t="str">
        <f>IFERROR(__xludf.DUMMYFUNCTION("""COMPUTED_VALUE"""),"Segment-specific Support")</f>
        <v>Segment-specific Support</v>
      </c>
      <c r="D7700" s="1" t="str">
        <f>IFERROR(__xludf.DUMMYFUNCTION("""COMPUTED_VALUE"""),"ea5d3075-1c56-458e-abc7-f25ded5a9d76")</f>
        <v>ea5d3075-1c56-458e-abc7-f25ded5a9d76</v>
      </c>
      <c r="E7700" s="1">
        <f>IFERROR(__xludf.DUMMYFUNCTION("""COMPUTED_VALUE"""),1.1401961186319E13)</f>
        <v>11401961186319</v>
      </c>
      <c r="F7700" s="1"/>
      <c r="G7700" s="1"/>
      <c r="H7700" s="3">
        <f>IFERROR(__xludf.DUMMYFUNCTION("""COMPUTED_VALUE"""),0.0)</f>
        <v>0</v>
      </c>
      <c r="I7700" s="4"/>
      <c r="J7700" s="1" t="str">
        <f>IFERROR(__xludf.DUMMYFUNCTION("""COMPUTED_VALUE"""),"Aileen Dayanghirang")</f>
        <v>Aileen Dayanghirang</v>
      </c>
      <c r="K7700" s="1" t="str">
        <f>IFERROR(__xludf.DUMMYFUNCTION("""COMPUTED_VALUE"""),"Creators Support")</f>
        <v>Creators Support</v>
      </c>
      <c r="L7700" s="1" t="str">
        <f>IFERROR(__xludf.DUMMYFUNCTION("""COMPUTED_VALUE"""),"SSS Creators")</f>
        <v>SSS Creators</v>
      </c>
    </row>
    <row r="7701">
      <c r="A7701" s="1" t="str">
        <f>IFERROR(__xludf.DUMMYFUNCTION("""COMPUTED_VALUE"""),"2025 Dec")</f>
        <v>2025 Dec</v>
      </c>
      <c r="B7701" s="2">
        <f>IFERROR(__xludf.DUMMYFUNCTION("""COMPUTED_VALUE"""),46013.0)</f>
        <v>46013</v>
      </c>
      <c r="C7701" s="1" t="str">
        <f>IFERROR(__xludf.DUMMYFUNCTION("""COMPUTED_VALUE"""),"Admin Support")</f>
        <v>Admin Support</v>
      </c>
      <c r="D7701" s="1" t="str">
        <f>IFERROR(__xludf.DUMMYFUNCTION("""COMPUTED_VALUE"""),"ac612821-c478-4ed1-8b21-3e20fb1b17d4")</f>
        <v>ac612821-c478-4ed1-8b21-3e20fb1b17d4</v>
      </c>
      <c r="E7701" s="1">
        <f>IFERROR(__xludf.DUMMYFUNCTION("""COMPUTED_VALUE"""),8.409862611087E12)</f>
        <v>8409862611087</v>
      </c>
      <c r="F7701" s="1"/>
      <c r="G7701" s="1"/>
      <c r="H7701" s="3">
        <f>IFERROR(__xludf.DUMMYFUNCTION("""COMPUTED_VALUE"""),0.0)</f>
        <v>0</v>
      </c>
      <c r="I7701" s="4"/>
      <c r="J7701" s="1" t="str">
        <f>IFERROR(__xludf.DUMMYFUNCTION("""COMPUTED_VALUE"""),"Kelden Laguting")</f>
        <v>Kelden Laguting</v>
      </c>
      <c r="K7701" s="1" t="str">
        <f>IFERROR(__xludf.DUMMYFUNCTION("""COMPUTED_VALUE"""),"Admin Support PH")</f>
        <v>Admin Support PH</v>
      </c>
      <c r="L7701" s="1" t="str">
        <f>IFERROR(__xludf.DUMMYFUNCTION("""COMPUTED_VALUE"""),"Admin PH")</f>
        <v>Admin PH</v>
      </c>
    </row>
    <row r="7702">
      <c r="A7702" s="1" t="str">
        <f>IFERROR(__xludf.DUMMYFUNCTION("""COMPUTED_VALUE"""),"2025 Dec")</f>
        <v>2025 Dec</v>
      </c>
      <c r="B7702" s="2">
        <f>IFERROR(__xludf.DUMMYFUNCTION("""COMPUTED_VALUE"""),46013.0)</f>
        <v>46013</v>
      </c>
      <c r="C7702" s="1" t="str">
        <f>IFERROR(__xludf.DUMMYFUNCTION("""COMPUTED_VALUE"""),"Multilingual Support")</f>
        <v>Multilingual Support</v>
      </c>
      <c r="D7702" s="1" t="str">
        <f>IFERROR(__xludf.DUMMYFUNCTION("""COMPUTED_VALUE"""),"c643f4d3-31ef-4155-ba4e-a552baeb6f23")</f>
        <v>c643f4d3-31ef-4155-ba4e-a552baeb6f23</v>
      </c>
      <c r="E7702" s="1">
        <f>IFERROR(__xludf.DUMMYFUNCTION("""COMPUTED_VALUE"""),3.61726424916E11)</f>
        <v>361726424916</v>
      </c>
      <c r="F7702" s="1"/>
      <c r="G7702" s="1"/>
      <c r="H7702" s="3">
        <f>IFERROR(__xludf.DUMMYFUNCTION("""COMPUTED_VALUE"""),0.0)</f>
        <v>0</v>
      </c>
      <c r="I7702" s="4"/>
      <c r="J7702" s="1" t="str">
        <f>IFERROR(__xludf.DUMMYFUNCTION("""COMPUTED_VALUE"""),"Arlene Maurillo")</f>
        <v>Arlene Maurillo</v>
      </c>
      <c r="K7702" s="1" t="str">
        <f>IFERROR(__xludf.DUMMYFUNCTION("""COMPUTED_VALUE"""),"PHL, Multilingual Support")</f>
        <v>PHL, Multilingual Support</v>
      </c>
      <c r="L7702" s="1" t="str">
        <f>IFERROR(__xludf.DUMMYFUNCTION("""COMPUTED_VALUE"""),"ML French Support")</f>
        <v>ML French Support</v>
      </c>
    </row>
    <row r="7703">
      <c r="A7703" s="1" t="str">
        <f>IFERROR(__xludf.DUMMYFUNCTION("""COMPUTED_VALUE"""),"2025 Dec")</f>
        <v>2025 Dec</v>
      </c>
      <c r="B7703" s="2">
        <f>IFERROR(__xludf.DUMMYFUNCTION("""COMPUTED_VALUE"""),46013.0)</f>
        <v>46013</v>
      </c>
      <c r="C7703" s="1" t="str">
        <f>IFERROR(__xludf.DUMMYFUNCTION("""COMPUTED_VALUE"""),"High Sensitivity Support")</f>
        <v>High Sensitivity Support</v>
      </c>
      <c r="D7703" s="1" t="str">
        <f>IFERROR(__xludf.DUMMYFUNCTION("""COMPUTED_VALUE"""),"19ca9753-f76b-4593-ad5b-20f0e6bda57d")</f>
        <v>19ca9753-f76b-4593-ad5b-20f0e6bda57d</v>
      </c>
      <c r="E7703" s="1">
        <f>IFERROR(__xludf.DUMMYFUNCTION("""COMPUTED_VALUE"""),3.61694652335E11)</f>
        <v>361694652335</v>
      </c>
      <c r="F7703" s="1"/>
      <c r="G7703" s="1"/>
      <c r="H7703" s="3">
        <f>IFERROR(__xludf.DUMMYFUNCTION("""COMPUTED_VALUE"""),0.0)</f>
        <v>0</v>
      </c>
      <c r="I7703" s="4"/>
      <c r="J7703" s="1" t="str">
        <f>IFERROR(__xludf.DUMMYFUNCTION("""COMPUTED_VALUE"""),"Xandy Azarcon")</f>
        <v>Xandy Azarcon</v>
      </c>
      <c r="K7703" s="1" t="str">
        <f>IFERROR(__xludf.DUMMYFUNCTION("""COMPUTED_VALUE"""),"High Sensitivity Support PH")</f>
        <v>High Sensitivity Support PH</v>
      </c>
      <c r="L7703" s="1" t="str">
        <f>IFERROR(__xludf.DUMMYFUNCTION("""COMPUTED_VALUE"""),"HSS High Sensitivity Support PH - CHT")</f>
        <v>HSS High Sensitivity Support PH - CHT</v>
      </c>
    </row>
    <row r="7704">
      <c r="A7704" s="1" t="str">
        <f>IFERROR(__xludf.DUMMYFUNCTION("""COMPUTED_VALUE"""),"2025 Dec")</f>
        <v>2025 Dec</v>
      </c>
      <c r="B7704" s="2">
        <f>IFERROR(__xludf.DUMMYFUNCTION("""COMPUTED_VALUE"""),46013.0)</f>
        <v>46013</v>
      </c>
      <c r="C7704" s="1" t="str">
        <f>IFERROR(__xludf.DUMMYFUNCTION("""COMPUTED_VALUE"""),"High Sensitivity Support")</f>
        <v>High Sensitivity Support</v>
      </c>
      <c r="D7704" s="1" t="str">
        <f>IFERROR(__xludf.DUMMYFUNCTION("""COMPUTED_VALUE"""),"9ade6020-1c9b-4fab-b5d6-fa3b2ae1a212")</f>
        <v>9ade6020-1c9b-4fab-b5d6-fa3b2ae1a212</v>
      </c>
      <c r="E7704" s="1">
        <f>IFERROR(__xludf.DUMMYFUNCTION("""COMPUTED_VALUE"""),5.047383497615E12)</f>
        <v>5047383497615</v>
      </c>
      <c r="F7704" s="1"/>
      <c r="G7704" s="1"/>
      <c r="H7704" s="3">
        <f>IFERROR(__xludf.DUMMYFUNCTION("""COMPUTED_VALUE"""),0.0)</f>
        <v>0</v>
      </c>
      <c r="I7704" s="4"/>
      <c r="J7704" s="1" t="str">
        <f>IFERROR(__xludf.DUMMYFUNCTION("""COMPUTED_VALUE"""),"Issi Afable")</f>
        <v>Issi Afable</v>
      </c>
      <c r="K7704" s="1" t="str">
        <f>IFERROR(__xludf.DUMMYFUNCTION("""COMPUTED_VALUE"""),"High Sensitivity Support PH")</f>
        <v>High Sensitivity Support PH</v>
      </c>
      <c r="L7704" s="1" t="str">
        <f>IFERROR(__xludf.DUMMYFUNCTION("""COMPUTED_VALUE"""),"HSS High Sensitivity Support PH - SEE")</f>
        <v>HSS High Sensitivity Support PH - SEE</v>
      </c>
    </row>
    <row r="7705">
      <c r="A7705" s="1" t="str">
        <f>IFERROR(__xludf.DUMMYFUNCTION("""COMPUTED_VALUE"""),"2025 Dec")</f>
        <v>2025 Dec</v>
      </c>
      <c r="B7705" s="2">
        <f>IFERROR(__xludf.DUMMYFUNCTION("""COMPUTED_VALUE"""),46013.0)</f>
        <v>46013</v>
      </c>
      <c r="C7705" s="1" t="str">
        <f>IFERROR(__xludf.DUMMYFUNCTION("""COMPUTED_VALUE"""),"Print Support")</f>
        <v>Print Support</v>
      </c>
      <c r="D7705" s="1" t="str">
        <f>IFERROR(__xludf.DUMMYFUNCTION("""COMPUTED_VALUE"""),"05869263-0d01-4309-8f73-ab6deb080e16")</f>
        <v>05869263-0d01-4309-8f73-ab6deb080e16</v>
      </c>
      <c r="E7705" s="1"/>
      <c r="F7705" s="1"/>
      <c r="G7705" s="1"/>
      <c r="H7705" s="3">
        <f>IFERROR(__xludf.DUMMYFUNCTION("""COMPUTED_VALUE"""),0.0)</f>
        <v>0</v>
      </c>
      <c r="I7705" s="4"/>
      <c r="J7705" s="1" t="str">
        <f>IFERROR(__xludf.DUMMYFUNCTION("""COMPUTED_VALUE"""),"G-Anne Murillo")</f>
        <v>G-Anne Murillo</v>
      </c>
      <c r="K7705" s="1" t="str">
        <f>IFERROR(__xludf.DUMMYFUNCTION("""COMPUTED_VALUE"""),"Print Design Support")</f>
        <v>Print Design Support</v>
      </c>
      <c r="L7705" s="1" t="str">
        <f>IFERROR(__xludf.DUMMYFUNCTION("""COMPUTED_VALUE"""),"Print Print Design")</f>
        <v>Print Print Design</v>
      </c>
    </row>
    <row r="7706">
      <c r="A7706" s="1" t="str">
        <f>IFERROR(__xludf.DUMMYFUNCTION("""COMPUTED_VALUE"""),"2025 Dec")</f>
        <v>2025 Dec</v>
      </c>
      <c r="B7706" s="2">
        <f>IFERROR(__xludf.DUMMYFUNCTION("""COMPUTED_VALUE"""),46013.0)</f>
        <v>46013</v>
      </c>
      <c r="C7706" s="1" t="str">
        <f>IFERROR(__xludf.DUMMYFUNCTION("""COMPUTED_VALUE"""),"Print Support")</f>
        <v>Print Support</v>
      </c>
      <c r="D7706" s="1" t="str">
        <f>IFERROR(__xludf.DUMMYFUNCTION("""COMPUTED_VALUE"""),"5fe68c01-0359-40ab-9a6d-78a5cd050024")</f>
        <v>5fe68c01-0359-40ab-9a6d-78a5cd050024</v>
      </c>
      <c r="E7706" s="1"/>
      <c r="F7706" s="1"/>
      <c r="G7706" s="1"/>
      <c r="H7706" s="3">
        <f>IFERROR(__xludf.DUMMYFUNCTION("""COMPUTED_VALUE"""),0.0)</f>
        <v>0</v>
      </c>
      <c r="I7706" s="4"/>
      <c r="J7706" s="1" t="str">
        <f>IFERROR(__xludf.DUMMYFUNCTION("""COMPUTED_VALUE"""),"Jan Domingo")</f>
        <v>Jan Domingo</v>
      </c>
      <c r="K7706" s="1" t="str">
        <f>IFERROR(__xludf.DUMMYFUNCTION("""COMPUTED_VALUE"""),"Print Design Support")</f>
        <v>Print Design Support</v>
      </c>
      <c r="L7706" s="1" t="str">
        <f>IFERROR(__xludf.DUMMYFUNCTION("""COMPUTED_VALUE"""),"Print Print Design")</f>
        <v>Print Print Design</v>
      </c>
    </row>
    <row r="7707">
      <c r="A7707" s="1" t="str">
        <f>IFERROR(__xludf.DUMMYFUNCTION("""COMPUTED_VALUE"""),"2025 Dec")</f>
        <v>2025 Dec</v>
      </c>
      <c r="B7707" s="2">
        <f>IFERROR(__xludf.DUMMYFUNCTION("""COMPUTED_VALUE"""),46013.0)</f>
        <v>46013</v>
      </c>
      <c r="C7707" s="1" t="str">
        <f>IFERROR(__xludf.DUMMYFUNCTION("""COMPUTED_VALUE"""),"Print Support")</f>
        <v>Print Support</v>
      </c>
      <c r="D7707" s="1" t="str">
        <f>IFERROR(__xludf.DUMMYFUNCTION("""COMPUTED_VALUE"""),"50551296-1c12-4ee1-842f-b3c74e1d0706")</f>
        <v>50551296-1c12-4ee1-842f-b3c74e1d0706</v>
      </c>
      <c r="E7707" s="1">
        <f>IFERROR(__xludf.DUMMYFUNCTION("""COMPUTED_VALUE"""),3.61725486956E11)</f>
        <v>361725486956</v>
      </c>
      <c r="F7707" s="1">
        <f>IFERROR(__xludf.DUMMYFUNCTION("""COMPUTED_VALUE"""),2.0)</f>
        <v>2</v>
      </c>
      <c r="G7707" s="1"/>
      <c r="H7707" s="3">
        <f>IFERROR(__xludf.DUMMYFUNCTION("""COMPUTED_VALUE"""),2.0)</f>
        <v>2</v>
      </c>
      <c r="I7707" s="4">
        <f>IFERROR(__xludf.DUMMYFUNCTION("""COMPUTED_VALUE"""),0.0)</f>
        <v>0</v>
      </c>
      <c r="J7707" s="1" t="str">
        <f>IFERROR(__xludf.DUMMYFUNCTION("""COMPUTED_VALUE"""),"Memae Faustino")</f>
        <v>Memae Faustino</v>
      </c>
      <c r="K7707" s="1" t="str">
        <f>IFERROR(__xludf.DUMMYFUNCTION("""COMPUTED_VALUE"""),"Print Support PH")</f>
        <v>Print Support PH</v>
      </c>
      <c r="L7707" s="1" t="str">
        <f>IFERROR(__xludf.DUMMYFUNCTION("""COMPUTED_VALUE"""),"Print Print - SEE")</f>
        <v>Print Print - SEE</v>
      </c>
    </row>
    <row r="7708">
      <c r="A7708" s="1" t="str">
        <f>IFERROR(__xludf.DUMMYFUNCTION("""COMPUTED_VALUE"""),"2025 Dec")</f>
        <v>2025 Dec</v>
      </c>
      <c r="B7708" s="2">
        <f>IFERROR(__xludf.DUMMYFUNCTION("""COMPUTED_VALUE"""),46013.0)</f>
        <v>46013</v>
      </c>
      <c r="C7708" s="1" t="str">
        <f>IFERROR(__xludf.DUMMYFUNCTION("""COMPUTED_VALUE"""),"Core Product Support")</f>
        <v>Core Product Support</v>
      </c>
      <c r="D7708" s="1" t="str">
        <f>IFERROR(__xludf.DUMMYFUNCTION("""COMPUTED_VALUE"""),"4dbfa916-5ac6-473d-aa13-5812e02f0be2")</f>
        <v>4dbfa916-5ac6-473d-aa13-5812e02f0be2</v>
      </c>
      <c r="E7708" s="1">
        <f>IFERROR(__xludf.DUMMYFUNCTION("""COMPUTED_VALUE"""),9.586394042255E12)</f>
        <v>9586394042255</v>
      </c>
      <c r="F7708" s="1">
        <f>IFERROR(__xludf.DUMMYFUNCTION("""COMPUTED_VALUE"""),1.0)</f>
        <v>1</v>
      </c>
      <c r="G7708" s="1"/>
      <c r="H7708" s="3">
        <f>IFERROR(__xludf.DUMMYFUNCTION("""COMPUTED_VALUE"""),1.0)</f>
        <v>1</v>
      </c>
      <c r="I7708" s="4">
        <f>IFERROR(__xludf.DUMMYFUNCTION("""COMPUTED_VALUE"""),0.0)</f>
        <v>0</v>
      </c>
      <c r="J7708" s="1" t="str">
        <f>IFERROR(__xludf.DUMMYFUNCTION("""COMPUTED_VALUE"""),"Vinz Lazaro")</f>
        <v>Vinz Lazaro</v>
      </c>
      <c r="K7708" s="1" t="str">
        <f>IFERROR(__xludf.DUMMYFUNCTION("""COMPUTED_VALUE"""),"Advanced Product Support")</f>
        <v>Advanced Product Support</v>
      </c>
      <c r="L7708" s="1" t="str">
        <f>IFERROR(__xludf.DUMMYFUNCTION("""COMPUTED_VALUE"""),"CPS Advanced Product Support (APS)")</f>
        <v>CPS Advanced Product Support (APS)</v>
      </c>
    </row>
    <row r="7709">
      <c r="A7709" s="1" t="str">
        <f>IFERROR(__xludf.DUMMYFUNCTION("""COMPUTED_VALUE"""),"2025 Dec")</f>
        <v>2025 Dec</v>
      </c>
      <c r="B7709" s="2">
        <f>IFERROR(__xludf.DUMMYFUNCTION("""COMPUTED_VALUE"""),46013.0)</f>
        <v>46013</v>
      </c>
      <c r="C7709" s="1" t="str">
        <f>IFERROR(__xludf.DUMMYFUNCTION("""COMPUTED_VALUE"""),"Print Support")</f>
        <v>Print Support</v>
      </c>
      <c r="D7709" s="1" t="str">
        <f>IFERROR(__xludf.DUMMYFUNCTION("""COMPUTED_VALUE"""),"9c6c901c-ce92-460f-9d6d-5ee12b03a1ec")</f>
        <v>9c6c901c-ce92-460f-9d6d-5ee12b03a1ec</v>
      </c>
      <c r="E7709" s="1"/>
      <c r="F7709" s="1"/>
      <c r="G7709" s="1"/>
      <c r="H7709" s="3">
        <f>IFERROR(__xludf.DUMMYFUNCTION("""COMPUTED_VALUE"""),0.0)</f>
        <v>0</v>
      </c>
      <c r="I7709" s="4"/>
      <c r="J7709" s="1" t="str">
        <f>IFERROR(__xludf.DUMMYFUNCTION("""COMPUTED_VALUE"""),"Rei De Jesus")</f>
        <v>Rei De Jesus</v>
      </c>
      <c r="K7709" s="1" t="str">
        <f>IFERROR(__xludf.DUMMYFUNCTION("""COMPUTED_VALUE"""),"Print Design Support")</f>
        <v>Print Design Support</v>
      </c>
      <c r="L7709" s="1" t="str">
        <f>IFERROR(__xludf.DUMMYFUNCTION("""COMPUTED_VALUE"""),"Print Print Design")</f>
        <v>Print Print Design</v>
      </c>
    </row>
    <row r="7710">
      <c r="A7710" s="1" t="str">
        <f>IFERROR(__xludf.DUMMYFUNCTION("""COMPUTED_VALUE"""),"2025 Dec")</f>
        <v>2025 Dec</v>
      </c>
      <c r="B7710" s="2">
        <f>IFERROR(__xludf.DUMMYFUNCTION("""COMPUTED_VALUE"""),46013.0)</f>
        <v>46013</v>
      </c>
      <c r="C7710" s="1" t="str">
        <f>IFERROR(__xludf.DUMMYFUNCTION("""COMPUTED_VALUE"""),"Core Product Support")</f>
        <v>Core Product Support</v>
      </c>
      <c r="D7710" s="1" t="str">
        <f>IFERROR(__xludf.DUMMYFUNCTION("""COMPUTED_VALUE"""),"cc817a63-c749-4aa1-ad3c-e3d33f5e04ff")</f>
        <v>cc817a63-c749-4aa1-ad3c-e3d33f5e04ff</v>
      </c>
      <c r="E7710" s="1">
        <f>IFERROR(__xludf.DUMMYFUNCTION("""COMPUTED_VALUE"""),5.566828557583E12)</f>
        <v>5566828557583</v>
      </c>
      <c r="F7710" s="1">
        <f>IFERROR(__xludf.DUMMYFUNCTION("""COMPUTED_VALUE"""),0.5)</f>
        <v>0.5</v>
      </c>
      <c r="G7710" s="1"/>
      <c r="H7710" s="3">
        <f>IFERROR(__xludf.DUMMYFUNCTION("""COMPUTED_VALUE"""),0.5)</f>
        <v>0.5</v>
      </c>
      <c r="I7710" s="4">
        <f>IFERROR(__xludf.DUMMYFUNCTION("""COMPUTED_VALUE"""),0.0)</f>
        <v>0</v>
      </c>
      <c r="J7710" s="1" t="str">
        <f>IFERROR(__xludf.DUMMYFUNCTION("""COMPUTED_VALUE"""),"Renette Bok")</f>
        <v>Renette Bok</v>
      </c>
      <c r="K7710" s="1" t="str">
        <f>IFERROR(__xludf.DUMMYFUNCTION("""COMPUTED_VALUE"""),"Advanced Billing &amp; Subscriptions")</f>
        <v>Advanced Billing &amp; Subscriptions</v>
      </c>
      <c r="L7710" s="1" t="str">
        <f>IFERROR(__xludf.DUMMYFUNCTION("""COMPUTED_VALUE"""),"CPS Advanced Billing and Subscriptions (ABS)")</f>
        <v>CPS Advanced Billing and Subscriptions (ABS)</v>
      </c>
    </row>
    <row r="7711">
      <c r="A7711" s="1" t="str">
        <f>IFERROR(__xludf.DUMMYFUNCTION("""COMPUTED_VALUE"""),"2025 Dec")</f>
        <v>2025 Dec</v>
      </c>
      <c r="B7711" s="2">
        <f>IFERROR(__xludf.DUMMYFUNCTION("""COMPUTED_VALUE"""),46013.0)</f>
        <v>46013</v>
      </c>
      <c r="C7711" s="1" t="str">
        <f>IFERROR(__xludf.DUMMYFUNCTION("""COMPUTED_VALUE"""),"Multilingual Support")</f>
        <v>Multilingual Support</v>
      </c>
      <c r="D7711" s="1" t="str">
        <f>IFERROR(__xludf.DUMMYFUNCTION("""COMPUTED_VALUE"""),"6f52f807-9641-4f21-b34f-312ae3e9b3c9")</f>
        <v>6f52f807-9641-4f21-b34f-312ae3e9b3c9</v>
      </c>
      <c r="E7711" s="1">
        <f>IFERROR(__xludf.DUMMYFUNCTION("""COMPUTED_VALUE"""),3.61724828456E11)</f>
        <v>361724828456</v>
      </c>
      <c r="F7711" s="1"/>
      <c r="G7711" s="1"/>
      <c r="H7711" s="3">
        <f>IFERROR(__xludf.DUMMYFUNCTION("""COMPUTED_VALUE"""),0.0)</f>
        <v>0</v>
      </c>
      <c r="I7711" s="4"/>
      <c r="J7711" s="1" t="str">
        <f>IFERROR(__xludf.DUMMYFUNCTION("""COMPUTED_VALUE"""),"Arlene Maurillo")</f>
        <v>Arlene Maurillo</v>
      </c>
      <c r="K7711" s="1" t="str">
        <f>IFERROR(__xludf.DUMMYFUNCTION("""COMPUTED_VALUE"""),"PHL, Multilingual Support")</f>
        <v>PHL, Multilingual Support</v>
      </c>
      <c r="L7711" s="1" t="str">
        <f>IFERROR(__xludf.DUMMYFUNCTION("""COMPUTED_VALUE"""),"ML Russian Support")</f>
        <v>ML Russian Support</v>
      </c>
    </row>
    <row r="7712">
      <c r="A7712" s="1" t="str">
        <f>IFERROR(__xludf.DUMMYFUNCTION("""COMPUTED_VALUE"""),"2025 Dec")</f>
        <v>2025 Dec</v>
      </c>
      <c r="B7712" s="2">
        <f>IFERROR(__xludf.DUMMYFUNCTION("""COMPUTED_VALUE"""),46013.0)</f>
        <v>46013</v>
      </c>
      <c r="C7712" s="1" t="str">
        <f>IFERROR(__xludf.DUMMYFUNCTION("""COMPUTED_VALUE"""),"Core Product Support")</f>
        <v>Core Product Support</v>
      </c>
      <c r="D7712" s="1" t="str">
        <f>IFERROR(__xludf.DUMMYFUNCTION("""COMPUTED_VALUE"""),"e9348ef0-6be7-4d18-8f01-bbb3181a2030")</f>
        <v>e9348ef0-6be7-4d18-8f01-bbb3181a2030</v>
      </c>
      <c r="E7712" s="1">
        <f>IFERROR(__xludf.DUMMYFUNCTION("""COMPUTED_VALUE"""),8.904451015951E12)</f>
        <v>8904451015951</v>
      </c>
      <c r="F7712" s="1">
        <f>IFERROR(__xludf.DUMMYFUNCTION("""COMPUTED_VALUE"""),0.5)</f>
        <v>0.5</v>
      </c>
      <c r="G7712" s="1"/>
      <c r="H7712" s="3">
        <f>IFERROR(__xludf.DUMMYFUNCTION("""COMPUTED_VALUE"""),0.5)</f>
        <v>0.5</v>
      </c>
      <c r="I7712" s="4">
        <f>IFERROR(__xludf.DUMMYFUNCTION("""COMPUTED_VALUE"""),0.0)</f>
        <v>0</v>
      </c>
      <c r="J7712" s="1" t="str">
        <f>IFERROR(__xludf.DUMMYFUNCTION("""COMPUTED_VALUE"""),"Ana Lazaro")</f>
        <v>Ana Lazaro</v>
      </c>
      <c r="K7712" s="1" t="str">
        <f>IFERROR(__xludf.DUMMYFUNCTION("""COMPUTED_VALUE"""),"Advanced Billing &amp; Subscriptions")</f>
        <v>Advanced Billing &amp; Subscriptions</v>
      </c>
      <c r="L7712" s="1" t="str">
        <f>IFERROR(__xludf.DUMMYFUNCTION("""COMPUTED_VALUE"""),"CPS Advanced Billing and Subscriptions (ABS)")</f>
        <v>CPS Advanced Billing and Subscriptions (ABS)</v>
      </c>
    </row>
    <row r="7713">
      <c r="A7713" s="1" t="str">
        <f>IFERROR(__xludf.DUMMYFUNCTION("""COMPUTED_VALUE"""),"2025 Dec")</f>
        <v>2025 Dec</v>
      </c>
      <c r="B7713" s="2">
        <f>IFERROR(__xludf.DUMMYFUNCTION("""COMPUTED_VALUE"""),46013.0)</f>
        <v>46013</v>
      </c>
      <c r="C7713" s="1" t="str">
        <f>IFERROR(__xludf.DUMMYFUNCTION("""COMPUTED_VALUE"""),"Core Product Support")</f>
        <v>Core Product Support</v>
      </c>
      <c r="D7713" s="1" t="str">
        <f>IFERROR(__xludf.DUMMYFUNCTION("""COMPUTED_VALUE"""),"5917755d-94e1-4bcf-b3d5-736f4efd635f")</f>
        <v>5917755d-94e1-4bcf-b3d5-736f4efd635f</v>
      </c>
      <c r="E7713" s="1">
        <f>IFERROR(__xludf.DUMMYFUNCTION("""COMPUTED_VALUE"""),3.61725488916E11)</f>
        <v>361725488916</v>
      </c>
      <c r="F7713" s="1">
        <f>IFERROR(__xludf.DUMMYFUNCTION("""COMPUTED_VALUE"""),0.5)</f>
        <v>0.5</v>
      </c>
      <c r="G7713" s="1">
        <f>IFERROR(__xludf.DUMMYFUNCTION("""COMPUTED_VALUE"""),2.5)</f>
        <v>2.5</v>
      </c>
      <c r="H7713" s="3">
        <f>IFERROR(__xludf.DUMMYFUNCTION("""COMPUTED_VALUE"""),3.0)</f>
        <v>3</v>
      </c>
      <c r="I7713" s="4">
        <f>IFERROR(__xludf.DUMMYFUNCTION("""COMPUTED_VALUE"""),0.8333333333333334)</f>
        <v>0.8333333333</v>
      </c>
      <c r="J7713" s="1" t="str">
        <f>IFERROR(__xludf.DUMMYFUNCTION("""COMPUTED_VALUE"""),"Bem Launte")</f>
        <v>Bem Launte</v>
      </c>
      <c r="K7713" s="1" t="str">
        <f>IFERROR(__xludf.DUMMYFUNCTION("""COMPUTED_VALUE"""),"Core Product Support Escalation Team")</f>
        <v>Core Product Support Escalation Team</v>
      </c>
      <c r="L7713" s="1" t="str">
        <f>IFERROR(__xludf.DUMMYFUNCTION("""COMPUTED_VALUE"""),"CPS Core Product Support Escalations (CPSET)")</f>
        <v>CPS Core Product Support Escalations (CPSET)</v>
      </c>
    </row>
    <row r="7714">
      <c r="A7714" s="1" t="str">
        <f>IFERROR(__xludf.DUMMYFUNCTION("""COMPUTED_VALUE"""),"2025 Dec")</f>
        <v>2025 Dec</v>
      </c>
      <c r="B7714" s="2">
        <f>IFERROR(__xludf.DUMMYFUNCTION("""COMPUTED_VALUE"""),46013.0)</f>
        <v>46013</v>
      </c>
      <c r="C7714" s="1" t="str">
        <f>IFERROR(__xludf.DUMMYFUNCTION("""COMPUTED_VALUE"""),"Admin Support")</f>
        <v>Admin Support</v>
      </c>
      <c r="D7714" s="1" t="str">
        <f>IFERROR(__xludf.DUMMYFUNCTION("""COMPUTED_VALUE"""),"869426c4-df7f-4a39-b2f3-8e70e583ed69")</f>
        <v>869426c4-df7f-4a39-b2f3-8e70e583ed69</v>
      </c>
      <c r="E7714" s="1">
        <f>IFERROR(__xludf.DUMMYFUNCTION("""COMPUTED_VALUE"""),3.61725115636E11)</f>
        <v>361725115636</v>
      </c>
      <c r="F7714" s="1"/>
      <c r="G7714" s="1"/>
      <c r="H7714" s="3">
        <f>IFERROR(__xludf.DUMMYFUNCTION("""COMPUTED_VALUE"""),0.0)</f>
        <v>0</v>
      </c>
      <c r="I7714" s="4"/>
      <c r="J7714" s="1" t="str">
        <f>IFERROR(__xludf.DUMMYFUNCTION("""COMPUTED_VALUE"""),"Camille Alvarez")</f>
        <v>Camille Alvarez</v>
      </c>
      <c r="K7714" s="1" t="str">
        <f>IFERROR(__xludf.DUMMYFUNCTION("""COMPUTED_VALUE"""),"Admin Support PH SSO")</f>
        <v>Admin Support PH SSO</v>
      </c>
      <c r="L7714" s="1" t="str">
        <f>IFERROR(__xludf.DUMMYFUNCTION("""COMPUTED_VALUE"""),"Admin SSO - SEE")</f>
        <v>Admin SSO - SEE</v>
      </c>
    </row>
    <row r="7715">
      <c r="A7715" s="1" t="str">
        <f>IFERROR(__xludf.DUMMYFUNCTION("""COMPUTED_VALUE"""),"2025 Dec")</f>
        <v>2025 Dec</v>
      </c>
      <c r="B7715" s="2">
        <f>IFERROR(__xludf.DUMMYFUNCTION("""COMPUTED_VALUE"""),46013.0)</f>
        <v>46013</v>
      </c>
      <c r="C7715" s="1" t="str">
        <f>IFERROR(__xludf.DUMMYFUNCTION("""COMPUTED_VALUE"""),"Print Support")</f>
        <v>Print Support</v>
      </c>
      <c r="D7715" s="1" t="str">
        <f>IFERROR(__xludf.DUMMYFUNCTION("""COMPUTED_VALUE"""),"cb7f900d-e2ff-4ff8-b74f-c2db90bdfb62")</f>
        <v>cb7f900d-e2ff-4ff8-b74f-c2db90bdfb62</v>
      </c>
      <c r="E7715" s="1">
        <f>IFERROR(__xludf.DUMMYFUNCTION("""COMPUTED_VALUE"""),3.61750052875E11)</f>
        <v>361750052875</v>
      </c>
      <c r="F7715" s="1">
        <f>IFERROR(__xludf.DUMMYFUNCTION("""COMPUTED_VALUE"""),2.0)</f>
        <v>2</v>
      </c>
      <c r="G7715" s="1"/>
      <c r="H7715" s="3">
        <f>IFERROR(__xludf.DUMMYFUNCTION("""COMPUTED_VALUE"""),2.0)</f>
        <v>2</v>
      </c>
      <c r="I7715" s="4">
        <f>IFERROR(__xludf.DUMMYFUNCTION("""COMPUTED_VALUE"""),0.0)</f>
        <v>0</v>
      </c>
      <c r="J7715" s="1" t="str">
        <f>IFERROR(__xludf.DUMMYFUNCTION("""COMPUTED_VALUE"""),"Memae Faustino")</f>
        <v>Memae Faustino</v>
      </c>
      <c r="K7715" s="1" t="str">
        <f>IFERROR(__xludf.DUMMYFUNCTION("""COMPUTED_VALUE"""),"Print Support PH")</f>
        <v>Print Support PH</v>
      </c>
      <c r="L7715" s="1" t="str">
        <f>IFERROR(__xludf.DUMMYFUNCTION("""COMPUTED_VALUE"""),"Print Print - SEE")</f>
        <v>Print Print - SEE</v>
      </c>
    </row>
    <row r="7716">
      <c r="A7716" s="1" t="str">
        <f>IFERROR(__xludf.DUMMYFUNCTION("""COMPUTED_VALUE"""),"2025 Dec")</f>
        <v>2025 Dec</v>
      </c>
      <c r="B7716" s="2">
        <f>IFERROR(__xludf.DUMMYFUNCTION("""COMPUTED_VALUE"""),46020.0)</f>
        <v>46020</v>
      </c>
      <c r="C7716" s="1" t="str">
        <f>IFERROR(__xludf.DUMMYFUNCTION("""COMPUTED_VALUE"""),"Segment-specific Support")</f>
        <v>Segment-specific Support</v>
      </c>
      <c r="D7716" s="1" t="str">
        <f>IFERROR(__xludf.DUMMYFUNCTION("""COMPUTED_VALUE"""),"71cc12d6-81ad-4480-9557-ff6a318e3277")</f>
        <v>71cc12d6-81ad-4480-9557-ff6a318e3277</v>
      </c>
      <c r="E7716" s="1">
        <f>IFERROR(__xludf.DUMMYFUNCTION("""COMPUTED_VALUE"""),3.61726424776E11)</f>
        <v>361726424776</v>
      </c>
      <c r="F7716" s="1">
        <f>IFERROR(__xludf.DUMMYFUNCTION("""COMPUTED_VALUE"""),0.5)</f>
        <v>0.5</v>
      </c>
      <c r="G7716" s="1"/>
      <c r="H7716" s="3">
        <f>IFERROR(__xludf.DUMMYFUNCTION("""COMPUTED_VALUE"""),0.5)</f>
        <v>0.5</v>
      </c>
      <c r="I7716" s="4">
        <f>IFERROR(__xludf.DUMMYFUNCTION("""COMPUTED_VALUE"""),0.0)</f>
        <v>0</v>
      </c>
      <c r="J7716" s="1" t="str">
        <f>IFERROR(__xludf.DUMMYFUNCTION("""COMPUTED_VALUE"""),"Jonathan Dimaculangan")</f>
        <v>Jonathan Dimaculangan</v>
      </c>
      <c r="K7716" s="1" t="str">
        <f>IFERROR(__xludf.DUMMYFUNCTION("""COMPUTED_VALUE"""),"Flourish Support")</f>
        <v>Flourish Support</v>
      </c>
      <c r="L7716" s="1" t="str">
        <f>IFERROR(__xludf.DUMMYFUNCTION("""COMPUTED_VALUE"""),"SSS Flourish")</f>
        <v>SSS Flourish</v>
      </c>
    </row>
    <row r="7717">
      <c r="A7717" s="1" t="str">
        <f>IFERROR(__xludf.DUMMYFUNCTION("""COMPUTED_VALUE"""),"2025 Dec")</f>
        <v>2025 Dec</v>
      </c>
      <c r="B7717" s="2">
        <f>IFERROR(__xludf.DUMMYFUNCTION("""COMPUTED_VALUE"""),46020.0)</f>
        <v>46020</v>
      </c>
      <c r="C7717" s="1" t="str">
        <f>IFERROR(__xludf.DUMMYFUNCTION("""COMPUTED_VALUE"""),"Core Product Support")</f>
        <v>Core Product Support</v>
      </c>
      <c r="D7717" s="1" t="str">
        <f>IFERROR(__xludf.DUMMYFUNCTION("""COMPUTED_VALUE"""),"ed8e075f-7119-4833-8af3-4c353a3fdda1")</f>
        <v>ed8e075f-7119-4833-8af3-4c353a3fdda1</v>
      </c>
      <c r="E7717" s="1">
        <f>IFERROR(__xludf.DUMMYFUNCTION("""COMPUTED_VALUE"""),4.502516921487E12)</f>
        <v>4502516921487</v>
      </c>
      <c r="F7717" s="1">
        <f>IFERROR(__xludf.DUMMYFUNCTION("""COMPUTED_VALUE"""),0.5)</f>
        <v>0.5</v>
      </c>
      <c r="G7717" s="1"/>
      <c r="H7717" s="3">
        <f>IFERROR(__xludf.DUMMYFUNCTION("""COMPUTED_VALUE"""),0.5)</f>
        <v>0.5</v>
      </c>
      <c r="I7717" s="4">
        <f>IFERROR(__xludf.DUMMYFUNCTION("""COMPUTED_VALUE"""),0.0)</f>
        <v>0</v>
      </c>
      <c r="J7717" s="1" t="str">
        <f>IFERROR(__xludf.DUMMYFUNCTION("""COMPUTED_VALUE"""),"Jem Mondoñedo")</f>
        <v>Jem Mondoñedo</v>
      </c>
      <c r="K7717" s="1" t="str">
        <f>IFERROR(__xludf.DUMMYFUNCTION("""COMPUTED_VALUE"""),"Advanced Chat Support")</f>
        <v>Advanced Chat Support</v>
      </c>
      <c r="L7717" s="1" t="str">
        <f>IFERROR(__xludf.DUMMYFUNCTION("""COMPUTED_VALUE"""),"CPS Advanced Chat Support (ACS)")</f>
        <v>CPS Advanced Chat Support (ACS)</v>
      </c>
    </row>
    <row r="7718">
      <c r="A7718" s="1" t="str">
        <f>IFERROR(__xludf.DUMMYFUNCTION("""COMPUTED_VALUE"""),"2025 Dec")</f>
        <v>2025 Dec</v>
      </c>
      <c r="B7718" s="2">
        <f>IFERROR(__xludf.DUMMYFUNCTION("""COMPUTED_VALUE"""),46020.0)</f>
        <v>46020</v>
      </c>
      <c r="C7718" s="1" t="str">
        <f>IFERROR(__xludf.DUMMYFUNCTION("""COMPUTED_VALUE"""),"Core Product Support")</f>
        <v>Core Product Support</v>
      </c>
      <c r="D7718" s="1" t="str">
        <f>IFERROR(__xludf.DUMMYFUNCTION("""COMPUTED_VALUE"""),"000279e3-fb19-4b90-a95c-080adc98c9aa")</f>
        <v>000279e3-fb19-4b90-a95c-080adc98c9aa</v>
      </c>
      <c r="E7718" s="1">
        <f>IFERROR(__xludf.DUMMYFUNCTION("""COMPUTED_VALUE"""),3.61861297935E11)</f>
        <v>361861297935</v>
      </c>
      <c r="F7718" s="1">
        <f>IFERROR(__xludf.DUMMYFUNCTION("""COMPUTED_VALUE"""),0.5)</f>
        <v>0.5</v>
      </c>
      <c r="G7718" s="1"/>
      <c r="H7718" s="3">
        <f>IFERROR(__xludf.DUMMYFUNCTION("""COMPUTED_VALUE"""),0.5)</f>
        <v>0.5</v>
      </c>
      <c r="I7718" s="4">
        <f>IFERROR(__xludf.DUMMYFUNCTION("""COMPUTED_VALUE"""),0.0)</f>
        <v>0</v>
      </c>
      <c r="J7718" s="1" t="str">
        <f>IFERROR(__xludf.DUMMYFUNCTION("""COMPUTED_VALUE"""),"Jahmie Mae Barrameda")</f>
        <v>Jahmie Mae Barrameda</v>
      </c>
      <c r="K7718" s="1" t="str">
        <f>IFERROR(__xludf.DUMMYFUNCTION("""COMPUTED_VALUE"""),"Advanced Billing &amp; Subscriptions")</f>
        <v>Advanced Billing &amp; Subscriptions</v>
      </c>
      <c r="L7718" s="1" t="str">
        <f>IFERROR(__xludf.DUMMYFUNCTION("""COMPUTED_VALUE"""),"CPS Advanced Billing and Subscriptions (ABS)")</f>
        <v>CPS Advanced Billing and Subscriptions (ABS)</v>
      </c>
    </row>
    <row r="7719">
      <c r="A7719" s="1" t="str">
        <f>IFERROR(__xludf.DUMMYFUNCTION("""COMPUTED_VALUE"""),"2025 Dec")</f>
        <v>2025 Dec</v>
      </c>
      <c r="B7719" s="2">
        <f>IFERROR(__xludf.DUMMYFUNCTION("""COMPUTED_VALUE"""),46020.0)</f>
        <v>46020</v>
      </c>
      <c r="C7719" s="1" t="str">
        <f>IFERROR(__xludf.DUMMYFUNCTION("""COMPUTED_VALUE"""),"Print Support")</f>
        <v>Print Support</v>
      </c>
      <c r="D7719" s="1" t="str">
        <f>IFERROR(__xludf.DUMMYFUNCTION("""COMPUTED_VALUE"""),"61035b18-fc2e-492c-ae7d-227048511bcf")</f>
        <v>61035b18-fc2e-492c-ae7d-227048511bcf</v>
      </c>
      <c r="E7719" s="1"/>
      <c r="F7719" s="1"/>
      <c r="G7719" s="1"/>
      <c r="H7719" s="3">
        <f>IFERROR(__xludf.DUMMYFUNCTION("""COMPUTED_VALUE"""),0.0)</f>
        <v>0</v>
      </c>
      <c r="I7719" s="4"/>
      <c r="J7719" s="1" t="str">
        <f>IFERROR(__xludf.DUMMYFUNCTION("""COMPUTED_VALUE"""),"Gem Agoncillo")</f>
        <v>Gem Agoncillo</v>
      </c>
      <c r="K7719" s="1" t="str">
        <f>IFERROR(__xludf.DUMMYFUNCTION("""COMPUTED_VALUE"""),"Print Design Support")</f>
        <v>Print Design Support</v>
      </c>
      <c r="L7719" s="1" t="str">
        <f>IFERROR(__xludf.DUMMYFUNCTION("""COMPUTED_VALUE"""),"Print Print Design")</f>
        <v>Print Print Design</v>
      </c>
    </row>
    <row r="7720">
      <c r="A7720" s="1" t="str">
        <f>IFERROR(__xludf.DUMMYFUNCTION("""COMPUTED_VALUE"""),"2025 Dec")</f>
        <v>2025 Dec</v>
      </c>
      <c r="B7720" s="2">
        <f>IFERROR(__xludf.DUMMYFUNCTION("""COMPUTED_VALUE"""),46020.0)</f>
        <v>46020</v>
      </c>
      <c r="C7720" s="1" t="str">
        <f>IFERROR(__xludf.DUMMYFUNCTION("""COMPUTED_VALUE"""),"Core Product Support")</f>
        <v>Core Product Support</v>
      </c>
      <c r="D7720" s="1" t="str">
        <f>IFERROR(__xludf.DUMMYFUNCTION("""COMPUTED_VALUE"""),"7f6e3175-f6cd-4a70-93aa-118856f83921")</f>
        <v>7f6e3175-f6cd-4a70-93aa-118856f83921</v>
      </c>
      <c r="E7720" s="1">
        <f>IFERROR(__xludf.DUMMYFUNCTION("""COMPUTED_VALUE"""),1.0333019153039E13)</f>
        <v>10333019153039</v>
      </c>
      <c r="F7720" s="1">
        <f>IFERROR(__xludf.DUMMYFUNCTION("""COMPUTED_VALUE"""),0.5)</f>
        <v>0.5</v>
      </c>
      <c r="G7720" s="1"/>
      <c r="H7720" s="3">
        <f>IFERROR(__xludf.DUMMYFUNCTION("""COMPUTED_VALUE"""),0.5)</f>
        <v>0.5</v>
      </c>
      <c r="I7720" s="4">
        <f>IFERROR(__xludf.DUMMYFUNCTION("""COMPUTED_VALUE"""),0.0)</f>
        <v>0</v>
      </c>
      <c r="J7720" s="1" t="str">
        <f>IFERROR(__xludf.DUMMYFUNCTION("""COMPUTED_VALUE"""),"Belle Bentazal")</f>
        <v>Belle Bentazal</v>
      </c>
      <c r="K7720" s="1" t="str">
        <f>IFERROR(__xludf.DUMMYFUNCTION("""COMPUTED_VALUE"""),"Advanced Product Support")</f>
        <v>Advanced Product Support</v>
      </c>
      <c r="L7720" s="1" t="str">
        <f>IFERROR(__xludf.DUMMYFUNCTION("""COMPUTED_VALUE"""),"CPS Advanced Product Support (APS)")</f>
        <v>CPS Advanced Product Support (APS)</v>
      </c>
    </row>
    <row r="7721">
      <c r="A7721" s="1" t="str">
        <f>IFERROR(__xludf.DUMMYFUNCTION("""COMPUTED_VALUE"""),"2025 Dec")</f>
        <v>2025 Dec</v>
      </c>
      <c r="B7721" s="2">
        <f>IFERROR(__xludf.DUMMYFUNCTION("""COMPUTED_VALUE"""),46020.0)</f>
        <v>46020</v>
      </c>
      <c r="C7721" s="1" t="str">
        <f>IFERROR(__xludf.DUMMYFUNCTION("""COMPUTED_VALUE"""),"Segment-specific Support")</f>
        <v>Segment-specific Support</v>
      </c>
      <c r="D7721" s="1" t="str">
        <f>IFERROR(__xludf.DUMMYFUNCTION("""COMPUTED_VALUE"""),"8941a42e-630f-4e32-ac1a-aa9495a2b319")</f>
        <v>8941a42e-630f-4e32-ac1a-aa9495a2b319</v>
      </c>
      <c r="E7721" s="1">
        <f>IFERROR(__xludf.DUMMYFUNCTION("""COMPUTED_VALUE"""),3.61731514775E11)</f>
        <v>361731514775</v>
      </c>
      <c r="F7721" s="1"/>
      <c r="G7721" s="1"/>
      <c r="H7721" s="3">
        <f>IFERROR(__xludf.DUMMYFUNCTION("""COMPUTED_VALUE"""),0.0)</f>
        <v>0</v>
      </c>
      <c r="I7721" s="4"/>
      <c r="J7721" s="1" t="str">
        <f>IFERROR(__xludf.DUMMYFUNCTION("""COMPUTED_VALUE"""),"Aileen Dayanghirang")</f>
        <v>Aileen Dayanghirang</v>
      </c>
      <c r="K7721" s="1" t="str">
        <f>IFERROR(__xludf.DUMMYFUNCTION("""COMPUTED_VALUE"""),"Creators Support")</f>
        <v>Creators Support</v>
      </c>
      <c r="L7721" s="1" t="str">
        <f>IFERROR(__xludf.DUMMYFUNCTION("""COMPUTED_VALUE"""),"SSS Creators")</f>
        <v>SSS Creators</v>
      </c>
    </row>
    <row r="7722">
      <c r="A7722" s="1" t="str">
        <f>IFERROR(__xludf.DUMMYFUNCTION("""COMPUTED_VALUE"""),"2025 Dec")</f>
        <v>2025 Dec</v>
      </c>
      <c r="B7722" s="2">
        <f>IFERROR(__xludf.DUMMYFUNCTION("""COMPUTED_VALUE"""),46020.0)</f>
        <v>46020</v>
      </c>
      <c r="C7722" s="1" t="str">
        <f>IFERROR(__xludf.DUMMYFUNCTION("""COMPUTED_VALUE"""),"Segment-specific Support")</f>
        <v>Segment-specific Support</v>
      </c>
      <c r="D7722" s="1" t="str">
        <f>IFERROR(__xludf.DUMMYFUNCTION("""COMPUTED_VALUE"""),"dfd09cbc-1248-47f6-96ff-bb4b2c38ce63")</f>
        <v>dfd09cbc-1248-47f6-96ff-bb4b2c38ce63</v>
      </c>
      <c r="E7722" s="1">
        <f>IFERROR(__xludf.DUMMYFUNCTION("""COMPUTED_VALUE"""),3.61725262736E11)</f>
        <v>361725262736</v>
      </c>
      <c r="F7722" s="1"/>
      <c r="G7722" s="1"/>
      <c r="H7722" s="3">
        <f>IFERROR(__xludf.DUMMYFUNCTION("""COMPUTED_VALUE"""),0.0)</f>
        <v>0</v>
      </c>
      <c r="I7722" s="4"/>
      <c r="J7722" s="1" t="str">
        <f>IFERROR(__xludf.DUMMYFUNCTION("""COMPUTED_VALUE"""),"Tash Kelly")</f>
        <v>Tash Kelly</v>
      </c>
      <c r="K7722" s="1" t="str">
        <f>IFERROR(__xludf.DUMMYFUNCTION("""COMPUTED_VALUE"""),"Affinity Support")</f>
        <v>Affinity Support</v>
      </c>
      <c r="L7722" s="1" t="str">
        <f>IFERROR(__xludf.DUMMYFUNCTION("""COMPUTED_VALUE"""),"SSS Affinity")</f>
        <v>SSS Affinity</v>
      </c>
    </row>
    <row r="7723">
      <c r="A7723" s="1" t="str">
        <f>IFERROR(__xludf.DUMMYFUNCTION("""COMPUTED_VALUE"""),"2025 Dec")</f>
        <v>2025 Dec</v>
      </c>
      <c r="B7723" s="2">
        <f>IFERROR(__xludf.DUMMYFUNCTION("""COMPUTED_VALUE"""),46020.0)</f>
        <v>46020</v>
      </c>
      <c r="C7723" s="1" t="str">
        <f>IFERROR(__xludf.DUMMYFUNCTION("""COMPUTED_VALUE"""),"Segment-specific Support")</f>
        <v>Segment-specific Support</v>
      </c>
      <c r="D7723" s="1" t="str">
        <f>IFERROR(__xludf.DUMMYFUNCTION("""COMPUTED_VALUE"""),"14ab0e6b-ba36-4083-a4df-79ae04c36179")</f>
        <v>14ab0e6b-ba36-4083-a4df-79ae04c36179</v>
      </c>
      <c r="E7723" s="1">
        <f>IFERROR(__xludf.DUMMYFUNCTION("""COMPUTED_VALUE"""),1.0548580059023E13)</f>
        <v>10548580059023</v>
      </c>
      <c r="F7723" s="1">
        <f>IFERROR(__xludf.DUMMYFUNCTION("""COMPUTED_VALUE"""),0.5)</f>
        <v>0.5</v>
      </c>
      <c r="G7723" s="1"/>
      <c r="H7723" s="3">
        <f>IFERROR(__xludf.DUMMYFUNCTION("""COMPUTED_VALUE"""),0.5)</f>
        <v>0.5</v>
      </c>
      <c r="I7723" s="4">
        <f>IFERROR(__xludf.DUMMYFUNCTION("""COMPUTED_VALUE"""),0.0)</f>
        <v>0</v>
      </c>
      <c r="J7723" s="1" t="str">
        <f>IFERROR(__xludf.DUMMYFUNCTION("""COMPUTED_VALUE"""),"Jonathan Dimaculangan")</f>
        <v>Jonathan Dimaculangan</v>
      </c>
      <c r="K7723" s="1" t="str">
        <f>IFERROR(__xludf.DUMMYFUNCTION("""COMPUTED_VALUE"""),"Flourish Support")</f>
        <v>Flourish Support</v>
      </c>
      <c r="L7723" s="1" t="str">
        <f>IFERROR(__xludf.DUMMYFUNCTION("""COMPUTED_VALUE"""),"SSS Flourish")</f>
        <v>SSS Flourish</v>
      </c>
    </row>
    <row r="7724">
      <c r="A7724" s="1" t="str">
        <f>IFERROR(__xludf.DUMMYFUNCTION("""COMPUTED_VALUE"""),"2025 Dec")</f>
        <v>2025 Dec</v>
      </c>
      <c r="B7724" s="2">
        <f>IFERROR(__xludf.DUMMYFUNCTION("""COMPUTED_VALUE"""),46020.0)</f>
        <v>46020</v>
      </c>
      <c r="C7724" s="1" t="str">
        <f>IFERROR(__xludf.DUMMYFUNCTION("""COMPUTED_VALUE"""),"Admin Support")</f>
        <v>Admin Support</v>
      </c>
      <c r="D7724" s="1" t="str">
        <f>IFERROR(__xludf.DUMMYFUNCTION("""COMPUTED_VALUE"""),"37c57b4f-487c-4c75-8926-0d22cc125dcf")</f>
        <v>37c57b4f-487c-4c75-8926-0d22cc125dcf</v>
      </c>
      <c r="E7724" s="1">
        <f>IFERROR(__xludf.DUMMYFUNCTION("""COMPUTED_VALUE"""),9.153765932815E12)</f>
        <v>9153765932815</v>
      </c>
      <c r="F7724" s="1"/>
      <c r="G7724" s="1"/>
      <c r="H7724" s="3">
        <f>IFERROR(__xludf.DUMMYFUNCTION("""COMPUTED_VALUE"""),0.0)</f>
        <v>0</v>
      </c>
      <c r="I7724" s="4"/>
      <c r="J7724" s="1" t="str">
        <f>IFERROR(__xludf.DUMMYFUNCTION("""COMPUTED_VALUE"""),"Tash Kelly")</f>
        <v>Tash Kelly</v>
      </c>
      <c r="K7724" s="1" t="str">
        <f>IFERROR(__xludf.DUMMYFUNCTION("""COMPUTED_VALUE"""),"Admin Support EMEA")</f>
        <v>Admin Support EMEA</v>
      </c>
      <c r="L7724" s="1" t="str">
        <f>IFERROR(__xludf.DUMMYFUNCTION("""COMPUTED_VALUE"""),"Admin EMEA")</f>
        <v>Admin EMEA</v>
      </c>
    </row>
    <row r="7725">
      <c r="A7725" s="1" t="str">
        <f>IFERROR(__xludf.DUMMYFUNCTION("""COMPUTED_VALUE"""),"2025 Dec")</f>
        <v>2025 Dec</v>
      </c>
      <c r="B7725" s="2">
        <f>IFERROR(__xludf.DUMMYFUNCTION("""COMPUTED_VALUE"""),46020.0)</f>
        <v>46020</v>
      </c>
      <c r="C7725" s="1" t="str">
        <f>IFERROR(__xludf.DUMMYFUNCTION("""COMPUTED_VALUE"""),"Print Support")</f>
        <v>Print Support</v>
      </c>
      <c r="D7725" s="1" t="str">
        <f>IFERROR(__xludf.DUMMYFUNCTION("""COMPUTED_VALUE"""),"745adc44-2fda-43ea-bdcd-39c28e369ddc")</f>
        <v>745adc44-2fda-43ea-bdcd-39c28e369ddc</v>
      </c>
      <c r="E7725" s="1">
        <f>IFERROR(__xludf.DUMMYFUNCTION("""COMPUTED_VALUE"""),3.61731943495E11)</f>
        <v>361731943495</v>
      </c>
      <c r="F7725" s="1"/>
      <c r="G7725" s="1"/>
      <c r="H7725" s="3">
        <f>IFERROR(__xludf.DUMMYFUNCTION("""COMPUTED_VALUE"""),0.0)</f>
        <v>0</v>
      </c>
      <c r="I7725" s="4"/>
      <c r="J7725" s="1" t="str">
        <f>IFERROR(__xludf.DUMMYFUNCTION("""COMPUTED_VALUE"""),"Ann Dumlao")</f>
        <v>Ann Dumlao</v>
      </c>
      <c r="K7725" s="1" t="str">
        <f>IFERROR(__xludf.DUMMYFUNCTION("""COMPUTED_VALUE"""),"Print Support PH")</f>
        <v>Print Support PH</v>
      </c>
      <c r="L7725" s="1" t="str">
        <f>IFERROR(__xludf.DUMMYFUNCTION("""COMPUTED_VALUE"""),"Print Print - CHT")</f>
        <v>Print Print - CHT</v>
      </c>
    </row>
    <row r="7726">
      <c r="A7726" s="1" t="str">
        <f>IFERROR(__xludf.DUMMYFUNCTION("""COMPUTED_VALUE"""),"2025 Dec")</f>
        <v>2025 Dec</v>
      </c>
      <c r="B7726" s="2">
        <f>IFERROR(__xludf.DUMMYFUNCTION("""COMPUTED_VALUE"""),46020.0)</f>
        <v>46020</v>
      </c>
      <c r="C7726" s="1" t="str">
        <f>IFERROR(__xludf.DUMMYFUNCTION("""COMPUTED_VALUE"""),"Print Support")</f>
        <v>Print Support</v>
      </c>
      <c r="D7726" s="1" t="str">
        <f>IFERROR(__xludf.DUMMYFUNCTION("""COMPUTED_VALUE"""),"98326c76-87c9-4e59-a377-8cc144d863d0")</f>
        <v>98326c76-87c9-4e59-a377-8cc144d863d0</v>
      </c>
      <c r="E7726" s="1">
        <f>IFERROR(__xludf.DUMMYFUNCTION("""COMPUTED_VALUE"""),5.902016055567E12)</f>
        <v>5902016055567</v>
      </c>
      <c r="F7726" s="1">
        <f>IFERROR(__xludf.DUMMYFUNCTION("""COMPUTED_VALUE"""),2.0)</f>
        <v>2</v>
      </c>
      <c r="G7726" s="1"/>
      <c r="H7726" s="3">
        <f>IFERROR(__xludf.DUMMYFUNCTION("""COMPUTED_VALUE"""),2.0)</f>
        <v>2</v>
      </c>
      <c r="I7726" s="4">
        <f>IFERROR(__xludf.DUMMYFUNCTION("""COMPUTED_VALUE"""),0.0)</f>
        <v>0</v>
      </c>
      <c r="J7726" s="1" t="str">
        <f>IFERROR(__xludf.DUMMYFUNCTION("""COMPUTED_VALUE"""),"Rae Erlano")</f>
        <v>Rae Erlano</v>
      </c>
      <c r="K7726" s="1" t="str">
        <f>IFERROR(__xludf.DUMMYFUNCTION("""COMPUTED_VALUE"""),"Print Support PH")</f>
        <v>Print Support PH</v>
      </c>
      <c r="L7726" s="1" t="str">
        <f>IFERROR(__xludf.DUMMYFUNCTION("""COMPUTED_VALUE"""),"Print Print - SEE")</f>
        <v>Print Print - SEE</v>
      </c>
    </row>
    <row r="7727">
      <c r="A7727" s="1" t="str">
        <f>IFERROR(__xludf.DUMMYFUNCTION("""COMPUTED_VALUE"""),"2025 Dec")</f>
        <v>2025 Dec</v>
      </c>
      <c r="B7727" s="2">
        <f>IFERROR(__xludf.DUMMYFUNCTION("""COMPUTED_VALUE"""),46020.0)</f>
        <v>46020</v>
      </c>
      <c r="C7727" s="1" t="str">
        <f>IFERROR(__xludf.DUMMYFUNCTION("""COMPUTED_VALUE"""),"Print Support")</f>
        <v>Print Support</v>
      </c>
      <c r="D7727" s="1" t="str">
        <f>IFERROR(__xludf.DUMMYFUNCTION("""COMPUTED_VALUE"""),"233133e3-a3d0-492d-bb55-8a7c4ffc4966")</f>
        <v>233133e3-a3d0-492d-bb55-8a7c4ffc4966</v>
      </c>
      <c r="E7727" s="1">
        <f>IFERROR(__xludf.DUMMYFUNCTION("""COMPUTED_VALUE"""),5.902016026895E12)</f>
        <v>5902016026895</v>
      </c>
      <c r="F7727" s="1"/>
      <c r="G7727" s="1"/>
      <c r="H7727" s="3">
        <f>IFERROR(__xludf.DUMMYFUNCTION("""COMPUTED_VALUE"""),0.0)</f>
        <v>0</v>
      </c>
      <c r="I7727" s="4"/>
      <c r="J7727" s="1" t="str">
        <f>IFERROR(__xludf.DUMMYFUNCTION("""COMPUTED_VALUE"""),"Althea Mercado")</f>
        <v>Althea Mercado</v>
      </c>
      <c r="K7727" s="1" t="str">
        <f>IFERROR(__xludf.DUMMYFUNCTION("""COMPUTED_VALUE"""),"Print Support PH")</f>
        <v>Print Support PH</v>
      </c>
      <c r="L7727" s="1" t="str">
        <f>IFERROR(__xludf.DUMMYFUNCTION("""COMPUTED_VALUE"""),"Print Print - CHT")</f>
        <v>Print Print - CHT</v>
      </c>
    </row>
    <row r="7728">
      <c r="A7728" s="1" t="str">
        <f>IFERROR(__xludf.DUMMYFUNCTION("""COMPUTED_VALUE"""),"2025 Dec")</f>
        <v>2025 Dec</v>
      </c>
      <c r="B7728" s="2">
        <f>IFERROR(__xludf.DUMMYFUNCTION("""COMPUTED_VALUE"""),46020.0)</f>
        <v>46020</v>
      </c>
      <c r="C7728" s="1" t="str">
        <f>IFERROR(__xludf.DUMMYFUNCTION("""COMPUTED_VALUE"""),"Print Support")</f>
        <v>Print Support</v>
      </c>
      <c r="D7728" s="1" t="str">
        <f>IFERROR(__xludf.DUMMYFUNCTION("""COMPUTED_VALUE"""),"0dc0eea0-be83-425b-9b40-b42bc444972b")</f>
        <v>0dc0eea0-be83-425b-9b40-b42bc444972b</v>
      </c>
      <c r="E7728" s="1"/>
      <c r="F7728" s="1"/>
      <c r="G7728" s="1"/>
      <c r="H7728" s="3">
        <f>IFERROR(__xludf.DUMMYFUNCTION("""COMPUTED_VALUE"""),0.0)</f>
        <v>0</v>
      </c>
      <c r="I7728" s="4"/>
      <c r="J7728" s="1" t="str">
        <f>IFERROR(__xludf.DUMMYFUNCTION("""COMPUTED_VALUE"""),"G-Anne Murillo")</f>
        <v>G-Anne Murillo</v>
      </c>
      <c r="K7728" s="1" t="str">
        <f>IFERROR(__xludf.DUMMYFUNCTION("""COMPUTED_VALUE"""),"Print Design Support")</f>
        <v>Print Design Support</v>
      </c>
      <c r="L7728" s="1" t="str">
        <f>IFERROR(__xludf.DUMMYFUNCTION("""COMPUTED_VALUE"""),"Print Print Design")</f>
        <v>Print Print Design</v>
      </c>
    </row>
    <row r="7729">
      <c r="A7729" s="1" t="str">
        <f>IFERROR(__xludf.DUMMYFUNCTION("""COMPUTED_VALUE"""),"2025 Dec")</f>
        <v>2025 Dec</v>
      </c>
      <c r="B7729" s="2">
        <f>IFERROR(__xludf.DUMMYFUNCTION("""COMPUTED_VALUE"""),46020.0)</f>
        <v>46020</v>
      </c>
      <c r="C7729" s="1" t="str">
        <f>IFERROR(__xludf.DUMMYFUNCTION("""COMPUTED_VALUE"""),"Print Support")</f>
        <v>Print Support</v>
      </c>
      <c r="D7729" s="1" t="str">
        <f>IFERROR(__xludf.DUMMYFUNCTION("""COMPUTED_VALUE"""),"9721fddb-68a3-4642-ad70-9c123debd6c5")</f>
        <v>9721fddb-68a3-4642-ad70-9c123debd6c5</v>
      </c>
      <c r="E7729" s="1">
        <f>IFERROR(__xludf.DUMMYFUNCTION("""COMPUTED_VALUE"""),5.202379069967E12)</f>
        <v>5202379069967</v>
      </c>
      <c r="F7729" s="1"/>
      <c r="G7729" s="1"/>
      <c r="H7729" s="3">
        <f>IFERROR(__xludf.DUMMYFUNCTION("""COMPUTED_VALUE"""),0.0)</f>
        <v>0</v>
      </c>
      <c r="I7729" s="4"/>
      <c r="J7729" s="1" t="str">
        <f>IFERROR(__xludf.DUMMYFUNCTION("""COMPUTED_VALUE"""),"Jen Momo")</f>
        <v>Jen Momo</v>
      </c>
      <c r="K7729" s="1" t="str">
        <f>IFERROR(__xludf.DUMMYFUNCTION("""COMPUTED_VALUE"""),"Print Support PH")</f>
        <v>Print Support PH</v>
      </c>
      <c r="L7729" s="1" t="str">
        <f>IFERROR(__xludf.DUMMYFUNCTION("""COMPUTED_VALUE"""),"Print Print - CHT")</f>
        <v>Print Print - CHT</v>
      </c>
    </row>
    <row r="7730">
      <c r="A7730" s="1" t="str">
        <f>IFERROR(__xludf.DUMMYFUNCTION("""COMPUTED_VALUE"""),"2025 Dec")</f>
        <v>2025 Dec</v>
      </c>
      <c r="B7730" s="2">
        <f>IFERROR(__xludf.DUMMYFUNCTION("""COMPUTED_VALUE"""),46020.0)</f>
        <v>46020</v>
      </c>
      <c r="C7730" s="1" t="str">
        <f>IFERROR(__xludf.DUMMYFUNCTION("""COMPUTED_VALUE"""),"Core Product Support")</f>
        <v>Core Product Support</v>
      </c>
      <c r="D7730" s="1" t="str">
        <f>IFERROR(__xludf.DUMMYFUNCTION("""COMPUTED_VALUE"""),"63913765-f42c-45e4-8f9a-eb96d52c2d61")</f>
        <v>63913765-f42c-45e4-8f9a-eb96d52c2d61</v>
      </c>
      <c r="E7730" s="1">
        <f>IFERROR(__xludf.DUMMYFUNCTION("""COMPUTED_VALUE"""),1.0333018822031E13)</f>
        <v>10333018822031</v>
      </c>
      <c r="F7730" s="1">
        <f>IFERROR(__xludf.DUMMYFUNCTION("""COMPUTED_VALUE"""),1.0)</f>
        <v>1</v>
      </c>
      <c r="G7730" s="1"/>
      <c r="H7730" s="3">
        <f>IFERROR(__xludf.DUMMYFUNCTION("""COMPUTED_VALUE"""),1.0)</f>
        <v>1</v>
      </c>
      <c r="I7730" s="4">
        <f>IFERROR(__xludf.DUMMYFUNCTION("""COMPUTED_VALUE"""),0.0)</f>
        <v>0</v>
      </c>
      <c r="J7730" s="1" t="str">
        <f>IFERROR(__xludf.DUMMYFUNCTION("""COMPUTED_VALUE"""),"Vinz Lazaro")</f>
        <v>Vinz Lazaro</v>
      </c>
      <c r="K7730" s="1" t="str">
        <f>IFERROR(__xludf.DUMMYFUNCTION("""COMPUTED_VALUE"""),"Advanced Product Support")</f>
        <v>Advanced Product Support</v>
      </c>
      <c r="L7730" s="1" t="str">
        <f>IFERROR(__xludf.DUMMYFUNCTION("""COMPUTED_VALUE"""),"CPS Advanced Product Support (APS)")</f>
        <v>CPS Advanced Product Support (APS)</v>
      </c>
    </row>
    <row r="7731">
      <c r="A7731" s="1" t="str">
        <f>IFERROR(__xludf.DUMMYFUNCTION("""COMPUTED_VALUE"""),"2025 Dec")</f>
        <v>2025 Dec</v>
      </c>
      <c r="B7731" s="2">
        <f>IFERROR(__xludf.DUMMYFUNCTION("""COMPUTED_VALUE"""),46020.0)</f>
        <v>46020</v>
      </c>
      <c r="C7731" s="1" t="str">
        <f>IFERROR(__xludf.DUMMYFUNCTION("""COMPUTED_VALUE"""),"Core Product Support")</f>
        <v>Core Product Support</v>
      </c>
      <c r="D7731" s="1" t="str">
        <f>IFERROR(__xludf.DUMMYFUNCTION("""COMPUTED_VALUE"""),"ab157f99-7ffd-4d9d-9c79-c3cf66911088")</f>
        <v>ab157f99-7ffd-4d9d-9c79-c3cf66911088</v>
      </c>
      <c r="E7731" s="1">
        <f>IFERROR(__xludf.DUMMYFUNCTION("""COMPUTED_VALUE"""),3.61731646775E11)</f>
        <v>361731646775</v>
      </c>
      <c r="F7731" s="1">
        <f>IFERROR(__xludf.DUMMYFUNCTION("""COMPUTED_VALUE"""),0.5)</f>
        <v>0.5</v>
      </c>
      <c r="G7731" s="1">
        <f>IFERROR(__xludf.DUMMYFUNCTION("""COMPUTED_VALUE"""),2.5)</f>
        <v>2.5</v>
      </c>
      <c r="H7731" s="3">
        <f>IFERROR(__xludf.DUMMYFUNCTION("""COMPUTED_VALUE"""),3.0)</f>
        <v>3</v>
      </c>
      <c r="I7731" s="4">
        <f>IFERROR(__xludf.DUMMYFUNCTION("""COMPUTED_VALUE"""),0.8333333333333334)</f>
        <v>0.8333333333</v>
      </c>
      <c r="J7731" s="1" t="str">
        <f>IFERROR(__xludf.DUMMYFUNCTION("""COMPUTED_VALUE"""),"Sieg Ballelos")</f>
        <v>Sieg Ballelos</v>
      </c>
      <c r="K7731" s="1" t="str">
        <f>IFERROR(__xludf.DUMMYFUNCTION("""COMPUTED_VALUE"""),"Core Product Support Escalation Team")</f>
        <v>Core Product Support Escalation Team</v>
      </c>
      <c r="L7731" s="1" t="str">
        <f>IFERROR(__xludf.DUMMYFUNCTION("""COMPUTED_VALUE"""),"CPS Core Product Support Escalations (CPSET)")</f>
        <v>CPS Core Product Support Escalations (CPSET)</v>
      </c>
    </row>
    <row r="7732">
      <c r="A7732" s="1" t="str">
        <f>IFERROR(__xludf.DUMMYFUNCTION("""COMPUTED_VALUE"""),"2025 Dec")</f>
        <v>2025 Dec</v>
      </c>
      <c r="B7732" s="2">
        <f>IFERROR(__xludf.DUMMYFUNCTION("""COMPUTED_VALUE"""),46020.0)</f>
        <v>46020</v>
      </c>
      <c r="C7732" s="1" t="str">
        <f>IFERROR(__xludf.DUMMYFUNCTION("""COMPUTED_VALUE"""),"Admin Support")</f>
        <v>Admin Support</v>
      </c>
      <c r="D7732" s="1" t="str">
        <f>IFERROR(__xludf.DUMMYFUNCTION("""COMPUTED_VALUE"""),"eb8376ed-4cf6-4826-b5fb-2b6844150189")</f>
        <v>eb8376ed-4cf6-4826-b5fb-2b6844150189</v>
      </c>
      <c r="E7732" s="1">
        <f>IFERROR(__xludf.DUMMYFUNCTION("""COMPUTED_VALUE"""),3.61731516535E11)</f>
        <v>361731516535</v>
      </c>
      <c r="F7732" s="1"/>
      <c r="G7732" s="1"/>
      <c r="H7732" s="3">
        <f>IFERROR(__xludf.DUMMYFUNCTION("""COMPUTED_VALUE"""),0.0)</f>
        <v>0</v>
      </c>
      <c r="I7732" s="4"/>
      <c r="J7732" s="1" t="str">
        <f>IFERROR(__xludf.DUMMYFUNCTION("""COMPUTED_VALUE"""),"Pau Palmero")</f>
        <v>Pau Palmero</v>
      </c>
      <c r="K7732" s="1" t="str">
        <f>IFERROR(__xludf.DUMMYFUNCTION("""COMPUTED_VALUE"""),"Admin Support PH CEDD")</f>
        <v>Admin Support PH CEDD</v>
      </c>
      <c r="L7732" s="1" t="str">
        <f>IFERROR(__xludf.DUMMYFUNCTION("""COMPUTED_VALUE"""),"Admin CEDD Apps,Admin CEDD Inbox Mgt")</f>
        <v>Admin CEDD Apps,Admin CEDD Inbox Mgt</v>
      </c>
    </row>
    <row r="7733">
      <c r="A7733" s="1" t="str">
        <f>IFERROR(__xludf.DUMMYFUNCTION("""COMPUTED_VALUE"""),"2025 Dec")</f>
        <v>2025 Dec</v>
      </c>
      <c r="B7733" s="2">
        <f>IFERROR(__xludf.DUMMYFUNCTION("""COMPUTED_VALUE"""),46020.0)</f>
        <v>46020</v>
      </c>
      <c r="C7733" s="1" t="str">
        <f>IFERROR(__xludf.DUMMYFUNCTION("""COMPUTED_VALUE"""),"Segment-specific Support")</f>
        <v>Segment-specific Support</v>
      </c>
      <c r="D7733" s="1" t="str">
        <f>IFERROR(__xludf.DUMMYFUNCTION("""COMPUTED_VALUE"""),"5f0cce5a-c29c-416c-a9e9-e7e3fa282c8a")</f>
        <v>5f0cce5a-c29c-416c-a9e9-e7e3fa282c8a</v>
      </c>
      <c r="E7733" s="1">
        <f>IFERROR(__xludf.DUMMYFUNCTION("""COMPUTED_VALUE"""),9.903289405711E12)</f>
        <v>9903289405711</v>
      </c>
      <c r="F7733" s="1">
        <f>IFERROR(__xludf.DUMMYFUNCTION("""COMPUTED_VALUE"""),0.5)</f>
        <v>0.5</v>
      </c>
      <c r="G7733" s="1"/>
      <c r="H7733" s="3">
        <f>IFERROR(__xludf.DUMMYFUNCTION("""COMPUTED_VALUE"""),0.5)</f>
        <v>0.5</v>
      </c>
      <c r="I7733" s="4">
        <f>IFERROR(__xludf.DUMMYFUNCTION("""COMPUTED_VALUE"""),0.0)</f>
        <v>0</v>
      </c>
      <c r="J7733" s="1" t="str">
        <f>IFERROR(__xludf.DUMMYFUNCTION("""COMPUTED_VALUE"""),"Jonathan Dimaculangan")</f>
        <v>Jonathan Dimaculangan</v>
      </c>
      <c r="K7733" s="1" t="str">
        <f>IFERROR(__xludf.DUMMYFUNCTION("""COMPUTED_VALUE"""),"Flourish Support")</f>
        <v>Flourish Support</v>
      </c>
      <c r="L7733" s="1" t="str">
        <f>IFERROR(__xludf.DUMMYFUNCTION("""COMPUTED_VALUE"""),"SSS Flourish")</f>
        <v>SSS Flourish</v>
      </c>
    </row>
    <row r="7734">
      <c r="A7734" s="1" t="str">
        <f>IFERROR(__xludf.DUMMYFUNCTION("""COMPUTED_VALUE"""),"2025 Dec")</f>
        <v>2025 Dec</v>
      </c>
      <c r="B7734" s="2">
        <f>IFERROR(__xludf.DUMMYFUNCTION("""COMPUTED_VALUE"""),46020.0)</f>
        <v>46020</v>
      </c>
      <c r="C7734" s="1" t="str">
        <f>IFERROR(__xludf.DUMMYFUNCTION("""COMPUTED_VALUE"""),"Core Product Support")</f>
        <v>Core Product Support</v>
      </c>
      <c r="D7734" s="1" t="str">
        <f>IFERROR(__xludf.DUMMYFUNCTION("""COMPUTED_VALUE"""),"618f1bf8-5458-45df-85f7-93c4f29332f8")</f>
        <v>618f1bf8-5458-45df-85f7-93c4f29332f8</v>
      </c>
      <c r="E7734" s="1">
        <f>IFERROR(__xludf.DUMMYFUNCTION("""COMPUTED_VALUE"""),3.61724667256E11)</f>
        <v>361724667256</v>
      </c>
      <c r="F7734" s="1">
        <f>IFERROR(__xludf.DUMMYFUNCTION("""COMPUTED_VALUE"""),0.5)</f>
        <v>0.5</v>
      </c>
      <c r="G7734" s="1">
        <f>IFERROR(__xludf.DUMMYFUNCTION("""COMPUTED_VALUE"""),2.5)</f>
        <v>2.5</v>
      </c>
      <c r="H7734" s="3">
        <f>IFERROR(__xludf.DUMMYFUNCTION("""COMPUTED_VALUE"""),3.0)</f>
        <v>3</v>
      </c>
      <c r="I7734" s="4">
        <f>IFERROR(__xludf.DUMMYFUNCTION("""COMPUTED_VALUE"""),0.8333333333333334)</f>
        <v>0.8333333333</v>
      </c>
      <c r="J7734" s="1" t="str">
        <f>IFERROR(__xludf.DUMMYFUNCTION("""COMPUTED_VALUE"""),"Ellaine Estayo")</f>
        <v>Ellaine Estayo</v>
      </c>
      <c r="K7734" s="1" t="str">
        <f>IFERROR(__xludf.DUMMYFUNCTION("""COMPUTED_VALUE"""),"Core Product Support Escalation Team")</f>
        <v>Core Product Support Escalation Team</v>
      </c>
      <c r="L7734" s="1" t="str">
        <f>IFERROR(__xludf.DUMMYFUNCTION("""COMPUTED_VALUE"""),"CPS Core Product Support Escalations (CPSET)")</f>
        <v>CPS Core Product Support Escalations (CPSET)</v>
      </c>
    </row>
    <row r="7735">
      <c r="A7735" s="1" t="str">
        <f>IFERROR(__xludf.DUMMYFUNCTION("""COMPUTED_VALUE"""),"2025 Dec")</f>
        <v>2025 Dec</v>
      </c>
      <c r="B7735" s="2">
        <f>IFERROR(__xludf.DUMMYFUNCTION("""COMPUTED_VALUE"""),46020.0)</f>
        <v>46020</v>
      </c>
      <c r="C7735" s="1" t="str">
        <f>IFERROR(__xludf.DUMMYFUNCTION("""COMPUTED_VALUE"""),"Print Support")</f>
        <v>Print Support</v>
      </c>
      <c r="D7735" s="1" t="str">
        <f>IFERROR(__xludf.DUMMYFUNCTION("""COMPUTED_VALUE"""),"9e452879-93e7-461c-b1a1-1bd079930eb2")</f>
        <v>9e452879-93e7-461c-b1a1-1bd079930eb2</v>
      </c>
      <c r="E7735" s="1">
        <f>IFERROR(__xludf.DUMMYFUNCTION("""COMPUTED_VALUE"""),1.0548609842831E13)</f>
        <v>10548609842831</v>
      </c>
      <c r="F7735" s="1"/>
      <c r="G7735" s="1"/>
      <c r="H7735" s="3">
        <f>IFERROR(__xludf.DUMMYFUNCTION("""COMPUTED_VALUE"""),0.0)</f>
        <v>0</v>
      </c>
      <c r="I7735" s="4"/>
      <c r="J7735" s="1" t="str">
        <f>IFERROR(__xludf.DUMMYFUNCTION("""COMPUTED_VALUE"""),"Rae Erlano")</f>
        <v>Rae Erlano</v>
      </c>
      <c r="K7735" s="1" t="str">
        <f>IFERROR(__xludf.DUMMYFUNCTION("""COMPUTED_VALUE"""),"Print Support PH")</f>
        <v>Print Support PH</v>
      </c>
      <c r="L7735" s="1" t="str">
        <f>IFERROR(__xludf.DUMMYFUNCTION("""COMPUTED_VALUE"""),"Print Print - CHT")</f>
        <v>Print Print - CHT</v>
      </c>
    </row>
    <row r="7736">
      <c r="A7736" s="1" t="str">
        <f>IFERROR(__xludf.DUMMYFUNCTION("""COMPUTED_VALUE"""),"2025 Dec")</f>
        <v>2025 Dec</v>
      </c>
      <c r="B7736" s="2">
        <f>IFERROR(__xludf.DUMMYFUNCTION("""COMPUTED_VALUE"""),46020.0)</f>
        <v>46020</v>
      </c>
      <c r="C7736" s="1" t="str">
        <f>IFERROR(__xludf.DUMMYFUNCTION("""COMPUTED_VALUE"""),"Core Product Support")</f>
        <v>Core Product Support</v>
      </c>
      <c r="D7736" s="1" t="str">
        <f>IFERROR(__xludf.DUMMYFUNCTION("""COMPUTED_VALUE"""),"2a3cbb81-c61e-4e7d-8a9e-ed241403cd4d")</f>
        <v>2a3cbb81-c61e-4e7d-8a9e-ed241403cd4d</v>
      </c>
      <c r="E7736" s="1">
        <f>IFERROR(__xludf.DUMMYFUNCTION("""COMPUTED_VALUE"""),1.0333033832463E13)</f>
        <v>10333033832463</v>
      </c>
      <c r="F7736" s="1">
        <f>IFERROR(__xludf.DUMMYFUNCTION("""COMPUTED_VALUE"""),0.5)</f>
        <v>0.5</v>
      </c>
      <c r="G7736" s="1"/>
      <c r="H7736" s="3">
        <f>IFERROR(__xludf.DUMMYFUNCTION("""COMPUTED_VALUE"""),0.5)</f>
        <v>0.5</v>
      </c>
      <c r="I7736" s="4">
        <f>IFERROR(__xludf.DUMMYFUNCTION("""COMPUTED_VALUE"""),0.0)</f>
        <v>0</v>
      </c>
      <c r="J7736" s="1" t="str">
        <f>IFERROR(__xludf.DUMMYFUNCTION("""COMPUTED_VALUE"""),"Marie Mordeno")</f>
        <v>Marie Mordeno</v>
      </c>
      <c r="K7736" s="1" t="str">
        <f>IFERROR(__xludf.DUMMYFUNCTION("""COMPUTED_VALUE"""),"Advanced Billing &amp; Subscriptions")</f>
        <v>Advanced Billing &amp; Subscriptions</v>
      </c>
      <c r="L7736" s="1" t="str">
        <f>IFERROR(__xludf.DUMMYFUNCTION("""COMPUTED_VALUE"""),"CPS Advanced Billing and Subscriptions (ABS)")</f>
        <v>CPS Advanced Billing and Subscriptions (ABS)</v>
      </c>
    </row>
    <row r="7737">
      <c r="A7737" s="1" t="str">
        <f>IFERROR(__xludf.DUMMYFUNCTION("""COMPUTED_VALUE"""),"2025 Dec")</f>
        <v>2025 Dec</v>
      </c>
      <c r="B7737" s="2">
        <f>IFERROR(__xludf.DUMMYFUNCTION("""COMPUTED_VALUE"""),46020.0)</f>
        <v>46020</v>
      </c>
      <c r="C7737" s="1" t="str">
        <f>IFERROR(__xludf.DUMMYFUNCTION("""COMPUTED_VALUE"""),"Print Support")</f>
        <v>Print Support</v>
      </c>
      <c r="D7737" s="1" t="str">
        <f>IFERROR(__xludf.DUMMYFUNCTION("""COMPUTED_VALUE"""),"b9ec9518-1035-4039-9e89-56312867ff3e")</f>
        <v>b9ec9518-1035-4039-9e89-56312867ff3e</v>
      </c>
      <c r="E7737" s="1">
        <f>IFERROR(__xludf.DUMMYFUNCTION("""COMPUTED_VALUE"""),1.0548609971215E13)</f>
        <v>10548609971215</v>
      </c>
      <c r="F7737" s="1"/>
      <c r="G7737" s="1"/>
      <c r="H7737" s="3">
        <f>IFERROR(__xludf.DUMMYFUNCTION("""COMPUTED_VALUE"""),0.0)</f>
        <v>0</v>
      </c>
      <c r="I7737" s="4"/>
      <c r="J7737" s="1" t="str">
        <f>IFERROR(__xludf.DUMMYFUNCTION("""COMPUTED_VALUE"""),"Ann Dumlao")</f>
        <v>Ann Dumlao</v>
      </c>
      <c r="K7737" s="1" t="str">
        <f>IFERROR(__xludf.DUMMYFUNCTION("""COMPUTED_VALUE"""),"Print Support PH")</f>
        <v>Print Support PH</v>
      </c>
      <c r="L7737" s="1" t="str">
        <f>IFERROR(__xludf.DUMMYFUNCTION("""COMPUTED_VALUE"""),"Print Print - CHT")</f>
        <v>Print Print - CHT</v>
      </c>
    </row>
    <row r="7738">
      <c r="A7738" s="1" t="str">
        <f>IFERROR(__xludf.DUMMYFUNCTION("""COMPUTED_VALUE"""),"2025 Dec")</f>
        <v>2025 Dec</v>
      </c>
      <c r="B7738" s="2">
        <f>IFERROR(__xludf.DUMMYFUNCTION("""COMPUTED_VALUE"""),46020.0)</f>
        <v>46020</v>
      </c>
      <c r="C7738" s="1" t="str">
        <f>IFERROR(__xludf.DUMMYFUNCTION("""COMPUTED_VALUE"""),"Core Product Support")</f>
        <v>Core Product Support</v>
      </c>
      <c r="D7738" s="1" t="str">
        <f>IFERROR(__xludf.DUMMYFUNCTION("""COMPUTED_VALUE"""),"b80ae9d0-5920-40ea-8338-5b197b10c2ea")</f>
        <v>b80ae9d0-5920-40ea-8338-5b197b10c2ea</v>
      </c>
      <c r="E7738" s="1">
        <f>IFERROR(__xludf.DUMMYFUNCTION("""COMPUTED_VALUE"""),3.61857411916E11)</f>
        <v>361857411916</v>
      </c>
      <c r="F7738" s="1">
        <f>IFERROR(__xludf.DUMMYFUNCTION("""COMPUTED_VALUE"""),0.5)</f>
        <v>0.5</v>
      </c>
      <c r="G7738" s="1"/>
      <c r="H7738" s="3">
        <f>IFERROR(__xludf.DUMMYFUNCTION("""COMPUTED_VALUE"""),0.5)</f>
        <v>0.5</v>
      </c>
      <c r="I7738" s="4">
        <f>IFERROR(__xludf.DUMMYFUNCTION("""COMPUTED_VALUE"""),0.0)</f>
        <v>0</v>
      </c>
      <c r="J7738" s="1" t="str">
        <f>IFERROR(__xludf.DUMMYFUNCTION("""COMPUTED_VALUE"""),"Vianca De Jesus")</f>
        <v>Vianca De Jesus</v>
      </c>
      <c r="K7738" s="1" t="str">
        <f>IFERROR(__xludf.DUMMYFUNCTION("""COMPUTED_VALUE"""),"Advanced Chat Support")</f>
        <v>Advanced Chat Support</v>
      </c>
      <c r="L7738" s="1" t="str">
        <f>IFERROR(__xludf.DUMMYFUNCTION("""COMPUTED_VALUE"""),"CPS Advanced Chat Support (ACS)")</f>
        <v>CPS Advanced Chat Support (ACS)</v>
      </c>
    </row>
    <row r="7739">
      <c r="A7739" s="1" t="str">
        <f>IFERROR(__xludf.DUMMYFUNCTION("""COMPUTED_VALUE"""),"2025 Dec")</f>
        <v>2025 Dec</v>
      </c>
      <c r="B7739" s="2">
        <f>IFERROR(__xludf.DUMMYFUNCTION("""COMPUTED_VALUE"""),46020.0)</f>
        <v>46020</v>
      </c>
      <c r="C7739" s="1" t="str">
        <f>IFERROR(__xludf.DUMMYFUNCTION("""COMPUTED_VALUE"""),"Print Support")</f>
        <v>Print Support</v>
      </c>
      <c r="D7739" s="1" t="str">
        <f>IFERROR(__xludf.DUMMYFUNCTION("""COMPUTED_VALUE"""),"96960398-b413-404a-acdf-c9c07c7a947d")</f>
        <v>96960398-b413-404a-acdf-c9c07c7a947d</v>
      </c>
      <c r="E7739" s="1">
        <f>IFERROR(__xludf.DUMMYFUNCTION("""COMPUTED_VALUE"""),3.61744077956E11)</f>
        <v>361744077956</v>
      </c>
      <c r="F7739" s="1">
        <f>IFERROR(__xludf.DUMMYFUNCTION("""COMPUTED_VALUE"""),2.0)</f>
        <v>2</v>
      </c>
      <c r="G7739" s="1"/>
      <c r="H7739" s="3">
        <f>IFERROR(__xludf.DUMMYFUNCTION("""COMPUTED_VALUE"""),2.0)</f>
        <v>2</v>
      </c>
      <c r="I7739" s="4">
        <f>IFERROR(__xludf.DUMMYFUNCTION("""COMPUTED_VALUE"""),0.0)</f>
        <v>0</v>
      </c>
      <c r="J7739" s="1" t="str">
        <f>IFERROR(__xludf.DUMMYFUNCTION("""COMPUTED_VALUE"""),"Rae Erlano")</f>
        <v>Rae Erlano</v>
      </c>
      <c r="K7739" s="1" t="str">
        <f>IFERROR(__xludf.DUMMYFUNCTION("""COMPUTED_VALUE"""),"Print Support PH")</f>
        <v>Print Support PH</v>
      </c>
      <c r="L7739" s="1" t="str">
        <f>IFERROR(__xludf.DUMMYFUNCTION("""COMPUTED_VALUE"""),"Print Print - SEE")</f>
        <v>Print Print - SEE</v>
      </c>
    </row>
    <row r="7740">
      <c r="A7740" s="1" t="str">
        <f>IFERROR(__xludf.DUMMYFUNCTION("""COMPUTED_VALUE"""),"2025 Dec")</f>
        <v>2025 Dec</v>
      </c>
      <c r="B7740" s="2">
        <f>IFERROR(__xludf.DUMMYFUNCTION("""COMPUTED_VALUE"""),46020.0)</f>
        <v>46020</v>
      </c>
      <c r="C7740" s="1" t="str">
        <f>IFERROR(__xludf.DUMMYFUNCTION("""COMPUTED_VALUE"""),"Print Support")</f>
        <v>Print Support</v>
      </c>
      <c r="D7740" s="1" t="str">
        <f>IFERROR(__xludf.DUMMYFUNCTION("""COMPUTED_VALUE"""),"b85e88a5-e05e-4b99-8314-1a4152e7f993")</f>
        <v>b85e88a5-e05e-4b99-8314-1a4152e7f993</v>
      </c>
      <c r="E7740" s="1"/>
      <c r="F7740" s="1"/>
      <c r="G7740" s="1"/>
      <c r="H7740" s="3">
        <f>IFERROR(__xludf.DUMMYFUNCTION("""COMPUTED_VALUE"""),0.0)</f>
        <v>0</v>
      </c>
      <c r="I7740" s="4"/>
      <c r="J7740" s="1" t="str">
        <f>IFERROR(__xludf.DUMMYFUNCTION("""COMPUTED_VALUE"""),"Rei De Jesus")</f>
        <v>Rei De Jesus</v>
      </c>
      <c r="K7740" s="1" t="str">
        <f>IFERROR(__xludf.DUMMYFUNCTION("""COMPUTED_VALUE"""),"Print Design Support")</f>
        <v>Print Design Support</v>
      </c>
      <c r="L7740" s="1" t="str">
        <f>IFERROR(__xludf.DUMMYFUNCTION("""COMPUTED_VALUE"""),"Print Print Design")</f>
        <v>Print Print Design</v>
      </c>
    </row>
    <row r="7741">
      <c r="A7741" s="1" t="str">
        <f>IFERROR(__xludf.DUMMYFUNCTION("""COMPUTED_VALUE"""),"2025 Dec")</f>
        <v>2025 Dec</v>
      </c>
      <c r="B7741" s="2">
        <f>IFERROR(__xludf.DUMMYFUNCTION("""COMPUTED_VALUE"""),46020.0)</f>
        <v>46020</v>
      </c>
      <c r="C7741" s="1" t="str">
        <f>IFERROR(__xludf.DUMMYFUNCTION("""COMPUTED_VALUE"""),"High Sensitivity Support")</f>
        <v>High Sensitivity Support</v>
      </c>
      <c r="D7741" s="1" t="str">
        <f>IFERROR(__xludf.DUMMYFUNCTION("""COMPUTED_VALUE"""),"f734e8ae-d81c-444b-8238-0989a571ddfc")</f>
        <v>f734e8ae-d81c-444b-8238-0989a571ddfc</v>
      </c>
      <c r="E7741" s="1">
        <f>IFERROR(__xludf.DUMMYFUNCTION("""COMPUTED_VALUE"""),1.0548626331023E13)</f>
        <v>10548626331023</v>
      </c>
      <c r="F7741" s="1">
        <f>IFERROR(__xludf.DUMMYFUNCTION("""COMPUTED_VALUE"""),4.0)</f>
        <v>4</v>
      </c>
      <c r="G7741" s="1"/>
      <c r="H7741" s="3">
        <f>IFERROR(__xludf.DUMMYFUNCTION("""COMPUTED_VALUE"""),4.0)</f>
        <v>4</v>
      </c>
      <c r="I7741" s="4">
        <f>IFERROR(__xludf.DUMMYFUNCTION("""COMPUTED_VALUE"""),0.0)</f>
        <v>0</v>
      </c>
      <c r="J7741" s="1" t="str">
        <f>IFERROR(__xludf.DUMMYFUNCTION("""COMPUTED_VALUE"""),"Xandy Azarcon")</f>
        <v>Xandy Azarcon</v>
      </c>
      <c r="K7741" s="1" t="str">
        <f>IFERROR(__xludf.DUMMYFUNCTION("""COMPUTED_VALUE"""),"High Sensitivity Support PH")</f>
        <v>High Sensitivity Support PH</v>
      </c>
      <c r="L7741" s="1" t="str">
        <f>IFERROR(__xludf.DUMMYFUNCTION("""COMPUTED_VALUE"""),"HSS High Sensitivity Support PH - CHT")</f>
        <v>HSS High Sensitivity Support PH - CHT</v>
      </c>
    </row>
    <row r="7742">
      <c r="A7742" s="1" t="str">
        <f>IFERROR(__xludf.DUMMYFUNCTION("""COMPUTED_VALUE"""),"2025 Dec")</f>
        <v>2025 Dec</v>
      </c>
      <c r="B7742" s="2">
        <f>IFERROR(__xludf.DUMMYFUNCTION("""COMPUTED_VALUE"""),46020.0)</f>
        <v>46020</v>
      </c>
      <c r="C7742" s="1" t="str">
        <f>IFERROR(__xludf.DUMMYFUNCTION("""COMPUTED_VALUE"""),"Admin Support")</f>
        <v>Admin Support</v>
      </c>
      <c r="D7742" s="1" t="str">
        <f>IFERROR(__xludf.DUMMYFUNCTION("""COMPUTED_VALUE"""),"325d8c4b-104e-45b5-8c24-46aee9a25b01")</f>
        <v>325d8c4b-104e-45b5-8c24-46aee9a25b01</v>
      </c>
      <c r="E7742" s="1">
        <f>IFERROR(__xludf.DUMMYFUNCTION("""COMPUTED_VALUE"""),9.582702695695E12)</f>
        <v>9582702695695</v>
      </c>
      <c r="F7742" s="1">
        <f>IFERROR(__xludf.DUMMYFUNCTION("""COMPUTED_VALUE"""),0.5)</f>
        <v>0.5</v>
      </c>
      <c r="G7742" s="1"/>
      <c r="H7742" s="3">
        <f>IFERROR(__xludf.DUMMYFUNCTION("""COMPUTED_VALUE"""),0.5)</f>
        <v>0.5</v>
      </c>
      <c r="I7742" s="4">
        <f>IFERROR(__xludf.DUMMYFUNCTION("""COMPUTED_VALUE"""),0.0)</f>
        <v>0</v>
      </c>
      <c r="J7742" s="1" t="str">
        <f>IFERROR(__xludf.DUMMYFUNCTION("""COMPUTED_VALUE"""),"Tash Kelly")</f>
        <v>Tash Kelly</v>
      </c>
      <c r="K7742" s="1" t="str">
        <f>IFERROR(__xludf.DUMMYFUNCTION("""COMPUTED_VALUE"""),"Admin Support NA")</f>
        <v>Admin Support NA</v>
      </c>
      <c r="L7742" s="1" t="str">
        <f>IFERROR(__xludf.DUMMYFUNCTION("""COMPUTED_VALUE"""),"Admin NA")</f>
        <v>Admin NA</v>
      </c>
    </row>
    <row r="7743">
      <c r="A7743" s="1" t="str">
        <f>IFERROR(__xludf.DUMMYFUNCTION("""COMPUTED_VALUE"""),"2025 Dec")</f>
        <v>2025 Dec</v>
      </c>
      <c r="B7743" s="2">
        <f>IFERROR(__xludf.DUMMYFUNCTION("""COMPUTED_VALUE"""),46020.0)</f>
        <v>46020</v>
      </c>
      <c r="C7743" s="1" t="str">
        <f>IFERROR(__xludf.DUMMYFUNCTION("""COMPUTED_VALUE"""),"High Sensitivity Support")</f>
        <v>High Sensitivity Support</v>
      </c>
      <c r="D7743" s="1" t="str">
        <f>IFERROR(__xludf.DUMMYFUNCTION("""COMPUTED_VALUE"""),"fb99a0f5-9812-4401-a668-2a1e7f339b55")</f>
        <v>fb99a0f5-9812-4401-a668-2a1e7f339b55</v>
      </c>
      <c r="E7743" s="1">
        <f>IFERROR(__xludf.DUMMYFUNCTION("""COMPUTED_VALUE"""),7.235417198991E12)</f>
        <v>7235417198991</v>
      </c>
      <c r="F7743" s="1">
        <f>IFERROR(__xludf.DUMMYFUNCTION("""COMPUTED_VALUE"""),4.0)</f>
        <v>4</v>
      </c>
      <c r="G7743" s="1"/>
      <c r="H7743" s="3">
        <f>IFERROR(__xludf.DUMMYFUNCTION("""COMPUTED_VALUE"""),4.0)</f>
        <v>4</v>
      </c>
      <c r="I7743" s="4">
        <f>IFERROR(__xludf.DUMMYFUNCTION("""COMPUTED_VALUE"""),0.0)</f>
        <v>0</v>
      </c>
      <c r="J7743" s="1" t="str">
        <f>IFERROR(__xludf.DUMMYFUNCTION("""COMPUTED_VALUE"""),"Rex Villamor")</f>
        <v>Rex Villamor</v>
      </c>
      <c r="K7743" s="1" t="str">
        <f>IFERROR(__xludf.DUMMYFUNCTION("""COMPUTED_VALUE"""),"High Sensitivity Support PH")</f>
        <v>High Sensitivity Support PH</v>
      </c>
      <c r="L7743" s="1" t="str">
        <f>IFERROR(__xludf.DUMMYFUNCTION("""COMPUTED_VALUE"""),"HSS High Sensitivity Support PH - CHT")</f>
        <v>HSS High Sensitivity Support PH - CHT</v>
      </c>
    </row>
    <row r="7744">
      <c r="A7744" s="1" t="str">
        <f>IFERROR(__xludf.DUMMYFUNCTION("""COMPUTED_VALUE"""),"2025 Dec")</f>
        <v>2025 Dec</v>
      </c>
      <c r="B7744" s="2">
        <f>IFERROR(__xludf.DUMMYFUNCTION("""COMPUTED_VALUE"""),46020.0)</f>
        <v>46020</v>
      </c>
      <c r="C7744" s="1" t="str">
        <f>IFERROR(__xludf.DUMMYFUNCTION("""COMPUTED_VALUE"""),"Core Product Support")</f>
        <v>Core Product Support</v>
      </c>
      <c r="D7744" s="1" t="str">
        <f>IFERROR(__xludf.DUMMYFUNCTION("""COMPUTED_VALUE"""),"04f92121-45c6-497f-b19a-2be8f0398769")</f>
        <v>04f92121-45c6-497f-b19a-2be8f0398769</v>
      </c>
      <c r="E7744" s="1">
        <f>IFERROR(__xludf.DUMMYFUNCTION("""COMPUTED_VALUE"""),3.61725261016E11)</f>
        <v>361725261016</v>
      </c>
      <c r="F7744" s="1">
        <f>IFERROR(__xludf.DUMMYFUNCTION("""COMPUTED_VALUE"""),0.5)</f>
        <v>0.5</v>
      </c>
      <c r="G7744" s="1">
        <f>IFERROR(__xludf.DUMMYFUNCTION("""COMPUTED_VALUE"""),2.5)</f>
        <v>2.5</v>
      </c>
      <c r="H7744" s="3">
        <f>IFERROR(__xludf.DUMMYFUNCTION("""COMPUTED_VALUE"""),3.0)</f>
        <v>3</v>
      </c>
      <c r="I7744" s="4">
        <f>IFERROR(__xludf.DUMMYFUNCTION("""COMPUTED_VALUE"""),0.8333333333333334)</f>
        <v>0.8333333333</v>
      </c>
      <c r="J7744" s="1" t="str">
        <f>IFERROR(__xludf.DUMMYFUNCTION("""COMPUTED_VALUE"""),"Bem Launte")</f>
        <v>Bem Launte</v>
      </c>
      <c r="K7744" s="1" t="str">
        <f>IFERROR(__xludf.DUMMYFUNCTION("""COMPUTED_VALUE"""),"Core Product Support Escalation Team")</f>
        <v>Core Product Support Escalation Team</v>
      </c>
      <c r="L7744" s="1" t="str">
        <f>IFERROR(__xludf.DUMMYFUNCTION("""COMPUTED_VALUE"""),"CPS Core Product Support Escalations (CPSET)")</f>
        <v>CPS Core Product Support Escalations (CPSET)</v>
      </c>
    </row>
    <row r="7745">
      <c r="A7745" s="1" t="str">
        <f>IFERROR(__xludf.DUMMYFUNCTION("""COMPUTED_VALUE"""),"2025 Dec")</f>
        <v>2025 Dec</v>
      </c>
      <c r="B7745" s="2">
        <f>IFERROR(__xludf.DUMMYFUNCTION("""COMPUTED_VALUE"""),46020.0)</f>
        <v>46020</v>
      </c>
      <c r="C7745" s="1" t="str">
        <f>IFERROR(__xludf.DUMMYFUNCTION("""COMPUTED_VALUE"""),"Print Support")</f>
        <v>Print Support</v>
      </c>
      <c r="D7745" s="1" t="str">
        <f>IFERROR(__xludf.DUMMYFUNCTION("""COMPUTED_VALUE"""),"afe991ce-72f0-4a1b-ae15-865b9a416d53")</f>
        <v>afe991ce-72f0-4a1b-ae15-865b9a416d53</v>
      </c>
      <c r="E7745" s="1">
        <f>IFERROR(__xludf.DUMMYFUNCTION("""COMPUTED_VALUE"""),3.61694632195E11)</f>
        <v>361694632195</v>
      </c>
      <c r="F7745" s="1">
        <f>IFERROR(__xludf.DUMMYFUNCTION("""COMPUTED_VALUE"""),2.0)</f>
        <v>2</v>
      </c>
      <c r="G7745" s="1"/>
      <c r="H7745" s="3">
        <f>IFERROR(__xludf.DUMMYFUNCTION("""COMPUTED_VALUE"""),2.0)</f>
        <v>2</v>
      </c>
      <c r="I7745" s="4">
        <f>IFERROR(__xludf.DUMMYFUNCTION("""COMPUTED_VALUE"""),0.0)</f>
        <v>0</v>
      </c>
      <c r="J7745" s="1" t="str">
        <f>IFERROR(__xludf.DUMMYFUNCTION("""COMPUTED_VALUE"""),"Memae Faustino")</f>
        <v>Memae Faustino</v>
      </c>
      <c r="K7745" s="1" t="str">
        <f>IFERROR(__xludf.DUMMYFUNCTION("""COMPUTED_VALUE"""),"Print Support PH")</f>
        <v>Print Support PH</v>
      </c>
      <c r="L7745" s="1" t="str">
        <f>IFERROR(__xludf.DUMMYFUNCTION("""COMPUTED_VALUE"""),"Print Print - SEE")</f>
        <v>Print Print - SEE</v>
      </c>
    </row>
    <row r="7746">
      <c r="A7746" s="1" t="str">
        <f>IFERROR(__xludf.DUMMYFUNCTION("""COMPUTED_VALUE"""),"2025 Dec")</f>
        <v>2025 Dec</v>
      </c>
      <c r="B7746" s="2">
        <f>IFERROR(__xludf.DUMMYFUNCTION("""COMPUTED_VALUE"""),46020.0)</f>
        <v>46020</v>
      </c>
      <c r="C7746" s="1" t="str">
        <f>IFERROR(__xludf.DUMMYFUNCTION("""COMPUTED_VALUE"""),"Print Support")</f>
        <v>Print Support</v>
      </c>
      <c r="D7746" s="1" t="str">
        <f>IFERROR(__xludf.DUMMYFUNCTION("""COMPUTED_VALUE"""),"b0701057-db2b-4208-bb14-e0c4e8b8f1ee")</f>
        <v>b0701057-db2b-4208-bb14-e0c4e8b8f1ee</v>
      </c>
      <c r="E7746" s="1"/>
      <c r="F7746" s="1"/>
      <c r="G7746" s="1"/>
      <c r="H7746" s="3">
        <f>IFERROR(__xludf.DUMMYFUNCTION("""COMPUTED_VALUE"""),0.0)</f>
        <v>0</v>
      </c>
      <c r="I7746" s="4"/>
      <c r="J7746" s="1" t="str">
        <f>IFERROR(__xludf.DUMMYFUNCTION("""COMPUTED_VALUE"""),"Aliza Dote")</f>
        <v>Aliza Dote</v>
      </c>
      <c r="K7746" s="1" t="str">
        <f>IFERROR(__xludf.DUMMYFUNCTION("""COMPUTED_VALUE"""),"Print Design Support")</f>
        <v>Print Design Support</v>
      </c>
      <c r="L7746" s="1" t="str">
        <f>IFERROR(__xludf.DUMMYFUNCTION("""COMPUTED_VALUE"""),"Print Print Design")</f>
        <v>Print Print Design</v>
      </c>
    </row>
    <row r="7747">
      <c r="A7747" s="1" t="str">
        <f>IFERROR(__xludf.DUMMYFUNCTION("""COMPUTED_VALUE"""),"2025 Dec")</f>
        <v>2025 Dec</v>
      </c>
      <c r="B7747" s="2">
        <f>IFERROR(__xludf.DUMMYFUNCTION("""COMPUTED_VALUE"""),46020.0)</f>
        <v>46020</v>
      </c>
      <c r="C7747" s="1" t="str">
        <f>IFERROR(__xludf.DUMMYFUNCTION("""COMPUTED_VALUE"""),"Core Product Support")</f>
        <v>Core Product Support</v>
      </c>
      <c r="D7747" s="1" t="str">
        <f>IFERROR(__xludf.DUMMYFUNCTION("""COMPUTED_VALUE"""),"e49eb420-7bd7-4503-a1d0-35028e015e43")</f>
        <v>e49eb420-7bd7-4503-a1d0-35028e015e43</v>
      </c>
      <c r="E7747" s="1">
        <f>IFERROR(__xludf.DUMMYFUNCTION("""COMPUTED_VALUE"""),5.047314693263E12)</f>
        <v>5047314693263</v>
      </c>
      <c r="F7747" s="1">
        <f>IFERROR(__xludf.DUMMYFUNCTION("""COMPUTED_VALUE"""),0.5)</f>
        <v>0.5</v>
      </c>
      <c r="G7747" s="1"/>
      <c r="H7747" s="3">
        <f>IFERROR(__xludf.DUMMYFUNCTION("""COMPUTED_VALUE"""),0.5)</f>
        <v>0.5</v>
      </c>
      <c r="I7747" s="4">
        <f>IFERROR(__xludf.DUMMYFUNCTION("""COMPUTED_VALUE"""),0.0)</f>
        <v>0</v>
      </c>
      <c r="J7747" s="1" t="str">
        <f>IFERROR(__xludf.DUMMYFUNCTION("""COMPUTED_VALUE"""),"Cate Velasco")</f>
        <v>Cate Velasco</v>
      </c>
      <c r="K7747" s="1" t="str">
        <f>IFERROR(__xludf.DUMMYFUNCTION("""COMPUTED_VALUE"""),"Advanced Product Support")</f>
        <v>Advanced Product Support</v>
      </c>
      <c r="L7747" s="1" t="str">
        <f>IFERROR(__xludf.DUMMYFUNCTION("""COMPUTED_VALUE"""),"CPS Advanced Product Support (APS)")</f>
        <v>CPS Advanced Product Support (APS)</v>
      </c>
    </row>
    <row r="7748">
      <c r="A7748" s="1" t="str">
        <f>IFERROR(__xludf.DUMMYFUNCTION("""COMPUTED_VALUE"""),"2025 Dec")</f>
        <v>2025 Dec</v>
      </c>
      <c r="B7748" s="2">
        <f>IFERROR(__xludf.DUMMYFUNCTION("""COMPUTED_VALUE"""),46020.0)</f>
        <v>46020</v>
      </c>
      <c r="C7748" s="1" t="str">
        <f>IFERROR(__xludf.DUMMYFUNCTION("""COMPUTED_VALUE"""),"Print Support")</f>
        <v>Print Support</v>
      </c>
      <c r="D7748" s="1" t="str">
        <f>IFERROR(__xludf.DUMMYFUNCTION("""COMPUTED_VALUE"""),"03a2ac9e-65a5-409e-851b-a4c93a003187")</f>
        <v>03a2ac9e-65a5-409e-851b-a4c93a003187</v>
      </c>
      <c r="E7748" s="1">
        <f>IFERROR(__xludf.DUMMYFUNCTION("""COMPUTED_VALUE"""),5.202378807439E12)</f>
        <v>5202378807439</v>
      </c>
      <c r="F7748" s="1"/>
      <c r="G7748" s="1"/>
      <c r="H7748" s="3">
        <f>IFERROR(__xludf.DUMMYFUNCTION("""COMPUTED_VALUE"""),0.0)</f>
        <v>0</v>
      </c>
      <c r="I7748" s="4"/>
      <c r="J7748" s="1" t="str">
        <f>IFERROR(__xludf.DUMMYFUNCTION("""COMPUTED_VALUE"""),"Louise Dianne Estrella")</f>
        <v>Louise Dianne Estrella</v>
      </c>
      <c r="K7748" s="1" t="str">
        <f>IFERROR(__xludf.DUMMYFUNCTION("""COMPUTED_VALUE"""),"Print Support PH")</f>
        <v>Print Support PH</v>
      </c>
      <c r="L7748" s="1" t="str">
        <f>IFERROR(__xludf.DUMMYFUNCTION("""COMPUTED_VALUE"""),"Print Print - CHT")</f>
        <v>Print Print - CHT</v>
      </c>
    </row>
    <row r="7749">
      <c r="A7749" s="1" t="str">
        <f>IFERROR(__xludf.DUMMYFUNCTION("""COMPUTED_VALUE"""),"2025 Dec")</f>
        <v>2025 Dec</v>
      </c>
      <c r="B7749" s="2">
        <f>IFERROR(__xludf.DUMMYFUNCTION("""COMPUTED_VALUE"""),46020.0)</f>
        <v>46020</v>
      </c>
      <c r="C7749" s="1" t="str">
        <f>IFERROR(__xludf.DUMMYFUNCTION("""COMPUTED_VALUE"""),"Print Support")</f>
        <v>Print Support</v>
      </c>
      <c r="D7749" s="1" t="str">
        <f>IFERROR(__xludf.DUMMYFUNCTION("""COMPUTED_VALUE"""),"f7d8f8dd-7764-471d-8254-300956d0e1c6")</f>
        <v>f7d8f8dd-7764-471d-8254-300956d0e1c6</v>
      </c>
      <c r="E7749" s="1">
        <f>IFERROR(__xludf.DUMMYFUNCTION("""COMPUTED_VALUE"""),3.61750003915E11)</f>
        <v>361750003915</v>
      </c>
      <c r="F7749" s="1"/>
      <c r="G7749" s="1"/>
      <c r="H7749" s="3">
        <f>IFERROR(__xludf.DUMMYFUNCTION("""COMPUTED_VALUE"""),0.0)</f>
        <v>0</v>
      </c>
      <c r="I7749" s="4"/>
      <c r="J7749" s="1" t="str">
        <f>IFERROR(__xludf.DUMMYFUNCTION("""COMPUTED_VALUE"""),"Ann Dumlao")</f>
        <v>Ann Dumlao</v>
      </c>
      <c r="K7749" s="1" t="str">
        <f>IFERROR(__xludf.DUMMYFUNCTION("""COMPUTED_VALUE"""),"Print Support PH")</f>
        <v>Print Support PH</v>
      </c>
      <c r="L7749" s="1" t="str">
        <f>IFERROR(__xludf.DUMMYFUNCTION("""COMPUTED_VALUE"""),"Print Print - CHT")</f>
        <v>Print Print - CHT</v>
      </c>
    </row>
    <row r="7750">
      <c r="A7750" s="1" t="str">
        <f>IFERROR(__xludf.DUMMYFUNCTION("""COMPUTED_VALUE"""),"2025 Dec")</f>
        <v>2025 Dec</v>
      </c>
      <c r="B7750" s="2">
        <f>IFERROR(__xludf.DUMMYFUNCTION("""COMPUTED_VALUE"""),46020.0)</f>
        <v>46020</v>
      </c>
      <c r="C7750" s="1" t="str">
        <f>IFERROR(__xludf.DUMMYFUNCTION("""COMPUTED_VALUE"""),"Core Product Support")</f>
        <v>Core Product Support</v>
      </c>
      <c r="D7750" s="1" t="str">
        <f>IFERROR(__xludf.DUMMYFUNCTION("""COMPUTED_VALUE"""),"1309ddc0-c081-4df4-b17d-ed2c31b14169")</f>
        <v>1309ddc0-c081-4df4-b17d-ed2c31b14169</v>
      </c>
      <c r="E7750" s="1">
        <f>IFERROR(__xludf.DUMMYFUNCTION("""COMPUTED_VALUE"""),3.61964324516E11)</f>
        <v>361964324516</v>
      </c>
      <c r="F7750" s="1">
        <f>IFERROR(__xludf.DUMMYFUNCTION("""COMPUTED_VALUE"""),0.5)</f>
        <v>0.5</v>
      </c>
      <c r="G7750" s="1"/>
      <c r="H7750" s="3">
        <f>IFERROR(__xludf.DUMMYFUNCTION("""COMPUTED_VALUE"""),0.5)</f>
        <v>0.5</v>
      </c>
      <c r="I7750" s="4">
        <f>IFERROR(__xludf.DUMMYFUNCTION("""COMPUTED_VALUE"""),0.0)</f>
        <v>0</v>
      </c>
      <c r="J7750" s="1" t="str">
        <f>IFERROR(__xludf.DUMMYFUNCTION("""COMPUTED_VALUE"""),"Ayza Marie Pascual")</f>
        <v>Ayza Marie Pascual</v>
      </c>
      <c r="K7750" s="1" t="str">
        <f>IFERROR(__xludf.DUMMYFUNCTION("""COMPUTED_VALUE"""),"Advanced Billing &amp; Subscriptions")</f>
        <v>Advanced Billing &amp; Subscriptions</v>
      </c>
      <c r="L7750" s="1" t="str">
        <f>IFERROR(__xludf.DUMMYFUNCTION("""COMPUTED_VALUE"""),"CPS Advanced Billing and Subscriptions (ABS)")</f>
        <v>CPS Advanced Billing and Subscriptions (ABS)</v>
      </c>
    </row>
    <row r="7751">
      <c r="A7751" s="1" t="str">
        <f>IFERROR(__xludf.DUMMYFUNCTION("""COMPUTED_VALUE"""),"2025 Dec")</f>
        <v>2025 Dec</v>
      </c>
      <c r="B7751" s="2">
        <f>IFERROR(__xludf.DUMMYFUNCTION("""COMPUTED_VALUE"""),46020.0)</f>
        <v>46020</v>
      </c>
      <c r="C7751" s="1" t="str">
        <f>IFERROR(__xludf.DUMMYFUNCTION("""COMPUTED_VALUE"""),"Admin Support")</f>
        <v>Admin Support</v>
      </c>
      <c r="D7751" s="1" t="str">
        <f>IFERROR(__xludf.DUMMYFUNCTION("""COMPUTED_VALUE"""),"7cdd4051-dd81-4e04-a905-67a7a6826826")</f>
        <v>7cdd4051-dd81-4e04-a905-67a7a6826826</v>
      </c>
      <c r="E7751" s="1">
        <f>IFERROR(__xludf.DUMMYFUNCTION("""COMPUTED_VALUE"""),9.795895003151E12)</f>
        <v>9795895003151</v>
      </c>
      <c r="F7751" s="1"/>
      <c r="G7751" s="1"/>
      <c r="H7751" s="3">
        <f>IFERROR(__xludf.DUMMYFUNCTION("""COMPUTED_VALUE"""),0.0)</f>
        <v>0</v>
      </c>
      <c r="I7751" s="4"/>
      <c r="J7751" s="1" t="str">
        <f>IFERROR(__xludf.DUMMYFUNCTION("""COMPUTED_VALUE"""),"Kelden Laguting")</f>
        <v>Kelden Laguting</v>
      </c>
      <c r="K7751" s="1" t="str">
        <f>IFERROR(__xludf.DUMMYFUNCTION("""COMPUTED_VALUE"""),"Admin Support PH")</f>
        <v>Admin Support PH</v>
      </c>
      <c r="L7751" s="1" t="str">
        <f>IFERROR(__xludf.DUMMYFUNCTION("""COMPUTED_VALUE"""),"Admin PH")</f>
        <v>Admin PH</v>
      </c>
    </row>
    <row r="7752">
      <c r="A7752" s="1" t="str">
        <f>IFERROR(__xludf.DUMMYFUNCTION("""COMPUTED_VALUE"""),"2025 Dec")</f>
        <v>2025 Dec</v>
      </c>
      <c r="B7752" s="2">
        <f>IFERROR(__xludf.DUMMYFUNCTION("""COMPUTED_VALUE"""),46020.0)</f>
        <v>46020</v>
      </c>
      <c r="C7752" s="1" t="str">
        <f>IFERROR(__xludf.DUMMYFUNCTION("""COMPUTED_VALUE"""),"Core Product Support")</f>
        <v>Core Product Support</v>
      </c>
      <c r="D7752" s="1" t="str">
        <f>IFERROR(__xludf.DUMMYFUNCTION("""COMPUTED_VALUE"""),"4829712e-df33-4828-83e5-b005d53d0ece")</f>
        <v>4829712e-df33-4828-83e5-b005d53d0ece</v>
      </c>
      <c r="E7752" s="1">
        <f>IFERROR(__xludf.DUMMYFUNCTION("""COMPUTED_VALUE"""),3.61861297795E11)</f>
        <v>361861297795</v>
      </c>
      <c r="F7752" s="1">
        <f>IFERROR(__xludf.DUMMYFUNCTION("""COMPUTED_VALUE"""),0.5)</f>
        <v>0.5</v>
      </c>
      <c r="G7752" s="1"/>
      <c r="H7752" s="3">
        <f>IFERROR(__xludf.DUMMYFUNCTION("""COMPUTED_VALUE"""),0.5)</f>
        <v>0.5</v>
      </c>
      <c r="I7752" s="4">
        <f>IFERROR(__xludf.DUMMYFUNCTION("""COMPUTED_VALUE"""),0.0)</f>
        <v>0</v>
      </c>
      <c r="J7752" s="1" t="str">
        <f>IFERROR(__xludf.DUMMYFUNCTION("""COMPUTED_VALUE"""),"Jahmie Mae Barrameda")</f>
        <v>Jahmie Mae Barrameda</v>
      </c>
      <c r="K7752" s="1" t="str">
        <f>IFERROR(__xludf.DUMMYFUNCTION("""COMPUTED_VALUE"""),"Advanced Billing &amp; Subscriptions")</f>
        <v>Advanced Billing &amp; Subscriptions</v>
      </c>
      <c r="L7752" s="1" t="str">
        <f>IFERROR(__xludf.DUMMYFUNCTION("""COMPUTED_VALUE"""),"CPS Advanced Billing and Subscriptions (ABS)")</f>
        <v>CPS Advanced Billing and Subscriptions (ABS)</v>
      </c>
    </row>
    <row r="7753">
      <c r="A7753" s="1" t="str">
        <f>IFERROR(__xludf.DUMMYFUNCTION("""COMPUTED_VALUE"""),"2025 Dec")</f>
        <v>2025 Dec</v>
      </c>
      <c r="B7753" s="2">
        <f>IFERROR(__xludf.DUMMYFUNCTION("""COMPUTED_VALUE"""),46020.0)</f>
        <v>46020</v>
      </c>
      <c r="C7753" s="1" t="str">
        <f>IFERROR(__xludf.DUMMYFUNCTION("""COMPUTED_VALUE"""),"Print Support")</f>
        <v>Print Support</v>
      </c>
      <c r="D7753" s="1" t="str">
        <f>IFERROR(__xludf.DUMMYFUNCTION("""COMPUTED_VALUE"""),"4bb09346-5fba-40f0-ac06-0b644e9a6f20")</f>
        <v>4bb09346-5fba-40f0-ac06-0b644e9a6f20</v>
      </c>
      <c r="E7753" s="1"/>
      <c r="F7753" s="1"/>
      <c r="G7753" s="1"/>
      <c r="H7753" s="3">
        <f>IFERROR(__xludf.DUMMYFUNCTION("""COMPUTED_VALUE"""),0.0)</f>
        <v>0</v>
      </c>
      <c r="I7753" s="4"/>
      <c r="J7753" s="1" t="str">
        <f>IFERROR(__xludf.DUMMYFUNCTION("""COMPUTED_VALUE"""),"G-Anne Murillo")</f>
        <v>G-Anne Murillo</v>
      </c>
      <c r="K7753" s="1" t="str">
        <f>IFERROR(__xludf.DUMMYFUNCTION("""COMPUTED_VALUE"""),"Print Design Support")</f>
        <v>Print Design Support</v>
      </c>
      <c r="L7753" s="1" t="str">
        <f>IFERROR(__xludf.DUMMYFUNCTION("""COMPUTED_VALUE"""),"Print Print Design")</f>
        <v>Print Print Design</v>
      </c>
    </row>
    <row r="7754">
      <c r="A7754" s="1" t="str">
        <f>IFERROR(__xludf.DUMMYFUNCTION("""COMPUTED_VALUE"""),"2025 Dec")</f>
        <v>2025 Dec</v>
      </c>
      <c r="B7754" s="2">
        <f>IFERROR(__xludf.DUMMYFUNCTION("""COMPUTED_VALUE"""),46020.0)</f>
        <v>46020</v>
      </c>
      <c r="C7754" s="1" t="str">
        <f>IFERROR(__xludf.DUMMYFUNCTION("""COMPUTED_VALUE"""),"Core Product Support")</f>
        <v>Core Product Support</v>
      </c>
      <c r="D7754" s="1" t="str">
        <f>IFERROR(__xludf.DUMMYFUNCTION("""COMPUTED_VALUE"""),"1eb2b14b-89e0-4d0c-8dba-b1677f4e689a")</f>
        <v>1eb2b14b-89e0-4d0c-8dba-b1677f4e689a</v>
      </c>
      <c r="E7754" s="1">
        <f>IFERROR(__xludf.DUMMYFUNCTION("""COMPUTED_VALUE"""),1.0548589296399E13)</f>
        <v>10548589296399</v>
      </c>
      <c r="F7754" s="1">
        <f>IFERROR(__xludf.DUMMYFUNCTION("""COMPUTED_VALUE"""),0.5)</f>
        <v>0.5</v>
      </c>
      <c r="G7754" s="1"/>
      <c r="H7754" s="3">
        <f>IFERROR(__xludf.DUMMYFUNCTION("""COMPUTED_VALUE"""),0.5)</f>
        <v>0.5</v>
      </c>
      <c r="I7754" s="4">
        <f>IFERROR(__xludf.DUMMYFUNCTION("""COMPUTED_VALUE"""),0.0)</f>
        <v>0</v>
      </c>
      <c r="J7754" s="1" t="str">
        <f>IFERROR(__xludf.DUMMYFUNCTION("""COMPUTED_VALUE"""),"Jahmie Mae Barrameda")</f>
        <v>Jahmie Mae Barrameda</v>
      </c>
      <c r="K7754" s="1" t="str">
        <f>IFERROR(__xludf.DUMMYFUNCTION("""COMPUTED_VALUE"""),"Advanced Billing &amp; Subscriptions")</f>
        <v>Advanced Billing &amp; Subscriptions</v>
      </c>
      <c r="L7754" s="1" t="str">
        <f>IFERROR(__xludf.DUMMYFUNCTION("""COMPUTED_VALUE"""),"CPS Advanced Billing and Subscriptions (ABS)")</f>
        <v>CPS Advanced Billing and Subscriptions (ABS)</v>
      </c>
    </row>
    <row r="7755">
      <c r="A7755" s="1" t="str">
        <f>IFERROR(__xludf.DUMMYFUNCTION("""COMPUTED_VALUE"""),"2025 Dec")</f>
        <v>2025 Dec</v>
      </c>
      <c r="B7755" s="2">
        <f>IFERROR(__xludf.DUMMYFUNCTION("""COMPUTED_VALUE"""),46020.0)</f>
        <v>46020</v>
      </c>
      <c r="C7755" s="1" t="str">
        <f>IFERROR(__xludf.DUMMYFUNCTION("""COMPUTED_VALUE"""),"Print Support")</f>
        <v>Print Support</v>
      </c>
      <c r="D7755" s="1" t="str">
        <f>IFERROR(__xludf.DUMMYFUNCTION("""COMPUTED_VALUE"""),"02cee4cb-14b3-4217-8b7d-887c2209a7df")</f>
        <v>02cee4cb-14b3-4217-8b7d-887c2209a7df</v>
      </c>
      <c r="E7755" s="1"/>
      <c r="F7755" s="1"/>
      <c r="G7755" s="1"/>
      <c r="H7755" s="3">
        <f>IFERROR(__xludf.DUMMYFUNCTION("""COMPUTED_VALUE"""),0.0)</f>
        <v>0</v>
      </c>
      <c r="I7755" s="4"/>
      <c r="J7755" s="1" t="str">
        <f>IFERROR(__xludf.DUMMYFUNCTION("""COMPUTED_VALUE"""),"Jan Domingo")</f>
        <v>Jan Domingo</v>
      </c>
      <c r="K7755" s="1" t="str">
        <f>IFERROR(__xludf.DUMMYFUNCTION("""COMPUTED_VALUE"""),"Print Design Support")</f>
        <v>Print Design Support</v>
      </c>
      <c r="L7755" s="1" t="str">
        <f>IFERROR(__xludf.DUMMYFUNCTION("""COMPUTED_VALUE"""),"Print Print Design")</f>
        <v>Print Print Design</v>
      </c>
    </row>
    <row r="7756">
      <c r="A7756" s="1" t="str">
        <f>IFERROR(__xludf.DUMMYFUNCTION("""COMPUTED_VALUE"""),"2025 Dec")</f>
        <v>2025 Dec</v>
      </c>
      <c r="B7756" s="2">
        <f>IFERROR(__xludf.DUMMYFUNCTION("""COMPUTED_VALUE"""),46020.0)</f>
        <v>46020</v>
      </c>
      <c r="C7756" s="1" t="str">
        <f>IFERROR(__xludf.DUMMYFUNCTION("""COMPUTED_VALUE"""),"Admin Support")</f>
        <v>Admin Support</v>
      </c>
      <c r="D7756" s="1" t="str">
        <f>IFERROR(__xludf.DUMMYFUNCTION("""COMPUTED_VALUE"""),"7b0ced0a-55fc-49e4-b47c-ffbf2567dce1")</f>
        <v>7b0ced0a-55fc-49e4-b47c-ffbf2567dce1</v>
      </c>
      <c r="E7756" s="1">
        <f>IFERROR(__xludf.DUMMYFUNCTION("""COMPUTED_VALUE"""),3.61725486916E11)</f>
        <v>361725486916</v>
      </c>
      <c r="F7756" s="1"/>
      <c r="G7756" s="1"/>
      <c r="H7756" s="3">
        <f>IFERROR(__xludf.DUMMYFUNCTION("""COMPUTED_VALUE"""),0.0)</f>
        <v>0</v>
      </c>
      <c r="I7756" s="4"/>
      <c r="J7756" s="1" t="str">
        <f>IFERROR(__xludf.DUMMYFUNCTION("""COMPUTED_VALUE"""),"Rose Gabilan")</f>
        <v>Rose Gabilan</v>
      </c>
      <c r="K7756" s="1" t="str">
        <f>IFERROR(__xludf.DUMMYFUNCTION("""COMPUTED_VALUE"""),"Admin Support PH SSO")</f>
        <v>Admin Support PH SSO</v>
      </c>
      <c r="L7756" s="1" t="str">
        <f>IFERROR(__xludf.DUMMYFUNCTION("""COMPUTED_VALUE"""),"Admin SSO - CHT")</f>
        <v>Admin SSO - CHT</v>
      </c>
    </row>
    <row r="7757">
      <c r="A7757" s="1" t="str">
        <f>IFERROR(__xludf.DUMMYFUNCTION("""COMPUTED_VALUE"""),"2025 Dec")</f>
        <v>2025 Dec</v>
      </c>
      <c r="B7757" s="2">
        <f>IFERROR(__xludf.DUMMYFUNCTION("""COMPUTED_VALUE"""),46020.0)</f>
        <v>46020</v>
      </c>
      <c r="C7757" s="1" t="str">
        <f>IFERROR(__xludf.DUMMYFUNCTION("""COMPUTED_VALUE"""),"Core Product Support")</f>
        <v>Core Product Support</v>
      </c>
      <c r="D7757" s="1" t="str">
        <f>IFERROR(__xludf.DUMMYFUNCTION("""COMPUTED_VALUE"""),"3d997536-cb7f-49c5-af3e-e19fdf30bffc")</f>
        <v>3d997536-cb7f-49c5-af3e-e19fdf30bffc</v>
      </c>
      <c r="E7757" s="1">
        <f>IFERROR(__xludf.DUMMYFUNCTION("""COMPUTED_VALUE"""),5.047288728079E12)</f>
        <v>5047288728079</v>
      </c>
      <c r="F7757" s="1">
        <f>IFERROR(__xludf.DUMMYFUNCTION("""COMPUTED_VALUE"""),0.5)</f>
        <v>0.5</v>
      </c>
      <c r="G7757" s="1">
        <f>IFERROR(__xludf.DUMMYFUNCTION("""COMPUTED_VALUE"""),2.5)</f>
        <v>2.5</v>
      </c>
      <c r="H7757" s="3">
        <f>IFERROR(__xludf.DUMMYFUNCTION("""COMPUTED_VALUE"""),3.0)</f>
        <v>3</v>
      </c>
      <c r="I7757" s="4">
        <f>IFERROR(__xludf.DUMMYFUNCTION("""COMPUTED_VALUE"""),0.8333333333333334)</f>
        <v>0.8333333333</v>
      </c>
      <c r="J7757" s="1" t="str">
        <f>IFERROR(__xludf.DUMMYFUNCTION("""COMPUTED_VALUE"""),"Ellaine Estayo")</f>
        <v>Ellaine Estayo</v>
      </c>
      <c r="K7757" s="1" t="str">
        <f>IFERROR(__xludf.DUMMYFUNCTION("""COMPUTED_VALUE"""),"Core Product Support Escalation Team")</f>
        <v>Core Product Support Escalation Team</v>
      </c>
      <c r="L7757" s="1" t="str">
        <f>IFERROR(__xludf.DUMMYFUNCTION("""COMPUTED_VALUE"""),"CPS Core Product Support Escalations (CPSET)")</f>
        <v>CPS Core Product Support Escalations (CPSET)</v>
      </c>
    </row>
    <row r="7758">
      <c r="A7758" s="1" t="str">
        <f>IFERROR(__xludf.DUMMYFUNCTION("""COMPUTED_VALUE"""),"2025 Dec")</f>
        <v>2025 Dec</v>
      </c>
      <c r="B7758" s="2">
        <f>IFERROR(__xludf.DUMMYFUNCTION("""COMPUTED_VALUE"""),46020.0)</f>
        <v>46020</v>
      </c>
      <c r="C7758" s="1" t="str">
        <f>IFERROR(__xludf.DUMMYFUNCTION("""COMPUTED_VALUE"""),"Admin Support")</f>
        <v>Admin Support</v>
      </c>
      <c r="D7758" s="1" t="str">
        <f>IFERROR(__xludf.DUMMYFUNCTION("""COMPUTED_VALUE"""),"c7dd845d-4621-4bea-affd-b79e038f7157")</f>
        <v>c7dd845d-4621-4bea-affd-b79e038f7157</v>
      </c>
      <c r="E7758" s="1">
        <f>IFERROR(__xludf.DUMMYFUNCTION("""COMPUTED_VALUE"""),3.61733077235E11)</f>
        <v>361733077235</v>
      </c>
      <c r="F7758" s="1"/>
      <c r="G7758" s="1"/>
      <c r="H7758" s="3">
        <f>IFERROR(__xludf.DUMMYFUNCTION("""COMPUTED_VALUE"""),0.0)</f>
        <v>0</v>
      </c>
      <c r="I7758" s="4"/>
      <c r="J7758" s="1" t="str">
        <f>IFERROR(__xludf.DUMMYFUNCTION("""COMPUTED_VALUE"""),"Kelden Laguting")</f>
        <v>Kelden Laguting</v>
      </c>
      <c r="K7758" s="1" t="str">
        <f>IFERROR(__xludf.DUMMYFUNCTION("""COMPUTED_VALUE"""),"Admin Support PH")</f>
        <v>Admin Support PH</v>
      </c>
      <c r="L7758" s="1" t="str">
        <f>IFERROR(__xludf.DUMMYFUNCTION("""COMPUTED_VALUE"""),"Admin PH")</f>
        <v>Admin PH</v>
      </c>
    </row>
    <row r="7759">
      <c r="A7759" s="1" t="str">
        <f>IFERROR(__xludf.DUMMYFUNCTION("""COMPUTED_VALUE"""),"2025 Dec")</f>
        <v>2025 Dec</v>
      </c>
      <c r="B7759" s="2">
        <f>IFERROR(__xludf.DUMMYFUNCTION("""COMPUTED_VALUE"""),46020.0)</f>
        <v>46020</v>
      </c>
      <c r="C7759" s="1" t="str">
        <f>IFERROR(__xludf.DUMMYFUNCTION("""COMPUTED_VALUE"""),"Print Support")</f>
        <v>Print Support</v>
      </c>
      <c r="D7759" s="1" t="str">
        <f>IFERROR(__xludf.DUMMYFUNCTION("""COMPUTED_VALUE"""),"2f47c76e-714d-4a76-a0f8-309c2f542347")</f>
        <v>2f47c76e-714d-4a76-a0f8-309c2f542347</v>
      </c>
      <c r="E7759" s="1">
        <f>IFERROR(__xludf.DUMMYFUNCTION("""COMPUTED_VALUE"""),9.795981813775E12)</f>
        <v>9795981813775</v>
      </c>
      <c r="F7759" s="1"/>
      <c r="G7759" s="1"/>
      <c r="H7759" s="3">
        <f>IFERROR(__xludf.DUMMYFUNCTION("""COMPUTED_VALUE"""),0.0)</f>
        <v>0</v>
      </c>
      <c r="I7759" s="4"/>
      <c r="J7759" s="1" t="str">
        <f>IFERROR(__xludf.DUMMYFUNCTION("""COMPUTED_VALUE"""),"Ann Dumlao")</f>
        <v>Ann Dumlao</v>
      </c>
      <c r="K7759" s="1" t="str">
        <f>IFERROR(__xludf.DUMMYFUNCTION("""COMPUTED_VALUE"""),"Print Support PH")</f>
        <v>Print Support PH</v>
      </c>
      <c r="L7759" s="1" t="str">
        <f>IFERROR(__xludf.DUMMYFUNCTION("""COMPUTED_VALUE"""),"Print Print - CHT")</f>
        <v>Print Print - CHT</v>
      </c>
    </row>
    <row r="7760">
      <c r="A7760" s="1" t="str">
        <f>IFERROR(__xludf.DUMMYFUNCTION("""COMPUTED_VALUE"""),"2025 Dec")</f>
        <v>2025 Dec</v>
      </c>
      <c r="B7760" s="2">
        <f>IFERROR(__xludf.DUMMYFUNCTION("""COMPUTED_VALUE"""),46020.0)</f>
        <v>46020</v>
      </c>
      <c r="C7760" s="1" t="str">
        <f>IFERROR(__xludf.DUMMYFUNCTION("""COMPUTED_VALUE"""),"Admin Support")</f>
        <v>Admin Support</v>
      </c>
      <c r="D7760" s="1" t="str">
        <f>IFERROR(__xludf.DUMMYFUNCTION("""COMPUTED_VALUE"""),"7e09e164-9198-4707-9738-44a04cc51b7c")</f>
        <v>7e09e164-9198-4707-9738-44a04cc51b7c</v>
      </c>
      <c r="E7760" s="1">
        <f>IFERROR(__xludf.DUMMYFUNCTION("""COMPUTED_VALUE"""),3.61724965056E11)</f>
        <v>361724965056</v>
      </c>
      <c r="F7760" s="1"/>
      <c r="G7760" s="1"/>
      <c r="H7760" s="3">
        <f>IFERROR(__xludf.DUMMYFUNCTION("""COMPUTED_VALUE"""),0.0)</f>
        <v>0</v>
      </c>
      <c r="I7760" s="4"/>
      <c r="J7760" s="1" t="str">
        <f>IFERROR(__xludf.DUMMYFUNCTION("""COMPUTED_VALUE"""),"Rose Gabilan")</f>
        <v>Rose Gabilan</v>
      </c>
      <c r="K7760" s="1" t="str">
        <f>IFERROR(__xludf.DUMMYFUNCTION("""COMPUTED_VALUE"""),"Admin Support PH SSO")</f>
        <v>Admin Support PH SSO</v>
      </c>
      <c r="L7760" s="1" t="str">
        <f>IFERROR(__xludf.DUMMYFUNCTION("""COMPUTED_VALUE"""),"Admin SSO - CHT")</f>
        <v>Admin SSO - CHT</v>
      </c>
    </row>
    <row r="7761">
      <c r="A7761" s="1" t="str">
        <f>IFERROR(__xludf.DUMMYFUNCTION("""COMPUTED_VALUE"""),"2025 Dec")</f>
        <v>2025 Dec</v>
      </c>
      <c r="B7761" s="2">
        <f>IFERROR(__xludf.DUMMYFUNCTION("""COMPUTED_VALUE"""),46020.0)</f>
        <v>46020</v>
      </c>
      <c r="C7761" s="1" t="str">
        <f>IFERROR(__xludf.DUMMYFUNCTION("""COMPUTED_VALUE"""),"Core Product Support")</f>
        <v>Core Product Support</v>
      </c>
      <c r="D7761" s="1" t="str">
        <f>IFERROR(__xludf.DUMMYFUNCTION("""COMPUTED_VALUE"""),"a75c3ed6-de83-40cb-ad3d-ac0eaa323ceb")</f>
        <v>a75c3ed6-de83-40cb-ad3d-ac0eaa323ceb</v>
      </c>
      <c r="E7761" s="1">
        <f>IFERROR(__xludf.DUMMYFUNCTION("""COMPUTED_VALUE"""),7.631065796495E12)</f>
        <v>7631065796495</v>
      </c>
      <c r="F7761" s="1">
        <f>IFERROR(__xludf.DUMMYFUNCTION("""COMPUTED_VALUE"""),0.5)</f>
        <v>0.5</v>
      </c>
      <c r="G7761" s="1"/>
      <c r="H7761" s="3">
        <f>IFERROR(__xludf.DUMMYFUNCTION("""COMPUTED_VALUE"""),0.5)</f>
        <v>0.5</v>
      </c>
      <c r="I7761" s="4">
        <f>IFERROR(__xludf.DUMMYFUNCTION("""COMPUTED_VALUE"""),0.0)</f>
        <v>0</v>
      </c>
      <c r="J7761" s="1" t="str">
        <f>IFERROR(__xludf.DUMMYFUNCTION("""COMPUTED_VALUE"""),"Marie Mordeno")</f>
        <v>Marie Mordeno</v>
      </c>
      <c r="K7761" s="1" t="str">
        <f>IFERROR(__xludf.DUMMYFUNCTION("""COMPUTED_VALUE"""),"Advanced Billing &amp; Subscriptions")</f>
        <v>Advanced Billing &amp; Subscriptions</v>
      </c>
      <c r="L7761" s="1" t="str">
        <f>IFERROR(__xludf.DUMMYFUNCTION("""COMPUTED_VALUE"""),"CPS Advanced Billing and Subscriptions (ABS)")</f>
        <v>CPS Advanced Billing and Subscriptions (ABS)</v>
      </c>
    </row>
    <row r="7762">
      <c r="A7762" s="1" t="str">
        <f>IFERROR(__xludf.DUMMYFUNCTION("""COMPUTED_VALUE"""),"2025 Dec")</f>
        <v>2025 Dec</v>
      </c>
      <c r="B7762" s="2">
        <f>IFERROR(__xludf.DUMMYFUNCTION("""COMPUTED_VALUE"""),46020.0)</f>
        <v>46020</v>
      </c>
      <c r="C7762" s="1" t="str">
        <f>IFERROR(__xludf.DUMMYFUNCTION("""COMPUTED_VALUE"""),"Print Support")</f>
        <v>Print Support</v>
      </c>
      <c r="D7762" s="1" t="str">
        <f>IFERROR(__xludf.DUMMYFUNCTION("""COMPUTED_VALUE"""),"5edc36fa-9df2-47e0-bbda-2c0b5a323efc")</f>
        <v>5edc36fa-9df2-47e0-bbda-2c0b5a323efc</v>
      </c>
      <c r="E7762" s="1"/>
      <c r="F7762" s="1"/>
      <c r="G7762" s="1"/>
      <c r="H7762" s="3">
        <f>IFERROR(__xludf.DUMMYFUNCTION("""COMPUTED_VALUE"""),0.0)</f>
        <v>0</v>
      </c>
      <c r="I7762" s="4"/>
      <c r="J7762" s="1" t="str">
        <f>IFERROR(__xludf.DUMMYFUNCTION("""COMPUTED_VALUE"""),"Gem Agoncillo")</f>
        <v>Gem Agoncillo</v>
      </c>
      <c r="K7762" s="1" t="str">
        <f>IFERROR(__xludf.DUMMYFUNCTION("""COMPUTED_VALUE"""),"Print Design Support")</f>
        <v>Print Design Support</v>
      </c>
      <c r="L7762" s="1" t="str">
        <f>IFERROR(__xludf.DUMMYFUNCTION("""COMPUTED_VALUE"""),"Print Print Design")</f>
        <v>Print Print Design</v>
      </c>
    </row>
    <row r="7763">
      <c r="A7763" s="1" t="str">
        <f>IFERROR(__xludf.DUMMYFUNCTION("""COMPUTED_VALUE"""),"2025 Dec")</f>
        <v>2025 Dec</v>
      </c>
      <c r="B7763" s="2">
        <f>IFERROR(__xludf.DUMMYFUNCTION("""COMPUTED_VALUE"""),46020.0)</f>
        <v>46020</v>
      </c>
      <c r="C7763" s="1" t="str">
        <f>IFERROR(__xludf.DUMMYFUNCTION("""COMPUTED_VALUE"""),"High Sensitivity Support")</f>
        <v>High Sensitivity Support</v>
      </c>
      <c r="D7763" s="1" t="str">
        <f>IFERROR(__xludf.DUMMYFUNCTION("""COMPUTED_VALUE"""),"19c32062-e149-4a3e-82ea-708be4d86c06")</f>
        <v>19c32062-e149-4a3e-82ea-708be4d86c06</v>
      </c>
      <c r="E7763" s="1">
        <f>IFERROR(__xludf.DUMMYFUNCTION("""COMPUTED_VALUE"""),8.904494969999E12)</f>
        <v>8904494969999</v>
      </c>
      <c r="F7763" s="1"/>
      <c r="G7763" s="1"/>
      <c r="H7763" s="3">
        <f>IFERROR(__xludf.DUMMYFUNCTION("""COMPUTED_VALUE"""),0.0)</f>
        <v>0</v>
      </c>
      <c r="I7763" s="4"/>
      <c r="J7763" s="1" t="str">
        <f>IFERROR(__xludf.DUMMYFUNCTION("""COMPUTED_VALUE"""),"Issi Afable")</f>
        <v>Issi Afable</v>
      </c>
      <c r="K7763" s="1" t="str">
        <f>IFERROR(__xludf.DUMMYFUNCTION("""COMPUTED_VALUE"""),"High Sensitivity Support PH")</f>
        <v>High Sensitivity Support PH</v>
      </c>
      <c r="L7763" s="1" t="str">
        <f>IFERROR(__xludf.DUMMYFUNCTION("""COMPUTED_VALUE"""),"HSS High Sensitivity Support PH - SEE")</f>
        <v>HSS High Sensitivity Support PH - SEE</v>
      </c>
    </row>
    <row r="7764">
      <c r="A7764" s="1" t="str">
        <f>IFERROR(__xludf.DUMMYFUNCTION("""COMPUTED_VALUE"""),"2025 Dec")</f>
        <v>2025 Dec</v>
      </c>
      <c r="B7764" s="2">
        <f>IFERROR(__xludf.DUMMYFUNCTION("""COMPUTED_VALUE"""),46020.0)</f>
        <v>46020</v>
      </c>
      <c r="C7764" s="1" t="str">
        <f>IFERROR(__xludf.DUMMYFUNCTION("""COMPUTED_VALUE"""),"Print Support")</f>
        <v>Print Support</v>
      </c>
      <c r="D7764" s="1" t="str">
        <f>IFERROR(__xludf.DUMMYFUNCTION("""COMPUTED_VALUE"""),"5efa61d3-4fd2-4d01-a492-e08cab6832f9")</f>
        <v>5efa61d3-4fd2-4d01-a492-e08cab6832f9</v>
      </c>
      <c r="E7764" s="1">
        <f>IFERROR(__xludf.DUMMYFUNCTION("""COMPUTED_VALUE"""),5.902015961999E12)</f>
        <v>5902015961999</v>
      </c>
      <c r="F7764" s="1"/>
      <c r="G7764" s="1"/>
      <c r="H7764" s="3">
        <f>IFERROR(__xludf.DUMMYFUNCTION("""COMPUTED_VALUE"""),0.0)</f>
        <v>0</v>
      </c>
      <c r="I7764" s="4"/>
      <c r="J7764" s="1" t="str">
        <f>IFERROR(__xludf.DUMMYFUNCTION("""COMPUTED_VALUE"""),"Jen Momo")</f>
        <v>Jen Momo</v>
      </c>
      <c r="K7764" s="1" t="str">
        <f>IFERROR(__xludf.DUMMYFUNCTION("""COMPUTED_VALUE"""),"Print Support PH")</f>
        <v>Print Support PH</v>
      </c>
      <c r="L7764" s="1" t="str">
        <f>IFERROR(__xludf.DUMMYFUNCTION("""COMPUTED_VALUE"""),"Print Print - CHT")</f>
        <v>Print Print - CHT</v>
      </c>
    </row>
    <row r="7765">
      <c r="A7765" s="1" t="str">
        <f>IFERROR(__xludf.DUMMYFUNCTION("""COMPUTED_VALUE"""),"2025 Dec")</f>
        <v>2025 Dec</v>
      </c>
      <c r="B7765" s="2">
        <f>IFERROR(__xludf.DUMMYFUNCTION("""COMPUTED_VALUE"""),46020.0)</f>
        <v>46020</v>
      </c>
      <c r="C7765" s="1" t="str">
        <f>IFERROR(__xludf.DUMMYFUNCTION("""COMPUTED_VALUE"""),"Core Product Support")</f>
        <v>Core Product Support</v>
      </c>
      <c r="D7765" s="1" t="str">
        <f>IFERROR(__xludf.DUMMYFUNCTION("""COMPUTED_VALUE"""),"1990c5cb-0154-48ce-9bac-f303f8b99ef1")</f>
        <v>1990c5cb-0154-48ce-9bac-f303f8b99ef1</v>
      </c>
      <c r="E7765" s="1">
        <f>IFERROR(__xludf.DUMMYFUNCTION("""COMPUTED_VALUE"""),1.0333018682383E13)</f>
        <v>10333018682383</v>
      </c>
      <c r="F7765" s="1">
        <f>IFERROR(__xludf.DUMMYFUNCTION("""COMPUTED_VALUE"""),0.5)</f>
        <v>0.5</v>
      </c>
      <c r="G7765" s="1"/>
      <c r="H7765" s="3">
        <f>IFERROR(__xludf.DUMMYFUNCTION("""COMPUTED_VALUE"""),0.5)</f>
        <v>0.5</v>
      </c>
      <c r="I7765" s="4">
        <f>IFERROR(__xludf.DUMMYFUNCTION("""COMPUTED_VALUE"""),0.0)</f>
        <v>0</v>
      </c>
      <c r="J7765" s="1" t="str">
        <f>IFERROR(__xludf.DUMMYFUNCTION("""COMPUTED_VALUE"""),"Cate Velasco")</f>
        <v>Cate Velasco</v>
      </c>
      <c r="K7765" s="1" t="str">
        <f>IFERROR(__xludf.DUMMYFUNCTION("""COMPUTED_VALUE"""),"Advanced Product Support")</f>
        <v>Advanced Product Support</v>
      </c>
      <c r="L7765" s="1" t="str">
        <f>IFERROR(__xludf.DUMMYFUNCTION("""COMPUTED_VALUE"""),"CPS Advanced Product Support (APS)")</f>
        <v>CPS Advanced Product Support (APS)</v>
      </c>
    </row>
    <row r="7766">
      <c r="A7766" s="1" t="str">
        <f>IFERROR(__xludf.DUMMYFUNCTION("""COMPUTED_VALUE"""),"2025 Dec")</f>
        <v>2025 Dec</v>
      </c>
      <c r="B7766" s="2">
        <f>IFERROR(__xludf.DUMMYFUNCTION("""COMPUTED_VALUE"""),46020.0)</f>
        <v>46020</v>
      </c>
      <c r="C7766" s="1" t="str">
        <f>IFERROR(__xludf.DUMMYFUNCTION("""COMPUTED_VALUE"""),"Core Product Support")</f>
        <v>Core Product Support</v>
      </c>
      <c r="D7766" s="1" t="str">
        <f>IFERROR(__xludf.DUMMYFUNCTION("""COMPUTED_VALUE"""),"1ee13beb-f5ac-4c80-bcfb-9f0dc190fe68")</f>
        <v>1ee13beb-f5ac-4c80-bcfb-9f0dc190fe68</v>
      </c>
      <c r="E7766" s="1">
        <f>IFERROR(__xludf.DUMMYFUNCTION("""COMPUTED_VALUE"""),3.61725115656E11)</f>
        <v>361725115656</v>
      </c>
      <c r="F7766" s="1">
        <f>IFERROR(__xludf.DUMMYFUNCTION("""COMPUTED_VALUE"""),0.5)</f>
        <v>0.5</v>
      </c>
      <c r="G7766" s="1">
        <f>IFERROR(__xludf.DUMMYFUNCTION("""COMPUTED_VALUE"""),2.5)</f>
        <v>2.5</v>
      </c>
      <c r="H7766" s="3">
        <f>IFERROR(__xludf.DUMMYFUNCTION("""COMPUTED_VALUE"""),3.0)</f>
        <v>3</v>
      </c>
      <c r="I7766" s="4">
        <f>IFERROR(__xludf.DUMMYFUNCTION("""COMPUTED_VALUE"""),0.8333333333333334)</f>
        <v>0.8333333333</v>
      </c>
      <c r="J7766" s="1" t="str">
        <f>IFERROR(__xludf.DUMMYFUNCTION("""COMPUTED_VALUE"""),"Ellaine Estayo")</f>
        <v>Ellaine Estayo</v>
      </c>
      <c r="K7766" s="1" t="str">
        <f>IFERROR(__xludf.DUMMYFUNCTION("""COMPUTED_VALUE"""),"Core Product Support Escalation Team")</f>
        <v>Core Product Support Escalation Team</v>
      </c>
      <c r="L7766" s="1" t="str">
        <f>IFERROR(__xludf.DUMMYFUNCTION("""COMPUTED_VALUE"""),"CPS Core Product Support Escalations (CPSET)")</f>
        <v>CPS Core Product Support Escalations (CPSET)</v>
      </c>
    </row>
    <row r="7767">
      <c r="A7767" s="1" t="str">
        <f>IFERROR(__xludf.DUMMYFUNCTION("""COMPUTED_VALUE"""),"2025 Dec")</f>
        <v>2025 Dec</v>
      </c>
      <c r="B7767" s="2">
        <f>IFERROR(__xludf.DUMMYFUNCTION("""COMPUTED_VALUE"""),46020.0)</f>
        <v>46020</v>
      </c>
      <c r="C7767" s="1" t="str">
        <f>IFERROR(__xludf.DUMMYFUNCTION("""COMPUTED_VALUE"""),"Core Product Support")</f>
        <v>Core Product Support</v>
      </c>
      <c r="D7767" s="1" t="str">
        <f>IFERROR(__xludf.DUMMYFUNCTION("""COMPUTED_VALUE"""),"d625e596-8198-45f9-94ea-d04d6f6a8b27")</f>
        <v>d625e596-8198-45f9-94ea-d04d6f6a8b27</v>
      </c>
      <c r="E7767" s="1">
        <f>IFERROR(__xludf.DUMMYFUNCTION("""COMPUTED_VALUE"""),1.0333049701519E13)</f>
        <v>10333049701519</v>
      </c>
      <c r="F7767" s="1">
        <f>IFERROR(__xludf.DUMMYFUNCTION("""COMPUTED_VALUE"""),0.5)</f>
        <v>0.5</v>
      </c>
      <c r="G7767" s="1"/>
      <c r="H7767" s="3">
        <f>IFERROR(__xludf.DUMMYFUNCTION("""COMPUTED_VALUE"""),0.5)</f>
        <v>0.5</v>
      </c>
      <c r="I7767" s="4">
        <f>IFERROR(__xludf.DUMMYFUNCTION("""COMPUTED_VALUE"""),0.0)</f>
        <v>0</v>
      </c>
      <c r="J7767" s="1" t="str">
        <f>IFERROR(__xludf.DUMMYFUNCTION("""COMPUTED_VALUE"""),"Jelyn Elmido")</f>
        <v>Jelyn Elmido</v>
      </c>
      <c r="K7767" s="1" t="str">
        <f>IFERROR(__xludf.DUMMYFUNCTION("""COMPUTED_VALUE"""),"Advanced Product Support")</f>
        <v>Advanced Product Support</v>
      </c>
      <c r="L7767" s="1" t="str">
        <f>IFERROR(__xludf.DUMMYFUNCTION("""COMPUTED_VALUE"""),"CPS Advanced Product Support (APS)")</f>
        <v>CPS Advanced Product Support (APS)</v>
      </c>
    </row>
    <row r="7768">
      <c r="A7768" s="1" t="str">
        <f>IFERROR(__xludf.DUMMYFUNCTION("""COMPUTED_VALUE"""),"2025 Dec")</f>
        <v>2025 Dec</v>
      </c>
      <c r="B7768" s="2">
        <f>IFERROR(__xludf.DUMMYFUNCTION("""COMPUTED_VALUE"""),46020.0)</f>
        <v>46020</v>
      </c>
      <c r="C7768" s="1" t="str">
        <f>IFERROR(__xludf.DUMMYFUNCTION("""COMPUTED_VALUE"""),"Segment-specific Support")</f>
        <v>Segment-specific Support</v>
      </c>
      <c r="D7768" s="1" t="str">
        <f>IFERROR(__xludf.DUMMYFUNCTION("""COMPUTED_VALUE"""),"c9fa58e5-ccb3-4c72-a2e7-5a6fc2210b69")</f>
        <v>c9fa58e5-ccb3-4c72-a2e7-5a6fc2210b69</v>
      </c>
      <c r="E7768" s="1">
        <f>IFERROR(__xludf.DUMMYFUNCTION("""COMPUTED_VALUE"""),1.1401981299343E13)</f>
        <v>11401981299343</v>
      </c>
      <c r="F7768" s="1"/>
      <c r="G7768" s="1"/>
      <c r="H7768" s="3">
        <f>IFERROR(__xludf.DUMMYFUNCTION("""COMPUTED_VALUE"""),0.0)</f>
        <v>0</v>
      </c>
      <c r="I7768" s="4"/>
      <c r="J7768" s="1" t="str">
        <f>IFERROR(__xludf.DUMMYFUNCTION("""COMPUTED_VALUE"""),"Aileen Dayanghirang")</f>
        <v>Aileen Dayanghirang</v>
      </c>
      <c r="K7768" s="1" t="str">
        <f>IFERROR(__xludf.DUMMYFUNCTION("""COMPUTED_VALUE"""),"Creators Support")</f>
        <v>Creators Support</v>
      </c>
      <c r="L7768" s="1" t="str">
        <f>IFERROR(__xludf.DUMMYFUNCTION("""COMPUTED_VALUE"""),"SSS Creators")</f>
        <v>SSS Creators</v>
      </c>
    </row>
    <row r="7769">
      <c r="A7769" s="1" t="str">
        <f>IFERROR(__xludf.DUMMYFUNCTION("""COMPUTED_VALUE"""),"2025 Dec")</f>
        <v>2025 Dec</v>
      </c>
      <c r="B7769" s="2">
        <f>IFERROR(__xludf.DUMMYFUNCTION("""COMPUTED_VALUE"""),46020.0)</f>
        <v>46020</v>
      </c>
      <c r="C7769" s="1" t="str">
        <f>IFERROR(__xludf.DUMMYFUNCTION("""COMPUTED_VALUE"""),"Admin Support")</f>
        <v>Admin Support</v>
      </c>
      <c r="D7769" s="1" t="str">
        <f>IFERROR(__xludf.DUMMYFUNCTION("""COMPUTED_VALUE"""),"6695b35c-7a53-4eb2-bcfc-9808f8e07dd8")</f>
        <v>6695b35c-7a53-4eb2-bcfc-9808f8e07dd8</v>
      </c>
      <c r="E7769" s="1">
        <f>IFERROR(__xludf.DUMMYFUNCTION("""COMPUTED_VALUE"""),3.61732164295E11)</f>
        <v>361732164295</v>
      </c>
      <c r="F7769" s="1"/>
      <c r="G7769" s="1"/>
      <c r="H7769" s="3">
        <f>IFERROR(__xludf.DUMMYFUNCTION("""COMPUTED_VALUE"""),0.0)</f>
        <v>0</v>
      </c>
      <c r="I7769" s="4"/>
      <c r="J7769" s="1" t="str">
        <f>IFERROR(__xludf.DUMMYFUNCTION("""COMPUTED_VALUE"""),"Kelden Laguting")</f>
        <v>Kelden Laguting</v>
      </c>
      <c r="K7769" s="1" t="str">
        <f>IFERROR(__xludf.DUMMYFUNCTION("""COMPUTED_VALUE"""),"Admin Support PH")</f>
        <v>Admin Support PH</v>
      </c>
      <c r="L7769" s="1" t="str">
        <f>IFERROR(__xludf.DUMMYFUNCTION("""COMPUTED_VALUE"""),"Admin PH")</f>
        <v>Admin PH</v>
      </c>
    </row>
    <row r="7770">
      <c r="A7770" s="1" t="str">
        <f>IFERROR(__xludf.DUMMYFUNCTION("""COMPUTED_VALUE"""),"2025 Dec")</f>
        <v>2025 Dec</v>
      </c>
      <c r="B7770" s="2">
        <f>IFERROR(__xludf.DUMMYFUNCTION("""COMPUTED_VALUE"""),46020.0)</f>
        <v>46020</v>
      </c>
      <c r="C7770" s="1" t="str">
        <f>IFERROR(__xludf.DUMMYFUNCTION("""COMPUTED_VALUE"""),"Core Product Support")</f>
        <v>Core Product Support</v>
      </c>
      <c r="D7770" s="1" t="str">
        <f>IFERROR(__xludf.DUMMYFUNCTION("""COMPUTED_VALUE"""),"a460fd1a-1ef6-4034-a4ca-14a4c4765f42")</f>
        <v>a460fd1a-1ef6-4034-a4ca-14a4c4765f42</v>
      </c>
      <c r="E7770" s="1">
        <f>IFERROR(__xludf.DUMMYFUNCTION("""COMPUTED_VALUE"""),9.107766464399E12)</f>
        <v>9107766464399</v>
      </c>
      <c r="F7770" s="1">
        <f>IFERROR(__xludf.DUMMYFUNCTION("""COMPUTED_VALUE"""),0.5)</f>
        <v>0.5</v>
      </c>
      <c r="G7770" s="1"/>
      <c r="H7770" s="3">
        <f>IFERROR(__xludf.DUMMYFUNCTION("""COMPUTED_VALUE"""),0.5)</f>
        <v>0.5</v>
      </c>
      <c r="I7770" s="4">
        <f>IFERROR(__xludf.DUMMYFUNCTION("""COMPUTED_VALUE"""),0.0)</f>
        <v>0</v>
      </c>
      <c r="J7770" s="1" t="str">
        <f>IFERROR(__xludf.DUMMYFUNCTION("""COMPUTED_VALUE"""),"Ana Lazaro")</f>
        <v>Ana Lazaro</v>
      </c>
      <c r="K7770" s="1" t="str">
        <f>IFERROR(__xludf.DUMMYFUNCTION("""COMPUTED_VALUE"""),"Advanced Billing &amp; Subscriptions")</f>
        <v>Advanced Billing &amp; Subscriptions</v>
      </c>
      <c r="L7770" s="1" t="str">
        <f>IFERROR(__xludf.DUMMYFUNCTION("""COMPUTED_VALUE"""),"CPS Advanced Billing and Subscriptions (ABS)")</f>
        <v>CPS Advanced Billing and Subscriptions (ABS)</v>
      </c>
    </row>
    <row r="7771">
      <c r="A7771" s="1" t="str">
        <f>IFERROR(__xludf.DUMMYFUNCTION("""COMPUTED_VALUE"""),"2025 Dec")</f>
        <v>2025 Dec</v>
      </c>
      <c r="B7771" s="2">
        <f>IFERROR(__xludf.DUMMYFUNCTION("""COMPUTED_VALUE"""),46020.0)</f>
        <v>46020</v>
      </c>
      <c r="C7771" s="1" t="str">
        <f>IFERROR(__xludf.DUMMYFUNCTION("""COMPUTED_VALUE"""),"Print Support")</f>
        <v>Print Support</v>
      </c>
      <c r="D7771" s="1" t="str">
        <f>IFERROR(__xludf.DUMMYFUNCTION("""COMPUTED_VALUE"""),"2ffdab50-ba8e-4ff1-a8d9-e609f47d6cbd")</f>
        <v>2ffdab50-ba8e-4ff1-a8d9-e609f47d6cbd</v>
      </c>
      <c r="E7771" s="1">
        <f>IFERROR(__xludf.DUMMYFUNCTION("""COMPUTED_VALUE"""),3.61731515115E11)</f>
        <v>361731515115</v>
      </c>
      <c r="F7771" s="1"/>
      <c r="G7771" s="1"/>
      <c r="H7771" s="3">
        <f>IFERROR(__xludf.DUMMYFUNCTION("""COMPUTED_VALUE"""),0.0)</f>
        <v>0</v>
      </c>
      <c r="I7771" s="4"/>
      <c r="J7771" s="1" t="str">
        <f>IFERROR(__xludf.DUMMYFUNCTION("""COMPUTED_VALUE"""),"Louise Dianne Estrella")</f>
        <v>Louise Dianne Estrella</v>
      </c>
      <c r="K7771" s="1" t="str">
        <f>IFERROR(__xludf.DUMMYFUNCTION("""COMPUTED_VALUE"""),"Print Support PH")</f>
        <v>Print Support PH</v>
      </c>
      <c r="L7771" s="1" t="str">
        <f>IFERROR(__xludf.DUMMYFUNCTION("""COMPUTED_VALUE"""),"Print Print - CHT")</f>
        <v>Print Print - CHT</v>
      </c>
    </row>
    <row r="7772">
      <c r="A7772" s="1" t="str">
        <f>IFERROR(__xludf.DUMMYFUNCTION("""COMPUTED_VALUE"""),"2025 Dec")</f>
        <v>2025 Dec</v>
      </c>
      <c r="B7772" s="2">
        <f>IFERROR(__xludf.DUMMYFUNCTION("""COMPUTED_VALUE"""),46020.0)</f>
        <v>46020</v>
      </c>
      <c r="C7772" s="1" t="str">
        <f>IFERROR(__xludf.DUMMYFUNCTION("""COMPUTED_VALUE"""),"Core Product Support")</f>
        <v>Core Product Support</v>
      </c>
      <c r="D7772" s="1" t="str">
        <f>IFERROR(__xludf.DUMMYFUNCTION("""COMPUTED_VALUE"""),"53c72618-3bf9-4bcf-adf4-39677fd20e1f")</f>
        <v>53c72618-3bf9-4bcf-adf4-39677fd20e1f</v>
      </c>
      <c r="E7772" s="1">
        <f>IFERROR(__xludf.DUMMYFUNCTION("""COMPUTED_VALUE"""),1.1035324543247E13)</f>
        <v>11035324543247</v>
      </c>
      <c r="F7772" s="1">
        <f>IFERROR(__xludf.DUMMYFUNCTION("""COMPUTED_VALUE"""),0.5)</f>
        <v>0.5</v>
      </c>
      <c r="G7772" s="1"/>
      <c r="H7772" s="3">
        <f>IFERROR(__xludf.DUMMYFUNCTION("""COMPUTED_VALUE"""),0.5)</f>
        <v>0.5</v>
      </c>
      <c r="I7772" s="4">
        <f>IFERROR(__xludf.DUMMYFUNCTION("""COMPUTED_VALUE"""),0.0)</f>
        <v>0</v>
      </c>
      <c r="J7772" s="1" t="str">
        <f>IFERROR(__xludf.DUMMYFUNCTION("""COMPUTED_VALUE"""),"Ayza Marie Pascual")</f>
        <v>Ayza Marie Pascual</v>
      </c>
      <c r="K7772" s="1" t="str">
        <f>IFERROR(__xludf.DUMMYFUNCTION("""COMPUTED_VALUE"""),"Advanced Billing &amp; Subscriptions")</f>
        <v>Advanced Billing &amp; Subscriptions</v>
      </c>
      <c r="L7772" s="1" t="str">
        <f>IFERROR(__xludf.DUMMYFUNCTION("""COMPUTED_VALUE"""),"CPS Advanced Billing and Subscriptions (ABS)")</f>
        <v>CPS Advanced Billing and Subscriptions (ABS)</v>
      </c>
    </row>
    <row r="7773">
      <c r="A7773" s="1" t="str">
        <f>IFERROR(__xludf.DUMMYFUNCTION("""COMPUTED_VALUE"""),"2025 Dec")</f>
        <v>2025 Dec</v>
      </c>
      <c r="B7773" s="2">
        <f>IFERROR(__xludf.DUMMYFUNCTION("""COMPUTED_VALUE"""),46020.0)</f>
        <v>46020</v>
      </c>
      <c r="C7773" s="1" t="str">
        <f>IFERROR(__xludf.DUMMYFUNCTION("""COMPUTED_VALUE"""),"Core Product Support")</f>
        <v>Core Product Support</v>
      </c>
      <c r="D7773" s="1" t="str">
        <f>IFERROR(__xludf.DUMMYFUNCTION("""COMPUTED_VALUE"""),"08e80e21-5eab-4b4f-bd2a-c3d833caa4fc")</f>
        <v>08e80e21-5eab-4b4f-bd2a-c3d833caa4fc</v>
      </c>
      <c r="E7773" s="1">
        <f>IFERROR(__xludf.DUMMYFUNCTION("""COMPUTED_VALUE"""),8.409877156495E12)</f>
        <v>8409877156495</v>
      </c>
      <c r="F7773" s="1">
        <f>IFERROR(__xludf.DUMMYFUNCTION("""COMPUTED_VALUE"""),0.5)</f>
        <v>0.5</v>
      </c>
      <c r="G7773" s="1"/>
      <c r="H7773" s="3">
        <f>IFERROR(__xludf.DUMMYFUNCTION("""COMPUTED_VALUE"""),0.5)</f>
        <v>0.5</v>
      </c>
      <c r="I7773" s="4">
        <f>IFERROR(__xludf.DUMMYFUNCTION("""COMPUTED_VALUE"""),0.0)</f>
        <v>0</v>
      </c>
      <c r="J7773" s="1" t="str">
        <f>IFERROR(__xludf.DUMMYFUNCTION("""COMPUTED_VALUE"""),"Jahmie Mae Barrameda")</f>
        <v>Jahmie Mae Barrameda</v>
      </c>
      <c r="K7773" s="1" t="str">
        <f>IFERROR(__xludf.DUMMYFUNCTION("""COMPUTED_VALUE"""),"Advanced Billing &amp; Subscriptions")</f>
        <v>Advanced Billing &amp; Subscriptions</v>
      </c>
      <c r="L7773" s="1" t="str">
        <f>IFERROR(__xludf.DUMMYFUNCTION("""COMPUTED_VALUE"""),"CPS Advanced Billing and Subscriptions (ABS)")</f>
        <v>CPS Advanced Billing and Subscriptions (ABS)</v>
      </c>
    </row>
    <row r="7774">
      <c r="A7774" s="1" t="str">
        <f>IFERROR(__xludf.DUMMYFUNCTION("""COMPUTED_VALUE"""),"2025 Dec")</f>
        <v>2025 Dec</v>
      </c>
      <c r="B7774" s="2">
        <f>IFERROR(__xludf.DUMMYFUNCTION("""COMPUTED_VALUE"""),46020.0)</f>
        <v>46020</v>
      </c>
      <c r="C7774" s="1" t="str">
        <f>IFERROR(__xludf.DUMMYFUNCTION("""COMPUTED_VALUE"""),"Core Product Support")</f>
        <v>Core Product Support</v>
      </c>
      <c r="D7774" s="1" t="str">
        <f>IFERROR(__xludf.DUMMYFUNCTION("""COMPUTED_VALUE"""),"41e73ce2-bda5-4412-b2d5-381b4a0a0fdd")</f>
        <v>41e73ce2-bda5-4412-b2d5-381b4a0a0fdd</v>
      </c>
      <c r="E7774" s="1">
        <f>IFERROR(__xludf.DUMMYFUNCTION("""COMPUTED_VALUE"""),3.61750008275E11)</f>
        <v>361750008275</v>
      </c>
      <c r="F7774" s="1">
        <f>IFERROR(__xludf.DUMMYFUNCTION("""COMPUTED_VALUE"""),0.5)</f>
        <v>0.5</v>
      </c>
      <c r="G7774" s="1">
        <f>IFERROR(__xludf.DUMMYFUNCTION("""COMPUTED_VALUE"""),2.5)</f>
        <v>2.5</v>
      </c>
      <c r="H7774" s="3">
        <f>IFERROR(__xludf.DUMMYFUNCTION("""COMPUTED_VALUE"""),3.0)</f>
        <v>3</v>
      </c>
      <c r="I7774" s="4">
        <f>IFERROR(__xludf.DUMMYFUNCTION("""COMPUTED_VALUE"""),0.8333333333333334)</f>
        <v>0.8333333333</v>
      </c>
      <c r="J7774" s="1" t="str">
        <f>IFERROR(__xludf.DUMMYFUNCTION("""COMPUTED_VALUE"""),"Bem Launte")</f>
        <v>Bem Launte</v>
      </c>
      <c r="K7774" s="1" t="str">
        <f>IFERROR(__xludf.DUMMYFUNCTION("""COMPUTED_VALUE"""),"Core Product Support Escalation Team")</f>
        <v>Core Product Support Escalation Team</v>
      </c>
      <c r="L7774" s="1" t="str">
        <f>IFERROR(__xludf.DUMMYFUNCTION("""COMPUTED_VALUE"""),"CPS Core Product Support Escalations (CPSET)")</f>
        <v>CPS Core Product Support Escalations (CPSET)</v>
      </c>
    </row>
    <row r="7775">
      <c r="A7775" s="1" t="str">
        <f>IFERROR(__xludf.DUMMYFUNCTION("""COMPUTED_VALUE"""),"2025 Dec")</f>
        <v>2025 Dec</v>
      </c>
      <c r="B7775" s="2">
        <f>IFERROR(__xludf.DUMMYFUNCTION("""COMPUTED_VALUE"""),46020.0)</f>
        <v>46020</v>
      </c>
      <c r="C7775" s="1" t="str">
        <f>IFERROR(__xludf.DUMMYFUNCTION("""COMPUTED_VALUE"""),"Print Support")</f>
        <v>Print Support</v>
      </c>
      <c r="D7775" s="1" t="str">
        <f>IFERROR(__xludf.DUMMYFUNCTION("""COMPUTED_VALUE"""),"a8e62322-b2dc-4c8a-842a-2a259dac6528")</f>
        <v>a8e62322-b2dc-4c8a-842a-2a259dac6528</v>
      </c>
      <c r="E7775" s="1">
        <f>IFERROR(__xludf.DUMMYFUNCTION("""COMPUTED_VALUE"""),9.285106592655E12)</f>
        <v>9285106592655</v>
      </c>
      <c r="F7775" s="1"/>
      <c r="G7775" s="1"/>
      <c r="H7775" s="3">
        <f>IFERROR(__xludf.DUMMYFUNCTION("""COMPUTED_VALUE"""),0.0)</f>
        <v>0</v>
      </c>
      <c r="I7775" s="4"/>
      <c r="J7775" s="1" t="str">
        <f>IFERROR(__xludf.DUMMYFUNCTION("""COMPUTED_VALUE"""),"Althea Mercado")</f>
        <v>Althea Mercado</v>
      </c>
      <c r="K7775" s="1" t="str">
        <f>IFERROR(__xludf.DUMMYFUNCTION("""COMPUTED_VALUE"""),"Print Support PH")</f>
        <v>Print Support PH</v>
      </c>
      <c r="L7775" s="1" t="str">
        <f>IFERROR(__xludf.DUMMYFUNCTION("""COMPUTED_VALUE"""),"Print Print - CHT")</f>
        <v>Print Print - CHT</v>
      </c>
    </row>
    <row r="7776">
      <c r="A7776" s="1" t="str">
        <f>IFERROR(__xludf.DUMMYFUNCTION("""COMPUTED_VALUE"""),"2025 Dec")</f>
        <v>2025 Dec</v>
      </c>
      <c r="B7776" s="2">
        <f>IFERROR(__xludf.DUMMYFUNCTION("""COMPUTED_VALUE"""),46020.0)</f>
        <v>46020</v>
      </c>
      <c r="C7776" s="1" t="str">
        <f>IFERROR(__xludf.DUMMYFUNCTION("""COMPUTED_VALUE"""),"Admin Support")</f>
        <v>Admin Support</v>
      </c>
      <c r="D7776" s="1" t="str">
        <f>IFERROR(__xludf.DUMMYFUNCTION("""COMPUTED_VALUE"""),"ab14ac10-6fdd-4acd-92a0-afc53948f957")</f>
        <v>ab14ac10-6fdd-4acd-92a0-afc53948f957</v>
      </c>
      <c r="E7776" s="1">
        <f>IFERROR(__xludf.DUMMYFUNCTION("""COMPUTED_VALUE"""),3.61731791675E11)</f>
        <v>361731791675</v>
      </c>
      <c r="F7776" s="1"/>
      <c r="G7776" s="1"/>
      <c r="H7776" s="3">
        <f>IFERROR(__xludf.DUMMYFUNCTION("""COMPUTED_VALUE"""),0.0)</f>
        <v>0</v>
      </c>
      <c r="I7776" s="4"/>
      <c r="J7776" s="1" t="str">
        <f>IFERROR(__xludf.DUMMYFUNCTION("""COMPUTED_VALUE"""),"Camille Alvarez")</f>
        <v>Camille Alvarez</v>
      </c>
      <c r="K7776" s="1" t="str">
        <f>IFERROR(__xludf.DUMMYFUNCTION("""COMPUTED_VALUE"""),"Admin Support PH SSO")</f>
        <v>Admin Support PH SSO</v>
      </c>
      <c r="L7776" s="1" t="str">
        <f>IFERROR(__xludf.DUMMYFUNCTION("""COMPUTED_VALUE"""),"Admin SSO - SEE")</f>
        <v>Admin SSO - SEE</v>
      </c>
    </row>
    <row r="7777">
      <c r="A7777" s="1" t="str">
        <f>IFERROR(__xludf.DUMMYFUNCTION("""COMPUTED_VALUE"""),"2025 Dec")</f>
        <v>2025 Dec</v>
      </c>
      <c r="B7777" s="2">
        <f>IFERROR(__xludf.DUMMYFUNCTION("""COMPUTED_VALUE"""),46020.0)</f>
        <v>46020</v>
      </c>
      <c r="C7777" s="1" t="str">
        <f>IFERROR(__xludf.DUMMYFUNCTION("""COMPUTED_VALUE"""),"Segment-specific Support")</f>
        <v>Segment-specific Support</v>
      </c>
      <c r="D7777" s="1" t="str">
        <f>IFERROR(__xludf.DUMMYFUNCTION("""COMPUTED_VALUE"""),"b3a312bb-80a6-4404-a83b-85b5d7be9789")</f>
        <v>b3a312bb-80a6-4404-a83b-85b5d7be9789</v>
      </c>
      <c r="E7777" s="1">
        <f>IFERROR(__xludf.DUMMYFUNCTION("""COMPUTED_VALUE"""),9.903274706831E12)</f>
        <v>9903274706831</v>
      </c>
      <c r="F7777" s="1">
        <f>IFERROR(__xludf.DUMMYFUNCTION("""COMPUTED_VALUE"""),0.5)</f>
        <v>0.5</v>
      </c>
      <c r="G7777" s="1"/>
      <c r="H7777" s="3">
        <f>IFERROR(__xludf.DUMMYFUNCTION("""COMPUTED_VALUE"""),0.5)</f>
        <v>0.5</v>
      </c>
      <c r="I7777" s="4">
        <f>IFERROR(__xludf.DUMMYFUNCTION("""COMPUTED_VALUE"""),0.0)</f>
        <v>0</v>
      </c>
      <c r="J7777" s="1" t="str">
        <f>IFERROR(__xludf.DUMMYFUNCTION("""COMPUTED_VALUE"""),"Jonathan Dimaculangan")</f>
        <v>Jonathan Dimaculangan</v>
      </c>
      <c r="K7777" s="1" t="str">
        <f>IFERROR(__xludf.DUMMYFUNCTION("""COMPUTED_VALUE"""),"Flourish Support")</f>
        <v>Flourish Support</v>
      </c>
      <c r="L7777" s="1" t="str">
        <f>IFERROR(__xludf.DUMMYFUNCTION("""COMPUTED_VALUE"""),"SSS Flourish")</f>
        <v>SSS Flourish</v>
      </c>
    </row>
    <row r="7778">
      <c r="A7778" s="1" t="str">
        <f>IFERROR(__xludf.DUMMYFUNCTION("""COMPUTED_VALUE"""),"2025 Dec")</f>
        <v>2025 Dec</v>
      </c>
      <c r="B7778" s="2">
        <f>IFERROR(__xludf.DUMMYFUNCTION("""COMPUTED_VALUE"""),46020.0)</f>
        <v>46020</v>
      </c>
      <c r="C7778" s="1" t="str">
        <f>IFERROR(__xludf.DUMMYFUNCTION("""COMPUTED_VALUE"""),"Core Product Support")</f>
        <v>Core Product Support</v>
      </c>
      <c r="D7778" s="1" t="str">
        <f>IFERROR(__xludf.DUMMYFUNCTION("""COMPUTED_VALUE"""),"c820bf34-a16a-4ab5-afca-78d6c71226e3")</f>
        <v>c820bf34-a16a-4ab5-afca-78d6c71226e3</v>
      </c>
      <c r="E7778" s="1">
        <f>IFERROR(__xludf.DUMMYFUNCTION("""COMPUTED_VALUE"""),3.61731943295E11)</f>
        <v>361731943295</v>
      </c>
      <c r="F7778" s="1">
        <f>IFERROR(__xludf.DUMMYFUNCTION("""COMPUTED_VALUE"""),0.5)</f>
        <v>0.5</v>
      </c>
      <c r="G7778" s="1">
        <f>IFERROR(__xludf.DUMMYFUNCTION("""COMPUTED_VALUE"""),2.5)</f>
        <v>2.5</v>
      </c>
      <c r="H7778" s="3">
        <f>IFERROR(__xludf.DUMMYFUNCTION("""COMPUTED_VALUE"""),3.0)</f>
        <v>3</v>
      </c>
      <c r="I7778" s="4">
        <f>IFERROR(__xludf.DUMMYFUNCTION("""COMPUTED_VALUE"""),0.8333333333333334)</f>
        <v>0.8333333333</v>
      </c>
      <c r="J7778" s="1" t="str">
        <f>IFERROR(__xludf.DUMMYFUNCTION("""COMPUTED_VALUE"""),"Bem Launte")</f>
        <v>Bem Launte</v>
      </c>
      <c r="K7778" s="1" t="str">
        <f>IFERROR(__xludf.DUMMYFUNCTION("""COMPUTED_VALUE"""),"Core Product Support Escalation Team")</f>
        <v>Core Product Support Escalation Team</v>
      </c>
      <c r="L7778" s="1" t="str">
        <f>IFERROR(__xludf.DUMMYFUNCTION("""COMPUTED_VALUE"""),"CPS Core Product Support Escalations (CPSET)")</f>
        <v>CPS Core Product Support Escalations (CPSET)</v>
      </c>
    </row>
    <row r="7779">
      <c r="A7779" s="1" t="str">
        <f>IFERROR(__xludf.DUMMYFUNCTION("""COMPUTED_VALUE"""),"2025 Dec")</f>
        <v>2025 Dec</v>
      </c>
      <c r="B7779" s="2">
        <f>IFERROR(__xludf.DUMMYFUNCTION("""COMPUTED_VALUE"""),46020.0)</f>
        <v>46020</v>
      </c>
      <c r="C7779" s="1" t="str">
        <f>IFERROR(__xludf.DUMMYFUNCTION("""COMPUTED_VALUE"""),"Multilingual Support")</f>
        <v>Multilingual Support</v>
      </c>
      <c r="D7779" s="1" t="str">
        <f>IFERROR(__xludf.DUMMYFUNCTION("""COMPUTED_VALUE"""),"283e2e77-f88a-4efa-b94d-fff3a66e663f")</f>
        <v>283e2e77-f88a-4efa-b94d-fff3a66e663f</v>
      </c>
      <c r="E7779" s="1">
        <f>IFERROR(__xludf.DUMMYFUNCTION("""COMPUTED_VALUE"""),3.61731791575E11)</f>
        <v>361731791575</v>
      </c>
      <c r="F7779" s="1"/>
      <c r="G7779" s="1"/>
      <c r="H7779" s="3">
        <f>IFERROR(__xludf.DUMMYFUNCTION("""COMPUTED_VALUE"""),0.0)</f>
        <v>0</v>
      </c>
      <c r="I7779" s="4"/>
      <c r="J7779" s="1" t="str">
        <f>IFERROR(__xludf.DUMMYFUNCTION("""COMPUTED_VALUE"""),"Arlene Maurillo")</f>
        <v>Arlene Maurillo</v>
      </c>
      <c r="K7779" s="1" t="str">
        <f>IFERROR(__xludf.DUMMYFUNCTION("""COMPUTED_VALUE"""),"PHL, Multilingual Support")</f>
        <v>PHL, Multilingual Support</v>
      </c>
      <c r="L7779" s="1" t="str">
        <f>IFERROR(__xludf.DUMMYFUNCTION("""COMPUTED_VALUE"""),"ML French Support")</f>
        <v>ML French Support</v>
      </c>
    </row>
    <row r="7780">
      <c r="A7780" s="1" t="str">
        <f>IFERROR(__xludf.DUMMYFUNCTION("""COMPUTED_VALUE"""),"2025 Dec")</f>
        <v>2025 Dec</v>
      </c>
      <c r="B7780" s="2">
        <f>IFERROR(__xludf.DUMMYFUNCTION("""COMPUTED_VALUE"""),46020.0)</f>
        <v>46020</v>
      </c>
      <c r="C7780" s="1" t="str">
        <f>IFERROR(__xludf.DUMMYFUNCTION("""COMPUTED_VALUE"""),"Print Support")</f>
        <v>Print Support</v>
      </c>
      <c r="D7780" s="1" t="str">
        <f>IFERROR(__xludf.DUMMYFUNCTION("""COMPUTED_VALUE"""),"759bff0c-8571-44a6-ac6a-7e74510a6a62")</f>
        <v>759bff0c-8571-44a6-ac6a-7e74510a6a62</v>
      </c>
      <c r="E7780" s="1">
        <f>IFERROR(__xludf.DUMMYFUNCTION("""COMPUTED_VALUE"""),6.839686960271E12)</f>
        <v>6839686960271</v>
      </c>
      <c r="F7780" s="1"/>
      <c r="G7780" s="1"/>
      <c r="H7780" s="3">
        <f>IFERROR(__xludf.DUMMYFUNCTION("""COMPUTED_VALUE"""),0.0)</f>
        <v>0</v>
      </c>
      <c r="I7780" s="4"/>
      <c r="J7780" s="1" t="str">
        <f>IFERROR(__xludf.DUMMYFUNCTION("""COMPUTED_VALUE"""),"Althea Mercado")</f>
        <v>Althea Mercado</v>
      </c>
      <c r="K7780" s="1" t="str">
        <f>IFERROR(__xludf.DUMMYFUNCTION("""COMPUTED_VALUE"""),"Print Support PH")</f>
        <v>Print Support PH</v>
      </c>
      <c r="L7780" s="1" t="str">
        <f>IFERROR(__xludf.DUMMYFUNCTION("""COMPUTED_VALUE"""),"Print Print - CHT")</f>
        <v>Print Print - CHT</v>
      </c>
    </row>
    <row r="7781">
      <c r="A7781" s="1" t="str">
        <f>IFERROR(__xludf.DUMMYFUNCTION("""COMPUTED_VALUE"""),"2025 Dec")</f>
        <v>2025 Dec</v>
      </c>
      <c r="B7781" s="2">
        <f>IFERROR(__xludf.DUMMYFUNCTION("""COMPUTED_VALUE"""),46020.0)</f>
        <v>46020</v>
      </c>
      <c r="C7781" s="1" t="str">
        <f>IFERROR(__xludf.DUMMYFUNCTION("""COMPUTED_VALUE"""),"Print Support")</f>
        <v>Print Support</v>
      </c>
      <c r="D7781" s="1" t="str">
        <f>IFERROR(__xludf.DUMMYFUNCTION("""COMPUTED_VALUE"""),"435dbe60-cec1-4cb2-b1d3-b030b9d41646")</f>
        <v>435dbe60-cec1-4cb2-b1d3-b030b9d41646</v>
      </c>
      <c r="E7781" s="1">
        <f>IFERROR(__xludf.DUMMYFUNCTION("""COMPUTED_VALUE"""),3.61724666876E11)</f>
        <v>361724666876</v>
      </c>
      <c r="F7781" s="1">
        <f>IFERROR(__xludf.DUMMYFUNCTION("""COMPUTED_VALUE"""),2.0)</f>
        <v>2</v>
      </c>
      <c r="G7781" s="1"/>
      <c r="H7781" s="3">
        <f>IFERROR(__xludf.DUMMYFUNCTION("""COMPUTED_VALUE"""),2.0)</f>
        <v>2</v>
      </c>
      <c r="I7781" s="4">
        <f>IFERROR(__xludf.DUMMYFUNCTION("""COMPUTED_VALUE"""),0.0)</f>
        <v>0</v>
      </c>
      <c r="J7781" s="1" t="str">
        <f>IFERROR(__xludf.DUMMYFUNCTION("""COMPUTED_VALUE"""),"Rae Erlano")</f>
        <v>Rae Erlano</v>
      </c>
      <c r="K7781" s="1" t="str">
        <f>IFERROR(__xludf.DUMMYFUNCTION("""COMPUTED_VALUE"""),"Print Support PH")</f>
        <v>Print Support PH</v>
      </c>
      <c r="L7781" s="1" t="str">
        <f>IFERROR(__xludf.DUMMYFUNCTION("""COMPUTED_VALUE"""),"Print Print - SEE")</f>
        <v>Print Print - SEE</v>
      </c>
    </row>
    <row r="7782">
      <c r="A7782" s="1" t="str">
        <f>IFERROR(__xludf.DUMMYFUNCTION("""COMPUTED_VALUE"""),"2025 Dec")</f>
        <v>2025 Dec</v>
      </c>
      <c r="B7782" s="2">
        <f>IFERROR(__xludf.DUMMYFUNCTION("""COMPUTED_VALUE"""),46020.0)</f>
        <v>46020</v>
      </c>
      <c r="C7782" s="1" t="str">
        <f>IFERROR(__xludf.DUMMYFUNCTION("""COMPUTED_VALUE"""),"Core Product Support")</f>
        <v>Core Product Support</v>
      </c>
      <c r="D7782" s="1" t="str">
        <f>IFERROR(__xludf.DUMMYFUNCTION("""COMPUTED_VALUE"""),"d49e1c15-2cd1-4e35-9b3a-8acda7c42425")</f>
        <v>d49e1c15-2cd1-4e35-9b3a-8acda7c42425</v>
      </c>
      <c r="E7782" s="1">
        <f>IFERROR(__xludf.DUMMYFUNCTION("""COMPUTED_VALUE"""),1.1401961091343E13)</f>
        <v>11401961091343</v>
      </c>
      <c r="F7782" s="1">
        <f>IFERROR(__xludf.DUMMYFUNCTION("""COMPUTED_VALUE"""),0.5)</f>
        <v>0.5</v>
      </c>
      <c r="G7782" s="1"/>
      <c r="H7782" s="3">
        <f>IFERROR(__xludf.DUMMYFUNCTION("""COMPUTED_VALUE"""),0.5)</f>
        <v>0.5</v>
      </c>
      <c r="I7782" s="4">
        <f>IFERROR(__xludf.DUMMYFUNCTION("""COMPUTED_VALUE"""),0.0)</f>
        <v>0</v>
      </c>
      <c r="J7782" s="1" t="str">
        <f>IFERROR(__xludf.DUMMYFUNCTION("""COMPUTED_VALUE"""),"Cate Velasco")</f>
        <v>Cate Velasco</v>
      </c>
      <c r="K7782" s="1" t="str">
        <f>IFERROR(__xludf.DUMMYFUNCTION("""COMPUTED_VALUE"""),"Advanced Product Support")</f>
        <v>Advanced Product Support</v>
      </c>
      <c r="L7782" s="1" t="str">
        <f>IFERROR(__xludf.DUMMYFUNCTION("""COMPUTED_VALUE"""),"CPS Advanced Product Support (APS)")</f>
        <v>CPS Advanced Product Support (APS)</v>
      </c>
    </row>
    <row r="7783">
      <c r="A7783" s="1" t="str">
        <f>IFERROR(__xludf.DUMMYFUNCTION("""COMPUTED_VALUE"""),"2025 Dec")</f>
        <v>2025 Dec</v>
      </c>
      <c r="B7783" s="2">
        <f>IFERROR(__xludf.DUMMYFUNCTION("""COMPUTED_VALUE"""),46020.0)</f>
        <v>46020</v>
      </c>
      <c r="C7783" s="1" t="str">
        <f>IFERROR(__xludf.DUMMYFUNCTION("""COMPUTED_VALUE"""),"Segment-specific Support")</f>
        <v>Segment-specific Support</v>
      </c>
      <c r="D7783" s="1" t="str">
        <f>IFERROR(__xludf.DUMMYFUNCTION("""COMPUTED_VALUE"""),"273af0e8-ae9e-4171-b68c-6f2448bbd29f")</f>
        <v>273af0e8-ae9e-4171-b68c-6f2448bbd29f</v>
      </c>
      <c r="E7783" s="1">
        <f>IFERROR(__xludf.DUMMYFUNCTION("""COMPUTED_VALUE"""),1.1401981037583E13)</f>
        <v>11401981037583</v>
      </c>
      <c r="F7783" s="1"/>
      <c r="G7783" s="1"/>
      <c r="H7783" s="3">
        <f>IFERROR(__xludf.DUMMYFUNCTION("""COMPUTED_VALUE"""),0.0)</f>
        <v>0</v>
      </c>
      <c r="I7783" s="4"/>
      <c r="J7783" s="1" t="str">
        <f>IFERROR(__xludf.DUMMYFUNCTION("""COMPUTED_VALUE"""),"Aileen Dayanghirang")</f>
        <v>Aileen Dayanghirang</v>
      </c>
      <c r="K7783" s="1" t="str">
        <f>IFERROR(__xludf.DUMMYFUNCTION("""COMPUTED_VALUE"""),"Creators Support")</f>
        <v>Creators Support</v>
      </c>
      <c r="L7783" s="1" t="str">
        <f>IFERROR(__xludf.DUMMYFUNCTION("""COMPUTED_VALUE"""),"SSS Creators")</f>
        <v>SSS Creators</v>
      </c>
    </row>
    <row r="7784">
      <c r="A7784" s="1" t="str">
        <f>IFERROR(__xludf.DUMMYFUNCTION("""COMPUTED_VALUE"""),"2025 Dec")</f>
        <v>2025 Dec</v>
      </c>
      <c r="B7784" s="2">
        <f>IFERROR(__xludf.DUMMYFUNCTION("""COMPUTED_VALUE"""),46020.0)</f>
        <v>46020</v>
      </c>
      <c r="C7784" s="1" t="str">
        <f>IFERROR(__xludf.DUMMYFUNCTION("""COMPUTED_VALUE"""),"Admin Support")</f>
        <v>Admin Support</v>
      </c>
      <c r="D7784" s="1" t="str">
        <f>IFERROR(__xludf.DUMMYFUNCTION("""COMPUTED_VALUE"""),"d497a055-f2f2-4063-8890-6c9684355e4c")</f>
        <v>d497a055-f2f2-4063-8890-6c9684355e4c</v>
      </c>
      <c r="E7784" s="1">
        <f>IFERROR(__xludf.DUMMYFUNCTION("""COMPUTED_VALUE"""),3.61731515255E11)</f>
        <v>361731515255</v>
      </c>
      <c r="F7784" s="1"/>
      <c r="G7784" s="1"/>
      <c r="H7784" s="3">
        <f>IFERROR(__xludf.DUMMYFUNCTION("""COMPUTED_VALUE"""),0.0)</f>
        <v>0</v>
      </c>
      <c r="I7784" s="4"/>
      <c r="J7784" s="1" t="str">
        <f>IFERROR(__xludf.DUMMYFUNCTION("""COMPUTED_VALUE"""),"Camille Alvarez")</f>
        <v>Camille Alvarez</v>
      </c>
      <c r="K7784" s="1" t="str">
        <f>IFERROR(__xludf.DUMMYFUNCTION("""COMPUTED_VALUE"""),"Admin Support PH SSO")</f>
        <v>Admin Support PH SSO</v>
      </c>
      <c r="L7784" s="1" t="str">
        <f>IFERROR(__xludf.DUMMYFUNCTION("""COMPUTED_VALUE"""),"Admin SSO - SEE")</f>
        <v>Admin SSO - SEE</v>
      </c>
    </row>
    <row r="7785">
      <c r="A7785" s="1" t="str">
        <f>IFERROR(__xludf.DUMMYFUNCTION("""COMPUTED_VALUE"""),"2025 Dec")</f>
        <v>2025 Dec</v>
      </c>
      <c r="B7785" s="2">
        <f>IFERROR(__xludf.DUMMYFUNCTION("""COMPUTED_VALUE"""),46020.0)</f>
        <v>46020</v>
      </c>
      <c r="C7785" s="1" t="str">
        <f>IFERROR(__xludf.DUMMYFUNCTION("""COMPUTED_VALUE"""),"High Sensitivity Support")</f>
        <v>High Sensitivity Support</v>
      </c>
      <c r="D7785" s="1" t="str">
        <f>IFERROR(__xludf.DUMMYFUNCTION("""COMPUTED_VALUE"""),"725213c8-63bc-41f4-927e-adac2805ced0")</f>
        <v>725213c8-63bc-41f4-927e-adac2805ced0</v>
      </c>
      <c r="E7785" s="1">
        <f>IFERROR(__xludf.DUMMYFUNCTION("""COMPUTED_VALUE"""),3.61688633916E11)</f>
        <v>361688633916</v>
      </c>
      <c r="F7785" s="1"/>
      <c r="G7785" s="1"/>
      <c r="H7785" s="3">
        <f>IFERROR(__xludf.DUMMYFUNCTION("""COMPUTED_VALUE"""),0.0)</f>
        <v>0</v>
      </c>
      <c r="I7785" s="4"/>
      <c r="J7785" s="1" t="str">
        <f>IFERROR(__xludf.DUMMYFUNCTION("""COMPUTED_VALUE"""),"Xandy Azarcon")</f>
        <v>Xandy Azarcon</v>
      </c>
      <c r="K7785" s="1" t="str">
        <f>IFERROR(__xludf.DUMMYFUNCTION("""COMPUTED_VALUE"""),"High Sensitivity Support PH")</f>
        <v>High Sensitivity Support PH</v>
      </c>
      <c r="L7785" s="1" t="str">
        <f>IFERROR(__xludf.DUMMYFUNCTION("""COMPUTED_VALUE"""),"HSS High Sensitivity Support PH - CHT")</f>
        <v>HSS High Sensitivity Support PH - CHT</v>
      </c>
    </row>
    <row r="7786">
      <c r="A7786" s="1" t="str">
        <f>IFERROR(__xludf.DUMMYFUNCTION("""COMPUTED_VALUE"""),"2025 Dec")</f>
        <v>2025 Dec</v>
      </c>
      <c r="B7786" s="2">
        <f>IFERROR(__xludf.DUMMYFUNCTION("""COMPUTED_VALUE"""),46020.0)</f>
        <v>46020</v>
      </c>
      <c r="C7786" s="1" t="str">
        <f>IFERROR(__xludf.DUMMYFUNCTION("""COMPUTED_VALUE"""),"Print Support")</f>
        <v>Print Support</v>
      </c>
      <c r="D7786" s="1" t="str">
        <f>IFERROR(__xludf.DUMMYFUNCTION("""COMPUTED_VALUE"""),"adc14770-23af-4d9e-965d-0e955af819e0")</f>
        <v>adc14770-23af-4d9e-965d-0e955af819e0</v>
      </c>
      <c r="E7786" s="1">
        <f>IFERROR(__xludf.DUMMYFUNCTION("""COMPUTED_VALUE"""),3.61734092356E11)</f>
        <v>361734092356</v>
      </c>
      <c r="F7786" s="1">
        <f>IFERROR(__xludf.DUMMYFUNCTION("""COMPUTED_VALUE"""),2.0)</f>
        <v>2</v>
      </c>
      <c r="G7786" s="1"/>
      <c r="H7786" s="3">
        <f>IFERROR(__xludf.DUMMYFUNCTION("""COMPUTED_VALUE"""),2.0)</f>
        <v>2</v>
      </c>
      <c r="I7786" s="4">
        <f>IFERROR(__xludf.DUMMYFUNCTION("""COMPUTED_VALUE"""),0.0)</f>
        <v>0</v>
      </c>
      <c r="J7786" s="1" t="str">
        <f>IFERROR(__xludf.DUMMYFUNCTION("""COMPUTED_VALUE"""),"Memae Faustino")</f>
        <v>Memae Faustino</v>
      </c>
      <c r="K7786" s="1" t="str">
        <f>IFERROR(__xludf.DUMMYFUNCTION("""COMPUTED_VALUE"""),"Print Support PH")</f>
        <v>Print Support PH</v>
      </c>
      <c r="L7786" s="1" t="str">
        <f>IFERROR(__xludf.DUMMYFUNCTION("""COMPUTED_VALUE"""),"Print Print - SEE")</f>
        <v>Print Print - SEE</v>
      </c>
    </row>
    <row r="7787">
      <c r="A7787" s="1" t="str">
        <f>IFERROR(__xludf.DUMMYFUNCTION("""COMPUTED_VALUE"""),"2025 Dec")</f>
        <v>2025 Dec</v>
      </c>
      <c r="B7787" s="2">
        <f>IFERROR(__xludf.DUMMYFUNCTION("""COMPUTED_VALUE"""),46020.0)</f>
        <v>46020</v>
      </c>
      <c r="C7787" s="1" t="str">
        <f>IFERROR(__xludf.DUMMYFUNCTION("""COMPUTED_VALUE"""),"High Sensitivity Support")</f>
        <v>High Sensitivity Support</v>
      </c>
      <c r="D7787" s="1" t="str">
        <f>IFERROR(__xludf.DUMMYFUNCTION("""COMPUTED_VALUE"""),"d9cfc12e-6b04-430c-bb3b-22b9d67ee77c")</f>
        <v>d9cfc12e-6b04-430c-bb3b-22b9d67ee77c</v>
      </c>
      <c r="E7787" s="1">
        <f>IFERROR(__xludf.DUMMYFUNCTION("""COMPUTED_VALUE"""),9.795905277839E12)</f>
        <v>9795905277839</v>
      </c>
      <c r="F7787" s="1"/>
      <c r="G7787" s="1"/>
      <c r="H7787" s="3">
        <f>IFERROR(__xludf.DUMMYFUNCTION("""COMPUTED_VALUE"""),0.0)</f>
        <v>0</v>
      </c>
      <c r="I7787" s="4"/>
      <c r="J7787" s="1" t="str">
        <f>IFERROR(__xludf.DUMMYFUNCTION("""COMPUTED_VALUE"""),"Issi Afable")</f>
        <v>Issi Afable</v>
      </c>
      <c r="K7787" s="1" t="str">
        <f>IFERROR(__xludf.DUMMYFUNCTION("""COMPUTED_VALUE"""),"High Sensitivity Support PH")</f>
        <v>High Sensitivity Support PH</v>
      </c>
      <c r="L7787" s="1" t="str">
        <f>IFERROR(__xludf.DUMMYFUNCTION("""COMPUTED_VALUE"""),"HSS High Sensitivity Support PH - SEE")</f>
        <v>HSS High Sensitivity Support PH - SEE</v>
      </c>
    </row>
    <row r="7788">
      <c r="A7788" s="1" t="str">
        <f>IFERROR(__xludf.DUMMYFUNCTION("""COMPUTED_VALUE"""),"2025 Dec")</f>
        <v>2025 Dec</v>
      </c>
      <c r="B7788" s="2">
        <f>IFERROR(__xludf.DUMMYFUNCTION("""COMPUTED_VALUE"""),46020.0)</f>
        <v>46020</v>
      </c>
      <c r="C7788" s="1" t="str">
        <f>IFERROR(__xludf.DUMMYFUNCTION("""COMPUTED_VALUE"""),"Core Product Support")</f>
        <v>Core Product Support</v>
      </c>
      <c r="D7788" s="1" t="str">
        <f>IFERROR(__xludf.DUMMYFUNCTION("""COMPUTED_VALUE"""),"d5b38678-ef33-449e-a4d3-7a7a69f2f5cb")</f>
        <v>d5b38678-ef33-449e-a4d3-7a7a69f2f5cb</v>
      </c>
      <c r="E7788" s="1">
        <f>IFERROR(__xludf.DUMMYFUNCTION("""COMPUTED_VALUE"""),3.61857411736E11)</f>
        <v>361857411736</v>
      </c>
      <c r="F7788" s="1">
        <f>IFERROR(__xludf.DUMMYFUNCTION("""COMPUTED_VALUE"""),0.5)</f>
        <v>0.5</v>
      </c>
      <c r="G7788" s="1"/>
      <c r="H7788" s="3">
        <f>IFERROR(__xludf.DUMMYFUNCTION("""COMPUTED_VALUE"""),0.5)</f>
        <v>0.5</v>
      </c>
      <c r="I7788" s="4">
        <f>IFERROR(__xludf.DUMMYFUNCTION("""COMPUTED_VALUE"""),0.0)</f>
        <v>0</v>
      </c>
      <c r="J7788" s="1" t="str">
        <f>IFERROR(__xludf.DUMMYFUNCTION("""COMPUTED_VALUE"""),"Vianca De Jesus")</f>
        <v>Vianca De Jesus</v>
      </c>
      <c r="K7788" s="1" t="str">
        <f>IFERROR(__xludf.DUMMYFUNCTION("""COMPUTED_VALUE"""),"Advanced Chat Support")</f>
        <v>Advanced Chat Support</v>
      </c>
      <c r="L7788" s="1" t="str">
        <f>IFERROR(__xludf.DUMMYFUNCTION("""COMPUTED_VALUE"""),"CPS Advanced Chat Support (ACS)")</f>
        <v>CPS Advanced Chat Support (ACS)</v>
      </c>
    </row>
    <row r="7789">
      <c r="A7789" s="1" t="str">
        <f>IFERROR(__xludf.DUMMYFUNCTION("""COMPUTED_VALUE"""),"2025 Dec")</f>
        <v>2025 Dec</v>
      </c>
      <c r="B7789" s="2">
        <f>IFERROR(__xludf.DUMMYFUNCTION("""COMPUTED_VALUE"""),46020.0)</f>
        <v>46020</v>
      </c>
      <c r="C7789" s="1" t="str">
        <f>IFERROR(__xludf.DUMMYFUNCTION("""COMPUTED_VALUE"""),"Admin Support")</f>
        <v>Admin Support</v>
      </c>
      <c r="D7789" s="1" t="str">
        <f>IFERROR(__xludf.DUMMYFUNCTION("""COMPUTED_VALUE"""),"65280774-7b68-4e6a-9312-4389148cbc01")</f>
        <v>65280774-7b68-4e6a-9312-4389148cbc01</v>
      </c>
      <c r="E7789" s="1">
        <f>IFERROR(__xludf.DUMMYFUNCTION("""COMPUTED_VALUE"""),1.0548588461839E13)</f>
        <v>10548588461839</v>
      </c>
      <c r="F7789" s="1"/>
      <c r="G7789" s="1"/>
      <c r="H7789" s="3">
        <f>IFERROR(__xludf.DUMMYFUNCTION("""COMPUTED_VALUE"""),0.0)</f>
        <v>0</v>
      </c>
      <c r="I7789" s="4"/>
      <c r="J7789" s="1" t="str">
        <f>IFERROR(__xludf.DUMMYFUNCTION("""COMPUTED_VALUE"""),"Pau Palmero")</f>
        <v>Pau Palmero</v>
      </c>
      <c r="K7789" s="1" t="str">
        <f>IFERROR(__xludf.DUMMYFUNCTION("""COMPUTED_VALUE"""),"Admin Support PH CEDD")</f>
        <v>Admin Support PH CEDD</v>
      </c>
      <c r="L7789" s="1" t="str">
        <f>IFERROR(__xludf.DUMMYFUNCTION("""COMPUTED_VALUE"""),"Admin CEDD Apps,Admin CEDD Inbox Mgt")</f>
        <v>Admin CEDD Apps,Admin CEDD Inbox Mgt</v>
      </c>
    </row>
    <row r="7790">
      <c r="A7790" s="1" t="str">
        <f>IFERROR(__xludf.DUMMYFUNCTION("""COMPUTED_VALUE"""),"2025 Dec")</f>
        <v>2025 Dec</v>
      </c>
      <c r="B7790" s="2">
        <f>IFERROR(__xludf.DUMMYFUNCTION("""COMPUTED_VALUE"""),46020.0)</f>
        <v>46020</v>
      </c>
      <c r="C7790" s="1" t="str">
        <f>IFERROR(__xludf.DUMMYFUNCTION("""COMPUTED_VALUE"""),"Core Product Support")</f>
        <v>Core Product Support</v>
      </c>
      <c r="D7790" s="1" t="str">
        <f>IFERROR(__xludf.DUMMYFUNCTION("""COMPUTED_VALUE"""),"0a5a8f36-7865-4df1-a7d1-fdbafdddd3eb")</f>
        <v>0a5a8f36-7865-4df1-a7d1-fdbafdddd3eb</v>
      </c>
      <c r="E7790" s="1">
        <f>IFERROR(__xludf.DUMMYFUNCTION("""COMPUTED_VALUE"""),3.61731792395E11)</f>
        <v>361731792395</v>
      </c>
      <c r="F7790" s="1">
        <f>IFERROR(__xludf.DUMMYFUNCTION("""COMPUTED_VALUE"""),0.5)</f>
        <v>0.5</v>
      </c>
      <c r="G7790" s="1">
        <f>IFERROR(__xludf.DUMMYFUNCTION("""COMPUTED_VALUE"""),2.5)</f>
        <v>2.5</v>
      </c>
      <c r="H7790" s="3">
        <f>IFERROR(__xludf.DUMMYFUNCTION("""COMPUTED_VALUE"""),3.0)</f>
        <v>3</v>
      </c>
      <c r="I7790" s="4">
        <f>IFERROR(__xludf.DUMMYFUNCTION("""COMPUTED_VALUE"""),0.8333333333333334)</f>
        <v>0.8333333333</v>
      </c>
      <c r="J7790" s="1" t="str">
        <f>IFERROR(__xludf.DUMMYFUNCTION("""COMPUTED_VALUE"""),"Sieg Ballelos")</f>
        <v>Sieg Ballelos</v>
      </c>
      <c r="K7790" s="1" t="str">
        <f>IFERROR(__xludf.DUMMYFUNCTION("""COMPUTED_VALUE"""),"Core Product Support Escalation Team")</f>
        <v>Core Product Support Escalation Team</v>
      </c>
      <c r="L7790" s="1" t="str">
        <f>IFERROR(__xludf.DUMMYFUNCTION("""COMPUTED_VALUE"""),"CPS Core Product Support Escalations (CPSET)")</f>
        <v>CPS Core Product Support Escalations (CPSET)</v>
      </c>
    </row>
    <row r="7791">
      <c r="A7791" s="1" t="str">
        <f>IFERROR(__xludf.DUMMYFUNCTION("""COMPUTED_VALUE"""),"2025 Dec")</f>
        <v>2025 Dec</v>
      </c>
      <c r="B7791" s="2">
        <f>IFERROR(__xludf.DUMMYFUNCTION("""COMPUTED_VALUE"""),46020.0)</f>
        <v>46020</v>
      </c>
      <c r="C7791" s="1" t="str">
        <f>IFERROR(__xludf.DUMMYFUNCTION("""COMPUTED_VALUE"""),"Core Product Support")</f>
        <v>Core Product Support</v>
      </c>
      <c r="D7791" s="1" t="str">
        <f>IFERROR(__xludf.DUMMYFUNCTION("""COMPUTED_VALUE"""),"626e971a-a1f2-466b-b3f0-fd32790eb440")</f>
        <v>626e971a-a1f2-466b-b3f0-fd32790eb440</v>
      </c>
      <c r="E7791" s="1">
        <f>IFERROR(__xludf.DUMMYFUNCTION("""COMPUTED_VALUE"""),8.904494781967E12)</f>
        <v>8904494781967</v>
      </c>
      <c r="F7791" s="1">
        <f>IFERROR(__xludf.DUMMYFUNCTION("""COMPUTED_VALUE"""),0.5)</f>
        <v>0.5</v>
      </c>
      <c r="G7791" s="1"/>
      <c r="H7791" s="3">
        <f>IFERROR(__xludf.DUMMYFUNCTION("""COMPUTED_VALUE"""),0.5)</f>
        <v>0.5</v>
      </c>
      <c r="I7791" s="4">
        <f>IFERROR(__xludf.DUMMYFUNCTION("""COMPUTED_VALUE"""),0.0)</f>
        <v>0</v>
      </c>
      <c r="J7791" s="1" t="str">
        <f>IFERROR(__xludf.DUMMYFUNCTION("""COMPUTED_VALUE"""),"Ana Lazaro")</f>
        <v>Ana Lazaro</v>
      </c>
      <c r="K7791" s="1" t="str">
        <f>IFERROR(__xludf.DUMMYFUNCTION("""COMPUTED_VALUE"""),"Advanced Billing &amp; Subscriptions")</f>
        <v>Advanced Billing &amp; Subscriptions</v>
      </c>
      <c r="L7791" s="1" t="str">
        <f>IFERROR(__xludf.DUMMYFUNCTION("""COMPUTED_VALUE"""),"CPS Advanced Billing and Subscriptions (ABS)")</f>
        <v>CPS Advanced Billing and Subscriptions (ABS)</v>
      </c>
    </row>
    <row r="7792">
      <c r="A7792" s="1" t="str">
        <f>IFERROR(__xludf.DUMMYFUNCTION("""COMPUTED_VALUE"""),"2025 Dec")</f>
        <v>2025 Dec</v>
      </c>
      <c r="B7792" s="2">
        <f>IFERROR(__xludf.DUMMYFUNCTION("""COMPUTED_VALUE"""),46020.0)</f>
        <v>46020</v>
      </c>
      <c r="C7792" s="1" t="str">
        <f>IFERROR(__xludf.DUMMYFUNCTION("""COMPUTED_VALUE"""),"Core Product Support")</f>
        <v>Core Product Support</v>
      </c>
      <c r="D7792" s="1" t="str">
        <f>IFERROR(__xludf.DUMMYFUNCTION("""COMPUTED_VALUE"""),"238df195-1311-420b-9bfc-80204048a0d0")</f>
        <v>238df195-1311-420b-9bfc-80204048a0d0</v>
      </c>
      <c r="E7792" s="1">
        <f>IFERROR(__xludf.DUMMYFUNCTION("""COMPUTED_VALUE"""),1.0548626062351E13)</f>
        <v>10548626062351</v>
      </c>
      <c r="F7792" s="1">
        <f>IFERROR(__xludf.DUMMYFUNCTION("""COMPUTED_VALUE"""),0.5)</f>
        <v>0.5</v>
      </c>
      <c r="G7792" s="1"/>
      <c r="H7792" s="3">
        <f>IFERROR(__xludf.DUMMYFUNCTION("""COMPUTED_VALUE"""),0.5)</f>
        <v>0.5</v>
      </c>
      <c r="I7792" s="4">
        <f>IFERROR(__xludf.DUMMYFUNCTION("""COMPUTED_VALUE"""),0.0)</f>
        <v>0</v>
      </c>
      <c r="J7792" s="1" t="str">
        <f>IFERROR(__xludf.DUMMYFUNCTION("""COMPUTED_VALUE"""),"Belle Bentazal")</f>
        <v>Belle Bentazal</v>
      </c>
      <c r="K7792" s="1" t="str">
        <f>IFERROR(__xludf.DUMMYFUNCTION("""COMPUTED_VALUE"""),"Advanced Product Support")</f>
        <v>Advanced Product Support</v>
      </c>
      <c r="L7792" s="1" t="str">
        <f>IFERROR(__xludf.DUMMYFUNCTION("""COMPUTED_VALUE"""),"CPS Advanced Product Support (APS)")</f>
        <v>CPS Advanced Product Support (APS)</v>
      </c>
    </row>
    <row r="7793">
      <c r="A7793" s="1" t="str">
        <f>IFERROR(__xludf.DUMMYFUNCTION("""COMPUTED_VALUE"""),"2025 Dec")</f>
        <v>2025 Dec</v>
      </c>
      <c r="B7793" s="2">
        <f>IFERROR(__xludf.DUMMYFUNCTION("""COMPUTED_VALUE"""),46020.0)</f>
        <v>46020</v>
      </c>
      <c r="C7793" s="1" t="str">
        <f>IFERROR(__xludf.DUMMYFUNCTION("""COMPUTED_VALUE"""),"Admin Support")</f>
        <v>Admin Support</v>
      </c>
      <c r="D7793" s="1" t="str">
        <f>IFERROR(__xludf.DUMMYFUNCTION("""COMPUTED_VALUE"""),"4790af32-fa25-48b3-bdc4-76770b6ef929")</f>
        <v>4790af32-fa25-48b3-bdc4-76770b6ef929</v>
      </c>
      <c r="E7793" s="1">
        <f>IFERROR(__xludf.DUMMYFUNCTION("""COMPUTED_VALUE"""),9.107735174799E12)</f>
        <v>9107735174799</v>
      </c>
      <c r="F7793" s="1"/>
      <c r="G7793" s="1"/>
      <c r="H7793" s="3">
        <f>IFERROR(__xludf.DUMMYFUNCTION("""COMPUTED_VALUE"""),0.0)</f>
        <v>0</v>
      </c>
      <c r="I7793" s="4"/>
      <c r="J7793" s="1" t="str">
        <f>IFERROR(__xludf.DUMMYFUNCTION("""COMPUTED_VALUE"""),"Pau Palmero")</f>
        <v>Pau Palmero</v>
      </c>
      <c r="K7793" s="1" t="str">
        <f>IFERROR(__xludf.DUMMYFUNCTION("""COMPUTED_VALUE"""),"Admin Support PH CEDD")</f>
        <v>Admin Support PH CEDD</v>
      </c>
      <c r="L7793" s="1" t="str">
        <f>IFERROR(__xludf.DUMMYFUNCTION("""COMPUTED_VALUE"""),"Admin CEDD Apps,Admin CEDD Inbox Mgt,Admin Rostering")</f>
        <v>Admin CEDD Apps,Admin CEDD Inbox Mgt,Admin Rostering</v>
      </c>
    </row>
    <row r="7794">
      <c r="A7794" s="1" t="str">
        <f>IFERROR(__xludf.DUMMYFUNCTION("""COMPUTED_VALUE"""),"2025 Dec")</f>
        <v>2025 Dec</v>
      </c>
      <c r="B7794" s="2">
        <f>IFERROR(__xludf.DUMMYFUNCTION("""COMPUTED_VALUE"""),46020.0)</f>
        <v>46020</v>
      </c>
      <c r="C7794" s="1" t="str">
        <f>IFERROR(__xludf.DUMMYFUNCTION("""COMPUTED_VALUE"""),"Multilingual Support")</f>
        <v>Multilingual Support</v>
      </c>
      <c r="D7794" s="1" t="str">
        <f>IFERROR(__xludf.DUMMYFUNCTION("""COMPUTED_VALUE"""),"c4abd336-8a5c-43a4-942f-2d3f5b2e85fd")</f>
        <v>c4abd336-8a5c-43a4-942f-2d3f5b2e85fd</v>
      </c>
      <c r="E7794" s="1">
        <f>IFERROR(__xludf.DUMMYFUNCTION("""COMPUTED_VALUE"""),6.936778850319E12)</f>
        <v>6936778850319</v>
      </c>
      <c r="F7794" s="1"/>
      <c r="G7794" s="1"/>
      <c r="H7794" s="3">
        <f>IFERROR(__xludf.DUMMYFUNCTION("""COMPUTED_VALUE"""),0.0)</f>
        <v>0</v>
      </c>
      <c r="I7794" s="4"/>
      <c r="J7794" s="1" t="str">
        <f>IFERROR(__xludf.DUMMYFUNCTION("""COMPUTED_VALUE"""),"Arlene Maurillo")</f>
        <v>Arlene Maurillo</v>
      </c>
      <c r="K7794" s="1" t="str">
        <f>IFERROR(__xludf.DUMMYFUNCTION("""COMPUTED_VALUE"""),"PHL, Multilingual Support")</f>
        <v>PHL, Multilingual Support</v>
      </c>
      <c r="L7794" s="1" t="str">
        <f>IFERROR(__xludf.DUMMYFUNCTION("""COMPUTED_VALUE"""),"ML Japanese Support")</f>
        <v>ML Japanese Support</v>
      </c>
    </row>
    <row r="7795">
      <c r="A7795" s="1" t="str">
        <f>IFERROR(__xludf.DUMMYFUNCTION("""COMPUTED_VALUE"""),"2025 Dec")</f>
        <v>2025 Dec</v>
      </c>
      <c r="B7795" s="2">
        <f>IFERROR(__xludf.DUMMYFUNCTION("""COMPUTED_VALUE"""),46020.0)</f>
        <v>46020</v>
      </c>
      <c r="C7795" s="1" t="str">
        <f>IFERROR(__xludf.DUMMYFUNCTION("""COMPUTED_VALUE"""),"Core Product Support")</f>
        <v>Core Product Support</v>
      </c>
      <c r="D7795" s="1" t="str">
        <f>IFERROR(__xludf.DUMMYFUNCTION("""COMPUTED_VALUE"""),"99085273-2cc4-4932-aad9-eac22f3b9709")</f>
        <v>99085273-2cc4-4932-aad9-eac22f3b9709</v>
      </c>
      <c r="E7795" s="1">
        <f>IFERROR(__xludf.DUMMYFUNCTION("""COMPUTED_VALUE"""),3.61732054935E11)</f>
        <v>361732054935</v>
      </c>
      <c r="F7795" s="1">
        <f>IFERROR(__xludf.DUMMYFUNCTION("""COMPUTED_VALUE"""),0.5)</f>
        <v>0.5</v>
      </c>
      <c r="G7795" s="1"/>
      <c r="H7795" s="3">
        <f>IFERROR(__xludf.DUMMYFUNCTION("""COMPUTED_VALUE"""),0.5)</f>
        <v>0.5</v>
      </c>
      <c r="I7795" s="4">
        <f>IFERROR(__xludf.DUMMYFUNCTION("""COMPUTED_VALUE"""),0.0)</f>
        <v>0</v>
      </c>
      <c r="J7795" s="1" t="str">
        <f>IFERROR(__xludf.DUMMYFUNCTION("""COMPUTED_VALUE"""),"Jem Mondoñedo")</f>
        <v>Jem Mondoñedo</v>
      </c>
      <c r="K7795" s="1" t="str">
        <f>IFERROR(__xludf.DUMMYFUNCTION("""COMPUTED_VALUE"""),"Advanced Chat Support")</f>
        <v>Advanced Chat Support</v>
      </c>
      <c r="L7795" s="1" t="str">
        <f>IFERROR(__xludf.DUMMYFUNCTION("""COMPUTED_VALUE"""),"CPS Advanced Chat Support (ACS)")</f>
        <v>CPS Advanced Chat Support (ACS)</v>
      </c>
    </row>
    <row r="7796">
      <c r="A7796" s="1" t="str">
        <f>IFERROR(__xludf.DUMMYFUNCTION("""COMPUTED_VALUE"""),"2025 Dec")</f>
        <v>2025 Dec</v>
      </c>
      <c r="B7796" s="2">
        <f>IFERROR(__xludf.DUMMYFUNCTION("""COMPUTED_VALUE"""),46020.0)</f>
        <v>46020</v>
      </c>
      <c r="C7796" s="1" t="str">
        <f>IFERROR(__xludf.DUMMYFUNCTION("""COMPUTED_VALUE"""),"Admin Support")</f>
        <v>Admin Support</v>
      </c>
      <c r="D7796" s="1" t="str">
        <f>IFERROR(__xludf.DUMMYFUNCTION("""COMPUTED_VALUE"""),"c4296942-0752-4ab1-a016-50f83ec4677d")</f>
        <v>c4296942-0752-4ab1-a016-50f83ec4677d</v>
      </c>
      <c r="E7796" s="1">
        <f>IFERROR(__xludf.DUMMYFUNCTION("""COMPUTED_VALUE"""),3.61732055015E11)</f>
        <v>361732055015</v>
      </c>
      <c r="F7796" s="1"/>
      <c r="G7796" s="1">
        <f>IFERROR(__xludf.DUMMYFUNCTION("""COMPUTED_VALUE"""),0.25)</f>
        <v>0.25</v>
      </c>
      <c r="H7796" s="3">
        <f>IFERROR(__xludf.DUMMYFUNCTION("""COMPUTED_VALUE"""),0.25)</f>
        <v>0.25</v>
      </c>
      <c r="I7796" s="4">
        <f>IFERROR(__xludf.DUMMYFUNCTION("""COMPUTED_VALUE"""),1.0)</f>
        <v>1</v>
      </c>
      <c r="J7796" s="1" t="str">
        <f>IFERROR(__xludf.DUMMYFUNCTION("""COMPUTED_VALUE"""),"AL Suarez")</f>
        <v>AL Suarez</v>
      </c>
      <c r="K7796" s="1" t="str">
        <f>IFERROR(__xludf.DUMMYFUNCTION("""COMPUTED_VALUE"""),"Admin Support PH")</f>
        <v>Admin Support PH</v>
      </c>
      <c r="L7796" s="1" t="str">
        <f>IFERROR(__xludf.DUMMYFUNCTION("""COMPUTED_VALUE"""),"Admin PH")</f>
        <v>Admin PH</v>
      </c>
    </row>
    <row r="7797">
      <c r="A7797" s="1" t="str">
        <f>IFERROR(__xludf.DUMMYFUNCTION("""COMPUTED_VALUE"""),"2025 Dec")</f>
        <v>2025 Dec</v>
      </c>
      <c r="B7797" s="2">
        <f>IFERROR(__xludf.DUMMYFUNCTION("""COMPUTED_VALUE"""),46020.0)</f>
        <v>46020</v>
      </c>
      <c r="C7797" s="1" t="str">
        <f>IFERROR(__xludf.DUMMYFUNCTION("""COMPUTED_VALUE"""),"Print Support")</f>
        <v>Print Support</v>
      </c>
      <c r="D7797" s="1" t="str">
        <f>IFERROR(__xludf.DUMMYFUNCTION("""COMPUTED_VALUE"""),"e612249c-8f64-415b-befe-bb7e6027b43c")</f>
        <v>e612249c-8f64-415b-befe-bb7e6027b43c</v>
      </c>
      <c r="E7797" s="1">
        <f>IFERROR(__xludf.DUMMYFUNCTION("""COMPUTED_VALUE"""),1.3475806334735E13)</f>
        <v>13475806334735</v>
      </c>
      <c r="F7797" s="1"/>
      <c r="G7797" s="1"/>
      <c r="H7797" s="3">
        <f>IFERROR(__xludf.DUMMYFUNCTION("""COMPUTED_VALUE"""),0.0)</f>
        <v>0</v>
      </c>
      <c r="I7797" s="4"/>
      <c r="J7797" s="1" t="str">
        <f>IFERROR(__xludf.DUMMYFUNCTION("""COMPUTED_VALUE"""),"Rei De Jesus")</f>
        <v>Rei De Jesus</v>
      </c>
      <c r="K7797" s="1" t="str">
        <f>IFERROR(__xludf.DUMMYFUNCTION("""COMPUTED_VALUE"""),"Print Design Support")</f>
        <v>Print Design Support</v>
      </c>
      <c r="L7797" s="1" t="str">
        <f>IFERROR(__xludf.DUMMYFUNCTION("""COMPUTED_VALUE"""),"Print Print Design")</f>
        <v>Print Print Design</v>
      </c>
    </row>
    <row r="7798">
      <c r="A7798" s="1" t="str">
        <f>IFERROR(__xludf.DUMMYFUNCTION("""COMPUTED_VALUE"""),"2025 Dec")</f>
        <v>2025 Dec</v>
      </c>
      <c r="B7798" s="2">
        <f>IFERROR(__xludf.DUMMYFUNCTION("""COMPUTED_VALUE"""),46020.0)</f>
        <v>46020</v>
      </c>
      <c r="C7798" s="1" t="str">
        <f>IFERROR(__xludf.DUMMYFUNCTION("""COMPUTED_VALUE"""),"Core Product Support")</f>
        <v>Core Product Support</v>
      </c>
      <c r="D7798" s="1" t="str">
        <f>IFERROR(__xludf.DUMMYFUNCTION("""COMPUTED_VALUE"""),"3623161b-ff5b-4aee-8826-3d6522587a06")</f>
        <v>3623161b-ff5b-4aee-8826-3d6522587a06</v>
      </c>
      <c r="E7798" s="1"/>
      <c r="F7798" s="1"/>
      <c r="G7798" s="1"/>
      <c r="H7798" s="3">
        <f>IFERROR(__xludf.DUMMYFUNCTION("""COMPUTED_VALUE"""),0.0)</f>
        <v>0</v>
      </c>
      <c r="I7798" s="4"/>
      <c r="J7798" s="1" t="str">
        <f>IFERROR(__xludf.DUMMYFUNCTION("""COMPUTED_VALUE"""),"Marie Mordeno")</f>
        <v>Marie Mordeno</v>
      </c>
      <c r="K7798" s="1" t="str">
        <f>IFERROR(__xludf.DUMMYFUNCTION("""COMPUTED_VALUE"""),"Advanced Billing &amp; Subscriptions")</f>
        <v>Advanced Billing &amp; Subscriptions</v>
      </c>
      <c r="L7798" s="1" t="str">
        <f>IFERROR(__xludf.DUMMYFUNCTION("""COMPUTED_VALUE"""),"CPS Advanced Billing and Subscriptions (ABS)")</f>
        <v>CPS Advanced Billing and Subscriptions (ABS)</v>
      </c>
    </row>
    <row r="7799">
      <c r="A7799" s="1" t="str">
        <f>IFERROR(__xludf.DUMMYFUNCTION("""COMPUTED_VALUE"""),"2025 Dec")</f>
        <v>2025 Dec</v>
      </c>
      <c r="B7799" s="2">
        <f>IFERROR(__xludf.DUMMYFUNCTION("""COMPUTED_VALUE"""),46020.0)</f>
        <v>46020</v>
      </c>
      <c r="C7799" s="1" t="str">
        <f>IFERROR(__xludf.DUMMYFUNCTION("""COMPUTED_VALUE"""),"Admin Support")</f>
        <v>Admin Support</v>
      </c>
      <c r="D7799" s="1" t="str">
        <f>IFERROR(__xludf.DUMMYFUNCTION("""COMPUTED_VALUE"""),"ae4ace4e-6cd8-4a8d-bb18-10768406ce5b")</f>
        <v>ae4ace4e-6cd8-4a8d-bb18-10768406ce5b</v>
      </c>
      <c r="E7799" s="1">
        <f>IFERROR(__xludf.DUMMYFUNCTION("""COMPUTED_VALUE"""),3.61725374736E11)</f>
        <v>361725374736</v>
      </c>
      <c r="F7799" s="1"/>
      <c r="G7799" s="1">
        <f>IFERROR(__xludf.DUMMYFUNCTION("""COMPUTED_VALUE"""),0.25)</f>
        <v>0.25</v>
      </c>
      <c r="H7799" s="3">
        <f>IFERROR(__xludf.DUMMYFUNCTION("""COMPUTED_VALUE"""),0.25)</f>
        <v>0.25</v>
      </c>
      <c r="I7799" s="4">
        <f>IFERROR(__xludf.DUMMYFUNCTION("""COMPUTED_VALUE"""),1.0)</f>
        <v>1</v>
      </c>
      <c r="J7799" s="1" t="str">
        <f>IFERROR(__xludf.DUMMYFUNCTION("""COMPUTED_VALUE"""),"AL Suarez")</f>
        <v>AL Suarez</v>
      </c>
      <c r="K7799" s="1" t="str">
        <f>IFERROR(__xludf.DUMMYFUNCTION("""COMPUTED_VALUE"""),"Admin Support PH")</f>
        <v>Admin Support PH</v>
      </c>
      <c r="L7799" s="1" t="str">
        <f>IFERROR(__xludf.DUMMYFUNCTION("""COMPUTED_VALUE"""),"Admin PH")</f>
        <v>Admin PH</v>
      </c>
    </row>
    <row r="7800">
      <c r="A7800" s="1" t="str">
        <f>IFERROR(__xludf.DUMMYFUNCTION("""COMPUTED_VALUE"""),"2025 Dec")</f>
        <v>2025 Dec</v>
      </c>
      <c r="B7800" s="2">
        <f>IFERROR(__xludf.DUMMYFUNCTION("""COMPUTED_VALUE"""),46020.0)</f>
        <v>46020</v>
      </c>
      <c r="C7800" s="1" t="str">
        <f>IFERROR(__xludf.DUMMYFUNCTION("""COMPUTED_VALUE"""),"Print Support")</f>
        <v>Print Support</v>
      </c>
      <c r="D7800" s="1" t="str">
        <f>IFERROR(__xludf.DUMMYFUNCTION("""COMPUTED_VALUE"""),"099dd243-b724-478e-9692-79686402a18c")</f>
        <v>099dd243-b724-478e-9692-79686402a18c</v>
      </c>
      <c r="E7800" s="1">
        <f>IFERROR(__xludf.DUMMYFUNCTION("""COMPUTED_VALUE"""),3.61731348935E11)</f>
        <v>361731348935</v>
      </c>
      <c r="F7800" s="1">
        <f>IFERROR(__xludf.DUMMYFUNCTION("""COMPUTED_VALUE"""),2.0)</f>
        <v>2</v>
      </c>
      <c r="G7800" s="1"/>
      <c r="H7800" s="3">
        <f>IFERROR(__xludf.DUMMYFUNCTION("""COMPUTED_VALUE"""),2.0)</f>
        <v>2</v>
      </c>
      <c r="I7800" s="4">
        <f>IFERROR(__xludf.DUMMYFUNCTION("""COMPUTED_VALUE"""),0.0)</f>
        <v>0</v>
      </c>
      <c r="J7800" s="1" t="str">
        <f>IFERROR(__xludf.DUMMYFUNCTION("""COMPUTED_VALUE"""),"Memae Faustino")</f>
        <v>Memae Faustino</v>
      </c>
      <c r="K7800" s="1" t="str">
        <f>IFERROR(__xludf.DUMMYFUNCTION("""COMPUTED_VALUE"""),"Print Support PH")</f>
        <v>Print Support PH</v>
      </c>
      <c r="L7800" s="1" t="str">
        <f>IFERROR(__xludf.DUMMYFUNCTION("""COMPUTED_VALUE"""),"Print Print - SEE")</f>
        <v>Print Print - SEE</v>
      </c>
    </row>
    <row r="7801">
      <c r="A7801" s="1" t="str">
        <f>IFERROR(__xludf.DUMMYFUNCTION("""COMPUTED_VALUE"""),"2025 Dec")</f>
        <v>2025 Dec</v>
      </c>
      <c r="B7801" s="2">
        <f>IFERROR(__xludf.DUMMYFUNCTION("""COMPUTED_VALUE"""),46020.0)</f>
        <v>46020</v>
      </c>
      <c r="C7801" s="1" t="str">
        <f>IFERROR(__xludf.DUMMYFUNCTION("""COMPUTED_VALUE"""),"Multilingual Support")</f>
        <v>Multilingual Support</v>
      </c>
      <c r="D7801" s="1" t="str">
        <f>IFERROR(__xludf.DUMMYFUNCTION("""COMPUTED_VALUE"""),"65e111e9-ab12-453f-afa3-155200027cc6")</f>
        <v>65e111e9-ab12-453f-afa3-155200027cc6</v>
      </c>
      <c r="E7801" s="1">
        <f>IFERROR(__xludf.DUMMYFUNCTION("""COMPUTED_VALUE"""),6.392444639375E12)</f>
        <v>6392444639375</v>
      </c>
      <c r="F7801" s="1"/>
      <c r="G7801" s="1"/>
      <c r="H7801" s="3">
        <f>IFERROR(__xludf.DUMMYFUNCTION("""COMPUTED_VALUE"""),0.0)</f>
        <v>0</v>
      </c>
      <c r="I7801" s="4"/>
      <c r="J7801" s="1" t="str">
        <f>IFERROR(__xludf.DUMMYFUNCTION("""COMPUTED_VALUE"""),"Arlene Maurillo")</f>
        <v>Arlene Maurillo</v>
      </c>
      <c r="K7801" s="1" t="str">
        <f>IFERROR(__xludf.DUMMYFUNCTION("""COMPUTED_VALUE"""),"PHL, Multilingual Support")</f>
        <v>PHL, Multilingual Support</v>
      </c>
      <c r="L7801" s="1" t="str">
        <f>IFERROR(__xludf.DUMMYFUNCTION("""COMPUTED_VALUE"""),"ML Portuguese Support")</f>
        <v>ML Portuguese Support</v>
      </c>
    </row>
    <row r="7802">
      <c r="A7802" s="1" t="str">
        <f>IFERROR(__xludf.DUMMYFUNCTION("""COMPUTED_VALUE"""),"2025 Dec")</f>
        <v>2025 Dec</v>
      </c>
      <c r="B7802" s="2">
        <f>IFERROR(__xludf.DUMMYFUNCTION("""COMPUTED_VALUE"""),46020.0)</f>
        <v>46020</v>
      </c>
      <c r="C7802" s="1" t="str">
        <f>IFERROR(__xludf.DUMMYFUNCTION("""COMPUTED_VALUE"""),"Core Product Support")</f>
        <v>Core Product Support</v>
      </c>
      <c r="D7802" s="1" t="str">
        <f>IFERROR(__xludf.DUMMYFUNCTION("""COMPUTED_VALUE"""),"5cc46a1e-c49d-4562-acbb-742a43deb5f7")</f>
        <v>5cc46a1e-c49d-4562-acbb-742a43deb5f7</v>
      </c>
      <c r="E7802" s="1">
        <f>IFERROR(__xludf.DUMMYFUNCTION("""COMPUTED_VALUE"""),1.0548581777679E13)</f>
        <v>10548581777679</v>
      </c>
      <c r="F7802" s="1"/>
      <c r="G7802" s="1"/>
      <c r="H7802" s="3">
        <f>IFERROR(__xludf.DUMMYFUNCTION("""COMPUTED_VALUE"""),0.0)</f>
        <v>0</v>
      </c>
      <c r="I7802" s="4"/>
      <c r="J7802" s="1" t="str">
        <f>IFERROR(__xludf.DUMMYFUNCTION("""COMPUTED_VALUE"""),"Jem Mondoñedo")</f>
        <v>Jem Mondoñedo</v>
      </c>
      <c r="K7802" s="1" t="str">
        <f>IFERROR(__xludf.DUMMYFUNCTION("""COMPUTED_VALUE"""),"Advanced Billing &amp; Subscriptions")</f>
        <v>Advanced Billing &amp; Subscriptions</v>
      </c>
      <c r="L7802" s="1" t="str">
        <f>IFERROR(__xludf.DUMMYFUNCTION("""COMPUTED_VALUE"""),"CPS Advanced Billing and Subscriptions (ABS)")</f>
        <v>CPS Advanced Billing and Subscriptions (ABS)</v>
      </c>
    </row>
    <row r="7803">
      <c r="A7803" s="1" t="str">
        <f>IFERROR(__xludf.DUMMYFUNCTION("""COMPUTED_VALUE"""),"2025 Dec")</f>
        <v>2025 Dec</v>
      </c>
      <c r="B7803" s="2">
        <f>IFERROR(__xludf.DUMMYFUNCTION("""COMPUTED_VALUE"""),46020.0)</f>
        <v>46020</v>
      </c>
      <c r="C7803" s="1" t="str">
        <f>IFERROR(__xludf.DUMMYFUNCTION("""COMPUTED_VALUE"""),"Print Support")</f>
        <v>Print Support</v>
      </c>
      <c r="D7803" s="1" t="str">
        <f>IFERROR(__xludf.DUMMYFUNCTION("""COMPUTED_VALUE"""),"1d59ca6e-6219-4532-99a2-f499de8a1287")</f>
        <v>1d59ca6e-6219-4532-99a2-f499de8a1287</v>
      </c>
      <c r="E7803" s="1"/>
      <c r="F7803" s="1"/>
      <c r="G7803" s="1"/>
      <c r="H7803" s="3">
        <f>IFERROR(__xludf.DUMMYFUNCTION("""COMPUTED_VALUE"""),0.0)</f>
        <v>0</v>
      </c>
      <c r="I7803" s="4"/>
      <c r="J7803" s="1" t="str">
        <f>IFERROR(__xludf.DUMMYFUNCTION("""COMPUTED_VALUE"""),"Aliza Dote")</f>
        <v>Aliza Dote</v>
      </c>
      <c r="K7803" s="1" t="str">
        <f>IFERROR(__xludf.DUMMYFUNCTION("""COMPUTED_VALUE"""),"Print Design Support")</f>
        <v>Print Design Support</v>
      </c>
      <c r="L7803" s="1" t="str">
        <f>IFERROR(__xludf.DUMMYFUNCTION("""COMPUTED_VALUE"""),"Print Print Design")</f>
        <v>Print Print Design</v>
      </c>
    </row>
    <row r="7804">
      <c r="A7804" s="1" t="str">
        <f>IFERROR(__xludf.DUMMYFUNCTION("""COMPUTED_VALUE"""),"2025 Dec")</f>
        <v>2025 Dec</v>
      </c>
      <c r="B7804" s="2">
        <f>IFERROR(__xludf.DUMMYFUNCTION("""COMPUTED_VALUE"""),46020.0)</f>
        <v>46020</v>
      </c>
      <c r="C7804" s="1" t="str">
        <f>IFERROR(__xludf.DUMMYFUNCTION("""COMPUTED_VALUE"""),"Print Support")</f>
        <v>Print Support</v>
      </c>
      <c r="D7804" s="1" t="str">
        <f>IFERROR(__xludf.DUMMYFUNCTION("""COMPUTED_VALUE"""),"3eea6a70-1d1f-4def-93fa-d9de190c7fd7")</f>
        <v>3eea6a70-1d1f-4def-93fa-d9de190c7fd7</v>
      </c>
      <c r="E7804" s="1">
        <f>IFERROR(__xludf.DUMMYFUNCTION("""COMPUTED_VALUE"""),3.61726424736E11)</f>
        <v>361726424736</v>
      </c>
      <c r="F7804" s="1">
        <f>IFERROR(__xludf.DUMMYFUNCTION("""COMPUTED_VALUE"""),2.0)</f>
        <v>2</v>
      </c>
      <c r="G7804" s="1"/>
      <c r="H7804" s="3">
        <f>IFERROR(__xludf.DUMMYFUNCTION("""COMPUTED_VALUE"""),2.0)</f>
        <v>2</v>
      </c>
      <c r="I7804" s="4">
        <f>IFERROR(__xludf.DUMMYFUNCTION("""COMPUTED_VALUE"""),0.0)</f>
        <v>0</v>
      </c>
      <c r="J7804" s="1" t="str">
        <f>IFERROR(__xludf.DUMMYFUNCTION("""COMPUTED_VALUE"""),"Memae Faustino")</f>
        <v>Memae Faustino</v>
      </c>
      <c r="K7804" s="1" t="str">
        <f>IFERROR(__xludf.DUMMYFUNCTION("""COMPUTED_VALUE"""),"Print Support PH")</f>
        <v>Print Support PH</v>
      </c>
      <c r="L7804" s="1" t="str">
        <f>IFERROR(__xludf.DUMMYFUNCTION("""COMPUTED_VALUE"""),"Print Print - SEE")</f>
        <v>Print Print - SEE</v>
      </c>
    </row>
    <row r="7805">
      <c r="A7805" s="1" t="str">
        <f>IFERROR(__xludf.DUMMYFUNCTION("""COMPUTED_VALUE"""),"2025 Dec")</f>
        <v>2025 Dec</v>
      </c>
      <c r="B7805" s="2">
        <f>IFERROR(__xludf.DUMMYFUNCTION("""COMPUTED_VALUE"""),46020.0)</f>
        <v>46020</v>
      </c>
      <c r="C7805" s="1" t="str">
        <f>IFERROR(__xludf.DUMMYFUNCTION("""COMPUTED_VALUE"""),"High Sensitivity Support")</f>
        <v>High Sensitivity Support</v>
      </c>
      <c r="D7805" s="1" t="str">
        <f>IFERROR(__xludf.DUMMYFUNCTION("""COMPUTED_VALUE"""),"10c46fa3-c076-41b6-9aad-4ec7c4a07294")</f>
        <v>10c46fa3-c076-41b6-9aad-4ec7c4a07294</v>
      </c>
      <c r="E7805" s="1">
        <f>IFERROR(__xludf.DUMMYFUNCTION("""COMPUTED_VALUE"""),7.235815910671E12)</f>
        <v>7235815910671</v>
      </c>
      <c r="F7805" s="1">
        <f>IFERROR(__xludf.DUMMYFUNCTION("""COMPUTED_VALUE"""),4.0)</f>
        <v>4</v>
      </c>
      <c r="G7805" s="1"/>
      <c r="H7805" s="3">
        <f>IFERROR(__xludf.DUMMYFUNCTION("""COMPUTED_VALUE"""),4.0)</f>
        <v>4</v>
      </c>
      <c r="I7805" s="4">
        <f>IFERROR(__xludf.DUMMYFUNCTION("""COMPUTED_VALUE"""),0.0)</f>
        <v>0</v>
      </c>
      <c r="J7805" s="1" t="str">
        <f>IFERROR(__xludf.DUMMYFUNCTION("""COMPUTED_VALUE"""),"Xandy Azarcon")</f>
        <v>Xandy Azarcon</v>
      </c>
      <c r="K7805" s="1" t="str">
        <f>IFERROR(__xludf.DUMMYFUNCTION("""COMPUTED_VALUE"""),"High Sensitivity Support PH")</f>
        <v>High Sensitivity Support PH</v>
      </c>
      <c r="L7805" s="1" t="str">
        <f>IFERROR(__xludf.DUMMYFUNCTION("""COMPUTED_VALUE"""),"HSS High Sensitivity Support PH - CHT")</f>
        <v>HSS High Sensitivity Support PH - CHT</v>
      </c>
    </row>
    <row r="7806">
      <c r="A7806" s="1" t="str">
        <f>IFERROR(__xludf.DUMMYFUNCTION("""COMPUTED_VALUE"""),"2025 Dec")</f>
        <v>2025 Dec</v>
      </c>
      <c r="B7806" s="2">
        <f>IFERROR(__xludf.DUMMYFUNCTION("""COMPUTED_VALUE"""),46020.0)</f>
        <v>46020</v>
      </c>
      <c r="C7806" s="1" t="str">
        <f>IFERROR(__xludf.DUMMYFUNCTION("""COMPUTED_VALUE"""),"Core Product Support")</f>
        <v>Core Product Support</v>
      </c>
      <c r="D7806" s="1" t="str">
        <f>IFERROR(__xludf.DUMMYFUNCTION("""COMPUTED_VALUE"""),"cf4102e5-f522-43ac-bf51-15cc96666fde")</f>
        <v>cf4102e5-f522-43ac-bf51-15cc96666fde</v>
      </c>
      <c r="E7806" s="1"/>
      <c r="F7806" s="1">
        <f>IFERROR(__xludf.DUMMYFUNCTION("""COMPUTED_VALUE"""),0.5)</f>
        <v>0.5</v>
      </c>
      <c r="G7806" s="1"/>
      <c r="H7806" s="3">
        <f>IFERROR(__xludf.DUMMYFUNCTION("""COMPUTED_VALUE"""),0.5)</f>
        <v>0.5</v>
      </c>
      <c r="I7806" s="4">
        <f>IFERROR(__xludf.DUMMYFUNCTION("""COMPUTED_VALUE"""),0.0)</f>
        <v>0</v>
      </c>
      <c r="J7806" s="1" t="str">
        <f>IFERROR(__xludf.DUMMYFUNCTION("""COMPUTED_VALUE"""),"Mikhaela Decangchon")</f>
        <v>Mikhaela Decangchon</v>
      </c>
      <c r="K7806" s="1" t="str">
        <f>IFERROR(__xludf.DUMMYFUNCTION("""COMPUTED_VALUE"""),"Advanced Product Support")</f>
        <v>Advanced Product Support</v>
      </c>
      <c r="L7806" s="1" t="str">
        <f>IFERROR(__xludf.DUMMYFUNCTION("""COMPUTED_VALUE"""),"CPS Advanced Product Support (APS)")</f>
        <v>CPS Advanced Product Support (APS)</v>
      </c>
    </row>
    <row r="7807">
      <c r="A7807" s="1" t="str">
        <f>IFERROR(__xludf.DUMMYFUNCTION("""COMPUTED_VALUE"""),"2025 Dec")</f>
        <v>2025 Dec</v>
      </c>
      <c r="B7807" s="2">
        <f>IFERROR(__xludf.DUMMYFUNCTION("""COMPUTED_VALUE"""),46020.0)</f>
        <v>46020</v>
      </c>
      <c r="C7807" s="1" t="str">
        <f>IFERROR(__xludf.DUMMYFUNCTION("""COMPUTED_VALUE"""),"Core Product Support")</f>
        <v>Core Product Support</v>
      </c>
      <c r="D7807" s="1" t="str">
        <f>IFERROR(__xludf.DUMMYFUNCTION("""COMPUTED_VALUE"""),"b0e1557c-d0d9-4265-a67b-f94aae240d24")</f>
        <v>b0e1557c-d0d9-4265-a67b-f94aae240d24</v>
      </c>
      <c r="E7807" s="1">
        <f>IFERROR(__xludf.DUMMYFUNCTION("""COMPUTED_VALUE"""),8.519267619343E12)</f>
        <v>8519267619343</v>
      </c>
      <c r="F7807" s="1">
        <f>IFERROR(__xludf.DUMMYFUNCTION("""COMPUTED_VALUE"""),0.5)</f>
        <v>0.5</v>
      </c>
      <c r="G7807" s="1"/>
      <c r="H7807" s="3">
        <f>IFERROR(__xludf.DUMMYFUNCTION("""COMPUTED_VALUE"""),0.5)</f>
        <v>0.5</v>
      </c>
      <c r="I7807" s="4">
        <f>IFERROR(__xludf.DUMMYFUNCTION("""COMPUTED_VALUE"""),0.0)</f>
        <v>0</v>
      </c>
      <c r="J7807" s="1" t="str">
        <f>IFERROR(__xludf.DUMMYFUNCTION("""COMPUTED_VALUE"""),"Jahmie Mae Barrameda")</f>
        <v>Jahmie Mae Barrameda</v>
      </c>
      <c r="K7807" s="1" t="str">
        <f>IFERROR(__xludf.DUMMYFUNCTION("""COMPUTED_VALUE"""),"Advanced Billing &amp; Subscriptions")</f>
        <v>Advanced Billing &amp; Subscriptions</v>
      </c>
      <c r="L7807" s="1" t="str">
        <f>IFERROR(__xludf.DUMMYFUNCTION("""COMPUTED_VALUE"""),"CPS Advanced Billing and Subscriptions (ABS)")</f>
        <v>CPS Advanced Billing and Subscriptions (ABS)</v>
      </c>
    </row>
    <row r="7808">
      <c r="A7808" s="1" t="str">
        <f>IFERROR(__xludf.DUMMYFUNCTION("""COMPUTED_VALUE"""),"2025 Dec")</f>
        <v>2025 Dec</v>
      </c>
      <c r="B7808" s="2">
        <f>IFERROR(__xludf.DUMMYFUNCTION("""COMPUTED_VALUE"""),46020.0)</f>
        <v>46020</v>
      </c>
      <c r="C7808" s="1" t="str">
        <f>IFERROR(__xludf.DUMMYFUNCTION("""COMPUTED_VALUE"""),"Core Product Support")</f>
        <v>Core Product Support</v>
      </c>
      <c r="D7808" s="1" t="str">
        <f>IFERROR(__xludf.DUMMYFUNCTION("""COMPUTED_VALUE"""),"042e5ee4-7da0-42f9-92d0-d66496630cb9")</f>
        <v>042e5ee4-7da0-42f9-92d0-d66496630cb9</v>
      </c>
      <c r="E7808" s="1">
        <f>IFERROR(__xludf.DUMMYFUNCTION("""COMPUTED_VALUE"""),3.61861298335E11)</f>
        <v>361861298335</v>
      </c>
      <c r="F7808" s="1">
        <f>IFERROR(__xludf.DUMMYFUNCTION("""COMPUTED_VALUE"""),0.5)</f>
        <v>0.5</v>
      </c>
      <c r="G7808" s="1"/>
      <c r="H7808" s="3">
        <f>IFERROR(__xludf.DUMMYFUNCTION("""COMPUTED_VALUE"""),0.5)</f>
        <v>0.5</v>
      </c>
      <c r="I7808" s="4">
        <f>IFERROR(__xludf.DUMMYFUNCTION("""COMPUTED_VALUE"""),0.0)</f>
        <v>0</v>
      </c>
      <c r="J7808" s="1" t="str">
        <f>IFERROR(__xludf.DUMMYFUNCTION("""COMPUTED_VALUE"""),"Renette Bok")</f>
        <v>Renette Bok</v>
      </c>
      <c r="K7808" s="1" t="str">
        <f>IFERROR(__xludf.DUMMYFUNCTION("""COMPUTED_VALUE"""),"Advanced Billing &amp; Subscriptions")</f>
        <v>Advanced Billing &amp; Subscriptions</v>
      </c>
      <c r="L7808" s="1" t="str">
        <f>IFERROR(__xludf.DUMMYFUNCTION("""COMPUTED_VALUE"""),"CPS Advanced Billing and Subscriptions (ABS)")</f>
        <v>CPS Advanced Billing and Subscriptions (ABS)</v>
      </c>
    </row>
    <row r="7809">
      <c r="A7809" s="1" t="str">
        <f>IFERROR(__xludf.DUMMYFUNCTION("""COMPUTED_VALUE"""),"2025 Dec")</f>
        <v>2025 Dec</v>
      </c>
      <c r="B7809" s="2">
        <f>IFERROR(__xludf.DUMMYFUNCTION("""COMPUTED_VALUE"""),46020.0)</f>
        <v>46020</v>
      </c>
      <c r="C7809" s="1" t="str">
        <f>IFERROR(__xludf.DUMMYFUNCTION("""COMPUTED_VALUE"""),"Core Product Support")</f>
        <v>Core Product Support</v>
      </c>
      <c r="D7809" s="1" t="str">
        <f>IFERROR(__xludf.DUMMYFUNCTION("""COMPUTED_VALUE"""),"0cc61976-099e-4704-9248-c0d612333122")</f>
        <v>0cc61976-099e-4704-9248-c0d612333122</v>
      </c>
      <c r="E7809" s="1">
        <f>IFERROR(__xludf.DUMMYFUNCTION("""COMPUTED_VALUE"""),4.502607605263E12)</f>
        <v>4502607605263</v>
      </c>
      <c r="F7809" s="1">
        <f>IFERROR(__xludf.DUMMYFUNCTION("""COMPUTED_VALUE"""),0.5)</f>
        <v>0.5</v>
      </c>
      <c r="G7809" s="1">
        <f>IFERROR(__xludf.DUMMYFUNCTION("""COMPUTED_VALUE"""),2.5)</f>
        <v>2.5</v>
      </c>
      <c r="H7809" s="3">
        <f>IFERROR(__xludf.DUMMYFUNCTION("""COMPUTED_VALUE"""),3.0)</f>
        <v>3</v>
      </c>
      <c r="I7809" s="4">
        <f>IFERROR(__xludf.DUMMYFUNCTION("""COMPUTED_VALUE"""),0.8333333333333334)</f>
        <v>0.8333333333</v>
      </c>
      <c r="J7809" s="1" t="str">
        <f>IFERROR(__xludf.DUMMYFUNCTION("""COMPUTED_VALUE"""),"Ellaine Estayo")</f>
        <v>Ellaine Estayo</v>
      </c>
      <c r="K7809" s="1" t="str">
        <f>IFERROR(__xludf.DUMMYFUNCTION("""COMPUTED_VALUE"""),"Core Product Support Escalation Team")</f>
        <v>Core Product Support Escalation Team</v>
      </c>
      <c r="L7809" s="1" t="str">
        <f>IFERROR(__xludf.DUMMYFUNCTION("""COMPUTED_VALUE"""),"CPS Core Product Support Escalations (CPSET)")</f>
        <v>CPS Core Product Support Escalations (CPSET)</v>
      </c>
    </row>
    <row r="7810">
      <c r="A7810" s="1" t="str">
        <f>IFERROR(__xludf.DUMMYFUNCTION("""COMPUTED_VALUE"""),"2025 Dec")</f>
        <v>2025 Dec</v>
      </c>
      <c r="B7810" s="2">
        <f>IFERROR(__xludf.DUMMYFUNCTION("""COMPUTED_VALUE"""),46020.0)</f>
        <v>46020</v>
      </c>
      <c r="C7810" s="1" t="str">
        <f>IFERROR(__xludf.DUMMYFUNCTION("""COMPUTED_VALUE"""),"Print Support")</f>
        <v>Print Support</v>
      </c>
      <c r="D7810" s="1" t="str">
        <f>IFERROR(__xludf.DUMMYFUNCTION("""COMPUTED_VALUE"""),"1eb6d900-9254-4ad7-b5e2-1f27f00e2077")</f>
        <v>1eb6d900-9254-4ad7-b5e2-1f27f00e2077</v>
      </c>
      <c r="E7810" s="1">
        <f>IFERROR(__xludf.DUMMYFUNCTION("""COMPUTED_VALUE"""),1.3477715168271E13)</f>
        <v>13477715168271</v>
      </c>
      <c r="F7810" s="1"/>
      <c r="G7810" s="1"/>
      <c r="H7810" s="3">
        <f>IFERROR(__xludf.DUMMYFUNCTION("""COMPUTED_VALUE"""),0.0)</f>
        <v>0</v>
      </c>
      <c r="I7810" s="4"/>
      <c r="J7810" s="1" t="str">
        <f>IFERROR(__xludf.DUMMYFUNCTION("""COMPUTED_VALUE"""),"Jan Domingo")</f>
        <v>Jan Domingo</v>
      </c>
      <c r="K7810" s="1" t="str">
        <f>IFERROR(__xludf.DUMMYFUNCTION("""COMPUTED_VALUE"""),"Print Design Support")</f>
        <v>Print Design Support</v>
      </c>
      <c r="L7810" s="1" t="str">
        <f>IFERROR(__xludf.DUMMYFUNCTION("""COMPUTED_VALUE"""),"Print Print Design")</f>
        <v>Print Print Design</v>
      </c>
    </row>
    <row r="7811">
      <c r="A7811" s="1" t="str">
        <f>IFERROR(__xludf.DUMMYFUNCTION("""COMPUTED_VALUE"""),"2025 Dec")</f>
        <v>2025 Dec</v>
      </c>
      <c r="B7811" s="2">
        <f>IFERROR(__xludf.DUMMYFUNCTION("""COMPUTED_VALUE"""),46020.0)</f>
        <v>46020</v>
      </c>
      <c r="C7811" s="1" t="str">
        <f>IFERROR(__xludf.DUMMYFUNCTION("""COMPUTED_VALUE"""),"Core Product Support")</f>
        <v>Core Product Support</v>
      </c>
      <c r="D7811" s="1" t="str">
        <f>IFERROR(__xludf.DUMMYFUNCTION("""COMPUTED_VALUE"""),"fb4299a4-0e59-4c64-8fbb-5fd3f6a3cb3e")</f>
        <v>fb4299a4-0e59-4c64-8fbb-5fd3f6a3cb3e</v>
      </c>
      <c r="E7811" s="1">
        <f>IFERROR(__xludf.DUMMYFUNCTION("""COMPUTED_VALUE"""),3.61964324536E11)</f>
        <v>361964324536</v>
      </c>
      <c r="F7811" s="1">
        <f>IFERROR(__xludf.DUMMYFUNCTION("""COMPUTED_VALUE"""),0.5)</f>
        <v>0.5</v>
      </c>
      <c r="G7811" s="1">
        <f>IFERROR(__xludf.DUMMYFUNCTION("""COMPUTED_VALUE"""),2.5)</f>
        <v>2.5</v>
      </c>
      <c r="H7811" s="3">
        <f>IFERROR(__xludf.DUMMYFUNCTION("""COMPUTED_VALUE"""),3.0)</f>
        <v>3</v>
      </c>
      <c r="I7811" s="4">
        <f>IFERROR(__xludf.DUMMYFUNCTION("""COMPUTED_VALUE"""),0.8333333333333334)</f>
        <v>0.8333333333</v>
      </c>
      <c r="J7811" s="1" t="str">
        <f>IFERROR(__xludf.DUMMYFUNCTION("""COMPUTED_VALUE"""),"Sieg Ballelos")</f>
        <v>Sieg Ballelos</v>
      </c>
      <c r="K7811" s="1" t="str">
        <f>IFERROR(__xludf.DUMMYFUNCTION("""COMPUTED_VALUE"""),"Core Product Support Escalation Team")</f>
        <v>Core Product Support Escalation Team</v>
      </c>
      <c r="L7811" s="1" t="str">
        <f>IFERROR(__xludf.DUMMYFUNCTION("""COMPUTED_VALUE"""),"CPS Core Product Support Escalations (CPSET)")</f>
        <v>CPS Core Product Support Escalations (CPSET)</v>
      </c>
    </row>
    <row r="7812">
      <c r="A7812" s="1" t="str">
        <f>IFERROR(__xludf.DUMMYFUNCTION("""COMPUTED_VALUE"""),"2025 Dec")</f>
        <v>2025 Dec</v>
      </c>
      <c r="B7812" s="2">
        <f>IFERROR(__xludf.DUMMYFUNCTION("""COMPUTED_VALUE"""),46020.0)</f>
        <v>46020</v>
      </c>
      <c r="C7812" s="1" t="str">
        <f>IFERROR(__xludf.DUMMYFUNCTION("""COMPUTED_VALUE"""),"Admin Support")</f>
        <v>Admin Support</v>
      </c>
      <c r="D7812" s="1" t="str">
        <f>IFERROR(__xludf.DUMMYFUNCTION("""COMPUTED_VALUE"""),"b9737663-79f8-4cad-a8f9-6db9a37d36bf")</f>
        <v>b9737663-79f8-4cad-a8f9-6db9a37d36bf</v>
      </c>
      <c r="E7812" s="1">
        <f>IFERROR(__xludf.DUMMYFUNCTION("""COMPUTED_VALUE"""),3.61726427416E11)</f>
        <v>361726427416</v>
      </c>
      <c r="F7812" s="1"/>
      <c r="G7812" s="1"/>
      <c r="H7812" s="3">
        <f>IFERROR(__xludf.DUMMYFUNCTION("""COMPUTED_VALUE"""),0.0)</f>
        <v>0</v>
      </c>
      <c r="I7812" s="4"/>
      <c r="J7812" s="1" t="str">
        <f>IFERROR(__xludf.DUMMYFUNCTION("""COMPUTED_VALUE"""),"Camille Alvarez")</f>
        <v>Camille Alvarez</v>
      </c>
      <c r="K7812" s="1" t="str">
        <f>IFERROR(__xludf.DUMMYFUNCTION("""COMPUTED_VALUE"""),"Admin Support PH SSO")</f>
        <v>Admin Support PH SSO</v>
      </c>
      <c r="L7812" s="1" t="str">
        <f>IFERROR(__xludf.DUMMYFUNCTION("""COMPUTED_VALUE"""),"Admin SSO - SEE")</f>
        <v>Admin SSO - SEE</v>
      </c>
    </row>
    <row r="7813">
      <c r="A7813" s="1" t="str">
        <f>IFERROR(__xludf.DUMMYFUNCTION("""COMPUTED_VALUE"""),"2025 Dec")</f>
        <v>2025 Dec</v>
      </c>
      <c r="B7813" s="2">
        <f>IFERROR(__xludf.DUMMYFUNCTION("""COMPUTED_VALUE"""),46020.0)</f>
        <v>46020</v>
      </c>
      <c r="C7813" s="1" t="str">
        <f>IFERROR(__xludf.DUMMYFUNCTION("""COMPUTED_VALUE"""),"Core Product Support")</f>
        <v>Core Product Support</v>
      </c>
      <c r="D7813" s="1" t="str">
        <f>IFERROR(__xludf.DUMMYFUNCTION("""COMPUTED_VALUE"""),"253d67a9-d468-454b-b17c-b16b05cc6794")</f>
        <v>253d67a9-d468-454b-b17c-b16b05cc6794</v>
      </c>
      <c r="E7813" s="1">
        <f>IFERROR(__xludf.DUMMYFUNCTION("""COMPUTED_VALUE"""),1.0333034131599E13)</f>
        <v>10333034131599</v>
      </c>
      <c r="F7813" s="1">
        <f>IFERROR(__xludf.DUMMYFUNCTION("""COMPUTED_VALUE"""),0.5)</f>
        <v>0.5</v>
      </c>
      <c r="G7813" s="1"/>
      <c r="H7813" s="3">
        <f>IFERROR(__xludf.DUMMYFUNCTION("""COMPUTED_VALUE"""),0.5)</f>
        <v>0.5</v>
      </c>
      <c r="I7813" s="4">
        <f>IFERROR(__xludf.DUMMYFUNCTION("""COMPUTED_VALUE"""),0.0)</f>
        <v>0</v>
      </c>
      <c r="J7813" s="1" t="str">
        <f>IFERROR(__xludf.DUMMYFUNCTION("""COMPUTED_VALUE"""),"Marie Mordeno")</f>
        <v>Marie Mordeno</v>
      </c>
      <c r="K7813" s="1" t="str">
        <f>IFERROR(__xludf.DUMMYFUNCTION("""COMPUTED_VALUE"""),"Advanced Billing &amp; Subscriptions")</f>
        <v>Advanced Billing &amp; Subscriptions</v>
      </c>
      <c r="L7813" s="1" t="str">
        <f>IFERROR(__xludf.DUMMYFUNCTION("""COMPUTED_VALUE"""),"CPS Advanced Billing and Subscriptions (ABS)")</f>
        <v>CPS Advanced Billing and Subscriptions (ABS)</v>
      </c>
    </row>
    <row r="7814">
      <c r="A7814" s="1" t="str">
        <f>IFERROR(__xludf.DUMMYFUNCTION("""COMPUTED_VALUE"""),"2025 Dec")</f>
        <v>2025 Dec</v>
      </c>
      <c r="B7814" s="2">
        <f>IFERROR(__xludf.DUMMYFUNCTION("""COMPUTED_VALUE"""),46020.0)</f>
        <v>46020</v>
      </c>
      <c r="C7814" s="1" t="str">
        <f>IFERROR(__xludf.DUMMYFUNCTION("""COMPUTED_VALUE"""),"Core Product Support")</f>
        <v>Core Product Support</v>
      </c>
      <c r="D7814" s="1" t="str">
        <f>IFERROR(__xludf.DUMMYFUNCTION("""COMPUTED_VALUE"""),"e2ffb663-8d10-4463-8bb8-3bd130fdce1c")</f>
        <v>e2ffb663-8d10-4463-8bb8-3bd130fdce1c</v>
      </c>
      <c r="E7814" s="1">
        <f>IFERROR(__xludf.DUMMYFUNCTION("""COMPUTED_VALUE"""),1.1279730843407E13)</f>
        <v>11279730843407</v>
      </c>
      <c r="F7814" s="1"/>
      <c r="G7814" s="1"/>
      <c r="H7814" s="3">
        <f>IFERROR(__xludf.DUMMYFUNCTION("""COMPUTED_VALUE"""),0.0)</f>
        <v>0</v>
      </c>
      <c r="I7814" s="4"/>
      <c r="J7814" s="1" t="str">
        <f>IFERROR(__xludf.DUMMYFUNCTION("""COMPUTED_VALUE"""),"Ayza Marie Pascual")</f>
        <v>Ayza Marie Pascual</v>
      </c>
      <c r="K7814" s="1" t="str">
        <f>IFERROR(__xludf.DUMMYFUNCTION("""COMPUTED_VALUE"""),"Advanced Billing &amp; Subscriptions")</f>
        <v>Advanced Billing &amp; Subscriptions</v>
      </c>
      <c r="L7814" s="1" t="str">
        <f>IFERROR(__xludf.DUMMYFUNCTION("""COMPUTED_VALUE"""),"CPS Advanced Billing and Subscriptions (ABS)")</f>
        <v>CPS Advanced Billing and Subscriptions (ABS)</v>
      </c>
    </row>
    <row r="7815">
      <c r="A7815" s="1" t="str">
        <f>IFERROR(__xludf.DUMMYFUNCTION("""COMPUTED_VALUE"""),"2025 Dec")</f>
        <v>2025 Dec</v>
      </c>
      <c r="B7815" s="2">
        <f>IFERROR(__xludf.DUMMYFUNCTION("""COMPUTED_VALUE"""),46020.0)</f>
        <v>46020</v>
      </c>
      <c r="C7815" s="1" t="str">
        <f>IFERROR(__xludf.DUMMYFUNCTION("""COMPUTED_VALUE"""),"Core Product Support")</f>
        <v>Core Product Support</v>
      </c>
      <c r="D7815" s="1" t="str">
        <f>IFERROR(__xludf.DUMMYFUNCTION("""COMPUTED_VALUE"""),"1a6492df-fa9a-416f-b1d1-da6edc22036f")</f>
        <v>1a6492df-fa9a-416f-b1d1-da6edc22036f</v>
      </c>
      <c r="E7815" s="1">
        <f>IFERROR(__xludf.DUMMYFUNCTION("""COMPUTED_VALUE"""),7.874569114383E12)</f>
        <v>7874569114383</v>
      </c>
      <c r="F7815" s="1">
        <f>IFERROR(__xludf.DUMMYFUNCTION("""COMPUTED_VALUE"""),0.5)</f>
        <v>0.5</v>
      </c>
      <c r="G7815" s="1"/>
      <c r="H7815" s="3">
        <f>IFERROR(__xludf.DUMMYFUNCTION("""COMPUTED_VALUE"""),0.5)</f>
        <v>0.5</v>
      </c>
      <c r="I7815" s="4">
        <f>IFERROR(__xludf.DUMMYFUNCTION("""COMPUTED_VALUE"""),0.0)</f>
        <v>0</v>
      </c>
      <c r="J7815" s="1" t="str">
        <f>IFERROR(__xludf.DUMMYFUNCTION("""COMPUTED_VALUE"""),"Ana Lazaro")</f>
        <v>Ana Lazaro</v>
      </c>
      <c r="K7815" s="1" t="str">
        <f>IFERROR(__xludf.DUMMYFUNCTION("""COMPUTED_VALUE"""),"Advanced Billing &amp; Subscriptions")</f>
        <v>Advanced Billing &amp; Subscriptions</v>
      </c>
      <c r="L7815" s="1" t="str">
        <f>IFERROR(__xludf.DUMMYFUNCTION("""COMPUTED_VALUE"""),"CPS Advanced Billing and Subscriptions (ABS)")</f>
        <v>CPS Advanced Billing and Subscriptions (ABS)</v>
      </c>
    </row>
    <row r="7816">
      <c r="A7816" s="1" t="str">
        <f>IFERROR(__xludf.DUMMYFUNCTION("""COMPUTED_VALUE"""),"2025 Dec")</f>
        <v>2025 Dec</v>
      </c>
      <c r="B7816" s="2">
        <f>IFERROR(__xludf.DUMMYFUNCTION("""COMPUTED_VALUE"""),46020.0)</f>
        <v>46020</v>
      </c>
      <c r="C7816" s="1" t="str">
        <f>IFERROR(__xludf.DUMMYFUNCTION("""COMPUTED_VALUE"""),"High Sensitivity Support")</f>
        <v>High Sensitivity Support</v>
      </c>
      <c r="D7816" s="1" t="str">
        <f>IFERROR(__xludf.DUMMYFUNCTION("""COMPUTED_VALUE"""),"8b075f45-27b1-469e-bbc3-e97261e6934d")</f>
        <v>8b075f45-27b1-469e-bbc3-e97261e6934d</v>
      </c>
      <c r="E7816" s="1">
        <f>IFERROR(__xludf.DUMMYFUNCTION("""COMPUTED_VALUE"""),5.202423769487E12)</f>
        <v>5202423769487</v>
      </c>
      <c r="F7816" s="1">
        <f>IFERROR(__xludf.DUMMYFUNCTION("""COMPUTED_VALUE"""),4.0)</f>
        <v>4</v>
      </c>
      <c r="G7816" s="1"/>
      <c r="H7816" s="3">
        <f>IFERROR(__xludf.DUMMYFUNCTION("""COMPUTED_VALUE"""),4.0)</f>
        <v>4</v>
      </c>
      <c r="I7816" s="4">
        <f>IFERROR(__xludf.DUMMYFUNCTION("""COMPUTED_VALUE"""),0.0)</f>
        <v>0</v>
      </c>
      <c r="J7816" s="1" t="str">
        <f>IFERROR(__xludf.DUMMYFUNCTION("""COMPUTED_VALUE"""),"Rex Villamor")</f>
        <v>Rex Villamor</v>
      </c>
      <c r="K7816" s="1" t="str">
        <f>IFERROR(__xludf.DUMMYFUNCTION("""COMPUTED_VALUE"""),"High Sensitivity Support PH")</f>
        <v>High Sensitivity Support PH</v>
      </c>
      <c r="L7816" s="1" t="str">
        <f>IFERROR(__xludf.DUMMYFUNCTION("""COMPUTED_VALUE"""),"HSS High Sensitivity Support PH - CHT")</f>
        <v>HSS High Sensitivity Support PH - CHT</v>
      </c>
    </row>
    <row r="7817">
      <c r="A7817" s="1" t="str">
        <f>IFERROR(__xludf.DUMMYFUNCTION("""COMPUTED_VALUE"""),"2025 Dec")</f>
        <v>2025 Dec</v>
      </c>
      <c r="B7817" s="2">
        <f>IFERROR(__xludf.DUMMYFUNCTION("""COMPUTED_VALUE"""),46020.0)</f>
        <v>46020</v>
      </c>
      <c r="C7817" s="1" t="str">
        <f>IFERROR(__xludf.DUMMYFUNCTION("""COMPUTED_VALUE"""),"Core Product Support")</f>
        <v>Core Product Support</v>
      </c>
      <c r="D7817" s="1" t="str">
        <f>IFERROR(__xludf.DUMMYFUNCTION("""COMPUTED_VALUE"""),"50f6ee84-cef1-4ed8-84ed-42a64211811d")</f>
        <v>50f6ee84-cef1-4ed8-84ed-42a64211811d</v>
      </c>
      <c r="E7817" s="1">
        <f>IFERROR(__xludf.DUMMYFUNCTION("""COMPUTED_VALUE"""),3.61688608636E11)</f>
        <v>361688608636</v>
      </c>
      <c r="F7817" s="1">
        <f>IFERROR(__xludf.DUMMYFUNCTION("""COMPUTED_VALUE"""),1.0)</f>
        <v>1</v>
      </c>
      <c r="G7817" s="1">
        <f>IFERROR(__xludf.DUMMYFUNCTION("""COMPUTED_VALUE"""),2.5)</f>
        <v>2.5</v>
      </c>
      <c r="H7817" s="3">
        <f>IFERROR(__xludf.DUMMYFUNCTION("""COMPUTED_VALUE"""),3.5)</f>
        <v>3.5</v>
      </c>
      <c r="I7817" s="4">
        <f>IFERROR(__xludf.DUMMYFUNCTION("""COMPUTED_VALUE"""),0.7142857142857143)</f>
        <v>0.7142857143</v>
      </c>
      <c r="J7817" s="1" t="str">
        <f>IFERROR(__xludf.DUMMYFUNCTION("""COMPUTED_VALUE"""),"Sieg Ballelos")</f>
        <v>Sieg Ballelos</v>
      </c>
      <c r="K7817" s="1" t="str">
        <f>IFERROR(__xludf.DUMMYFUNCTION("""COMPUTED_VALUE"""),"Core Product Support Escalation Team")</f>
        <v>Core Product Support Escalation Team</v>
      </c>
      <c r="L7817" s="1" t="str">
        <f>IFERROR(__xludf.DUMMYFUNCTION("""COMPUTED_VALUE"""),"CPS Core Product Support Escalations (CPSET)")</f>
        <v>CPS Core Product Support Escalations (CPSET)</v>
      </c>
    </row>
    <row r="7818">
      <c r="A7818" s="1" t="str">
        <f>IFERROR(__xludf.DUMMYFUNCTION("""COMPUTED_VALUE"""),"2025 Dec")</f>
        <v>2025 Dec</v>
      </c>
      <c r="B7818" s="2">
        <f>IFERROR(__xludf.DUMMYFUNCTION("""COMPUTED_VALUE"""),46020.0)</f>
        <v>46020</v>
      </c>
      <c r="C7818" s="1" t="str">
        <f>IFERROR(__xludf.DUMMYFUNCTION("""COMPUTED_VALUE"""),"Segment-specific Support")</f>
        <v>Segment-specific Support</v>
      </c>
      <c r="D7818" s="1" t="str">
        <f>IFERROR(__xludf.DUMMYFUNCTION("""COMPUTED_VALUE"""),"68027150-37ee-48bc-8dee-e459591aca37")</f>
        <v>68027150-37ee-48bc-8dee-e459591aca37</v>
      </c>
      <c r="E7818" s="1">
        <f>IFERROR(__xludf.DUMMYFUNCTION("""COMPUTED_VALUE"""),9.586408606607E12)</f>
        <v>9586408606607</v>
      </c>
      <c r="F7818" s="1"/>
      <c r="G7818" s="1"/>
      <c r="H7818" s="3">
        <f>IFERROR(__xludf.DUMMYFUNCTION("""COMPUTED_VALUE"""),0.0)</f>
        <v>0</v>
      </c>
      <c r="I7818" s="4"/>
      <c r="J7818" s="1" t="str">
        <f>IFERROR(__xludf.DUMMYFUNCTION("""COMPUTED_VALUE"""),"Tash Kelly")</f>
        <v>Tash Kelly</v>
      </c>
      <c r="K7818" s="1" t="str">
        <f>IFERROR(__xludf.DUMMYFUNCTION("""COMPUTED_VALUE"""),"Affinity Support")</f>
        <v>Affinity Support</v>
      </c>
      <c r="L7818" s="1" t="str">
        <f>IFERROR(__xludf.DUMMYFUNCTION("""COMPUTED_VALUE"""),"SSS Affinity")</f>
        <v>SSS Affinity</v>
      </c>
    </row>
    <row r="7819">
      <c r="A7819" s="1" t="str">
        <f>IFERROR(__xludf.DUMMYFUNCTION("""COMPUTED_VALUE"""),"2025 Dec")</f>
        <v>2025 Dec</v>
      </c>
      <c r="B7819" s="2">
        <f>IFERROR(__xludf.DUMMYFUNCTION("""COMPUTED_VALUE"""),46020.0)</f>
        <v>46020</v>
      </c>
      <c r="C7819" s="1" t="str">
        <f>IFERROR(__xludf.DUMMYFUNCTION("""COMPUTED_VALUE"""),"Core Product Support")</f>
        <v>Core Product Support</v>
      </c>
      <c r="D7819" s="1" t="str">
        <f>IFERROR(__xludf.DUMMYFUNCTION("""COMPUTED_VALUE"""),"2417322d-d75a-4184-9e3c-95ae48393a05")</f>
        <v>2417322d-d75a-4184-9e3c-95ae48393a05</v>
      </c>
      <c r="E7819" s="1">
        <f>IFERROR(__xludf.DUMMYFUNCTION("""COMPUTED_VALUE"""),3.61861297995E11)</f>
        <v>361861297995</v>
      </c>
      <c r="F7819" s="1">
        <f>IFERROR(__xludf.DUMMYFUNCTION("""COMPUTED_VALUE"""),0.5)</f>
        <v>0.5</v>
      </c>
      <c r="G7819" s="1"/>
      <c r="H7819" s="3">
        <f>IFERROR(__xludf.DUMMYFUNCTION("""COMPUTED_VALUE"""),0.5)</f>
        <v>0.5</v>
      </c>
      <c r="I7819" s="4">
        <f>IFERROR(__xludf.DUMMYFUNCTION("""COMPUTED_VALUE"""),0.0)</f>
        <v>0</v>
      </c>
      <c r="J7819" s="1" t="str">
        <f>IFERROR(__xludf.DUMMYFUNCTION("""COMPUTED_VALUE"""),"Jem Mondoñedo")</f>
        <v>Jem Mondoñedo</v>
      </c>
      <c r="K7819" s="1" t="str">
        <f>IFERROR(__xludf.DUMMYFUNCTION("""COMPUTED_VALUE"""),"Advanced Chat Support")</f>
        <v>Advanced Chat Support</v>
      </c>
      <c r="L7819" s="1" t="str">
        <f>IFERROR(__xludf.DUMMYFUNCTION("""COMPUTED_VALUE"""),"CPS Advanced Chat Support (ACS)")</f>
        <v>CPS Advanced Chat Support (ACS)</v>
      </c>
    </row>
    <row r="7820">
      <c r="A7820" s="1" t="str">
        <f>IFERROR(__xludf.DUMMYFUNCTION("""COMPUTED_VALUE"""),"2025 Dec")</f>
        <v>2025 Dec</v>
      </c>
      <c r="B7820" s="2">
        <f>IFERROR(__xludf.DUMMYFUNCTION("""COMPUTED_VALUE"""),46020.0)</f>
        <v>46020</v>
      </c>
      <c r="C7820" s="1" t="str">
        <f>IFERROR(__xludf.DUMMYFUNCTION("""COMPUTED_VALUE"""),"Segment-specific Support")</f>
        <v>Segment-specific Support</v>
      </c>
      <c r="D7820" s="1" t="str">
        <f>IFERROR(__xludf.DUMMYFUNCTION("""COMPUTED_VALUE"""),"4cae5e1d-2159-4afc-b9cd-a826e7f3982e")</f>
        <v>4cae5e1d-2159-4afc-b9cd-a826e7f3982e</v>
      </c>
      <c r="E7820" s="1">
        <f>IFERROR(__xludf.DUMMYFUNCTION("""COMPUTED_VALUE"""),3.61726424816E11)</f>
        <v>361726424816</v>
      </c>
      <c r="F7820" s="1"/>
      <c r="G7820" s="1"/>
      <c r="H7820" s="3">
        <f>IFERROR(__xludf.DUMMYFUNCTION("""COMPUTED_VALUE"""),0.0)</f>
        <v>0</v>
      </c>
      <c r="I7820" s="4"/>
      <c r="J7820" s="1" t="str">
        <f>IFERROR(__xludf.DUMMYFUNCTION("""COMPUTED_VALUE"""),"Aileen Dayanghirang")</f>
        <v>Aileen Dayanghirang</v>
      </c>
      <c r="K7820" s="1" t="str">
        <f>IFERROR(__xludf.DUMMYFUNCTION("""COMPUTED_VALUE"""),"Creators Support")</f>
        <v>Creators Support</v>
      </c>
      <c r="L7820" s="1" t="str">
        <f>IFERROR(__xludf.DUMMYFUNCTION("""COMPUTED_VALUE"""),"SSS Creators")</f>
        <v>SSS Creators</v>
      </c>
    </row>
    <row r="7821">
      <c r="A7821" s="1" t="str">
        <f>IFERROR(__xludf.DUMMYFUNCTION("""COMPUTED_VALUE"""),"2025 Dec")</f>
        <v>2025 Dec</v>
      </c>
      <c r="B7821" s="2">
        <f>IFERROR(__xludf.DUMMYFUNCTION("""COMPUTED_VALUE"""),46020.0)</f>
        <v>46020</v>
      </c>
      <c r="C7821" s="1" t="str">
        <f>IFERROR(__xludf.DUMMYFUNCTION("""COMPUTED_VALUE"""),"Core Product Support")</f>
        <v>Core Product Support</v>
      </c>
      <c r="D7821" s="1" t="str">
        <f>IFERROR(__xludf.DUMMYFUNCTION("""COMPUTED_VALUE"""),"ecc3a54c-2b13-4ea5-ad1e-96b8b278e7da")</f>
        <v>ecc3a54c-2b13-4ea5-ad1e-96b8b278e7da</v>
      </c>
      <c r="E7821" s="1">
        <f>IFERROR(__xludf.DUMMYFUNCTION("""COMPUTED_VALUE"""),1.0333050571535E13)</f>
        <v>10333050571535</v>
      </c>
      <c r="F7821" s="1">
        <f>IFERROR(__xludf.DUMMYFUNCTION("""COMPUTED_VALUE"""),0.5)</f>
        <v>0.5</v>
      </c>
      <c r="G7821" s="1"/>
      <c r="H7821" s="3">
        <f>IFERROR(__xludf.DUMMYFUNCTION("""COMPUTED_VALUE"""),0.5)</f>
        <v>0.5</v>
      </c>
      <c r="I7821" s="4">
        <f>IFERROR(__xludf.DUMMYFUNCTION("""COMPUTED_VALUE"""),0.0)</f>
        <v>0</v>
      </c>
      <c r="J7821" s="1" t="str">
        <f>IFERROR(__xludf.DUMMYFUNCTION("""COMPUTED_VALUE"""),"Mikhaela Decangchon")</f>
        <v>Mikhaela Decangchon</v>
      </c>
      <c r="K7821" s="1" t="str">
        <f>IFERROR(__xludf.DUMMYFUNCTION("""COMPUTED_VALUE"""),"Advanced Product Support")</f>
        <v>Advanced Product Support</v>
      </c>
      <c r="L7821" s="1" t="str">
        <f>IFERROR(__xludf.DUMMYFUNCTION("""COMPUTED_VALUE"""),"CPS Advanced Product Support (APS)")</f>
        <v>CPS Advanced Product Support (APS)</v>
      </c>
    </row>
    <row r="7822">
      <c r="A7822" s="1" t="str">
        <f>IFERROR(__xludf.DUMMYFUNCTION("""COMPUTED_VALUE"""),"2025 Dec")</f>
        <v>2025 Dec</v>
      </c>
      <c r="B7822" s="2">
        <f>IFERROR(__xludf.DUMMYFUNCTION("""COMPUTED_VALUE"""),46020.0)</f>
        <v>46020</v>
      </c>
      <c r="C7822" s="1" t="str">
        <f>IFERROR(__xludf.DUMMYFUNCTION("""COMPUTED_VALUE"""),"Print Support")</f>
        <v>Print Support</v>
      </c>
      <c r="D7822" s="1" t="str">
        <f>IFERROR(__xludf.DUMMYFUNCTION("""COMPUTED_VALUE"""),"c6cec3c3-9fe7-48ea-b63e-7658cdee4747")</f>
        <v>c6cec3c3-9fe7-48ea-b63e-7658cdee4747</v>
      </c>
      <c r="E7822" s="1">
        <f>IFERROR(__xludf.DUMMYFUNCTION("""COMPUTED_VALUE"""),5.901960272783E12)</f>
        <v>5901960272783</v>
      </c>
      <c r="F7822" s="1"/>
      <c r="G7822" s="1"/>
      <c r="H7822" s="3">
        <f>IFERROR(__xludf.DUMMYFUNCTION("""COMPUTED_VALUE"""),0.0)</f>
        <v>0</v>
      </c>
      <c r="I7822" s="4"/>
      <c r="J7822" s="1" t="str">
        <f>IFERROR(__xludf.DUMMYFUNCTION("""COMPUTED_VALUE"""),"Aliza Dote")</f>
        <v>Aliza Dote</v>
      </c>
      <c r="K7822" s="1" t="str">
        <f>IFERROR(__xludf.DUMMYFUNCTION("""COMPUTED_VALUE"""),"Print Design Support")</f>
        <v>Print Design Support</v>
      </c>
      <c r="L7822" s="1" t="str">
        <f>IFERROR(__xludf.DUMMYFUNCTION("""COMPUTED_VALUE"""),"Print Print Design")</f>
        <v>Print Print Design</v>
      </c>
    </row>
    <row r="7823">
      <c r="A7823" s="1" t="str">
        <f>IFERROR(__xludf.DUMMYFUNCTION("""COMPUTED_VALUE"""),"2025 Dec")</f>
        <v>2025 Dec</v>
      </c>
      <c r="B7823" s="2">
        <f>IFERROR(__xludf.DUMMYFUNCTION("""COMPUTED_VALUE"""),46020.0)</f>
        <v>46020</v>
      </c>
      <c r="C7823" s="1" t="str">
        <f>IFERROR(__xludf.DUMMYFUNCTION("""COMPUTED_VALUE"""),"Admin Support")</f>
        <v>Admin Support</v>
      </c>
      <c r="D7823" s="1" t="str">
        <f>IFERROR(__xludf.DUMMYFUNCTION("""COMPUTED_VALUE"""),"f1bbdd3e-ea42-496f-87a0-14d656a67a92")</f>
        <v>f1bbdd3e-ea42-496f-87a0-14d656a67a92</v>
      </c>
      <c r="E7823" s="1">
        <f>IFERROR(__xludf.DUMMYFUNCTION("""COMPUTED_VALUE"""),5.563904587279E12)</f>
        <v>5563904587279</v>
      </c>
      <c r="F7823" s="1">
        <f>IFERROR(__xludf.DUMMYFUNCTION("""COMPUTED_VALUE"""),1.5)</f>
        <v>1.5</v>
      </c>
      <c r="G7823" s="1"/>
      <c r="H7823" s="3">
        <f>IFERROR(__xludf.DUMMYFUNCTION("""COMPUTED_VALUE"""),1.5)</f>
        <v>1.5</v>
      </c>
      <c r="I7823" s="4">
        <f>IFERROR(__xludf.DUMMYFUNCTION("""COMPUTED_VALUE"""),0.0)</f>
        <v>0</v>
      </c>
      <c r="J7823" s="1" t="str">
        <f>IFERROR(__xludf.DUMMYFUNCTION("""COMPUTED_VALUE"""),"Tash Kelly")</f>
        <v>Tash Kelly</v>
      </c>
      <c r="K7823" s="1" t="str">
        <f>IFERROR(__xludf.DUMMYFUNCTION("""COMPUTED_VALUE"""),"Admin Support NA")</f>
        <v>Admin Support NA</v>
      </c>
      <c r="L7823" s="1" t="str">
        <f>IFERROR(__xludf.DUMMYFUNCTION("""COMPUTED_VALUE"""),"Admin NA")</f>
        <v>Admin NA</v>
      </c>
    </row>
    <row r="7824">
      <c r="A7824" s="1" t="str">
        <f>IFERROR(__xludf.DUMMYFUNCTION("""COMPUTED_VALUE"""),"2025 Dec")</f>
        <v>2025 Dec</v>
      </c>
      <c r="B7824" s="2">
        <f>IFERROR(__xludf.DUMMYFUNCTION("""COMPUTED_VALUE"""),46020.0)</f>
        <v>46020</v>
      </c>
      <c r="C7824" s="1" t="str">
        <f>IFERROR(__xludf.DUMMYFUNCTION("""COMPUTED_VALUE"""),"Core Product Support")</f>
        <v>Core Product Support</v>
      </c>
      <c r="D7824" s="1" t="str">
        <f>IFERROR(__xludf.DUMMYFUNCTION("""COMPUTED_VALUE"""),"3146744a-956c-4560-bc5a-70bcebe20785")</f>
        <v>3146744a-956c-4560-bc5a-70bcebe20785</v>
      </c>
      <c r="E7824" s="1">
        <f>IFERROR(__xludf.DUMMYFUNCTION("""COMPUTED_VALUE"""),3.61861297835E11)</f>
        <v>361861297835</v>
      </c>
      <c r="F7824" s="1">
        <f>IFERROR(__xludf.DUMMYFUNCTION("""COMPUTED_VALUE"""),0.5)</f>
        <v>0.5</v>
      </c>
      <c r="G7824" s="1"/>
      <c r="H7824" s="3">
        <f>IFERROR(__xludf.DUMMYFUNCTION("""COMPUTED_VALUE"""),0.5)</f>
        <v>0.5</v>
      </c>
      <c r="I7824" s="4">
        <f>IFERROR(__xludf.DUMMYFUNCTION("""COMPUTED_VALUE"""),0.0)</f>
        <v>0</v>
      </c>
      <c r="J7824" s="1" t="str">
        <f>IFERROR(__xludf.DUMMYFUNCTION("""COMPUTED_VALUE"""),"Jem Mondoñedo")</f>
        <v>Jem Mondoñedo</v>
      </c>
      <c r="K7824" s="1" t="str">
        <f>IFERROR(__xludf.DUMMYFUNCTION("""COMPUTED_VALUE"""),"Advanced Chat Support")</f>
        <v>Advanced Chat Support</v>
      </c>
      <c r="L7824" s="1" t="str">
        <f>IFERROR(__xludf.DUMMYFUNCTION("""COMPUTED_VALUE"""),"CPS Advanced Chat Support (ACS)")</f>
        <v>CPS Advanced Chat Support (ACS)</v>
      </c>
    </row>
    <row r="7825">
      <c r="A7825" s="1" t="str">
        <f>IFERROR(__xludf.DUMMYFUNCTION("""COMPUTED_VALUE"""),"2025 Dec")</f>
        <v>2025 Dec</v>
      </c>
      <c r="B7825" s="2">
        <f>IFERROR(__xludf.DUMMYFUNCTION("""COMPUTED_VALUE"""),46020.0)</f>
        <v>46020</v>
      </c>
      <c r="C7825" s="1" t="str">
        <f>IFERROR(__xludf.DUMMYFUNCTION("""COMPUTED_VALUE"""),"Print Support")</f>
        <v>Print Support</v>
      </c>
      <c r="D7825" s="1" t="str">
        <f>IFERROR(__xludf.DUMMYFUNCTION("""COMPUTED_VALUE"""),"30527ca4-aa21-4ba1-bf53-3e00c15dfada")</f>
        <v>30527ca4-aa21-4ba1-bf53-3e00c15dfada</v>
      </c>
      <c r="E7825" s="1">
        <f>IFERROR(__xludf.DUMMYFUNCTION("""COMPUTED_VALUE"""),5.359149526287E12)</f>
        <v>5359149526287</v>
      </c>
      <c r="F7825" s="1"/>
      <c r="G7825" s="1"/>
      <c r="H7825" s="3">
        <f>IFERROR(__xludf.DUMMYFUNCTION("""COMPUTED_VALUE"""),0.0)</f>
        <v>0</v>
      </c>
      <c r="I7825" s="4"/>
      <c r="J7825" s="1" t="str">
        <f>IFERROR(__xludf.DUMMYFUNCTION("""COMPUTED_VALUE"""),"Rae Erlano")</f>
        <v>Rae Erlano</v>
      </c>
      <c r="K7825" s="1" t="str">
        <f>IFERROR(__xludf.DUMMYFUNCTION("""COMPUTED_VALUE"""),"Print Support PH")</f>
        <v>Print Support PH</v>
      </c>
      <c r="L7825" s="1" t="str">
        <f>IFERROR(__xludf.DUMMYFUNCTION("""COMPUTED_VALUE"""),"Print Print - CHT")</f>
        <v>Print Print - CHT</v>
      </c>
    </row>
    <row r="7826">
      <c r="A7826" s="1" t="str">
        <f>IFERROR(__xludf.DUMMYFUNCTION("""COMPUTED_VALUE"""),"2025 Dec")</f>
        <v>2025 Dec</v>
      </c>
      <c r="B7826" s="2">
        <f>IFERROR(__xludf.DUMMYFUNCTION("""COMPUTED_VALUE"""),46020.0)</f>
        <v>46020</v>
      </c>
      <c r="C7826" s="1" t="str">
        <f>IFERROR(__xludf.DUMMYFUNCTION("""COMPUTED_VALUE"""),"High Sensitivity Support")</f>
        <v>High Sensitivity Support</v>
      </c>
      <c r="D7826" s="1" t="str">
        <f>IFERROR(__xludf.DUMMYFUNCTION("""COMPUTED_VALUE"""),"ed28aa1c-230f-414c-b415-191d703a8bac")</f>
        <v>ed28aa1c-230f-414c-b415-191d703a8bac</v>
      </c>
      <c r="E7826" s="1">
        <f>IFERROR(__xludf.DUMMYFUNCTION("""COMPUTED_VALUE"""),8.409870322319E12)</f>
        <v>8409870322319</v>
      </c>
      <c r="F7826" s="1">
        <f>IFERROR(__xludf.DUMMYFUNCTION("""COMPUTED_VALUE"""),4.0)</f>
        <v>4</v>
      </c>
      <c r="G7826" s="1"/>
      <c r="H7826" s="3">
        <f>IFERROR(__xludf.DUMMYFUNCTION("""COMPUTED_VALUE"""),4.0)</f>
        <v>4</v>
      </c>
      <c r="I7826" s="4">
        <f>IFERROR(__xludf.DUMMYFUNCTION("""COMPUTED_VALUE"""),0.0)</f>
        <v>0</v>
      </c>
      <c r="J7826" s="1" t="str">
        <f>IFERROR(__xludf.DUMMYFUNCTION("""COMPUTED_VALUE"""),"Rossheen Pura")</f>
        <v>Rossheen Pura</v>
      </c>
      <c r="K7826" s="1" t="str">
        <f>IFERROR(__xludf.DUMMYFUNCTION("""COMPUTED_VALUE"""),"High Sensitivity Support PH")</f>
        <v>High Sensitivity Support PH</v>
      </c>
      <c r="L7826" s="1" t="str">
        <f>IFERROR(__xludf.DUMMYFUNCTION("""COMPUTED_VALUE"""),"HSS High Sensitivity Support PH - CHT")</f>
        <v>HSS High Sensitivity Support PH - CHT</v>
      </c>
    </row>
    <row r="7827">
      <c r="A7827" s="1" t="str">
        <f>IFERROR(__xludf.DUMMYFUNCTION("""COMPUTED_VALUE"""),"2025 Dec")</f>
        <v>2025 Dec</v>
      </c>
      <c r="B7827" s="2">
        <f>IFERROR(__xludf.DUMMYFUNCTION("""COMPUTED_VALUE"""),46020.0)</f>
        <v>46020</v>
      </c>
      <c r="C7827" s="1" t="str">
        <f>IFERROR(__xludf.DUMMYFUNCTION("""COMPUTED_VALUE"""),"Segment-specific Support")</f>
        <v>Segment-specific Support</v>
      </c>
      <c r="D7827" s="1" t="str">
        <f>IFERROR(__xludf.DUMMYFUNCTION("""COMPUTED_VALUE"""),"df9ba7dd-188f-4978-8344-eb262fcbed64")</f>
        <v>df9ba7dd-188f-4978-8344-eb262fcbed64</v>
      </c>
      <c r="E7827" s="1">
        <f>IFERROR(__xludf.DUMMYFUNCTION("""COMPUTED_VALUE"""),5.729839272719E12)</f>
        <v>5729839272719</v>
      </c>
      <c r="F7827" s="1"/>
      <c r="G7827" s="1"/>
      <c r="H7827" s="3">
        <f>IFERROR(__xludf.DUMMYFUNCTION("""COMPUTED_VALUE"""),0.0)</f>
        <v>0</v>
      </c>
      <c r="I7827" s="4"/>
      <c r="J7827" s="1" t="str">
        <f>IFERROR(__xludf.DUMMYFUNCTION("""COMPUTED_VALUE"""),"Tash Kelly")</f>
        <v>Tash Kelly</v>
      </c>
      <c r="K7827" s="1" t="str">
        <f>IFERROR(__xludf.DUMMYFUNCTION("""COMPUTED_VALUE"""),"Affinity Support")</f>
        <v>Affinity Support</v>
      </c>
      <c r="L7827" s="1" t="str">
        <f>IFERROR(__xludf.DUMMYFUNCTION("""COMPUTED_VALUE"""),"SSS Affinity")</f>
        <v>SSS Affinity</v>
      </c>
    </row>
    <row r="7828">
      <c r="A7828" s="1" t="str">
        <f>IFERROR(__xludf.DUMMYFUNCTION("""COMPUTED_VALUE"""),"2025 Dec")</f>
        <v>2025 Dec</v>
      </c>
      <c r="B7828" s="2">
        <f>IFERROR(__xludf.DUMMYFUNCTION("""COMPUTED_VALUE"""),46020.0)</f>
        <v>46020</v>
      </c>
      <c r="C7828" s="1" t="str">
        <f>IFERROR(__xludf.DUMMYFUNCTION("""COMPUTED_VALUE"""),"Print Support")</f>
        <v>Print Support</v>
      </c>
      <c r="D7828" s="1" t="str">
        <f>IFERROR(__xludf.DUMMYFUNCTION("""COMPUTED_VALUE"""),"438e36b3-4d38-44fd-b78d-2f3e27dfd609")</f>
        <v>438e36b3-4d38-44fd-b78d-2f3e27dfd609</v>
      </c>
      <c r="E7828" s="1">
        <f>IFERROR(__xludf.DUMMYFUNCTION("""COMPUTED_VALUE"""),5.359189606799E12)</f>
        <v>5359189606799</v>
      </c>
      <c r="F7828" s="1"/>
      <c r="G7828" s="1"/>
      <c r="H7828" s="3">
        <f>IFERROR(__xludf.DUMMYFUNCTION("""COMPUTED_VALUE"""),0.0)</f>
        <v>0</v>
      </c>
      <c r="I7828" s="4"/>
      <c r="J7828" s="1" t="str">
        <f>IFERROR(__xludf.DUMMYFUNCTION("""COMPUTED_VALUE"""),"Rae Erlano")</f>
        <v>Rae Erlano</v>
      </c>
      <c r="K7828" s="1" t="str">
        <f>IFERROR(__xludf.DUMMYFUNCTION("""COMPUTED_VALUE"""),"Print Support PH")</f>
        <v>Print Support PH</v>
      </c>
      <c r="L7828" s="1" t="str">
        <f>IFERROR(__xludf.DUMMYFUNCTION("""COMPUTED_VALUE"""),"Print Print - CHT")</f>
        <v>Print Print - CHT</v>
      </c>
    </row>
    <row r="7829">
      <c r="A7829" s="1" t="str">
        <f>IFERROR(__xludf.DUMMYFUNCTION("""COMPUTED_VALUE"""),"2025 Dec")</f>
        <v>2025 Dec</v>
      </c>
      <c r="B7829" s="2">
        <f>IFERROR(__xludf.DUMMYFUNCTION("""COMPUTED_VALUE"""),46020.0)</f>
        <v>46020</v>
      </c>
      <c r="C7829" s="1" t="str">
        <f>IFERROR(__xludf.DUMMYFUNCTION("""COMPUTED_VALUE"""),"Admin Support")</f>
        <v>Admin Support</v>
      </c>
      <c r="D7829" s="1" t="str">
        <f>IFERROR(__xludf.DUMMYFUNCTION("""COMPUTED_VALUE"""),"d7fa60f7-5345-4940-b70f-a9ee1e24882e")</f>
        <v>d7fa60f7-5345-4940-b70f-a9ee1e24882e</v>
      </c>
      <c r="E7829" s="1">
        <f>IFERROR(__xludf.DUMMYFUNCTION("""COMPUTED_VALUE"""),3.61731792375E11)</f>
        <v>361731792375</v>
      </c>
      <c r="F7829" s="1"/>
      <c r="G7829" s="1"/>
      <c r="H7829" s="3">
        <f>IFERROR(__xludf.DUMMYFUNCTION("""COMPUTED_VALUE"""),0.0)</f>
        <v>0</v>
      </c>
      <c r="I7829" s="4"/>
      <c r="J7829" s="1" t="str">
        <f>IFERROR(__xludf.DUMMYFUNCTION("""COMPUTED_VALUE"""),"Karla Mananghaya")</f>
        <v>Karla Mananghaya</v>
      </c>
      <c r="K7829" s="1" t="str">
        <f>IFERROR(__xludf.DUMMYFUNCTION("""COMPUTED_VALUE"""),"Admin Support PH")</f>
        <v>Admin Support PH</v>
      </c>
      <c r="L7829" s="1" t="str">
        <f>IFERROR(__xludf.DUMMYFUNCTION("""COMPUTED_VALUE"""),"Admin - SEE")</f>
        <v>Admin - SEE</v>
      </c>
    </row>
    <row r="7830">
      <c r="A7830" s="1" t="str">
        <f>IFERROR(__xludf.DUMMYFUNCTION("""COMPUTED_VALUE"""),"2025 Dec")</f>
        <v>2025 Dec</v>
      </c>
      <c r="B7830" s="2">
        <f>IFERROR(__xludf.DUMMYFUNCTION("""COMPUTED_VALUE"""),46020.0)</f>
        <v>46020</v>
      </c>
      <c r="C7830" s="1" t="str">
        <f>IFERROR(__xludf.DUMMYFUNCTION("""COMPUTED_VALUE"""),"Core Product Support")</f>
        <v>Core Product Support</v>
      </c>
      <c r="D7830" s="1" t="str">
        <f>IFERROR(__xludf.DUMMYFUNCTION("""COMPUTED_VALUE"""),"5a22b3ea-0755-416b-a006-f5a0d4b19aba")</f>
        <v>5a22b3ea-0755-416b-a006-f5a0d4b19aba</v>
      </c>
      <c r="E7830" s="1">
        <f>IFERROR(__xludf.DUMMYFUNCTION("""COMPUTED_VALUE"""),5.202392949391E12)</f>
        <v>5202392949391</v>
      </c>
      <c r="F7830" s="1">
        <f>IFERROR(__xludf.DUMMYFUNCTION("""COMPUTED_VALUE"""),0.5)</f>
        <v>0.5</v>
      </c>
      <c r="G7830" s="1">
        <f>IFERROR(__xludf.DUMMYFUNCTION("""COMPUTED_VALUE"""),2.5)</f>
        <v>2.5</v>
      </c>
      <c r="H7830" s="3">
        <f>IFERROR(__xludf.DUMMYFUNCTION("""COMPUTED_VALUE"""),3.0)</f>
        <v>3</v>
      </c>
      <c r="I7830" s="4">
        <f>IFERROR(__xludf.DUMMYFUNCTION("""COMPUTED_VALUE"""),0.8333333333333334)</f>
        <v>0.8333333333</v>
      </c>
      <c r="J7830" s="1" t="str">
        <f>IFERROR(__xludf.DUMMYFUNCTION("""COMPUTED_VALUE"""),"Sieg Ballelos")</f>
        <v>Sieg Ballelos</v>
      </c>
      <c r="K7830" s="1" t="str">
        <f>IFERROR(__xludf.DUMMYFUNCTION("""COMPUTED_VALUE"""),"Core Product Support Escalation Team")</f>
        <v>Core Product Support Escalation Team</v>
      </c>
      <c r="L7830" s="1" t="str">
        <f>IFERROR(__xludf.DUMMYFUNCTION("""COMPUTED_VALUE"""),"CPS Core Product Support Escalations (CPSET)")</f>
        <v>CPS Core Product Support Escalations (CPSET)</v>
      </c>
    </row>
    <row r="7831">
      <c r="A7831" s="1" t="str">
        <f>IFERROR(__xludf.DUMMYFUNCTION("""COMPUTED_VALUE"""),"2025 Dec")</f>
        <v>2025 Dec</v>
      </c>
      <c r="B7831" s="2">
        <f>IFERROR(__xludf.DUMMYFUNCTION("""COMPUTED_VALUE"""),46020.0)</f>
        <v>46020</v>
      </c>
      <c r="C7831" s="1" t="str">
        <f>IFERROR(__xludf.DUMMYFUNCTION("""COMPUTED_VALUE"""),"Core Product Support")</f>
        <v>Core Product Support</v>
      </c>
      <c r="D7831" s="1" t="str">
        <f>IFERROR(__xludf.DUMMYFUNCTION("""COMPUTED_VALUE"""),"0ae24c9b-6172-4326-bb51-99cd5756da29")</f>
        <v>0ae24c9b-6172-4326-bb51-99cd5756da29</v>
      </c>
      <c r="E7831" s="1">
        <f>IFERROR(__xludf.DUMMYFUNCTION("""COMPUTED_VALUE"""),8.904479838351E12)</f>
        <v>8904479838351</v>
      </c>
      <c r="F7831" s="1">
        <f>IFERROR(__xludf.DUMMYFUNCTION("""COMPUTED_VALUE"""),0.5)</f>
        <v>0.5</v>
      </c>
      <c r="G7831" s="1"/>
      <c r="H7831" s="3">
        <f>IFERROR(__xludf.DUMMYFUNCTION("""COMPUTED_VALUE"""),0.5)</f>
        <v>0.5</v>
      </c>
      <c r="I7831" s="4">
        <f>IFERROR(__xludf.DUMMYFUNCTION("""COMPUTED_VALUE"""),0.0)</f>
        <v>0</v>
      </c>
      <c r="J7831" s="1" t="str">
        <f>IFERROR(__xludf.DUMMYFUNCTION("""COMPUTED_VALUE"""),"Ana Lazaro")</f>
        <v>Ana Lazaro</v>
      </c>
      <c r="K7831" s="1" t="str">
        <f>IFERROR(__xludf.DUMMYFUNCTION("""COMPUTED_VALUE"""),"Advanced Billing &amp; Subscriptions")</f>
        <v>Advanced Billing &amp; Subscriptions</v>
      </c>
      <c r="L7831" s="1" t="str">
        <f>IFERROR(__xludf.DUMMYFUNCTION("""COMPUTED_VALUE"""),"CPS Advanced Billing and Subscriptions (ABS)")</f>
        <v>CPS Advanced Billing and Subscriptions (ABS)</v>
      </c>
    </row>
    <row r="7832">
      <c r="A7832" s="1" t="str">
        <f>IFERROR(__xludf.DUMMYFUNCTION("""COMPUTED_VALUE"""),"2025 Dec")</f>
        <v>2025 Dec</v>
      </c>
      <c r="B7832" s="2">
        <f>IFERROR(__xludf.DUMMYFUNCTION("""COMPUTED_VALUE"""),46020.0)</f>
        <v>46020</v>
      </c>
      <c r="C7832" s="1" t="str">
        <f>IFERROR(__xludf.DUMMYFUNCTION("""COMPUTED_VALUE"""),"Segment-specific Support")</f>
        <v>Segment-specific Support</v>
      </c>
      <c r="D7832" s="1" t="str">
        <f>IFERROR(__xludf.DUMMYFUNCTION("""COMPUTED_VALUE"""),"702a1682-65ec-47f2-b736-d60aecc92e68")</f>
        <v>702a1682-65ec-47f2-b736-d60aecc92e68</v>
      </c>
      <c r="E7832" s="1">
        <f>IFERROR(__xludf.DUMMYFUNCTION("""COMPUTED_VALUE"""),3.61726425496E11)</f>
        <v>361726425496</v>
      </c>
      <c r="F7832" s="1"/>
      <c r="G7832" s="1"/>
      <c r="H7832" s="3">
        <f>IFERROR(__xludf.DUMMYFUNCTION("""COMPUTED_VALUE"""),0.0)</f>
        <v>0</v>
      </c>
      <c r="I7832" s="4"/>
      <c r="J7832" s="1" t="str">
        <f>IFERROR(__xludf.DUMMYFUNCTION("""COMPUTED_VALUE"""),"Aileen Dayanghirang")</f>
        <v>Aileen Dayanghirang</v>
      </c>
      <c r="K7832" s="1" t="str">
        <f>IFERROR(__xludf.DUMMYFUNCTION("""COMPUTED_VALUE"""),"Creators Support")</f>
        <v>Creators Support</v>
      </c>
      <c r="L7832" s="1" t="str">
        <f>IFERROR(__xludf.DUMMYFUNCTION("""COMPUTED_VALUE"""),"SSS Creators")</f>
        <v>SSS Creators</v>
      </c>
    </row>
    <row r="7833">
      <c r="A7833" s="1" t="str">
        <f>IFERROR(__xludf.DUMMYFUNCTION("""COMPUTED_VALUE"""),"2025 Dec")</f>
        <v>2025 Dec</v>
      </c>
      <c r="B7833" s="2">
        <f>IFERROR(__xludf.DUMMYFUNCTION("""COMPUTED_VALUE"""),46020.0)</f>
        <v>46020</v>
      </c>
      <c r="C7833" s="1" t="str">
        <f>IFERROR(__xludf.DUMMYFUNCTION("""COMPUTED_VALUE"""),"Print Support")</f>
        <v>Print Support</v>
      </c>
      <c r="D7833" s="1" t="str">
        <f>IFERROR(__xludf.DUMMYFUNCTION("""COMPUTED_VALUE"""),"5b9a60b0-b877-48e1-8013-eb7cdd15bd64")</f>
        <v>5b9a60b0-b877-48e1-8013-eb7cdd15bd64</v>
      </c>
      <c r="E7833" s="1">
        <f>IFERROR(__xludf.DUMMYFUNCTION("""COMPUTED_VALUE"""),3.61825394516E11)</f>
        <v>361825394516</v>
      </c>
      <c r="F7833" s="1"/>
      <c r="G7833" s="1"/>
      <c r="H7833" s="3">
        <f>IFERROR(__xludf.DUMMYFUNCTION("""COMPUTED_VALUE"""),0.0)</f>
        <v>0</v>
      </c>
      <c r="I7833" s="4"/>
      <c r="J7833" s="1" t="str">
        <f>IFERROR(__xludf.DUMMYFUNCTION("""COMPUTED_VALUE"""),"G-Anne Murillo")</f>
        <v>G-Anne Murillo</v>
      </c>
      <c r="K7833" s="1" t="str">
        <f>IFERROR(__xludf.DUMMYFUNCTION("""COMPUTED_VALUE"""),"Print Design Support")</f>
        <v>Print Design Support</v>
      </c>
      <c r="L7833" s="1" t="str">
        <f>IFERROR(__xludf.DUMMYFUNCTION("""COMPUTED_VALUE"""),"Print Print Design")</f>
        <v>Print Print Design</v>
      </c>
    </row>
    <row r="7834">
      <c r="A7834" s="1" t="str">
        <f>IFERROR(__xludf.DUMMYFUNCTION("""COMPUTED_VALUE"""),"2025 Dec")</f>
        <v>2025 Dec</v>
      </c>
      <c r="B7834" s="2">
        <f>IFERROR(__xludf.DUMMYFUNCTION("""COMPUTED_VALUE"""),46020.0)</f>
        <v>46020</v>
      </c>
      <c r="C7834" s="1" t="str">
        <f>IFERROR(__xludf.DUMMYFUNCTION("""COMPUTED_VALUE"""),"Print Support")</f>
        <v>Print Support</v>
      </c>
      <c r="D7834" s="1" t="str">
        <f>IFERROR(__xludf.DUMMYFUNCTION("""COMPUTED_VALUE"""),"582c23f3-af21-4402-83b6-920f8fd6fe88")</f>
        <v>582c23f3-af21-4402-83b6-920f8fd6fe88</v>
      </c>
      <c r="E7834" s="1">
        <f>IFERROR(__xludf.DUMMYFUNCTION("""COMPUTED_VALUE"""),5.566843512207E12)</f>
        <v>5566843512207</v>
      </c>
      <c r="F7834" s="1"/>
      <c r="G7834" s="1"/>
      <c r="H7834" s="3">
        <f>IFERROR(__xludf.DUMMYFUNCTION("""COMPUTED_VALUE"""),0.0)</f>
        <v>0</v>
      </c>
      <c r="I7834" s="4"/>
      <c r="J7834" s="1" t="str">
        <f>IFERROR(__xludf.DUMMYFUNCTION("""COMPUTED_VALUE"""),"Ann Dumlao")</f>
        <v>Ann Dumlao</v>
      </c>
      <c r="K7834" s="1" t="str">
        <f>IFERROR(__xludf.DUMMYFUNCTION("""COMPUTED_VALUE"""),"Print Support PH")</f>
        <v>Print Support PH</v>
      </c>
      <c r="L7834" s="1" t="str">
        <f>IFERROR(__xludf.DUMMYFUNCTION("""COMPUTED_VALUE"""),"Print Print - CHT")</f>
        <v>Print Print - CHT</v>
      </c>
    </row>
    <row r="7835">
      <c r="A7835" s="1" t="str">
        <f>IFERROR(__xludf.DUMMYFUNCTION("""COMPUTED_VALUE"""),"2025 Dec")</f>
        <v>2025 Dec</v>
      </c>
      <c r="B7835" s="2">
        <f>IFERROR(__xludf.DUMMYFUNCTION("""COMPUTED_VALUE"""),46020.0)</f>
        <v>46020</v>
      </c>
      <c r="C7835" s="1" t="str">
        <f>IFERROR(__xludf.DUMMYFUNCTION("""COMPUTED_VALUE"""),"Multilingual Support")</f>
        <v>Multilingual Support</v>
      </c>
      <c r="D7835" s="1" t="str">
        <f>IFERROR(__xludf.DUMMYFUNCTION("""COMPUTED_VALUE"""),"a08e6c23-8f56-4eb2-a86d-ff398e709601")</f>
        <v>a08e6c23-8f56-4eb2-a86d-ff398e709601</v>
      </c>
      <c r="E7835" s="1">
        <f>IFERROR(__xludf.DUMMYFUNCTION("""COMPUTED_VALUE"""),3.61744520136E11)</f>
        <v>361744520136</v>
      </c>
      <c r="F7835" s="1"/>
      <c r="G7835" s="1"/>
      <c r="H7835" s="3">
        <f>IFERROR(__xludf.DUMMYFUNCTION("""COMPUTED_VALUE"""),0.0)</f>
        <v>0</v>
      </c>
      <c r="I7835" s="4"/>
      <c r="J7835" s="1" t="str">
        <f>IFERROR(__xludf.DUMMYFUNCTION("""COMPUTED_VALUE"""),"Arlene Maurillo")</f>
        <v>Arlene Maurillo</v>
      </c>
      <c r="K7835" s="1" t="str">
        <f>IFERROR(__xludf.DUMMYFUNCTION("""COMPUTED_VALUE"""),"PHL, Multilingual Support")</f>
        <v>PHL, Multilingual Support</v>
      </c>
      <c r="L7835" s="1" t="str">
        <f>IFERROR(__xludf.DUMMYFUNCTION("""COMPUTED_VALUE"""),"ML Spanish Support")</f>
        <v>ML Spanish Support</v>
      </c>
    </row>
    <row r="7836">
      <c r="A7836" s="1" t="str">
        <f>IFERROR(__xludf.DUMMYFUNCTION("""COMPUTED_VALUE"""),"2025 Dec")</f>
        <v>2025 Dec</v>
      </c>
      <c r="B7836" s="2">
        <f>IFERROR(__xludf.DUMMYFUNCTION("""COMPUTED_VALUE"""),46020.0)</f>
        <v>46020</v>
      </c>
      <c r="C7836" s="1" t="str">
        <f>IFERROR(__xludf.DUMMYFUNCTION("""COMPUTED_VALUE"""),"Core Product Support")</f>
        <v>Core Product Support</v>
      </c>
      <c r="D7836" s="1" t="str">
        <f>IFERROR(__xludf.DUMMYFUNCTION("""COMPUTED_VALUE"""),"9160bc84-9174-4736-bd46-926c52c66223")</f>
        <v>9160bc84-9174-4736-bd46-926c52c66223</v>
      </c>
      <c r="E7836" s="1">
        <f>IFERROR(__xludf.DUMMYFUNCTION("""COMPUTED_VALUE"""),3.61731516675E11)</f>
        <v>361731516675</v>
      </c>
      <c r="F7836" s="1">
        <f>IFERROR(__xludf.DUMMYFUNCTION("""COMPUTED_VALUE"""),0.5)</f>
        <v>0.5</v>
      </c>
      <c r="G7836" s="1"/>
      <c r="H7836" s="3">
        <f>IFERROR(__xludf.DUMMYFUNCTION("""COMPUTED_VALUE"""),0.5)</f>
        <v>0.5</v>
      </c>
      <c r="I7836" s="4">
        <f>IFERROR(__xludf.DUMMYFUNCTION("""COMPUTED_VALUE"""),0.0)</f>
        <v>0</v>
      </c>
      <c r="J7836" s="1" t="str">
        <f>IFERROR(__xludf.DUMMYFUNCTION("""COMPUTED_VALUE"""),"Marie Mordeno")</f>
        <v>Marie Mordeno</v>
      </c>
      <c r="K7836" s="1" t="str">
        <f>IFERROR(__xludf.DUMMYFUNCTION("""COMPUTED_VALUE"""),"Advanced Billing &amp; Subscriptions")</f>
        <v>Advanced Billing &amp; Subscriptions</v>
      </c>
      <c r="L7836" s="1" t="str">
        <f>IFERROR(__xludf.DUMMYFUNCTION("""COMPUTED_VALUE"""),"CPS Advanced Billing and Subscriptions (ABS)")</f>
        <v>CPS Advanced Billing and Subscriptions (ABS)</v>
      </c>
    </row>
    <row r="7837">
      <c r="A7837" s="1" t="str">
        <f>IFERROR(__xludf.DUMMYFUNCTION("""COMPUTED_VALUE"""),"2025 Dec")</f>
        <v>2025 Dec</v>
      </c>
      <c r="B7837" s="2">
        <f>IFERROR(__xludf.DUMMYFUNCTION("""COMPUTED_VALUE"""),46020.0)</f>
        <v>46020</v>
      </c>
      <c r="C7837" s="1" t="str">
        <f>IFERROR(__xludf.DUMMYFUNCTION("""COMPUTED_VALUE"""),"Core Product Support")</f>
        <v>Core Product Support</v>
      </c>
      <c r="D7837" s="1" t="str">
        <f>IFERROR(__xludf.DUMMYFUNCTION("""COMPUTED_VALUE"""),"4db6d8c1-797e-4f39-9494-3babf0366bc0")</f>
        <v>4db6d8c1-797e-4f39-9494-3babf0366bc0</v>
      </c>
      <c r="E7837" s="1">
        <f>IFERROR(__xludf.DUMMYFUNCTION("""COMPUTED_VALUE"""),3.61731943715E11)</f>
        <v>361731943715</v>
      </c>
      <c r="F7837" s="1">
        <f>IFERROR(__xludf.DUMMYFUNCTION("""COMPUTED_VALUE"""),0.5)</f>
        <v>0.5</v>
      </c>
      <c r="G7837" s="1">
        <f>IFERROR(__xludf.DUMMYFUNCTION("""COMPUTED_VALUE"""),2.5)</f>
        <v>2.5</v>
      </c>
      <c r="H7837" s="3">
        <f>IFERROR(__xludf.DUMMYFUNCTION("""COMPUTED_VALUE"""),3.0)</f>
        <v>3</v>
      </c>
      <c r="I7837" s="4">
        <f>IFERROR(__xludf.DUMMYFUNCTION("""COMPUTED_VALUE"""),0.8333333333333334)</f>
        <v>0.8333333333</v>
      </c>
      <c r="J7837" s="1" t="str">
        <f>IFERROR(__xludf.DUMMYFUNCTION("""COMPUTED_VALUE"""),"Sieg Ballelos")</f>
        <v>Sieg Ballelos</v>
      </c>
      <c r="K7837" s="1" t="str">
        <f>IFERROR(__xludf.DUMMYFUNCTION("""COMPUTED_VALUE"""),"Core Product Support Escalation Team")</f>
        <v>Core Product Support Escalation Team</v>
      </c>
      <c r="L7837" s="1" t="str">
        <f>IFERROR(__xludf.DUMMYFUNCTION("""COMPUTED_VALUE"""),"CPS Core Product Support Escalations (CPSET)")</f>
        <v>CPS Core Product Support Escalations (CPSET)</v>
      </c>
    </row>
    <row r="7838">
      <c r="A7838" s="1" t="str">
        <f>IFERROR(__xludf.DUMMYFUNCTION("""COMPUTED_VALUE"""),"2025 Dec")</f>
        <v>2025 Dec</v>
      </c>
      <c r="B7838" s="2">
        <f>IFERROR(__xludf.DUMMYFUNCTION("""COMPUTED_VALUE"""),46020.0)</f>
        <v>46020</v>
      </c>
      <c r="C7838" s="1" t="str">
        <f>IFERROR(__xludf.DUMMYFUNCTION("""COMPUTED_VALUE"""),"Core Product Support")</f>
        <v>Core Product Support</v>
      </c>
      <c r="D7838" s="1" t="str">
        <f>IFERROR(__xludf.DUMMYFUNCTION("""COMPUTED_VALUE"""),"961e0a53-62a6-4087-8811-6449381daa52")</f>
        <v>961e0a53-62a6-4087-8811-6449381daa52</v>
      </c>
      <c r="E7838" s="1">
        <f>IFERROR(__xludf.DUMMYFUNCTION("""COMPUTED_VALUE"""),3.61694638315E11)</f>
        <v>361694638315</v>
      </c>
      <c r="F7838" s="1">
        <f>IFERROR(__xludf.DUMMYFUNCTION("""COMPUTED_VALUE"""),0.5)</f>
        <v>0.5</v>
      </c>
      <c r="G7838" s="1">
        <f>IFERROR(__xludf.DUMMYFUNCTION("""COMPUTED_VALUE"""),2.5)</f>
        <v>2.5</v>
      </c>
      <c r="H7838" s="3">
        <f>IFERROR(__xludf.DUMMYFUNCTION("""COMPUTED_VALUE"""),3.0)</f>
        <v>3</v>
      </c>
      <c r="I7838" s="4">
        <f>IFERROR(__xludf.DUMMYFUNCTION("""COMPUTED_VALUE"""),0.8333333333333334)</f>
        <v>0.8333333333</v>
      </c>
      <c r="J7838" s="1" t="str">
        <f>IFERROR(__xludf.DUMMYFUNCTION("""COMPUTED_VALUE"""),"Ellaine Estayo")</f>
        <v>Ellaine Estayo</v>
      </c>
      <c r="K7838" s="1" t="str">
        <f>IFERROR(__xludf.DUMMYFUNCTION("""COMPUTED_VALUE"""),"Core Product Support Escalation Team")</f>
        <v>Core Product Support Escalation Team</v>
      </c>
      <c r="L7838" s="1" t="str">
        <f>IFERROR(__xludf.DUMMYFUNCTION("""COMPUTED_VALUE"""),"CPS Core Product Support Escalations (CPSET)")</f>
        <v>CPS Core Product Support Escalations (CPSET)</v>
      </c>
    </row>
    <row r="7839">
      <c r="A7839" s="1" t="str">
        <f>IFERROR(__xludf.DUMMYFUNCTION("""COMPUTED_VALUE"""),"2025 Dec")</f>
        <v>2025 Dec</v>
      </c>
      <c r="B7839" s="2">
        <f>IFERROR(__xludf.DUMMYFUNCTION("""COMPUTED_VALUE"""),46020.0)</f>
        <v>46020</v>
      </c>
      <c r="C7839" s="1" t="str">
        <f>IFERROR(__xludf.DUMMYFUNCTION("""COMPUTED_VALUE"""),"High Sensitivity Support")</f>
        <v>High Sensitivity Support</v>
      </c>
      <c r="D7839" s="1" t="str">
        <f>IFERROR(__xludf.DUMMYFUNCTION("""COMPUTED_VALUE"""),"50f4f34a-5f46-4ee9-a2ab-686901231801")</f>
        <v>50f4f34a-5f46-4ee9-a2ab-686901231801</v>
      </c>
      <c r="E7839" s="1">
        <f>IFERROR(__xludf.DUMMYFUNCTION("""COMPUTED_VALUE"""),1.0548602304527E13)</f>
        <v>10548602304527</v>
      </c>
      <c r="F7839" s="1">
        <f>IFERROR(__xludf.DUMMYFUNCTION("""COMPUTED_VALUE"""),3.0)</f>
        <v>3</v>
      </c>
      <c r="G7839" s="1"/>
      <c r="H7839" s="3">
        <f>IFERROR(__xludf.DUMMYFUNCTION("""COMPUTED_VALUE"""),3.0)</f>
        <v>3</v>
      </c>
      <c r="I7839" s="4">
        <f>IFERROR(__xludf.DUMMYFUNCTION("""COMPUTED_VALUE"""),0.0)</f>
        <v>0</v>
      </c>
      <c r="J7839" s="1" t="str">
        <f>IFERROR(__xludf.DUMMYFUNCTION("""COMPUTED_VALUE"""),"Rossheen Pura")</f>
        <v>Rossheen Pura</v>
      </c>
      <c r="K7839" s="1" t="str">
        <f>IFERROR(__xludf.DUMMYFUNCTION("""COMPUTED_VALUE"""),"High Sensitivity Support PH")</f>
        <v>High Sensitivity Support PH</v>
      </c>
      <c r="L7839" s="1" t="str">
        <f>IFERROR(__xludf.DUMMYFUNCTION("""COMPUTED_VALUE"""),"HSS High Sensitivity Support PH - CHT")</f>
        <v>HSS High Sensitivity Support PH - CHT</v>
      </c>
    </row>
    <row r="7840">
      <c r="A7840" s="1" t="str">
        <f>IFERROR(__xludf.DUMMYFUNCTION("""COMPUTED_VALUE"""),"2025 Dec")</f>
        <v>2025 Dec</v>
      </c>
      <c r="B7840" s="2">
        <f>IFERROR(__xludf.DUMMYFUNCTION("""COMPUTED_VALUE"""),46020.0)</f>
        <v>46020</v>
      </c>
      <c r="C7840" s="1" t="str">
        <f>IFERROR(__xludf.DUMMYFUNCTION("""COMPUTED_VALUE"""),"Print Support")</f>
        <v>Print Support</v>
      </c>
      <c r="D7840" s="1" t="str">
        <f>IFERROR(__xludf.DUMMYFUNCTION("""COMPUTED_VALUE"""),"4b906fe3-66c8-454a-a7d0-1f50f4b6cdf4")</f>
        <v>4b906fe3-66c8-454a-a7d0-1f50f4b6cdf4</v>
      </c>
      <c r="E7840" s="1">
        <f>IFERROR(__xludf.DUMMYFUNCTION("""COMPUTED_VALUE"""),3.61825398056E11)</f>
        <v>361825398056</v>
      </c>
      <c r="F7840" s="1"/>
      <c r="G7840" s="1"/>
      <c r="H7840" s="3">
        <f>IFERROR(__xludf.DUMMYFUNCTION("""COMPUTED_VALUE"""),0.0)</f>
        <v>0</v>
      </c>
      <c r="I7840" s="4"/>
      <c r="J7840" s="1" t="str">
        <f>IFERROR(__xludf.DUMMYFUNCTION("""COMPUTED_VALUE"""),"Rei De Jesus")</f>
        <v>Rei De Jesus</v>
      </c>
      <c r="K7840" s="1" t="str">
        <f>IFERROR(__xludf.DUMMYFUNCTION("""COMPUTED_VALUE"""),"Print Design Support")</f>
        <v>Print Design Support</v>
      </c>
      <c r="L7840" s="1" t="str">
        <f>IFERROR(__xludf.DUMMYFUNCTION("""COMPUTED_VALUE"""),"Print Print Design")</f>
        <v>Print Print Design</v>
      </c>
    </row>
    <row r="7841">
      <c r="A7841" s="1" t="str">
        <f>IFERROR(__xludf.DUMMYFUNCTION("""COMPUTED_VALUE"""),"2025 Dec")</f>
        <v>2025 Dec</v>
      </c>
      <c r="B7841" s="2">
        <f>IFERROR(__xludf.DUMMYFUNCTION("""COMPUTED_VALUE"""),46020.0)</f>
        <v>46020</v>
      </c>
      <c r="C7841" s="1" t="str">
        <f>IFERROR(__xludf.DUMMYFUNCTION("""COMPUTED_VALUE"""),"Core Product Support")</f>
        <v>Core Product Support</v>
      </c>
      <c r="D7841" s="1" t="str">
        <f>IFERROR(__xludf.DUMMYFUNCTION("""COMPUTED_VALUE"""),"7f8ea57d-3bc6-435c-ac89-36216f416d2b")</f>
        <v>7f8ea57d-3bc6-435c-ac89-36216f416d2b</v>
      </c>
      <c r="E7841" s="1">
        <f>IFERROR(__xludf.DUMMYFUNCTION("""COMPUTED_VALUE"""),5.202392782223E12)</f>
        <v>5202392782223</v>
      </c>
      <c r="F7841" s="1">
        <f>IFERROR(__xludf.DUMMYFUNCTION("""COMPUTED_VALUE"""),0.5)</f>
        <v>0.5</v>
      </c>
      <c r="G7841" s="1"/>
      <c r="H7841" s="3">
        <f>IFERROR(__xludf.DUMMYFUNCTION("""COMPUTED_VALUE"""),0.5)</f>
        <v>0.5</v>
      </c>
      <c r="I7841" s="4">
        <f>IFERROR(__xludf.DUMMYFUNCTION("""COMPUTED_VALUE"""),0.0)</f>
        <v>0</v>
      </c>
      <c r="J7841" s="1" t="str">
        <f>IFERROR(__xludf.DUMMYFUNCTION("""COMPUTED_VALUE"""),"Renette Bok")</f>
        <v>Renette Bok</v>
      </c>
      <c r="K7841" s="1" t="str">
        <f>IFERROR(__xludf.DUMMYFUNCTION("""COMPUTED_VALUE"""),"Advanced Billing &amp; Subscriptions")</f>
        <v>Advanced Billing &amp; Subscriptions</v>
      </c>
      <c r="L7841" s="1" t="str">
        <f>IFERROR(__xludf.DUMMYFUNCTION("""COMPUTED_VALUE"""),"CPS Advanced Billing and Subscriptions (ABS)")</f>
        <v>CPS Advanced Billing and Subscriptions (ABS)</v>
      </c>
    </row>
    <row r="7842">
      <c r="A7842" s="1" t="str">
        <f>IFERROR(__xludf.DUMMYFUNCTION("""COMPUTED_VALUE"""),"2025 Dec")</f>
        <v>2025 Dec</v>
      </c>
      <c r="B7842" s="2">
        <f>IFERROR(__xludf.DUMMYFUNCTION("""COMPUTED_VALUE"""),46020.0)</f>
        <v>46020</v>
      </c>
      <c r="C7842" s="1" t="str">
        <f>IFERROR(__xludf.DUMMYFUNCTION("""COMPUTED_VALUE"""),"Core Product Support")</f>
        <v>Core Product Support</v>
      </c>
      <c r="D7842" s="1" t="str">
        <f>IFERROR(__xludf.DUMMYFUNCTION("""COMPUTED_VALUE"""),"5aed746e-cb5c-469a-8821-9e6506c7b9e6")</f>
        <v>5aed746e-cb5c-469a-8821-9e6506c7b9e6</v>
      </c>
      <c r="E7842" s="1">
        <f>IFERROR(__xludf.DUMMYFUNCTION("""COMPUTED_VALUE"""),3.61731350535E11)</f>
        <v>361731350535</v>
      </c>
      <c r="F7842" s="1">
        <f>IFERROR(__xludf.DUMMYFUNCTION("""COMPUTED_VALUE"""),0.5)</f>
        <v>0.5</v>
      </c>
      <c r="G7842" s="1"/>
      <c r="H7842" s="3">
        <f>IFERROR(__xludf.DUMMYFUNCTION("""COMPUTED_VALUE"""),0.5)</f>
        <v>0.5</v>
      </c>
      <c r="I7842" s="4">
        <f>IFERROR(__xludf.DUMMYFUNCTION("""COMPUTED_VALUE"""),0.0)</f>
        <v>0</v>
      </c>
      <c r="J7842" s="1" t="str">
        <f>IFERROR(__xludf.DUMMYFUNCTION("""COMPUTED_VALUE"""),"Vinz Lazaro")</f>
        <v>Vinz Lazaro</v>
      </c>
      <c r="K7842" s="1" t="str">
        <f>IFERROR(__xludf.DUMMYFUNCTION("""COMPUTED_VALUE"""),"Advanced Product Support")</f>
        <v>Advanced Product Support</v>
      </c>
      <c r="L7842" s="1" t="str">
        <f>IFERROR(__xludf.DUMMYFUNCTION("""COMPUTED_VALUE"""),"CPS Advanced Product Support (APS)")</f>
        <v>CPS Advanced Product Support (APS)</v>
      </c>
    </row>
    <row r="7843">
      <c r="A7843" s="1" t="str">
        <f>IFERROR(__xludf.DUMMYFUNCTION("""COMPUTED_VALUE"""),"2025 Dec")</f>
        <v>2025 Dec</v>
      </c>
      <c r="B7843" s="2">
        <f>IFERROR(__xludf.DUMMYFUNCTION("""COMPUTED_VALUE"""),46020.0)</f>
        <v>46020</v>
      </c>
      <c r="C7843" s="1" t="str">
        <f>IFERROR(__xludf.DUMMYFUNCTION("""COMPUTED_VALUE"""),"Core Product Support")</f>
        <v>Core Product Support</v>
      </c>
      <c r="D7843" s="1" t="str">
        <f>IFERROR(__xludf.DUMMYFUNCTION("""COMPUTED_VALUE"""),"a5566f0b-0c7b-4dd5-a5bf-cc571ed45f36")</f>
        <v>a5566f0b-0c7b-4dd5-a5bf-cc571ed45f36</v>
      </c>
      <c r="E7843" s="1">
        <f>IFERROR(__xludf.DUMMYFUNCTION("""COMPUTED_VALUE"""),1.0333033796879E13)</f>
        <v>10333033796879</v>
      </c>
      <c r="F7843" s="1"/>
      <c r="G7843" s="1"/>
      <c r="H7843" s="3">
        <f>IFERROR(__xludf.DUMMYFUNCTION("""COMPUTED_VALUE"""),0.0)</f>
        <v>0</v>
      </c>
      <c r="I7843" s="4"/>
      <c r="J7843" s="1" t="str">
        <f>IFERROR(__xludf.DUMMYFUNCTION("""COMPUTED_VALUE"""),"Jelyn Elmido")</f>
        <v>Jelyn Elmido</v>
      </c>
      <c r="K7843" s="1" t="str">
        <f>IFERROR(__xludf.DUMMYFUNCTION("""COMPUTED_VALUE"""),"Advanced Product Support")</f>
        <v>Advanced Product Support</v>
      </c>
      <c r="L7843" s="1" t="str">
        <f>IFERROR(__xludf.DUMMYFUNCTION("""COMPUTED_VALUE"""),"CPS Advanced Product Support (APS)")</f>
        <v>CPS Advanced Product Support (APS)</v>
      </c>
    </row>
    <row r="7844">
      <c r="A7844" s="1" t="str">
        <f>IFERROR(__xludf.DUMMYFUNCTION("""COMPUTED_VALUE"""),"2025 Dec")</f>
        <v>2025 Dec</v>
      </c>
      <c r="B7844" s="2">
        <f>IFERROR(__xludf.DUMMYFUNCTION("""COMPUTED_VALUE"""),46020.0)</f>
        <v>46020</v>
      </c>
      <c r="C7844" s="1" t="str">
        <f>IFERROR(__xludf.DUMMYFUNCTION("""COMPUTED_VALUE"""),"Core Product Support")</f>
        <v>Core Product Support</v>
      </c>
      <c r="D7844" s="1" t="str">
        <f>IFERROR(__xludf.DUMMYFUNCTION("""COMPUTED_VALUE"""),"98f36067-d801-431b-ba9a-fcb9a6ae433a")</f>
        <v>98f36067-d801-431b-ba9a-fcb9a6ae433a</v>
      </c>
      <c r="E7844" s="1">
        <f>IFERROR(__xludf.DUMMYFUNCTION("""COMPUTED_VALUE"""),3.61731350795E11)</f>
        <v>361731350795</v>
      </c>
      <c r="F7844" s="1"/>
      <c r="G7844" s="1"/>
      <c r="H7844" s="3">
        <f>IFERROR(__xludf.DUMMYFUNCTION("""COMPUTED_VALUE"""),0.0)</f>
        <v>0</v>
      </c>
      <c r="I7844" s="4"/>
      <c r="J7844" s="1" t="str">
        <f>IFERROR(__xludf.DUMMYFUNCTION("""COMPUTED_VALUE"""),"Jem Mondoñedo")</f>
        <v>Jem Mondoñedo</v>
      </c>
      <c r="K7844" s="1" t="str">
        <f>IFERROR(__xludf.DUMMYFUNCTION("""COMPUTED_VALUE"""),"Advanced Chat Support")</f>
        <v>Advanced Chat Support</v>
      </c>
      <c r="L7844" s="1" t="str">
        <f>IFERROR(__xludf.DUMMYFUNCTION("""COMPUTED_VALUE"""),"CPS Advanced Chat Support (ACS)")</f>
        <v>CPS Advanced Chat Support (ACS)</v>
      </c>
    </row>
    <row r="7845">
      <c r="A7845" s="1" t="str">
        <f>IFERROR(__xludf.DUMMYFUNCTION("""COMPUTED_VALUE"""),"2025 Dec")</f>
        <v>2025 Dec</v>
      </c>
      <c r="B7845" s="2">
        <f>IFERROR(__xludf.DUMMYFUNCTION("""COMPUTED_VALUE"""),46020.0)</f>
        <v>46020</v>
      </c>
      <c r="C7845" s="1" t="str">
        <f>IFERROR(__xludf.DUMMYFUNCTION("""COMPUTED_VALUE"""),"Core Product Support")</f>
        <v>Core Product Support</v>
      </c>
      <c r="D7845" s="1" t="str">
        <f>IFERROR(__xludf.DUMMYFUNCTION("""COMPUTED_VALUE"""),"7d586eb5-1b74-4e56-b56f-6c2807700cb7")</f>
        <v>7d586eb5-1b74-4e56-b56f-6c2807700cb7</v>
      </c>
      <c r="E7845" s="1">
        <f>IFERROR(__xludf.DUMMYFUNCTION("""COMPUTED_VALUE"""),5.202378938383E12)</f>
        <v>5202378938383</v>
      </c>
      <c r="F7845" s="1">
        <f>IFERROR(__xludf.DUMMYFUNCTION("""COMPUTED_VALUE"""),0.5)</f>
        <v>0.5</v>
      </c>
      <c r="G7845" s="1">
        <f>IFERROR(__xludf.DUMMYFUNCTION("""COMPUTED_VALUE"""),2.5)</f>
        <v>2.5</v>
      </c>
      <c r="H7845" s="3">
        <f>IFERROR(__xludf.DUMMYFUNCTION("""COMPUTED_VALUE"""),3.0)</f>
        <v>3</v>
      </c>
      <c r="I7845" s="4">
        <f>IFERROR(__xludf.DUMMYFUNCTION("""COMPUTED_VALUE"""),0.8333333333333334)</f>
        <v>0.8333333333</v>
      </c>
      <c r="J7845" s="1" t="str">
        <f>IFERROR(__xludf.DUMMYFUNCTION("""COMPUTED_VALUE"""),"Sieg Ballelos")</f>
        <v>Sieg Ballelos</v>
      </c>
      <c r="K7845" s="1" t="str">
        <f>IFERROR(__xludf.DUMMYFUNCTION("""COMPUTED_VALUE"""),"Core Product Support Escalation Team")</f>
        <v>Core Product Support Escalation Team</v>
      </c>
      <c r="L7845" s="1" t="str">
        <f>IFERROR(__xludf.DUMMYFUNCTION("""COMPUTED_VALUE"""),"CPS Core Product Support Escalations (CPSET)")</f>
        <v>CPS Core Product Support Escalations (CPSET)</v>
      </c>
    </row>
    <row r="7846">
      <c r="A7846" s="1" t="str">
        <f>IFERROR(__xludf.DUMMYFUNCTION("""COMPUTED_VALUE"""),"2025 Dec")</f>
        <v>2025 Dec</v>
      </c>
      <c r="B7846" s="2">
        <f>IFERROR(__xludf.DUMMYFUNCTION("""COMPUTED_VALUE"""),46020.0)</f>
        <v>46020</v>
      </c>
      <c r="C7846" s="1" t="str">
        <f>IFERROR(__xludf.DUMMYFUNCTION("""COMPUTED_VALUE"""),"Core Product Support")</f>
        <v>Core Product Support</v>
      </c>
      <c r="D7846" s="1" t="str">
        <f>IFERROR(__xludf.DUMMYFUNCTION("""COMPUTED_VALUE"""),"c7d7e66b-4dfe-47b9-a47f-66af76d8fb19")</f>
        <v>c7d7e66b-4dfe-47b9-a47f-66af76d8fb19</v>
      </c>
      <c r="E7846" s="1">
        <f>IFERROR(__xludf.DUMMYFUNCTION("""COMPUTED_VALUE"""),1.1401981374607E13)</f>
        <v>11401981374607</v>
      </c>
      <c r="F7846" s="1">
        <f>IFERROR(__xludf.DUMMYFUNCTION("""COMPUTED_VALUE"""),0.5)</f>
        <v>0.5</v>
      </c>
      <c r="G7846" s="1"/>
      <c r="H7846" s="3">
        <f>IFERROR(__xludf.DUMMYFUNCTION("""COMPUTED_VALUE"""),0.5)</f>
        <v>0.5</v>
      </c>
      <c r="I7846" s="4">
        <f>IFERROR(__xludf.DUMMYFUNCTION("""COMPUTED_VALUE"""),0.0)</f>
        <v>0</v>
      </c>
      <c r="J7846" s="1" t="str">
        <f>IFERROR(__xludf.DUMMYFUNCTION("""COMPUTED_VALUE"""),"Jelyn Elmido")</f>
        <v>Jelyn Elmido</v>
      </c>
      <c r="K7846" s="1" t="str">
        <f>IFERROR(__xludf.DUMMYFUNCTION("""COMPUTED_VALUE"""),"Advanced Product Support")</f>
        <v>Advanced Product Support</v>
      </c>
      <c r="L7846" s="1" t="str">
        <f>IFERROR(__xludf.DUMMYFUNCTION("""COMPUTED_VALUE"""),"CPS Advanced Product Support (APS)")</f>
        <v>CPS Advanced Product Support (APS)</v>
      </c>
    </row>
    <row r="7847">
      <c r="A7847" s="1" t="str">
        <f>IFERROR(__xludf.DUMMYFUNCTION("""COMPUTED_VALUE"""),"2025 Dec")</f>
        <v>2025 Dec</v>
      </c>
      <c r="B7847" s="2">
        <f>IFERROR(__xludf.DUMMYFUNCTION("""COMPUTED_VALUE"""),46020.0)</f>
        <v>46020</v>
      </c>
      <c r="C7847" s="1" t="str">
        <f>IFERROR(__xludf.DUMMYFUNCTION("""COMPUTED_VALUE"""),"Print Support")</f>
        <v>Print Support</v>
      </c>
      <c r="D7847" s="1" t="str">
        <f>IFERROR(__xludf.DUMMYFUNCTION("""COMPUTED_VALUE"""),"10b96ef4-077e-4868-9c27-17d96d8b4f68")</f>
        <v>10b96ef4-077e-4868-9c27-17d96d8b4f68</v>
      </c>
      <c r="E7847" s="1">
        <f>IFERROR(__xludf.DUMMYFUNCTION("""COMPUTED_VALUE"""),3.61744117796E11)</f>
        <v>361744117796</v>
      </c>
      <c r="F7847" s="1"/>
      <c r="G7847" s="1"/>
      <c r="H7847" s="3">
        <f>IFERROR(__xludf.DUMMYFUNCTION("""COMPUTED_VALUE"""),0.0)</f>
        <v>0</v>
      </c>
      <c r="I7847" s="4"/>
      <c r="J7847" s="1" t="str">
        <f>IFERROR(__xludf.DUMMYFUNCTION("""COMPUTED_VALUE"""),"Jen Momo")</f>
        <v>Jen Momo</v>
      </c>
      <c r="K7847" s="1" t="str">
        <f>IFERROR(__xludf.DUMMYFUNCTION("""COMPUTED_VALUE"""),"Print Support PH")</f>
        <v>Print Support PH</v>
      </c>
      <c r="L7847" s="1" t="str">
        <f>IFERROR(__xludf.DUMMYFUNCTION("""COMPUTED_VALUE"""),"Print Print - CHT")</f>
        <v>Print Print - CHT</v>
      </c>
    </row>
    <row r="7848">
      <c r="A7848" s="1" t="str">
        <f>IFERROR(__xludf.DUMMYFUNCTION("""COMPUTED_VALUE"""),"2025 Dec")</f>
        <v>2025 Dec</v>
      </c>
      <c r="B7848" s="2">
        <f>IFERROR(__xludf.DUMMYFUNCTION("""COMPUTED_VALUE"""),46020.0)</f>
        <v>46020</v>
      </c>
      <c r="C7848" s="1" t="str">
        <f>IFERROR(__xludf.DUMMYFUNCTION("""COMPUTED_VALUE"""),"Print Support")</f>
        <v>Print Support</v>
      </c>
      <c r="D7848" s="1" t="str">
        <f>IFERROR(__xludf.DUMMYFUNCTION("""COMPUTED_VALUE"""),"12eca747-9244-47cb-894e-d3c873c08566")</f>
        <v>12eca747-9244-47cb-894e-d3c873c08566</v>
      </c>
      <c r="E7848" s="1">
        <f>IFERROR(__xludf.DUMMYFUNCTION("""COMPUTED_VALUE"""),1.0548625681423E13)</f>
        <v>10548625681423</v>
      </c>
      <c r="F7848" s="1"/>
      <c r="G7848" s="1"/>
      <c r="H7848" s="3">
        <f>IFERROR(__xludf.DUMMYFUNCTION("""COMPUTED_VALUE"""),0.0)</f>
        <v>0</v>
      </c>
      <c r="I7848" s="4"/>
      <c r="J7848" s="1" t="str">
        <f>IFERROR(__xludf.DUMMYFUNCTION("""COMPUTED_VALUE"""),"Ann Dumlao")</f>
        <v>Ann Dumlao</v>
      </c>
      <c r="K7848" s="1" t="str">
        <f>IFERROR(__xludf.DUMMYFUNCTION("""COMPUTED_VALUE"""),"Print Support PH")</f>
        <v>Print Support PH</v>
      </c>
      <c r="L7848" s="1" t="str">
        <f>IFERROR(__xludf.DUMMYFUNCTION("""COMPUTED_VALUE"""),"Print Print - CHT")</f>
        <v>Print Print - CHT</v>
      </c>
    </row>
    <row r="7849">
      <c r="A7849" s="1" t="str">
        <f>IFERROR(__xludf.DUMMYFUNCTION("""COMPUTED_VALUE"""),"2025 Dec")</f>
        <v>2025 Dec</v>
      </c>
      <c r="B7849" s="2">
        <f>IFERROR(__xludf.DUMMYFUNCTION("""COMPUTED_VALUE"""),46020.0)</f>
        <v>46020</v>
      </c>
      <c r="C7849" s="1" t="str">
        <f>IFERROR(__xludf.DUMMYFUNCTION("""COMPUTED_VALUE"""),"Multilingual Support")</f>
        <v>Multilingual Support</v>
      </c>
      <c r="D7849" s="1" t="str">
        <f>IFERROR(__xludf.DUMMYFUNCTION("""COMPUTED_VALUE"""),"757d9757-27bf-49d1-a07c-15a426289b02")</f>
        <v>757d9757-27bf-49d1-a07c-15a426289b02</v>
      </c>
      <c r="E7849" s="1">
        <f>IFERROR(__xludf.DUMMYFUNCTION("""COMPUTED_VALUE"""),1.1819962468111E13)</f>
        <v>11819962468111</v>
      </c>
      <c r="F7849" s="1"/>
      <c r="G7849" s="1"/>
      <c r="H7849" s="3">
        <f>IFERROR(__xludf.DUMMYFUNCTION("""COMPUTED_VALUE"""),0.0)</f>
        <v>0</v>
      </c>
      <c r="I7849" s="4"/>
      <c r="J7849" s="1" t="str">
        <f>IFERROR(__xludf.DUMMYFUNCTION("""COMPUTED_VALUE"""),"Arlene Maurillo")</f>
        <v>Arlene Maurillo</v>
      </c>
      <c r="K7849" s="1" t="str">
        <f>IFERROR(__xludf.DUMMYFUNCTION("""COMPUTED_VALUE"""),"PHL, Multilingual Support")</f>
        <v>PHL, Multilingual Support</v>
      </c>
      <c r="L7849" s="1" t="str">
        <f>IFERROR(__xludf.DUMMYFUNCTION("""COMPUTED_VALUE"""),"ML Spanish Support")</f>
        <v>ML Spanish Support</v>
      </c>
    </row>
    <row r="7850">
      <c r="A7850" s="1" t="str">
        <f>IFERROR(__xludf.DUMMYFUNCTION("""COMPUTED_VALUE"""),"2025 Dec")</f>
        <v>2025 Dec</v>
      </c>
      <c r="B7850" s="2">
        <f>IFERROR(__xludf.DUMMYFUNCTION("""COMPUTED_VALUE"""),46020.0)</f>
        <v>46020</v>
      </c>
      <c r="C7850" s="1" t="str">
        <f>IFERROR(__xludf.DUMMYFUNCTION("""COMPUTED_VALUE"""),"Core Product Support")</f>
        <v>Core Product Support</v>
      </c>
      <c r="D7850" s="1" t="str">
        <f>IFERROR(__xludf.DUMMYFUNCTION("""COMPUTED_VALUE"""),"a3fade96-9131-4bb4-90c2-f54d385ec4bf")</f>
        <v>a3fade96-9131-4bb4-90c2-f54d385ec4bf</v>
      </c>
      <c r="E7850" s="1">
        <f>IFERROR(__xludf.DUMMYFUNCTION("""COMPUTED_VALUE"""),3.61724829156E11)</f>
        <v>361724829156</v>
      </c>
      <c r="F7850" s="1">
        <f>IFERROR(__xludf.DUMMYFUNCTION("""COMPUTED_VALUE"""),0.5)</f>
        <v>0.5</v>
      </c>
      <c r="G7850" s="1">
        <f>IFERROR(__xludf.DUMMYFUNCTION("""COMPUTED_VALUE"""),2.5)</f>
        <v>2.5</v>
      </c>
      <c r="H7850" s="3">
        <f>IFERROR(__xludf.DUMMYFUNCTION("""COMPUTED_VALUE"""),3.0)</f>
        <v>3</v>
      </c>
      <c r="I7850" s="4">
        <f>IFERROR(__xludf.DUMMYFUNCTION("""COMPUTED_VALUE"""),0.8333333333333334)</f>
        <v>0.8333333333</v>
      </c>
      <c r="J7850" s="1" t="str">
        <f>IFERROR(__xludf.DUMMYFUNCTION("""COMPUTED_VALUE"""),"Sieg Ballelos")</f>
        <v>Sieg Ballelos</v>
      </c>
      <c r="K7850" s="1" t="str">
        <f>IFERROR(__xludf.DUMMYFUNCTION("""COMPUTED_VALUE"""),"Core Product Support Escalation Team")</f>
        <v>Core Product Support Escalation Team</v>
      </c>
      <c r="L7850" s="1" t="str">
        <f>IFERROR(__xludf.DUMMYFUNCTION("""COMPUTED_VALUE"""),"CPS Core Product Support Escalations (CPSET)")</f>
        <v>CPS Core Product Support Escalations (CPSET)</v>
      </c>
    </row>
    <row r="7851">
      <c r="A7851" s="1" t="str">
        <f>IFERROR(__xludf.DUMMYFUNCTION("""COMPUTED_VALUE"""),"2025 Dec")</f>
        <v>2025 Dec</v>
      </c>
      <c r="B7851" s="2">
        <f>IFERROR(__xludf.DUMMYFUNCTION("""COMPUTED_VALUE"""),46020.0)</f>
        <v>46020</v>
      </c>
      <c r="C7851" s="1" t="str">
        <f>IFERROR(__xludf.DUMMYFUNCTION("""COMPUTED_VALUE"""),"Admin Support")</f>
        <v>Admin Support</v>
      </c>
      <c r="D7851" s="1" t="str">
        <f>IFERROR(__xludf.DUMMYFUNCTION("""COMPUTED_VALUE"""),"09d87fc9-bd97-4b66-b6e5-fc2d50b135a4")</f>
        <v>09d87fc9-bd97-4b66-b6e5-fc2d50b135a4</v>
      </c>
      <c r="E7851" s="1">
        <f>IFERROR(__xludf.DUMMYFUNCTION("""COMPUTED_VALUE"""),3.61725260596E11)</f>
        <v>361725260596</v>
      </c>
      <c r="F7851" s="1"/>
      <c r="G7851" s="1">
        <f>IFERROR(__xludf.DUMMYFUNCTION("""COMPUTED_VALUE"""),0.25)</f>
        <v>0.25</v>
      </c>
      <c r="H7851" s="3">
        <f>IFERROR(__xludf.DUMMYFUNCTION("""COMPUTED_VALUE"""),0.25)</f>
        <v>0.25</v>
      </c>
      <c r="I7851" s="4">
        <f>IFERROR(__xludf.DUMMYFUNCTION("""COMPUTED_VALUE"""),1.0)</f>
        <v>1</v>
      </c>
      <c r="J7851" s="1" t="str">
        <f>IFERROR(__xludf.DUMMYFUNCTION("""COMPUTED_VALUE"""),"AL Suarez")</f>
        <v>AL Suarez</v>
      </c>
      <c r="K7851" s="1" t="str">
        <f>IFERROR(__xludf.DUMMYFUNCTION("""COMPUTED_VALUE"""),"Admin Support PH")</f>
        <v>Admin Support PH</v>
      </c>
      <c r="L7851" s="1" t="str">
        <f>IFERROR(__xludf.DUMMYFUNCTION("""COMPUTED_VALUE"""),"Admin PH")</f>
        <v>Admin PH</v>
      </c>
    </row>
    <row r="7852">
      <c r="A7852" s="1" t="str">
        <f>IFERROR(__xludf.DUMMYFUNCTION("""COMPUTED_VALUE"""),"2025 Dec")</f>
        <v>2025 Dec</v>
      </c>
      <c r="B7852" s="2">
        <f>IFERROR(__xludf.DUMMYFUNCTION("""COMPUTED_VALUE"""),46020.0)</f>
        <v>46020</v>
      </c>
      <c r="C7852" s="1" t="str">
        <f>IFERROR(__xludf.DUMMYFUNCTION("""COMPUTED_VALUE"""),"Core Product Support")</f>
        <v>Core Product Support</v>
      </c>
      <c r="D7852" s="1" t="str">
        <f>IFERROR(__xludf.DUMMYFUNCTION("""COMPUTED_VALUE"""),"f955e205-68df-47fa-8f47-3ee8758dc76e")</f>
        <v>f955e205-68df-47fa-8f47-3ee8758dc76e</v>
      </c>
      <c r="E7852" s="1">
        <f>IFERROR(__xludf.DUMMYFUNCTION("""COMPUTED_VALUE"""),6.839679630095E12)</f>
        <v>6839679630095</v>
      </c>
      <c r="F7852" s="1">
        <f>IFERROR(__xludf.DUMMYFUNCTION("""COMPUTED_VALUE"""),0.5)</f>
        <v>0.5</v>
      </c>
      <c r="G7852" s="1"/>
      <c r="H7852" s="3">
        <f>IFERROR(__xludf.DUMMYFUNCTION("""COMPUTED_VALUE"""),0.5)</f>
        <v>0.5</v>
      </c>
      <c r="I7852" s="4">
        <f>IFERROR(__xludf.DUMMYFUNCTION("""COMPUTED_VALUE"""),0.0)</f>
        <v>0</v>
      </c>
      <c r="J7852" s="1" t="str">
        <f>IFERROR(__xludf.DUMMYFUNCTION("""COMPUTED_VALUE"""),"Ayza Marie Pascual")</f>
        <v>Ayza Marie Pascual</v>
      </c>
      <c r="K7852" s="1" t="str">
        <f>IFERROR(__xludf.DUMMYFUNCTION("""COMPUTED_VALUE"""),"Advanced Billing &amp; Subscriptions")</f>
        <v>Advanced Billing &amp; Subscriptions</v>
      </c>
      <c r="L7852" s="1" t="str">
        <f>IFERROR(__xludf.DUMMYFUNCTION("""COMPUTED_VALUE"""),"CPS Advanced Billing and Subscriptions (ABS)")</f>
        <v>CPS Advanced Billing and Subscriptions (ABS)</v>
      </c>
    </row>
    <row r="7853">
      <c r="A7853" s="1" t="str">
        <f>IFERROR(__xludf.DUMMYFUNCTION("""COMPUTED_VALUE"""),"2025 Dec")</f>
        <v>2025 Dec</v>
      </c>
      <c r="B7853" s="2">
        <f>IFERROR(__xludf.DUMMYFUNCTION("""COMPUTED_VALUE"""),46020.0)</f>
        <v>46020</v>
      </c>
      <c r="C7853" s="1" t="str">
        <f>IFERROR(__xludf.DUMMYFUNCTION("""COMPUTED_VALUE"""),"Core Product Support")</f>
        <v>Core Product Support</v>
      </c>
      <c r="D7853" s="1" t="str">
        <f>IFERROR(__xludf.DUMMYFUNCTION("""COMPUTED_VALUE"""),"00be8036-de23-4dcc-a683-b039df965fa3")</f>
        <v>00be8036-de23-4dcc-a683-b039df965fa3</v>
      </c>
      <c r="E7853" s="1">
        <f>IFERROR(__xludf.DUMMYFUNCTION("""COMPUTED_VALUE"""),3.61861298295E11)</f>
        <v>361861298295</v>
      </c>
      <c r="F7853" s="1">
        <f>IFERROR(__xludf.DUMMYFUNCTION("""COMPUTED_VALUE"""),0.5)</f>
        <v>0.5</v>
      </c>
      <c r="G7853" s="1">
        <f>IFERROR(__xludf.DUMMYFUNCTION("""COMPUTED_VALUE"""),2.5)</f>
        <v>2.5</v>
      </c>
      <c r="H7853" s="3">
        <f>IFERROR(__xludf.DUMMYFUNCTION("""COMPUTED_VALUE"""),3.0)</f>
        <v>3</v>
      </c>
      <c r="I7853" s="4">
        <f>IFERROR(__xludf.DUMMYFUNCTION("""COMPUTED_VALUE"""),0.8333333333333334)</f>
        <v>0.8333333333</v>
      </c>
      <c r="J7853" s="1" t="str">
        <f>IFERROR(__xludf.DUMMYFUNCTION("""COMPUTED_VALUE"""),"Ellaine Estayo")</f>
        <v>Ellaine Estayo</v>
      </c>
      <c r="K7853" s="1" t="str">
        <f>IFERROR(__xludf.DUMMYFUNCTION("""COMPUTED_VALUE"""),"Core Product Support Escalation Team")</f>
        <v>Core Product Support Escalation Team</v>
      </c>
      <c r="L7853" s="1" t="str">
        <f>IFERROR(__xludf.DUMMYFUNCTION("""COMPUTED_VALUE"""),"CPS Core Product Support Escalations (CPSET)")</f>
        <v>CPS Core Product Support Escalations (CPSET)</v>
      </c>
    </row>
    <row r="7854">
      <c r="A7854" s="1" t="str">
        <f>IFERROR(__xludf.DUMMYFUNCTION("""COMPUTED_VALUE"""),"2025 Dec")</f>
        <v>2025 Dec</v>
      </c>
      <c r="B7854" s="2">
        <f>IFERROR(__xludf.DUMMYFUNCTION("""COMPUTED_VALUE"""),46020.0)</f>
        <v>46020</v>
      </c>
      <c r="C7854" s="1" t="str">
        <f>IFERROR(__xludf.DUMMYFUNCTION("""COMPUTED_VALUE"""),"Core Product Support")</f>
        <v>Core Product Support</v>
      </c>
      <c r="D7854" s="1" t="str">
        <f>IFERROR(__xludf.DUMMYFUNCTION("""COMPUTED_VALUE"""),"5f0096f6-f7a7-4fe8-ac45-0435aaacdfb4")</f>
        <v>5f0096f6-f7a7-4fe8-ac45-0435aaacdfb4</v>
      </c>
      <c r="E7854" s="1">
        <f>IFERROR(__xludf.DUMMYFUNCTION("""COMPUTED_VALUE"""),1.1035371839887E13)</f>
        <v>11035371839887</v>
      </c>
      <c r="F7854" s="1">
        <f>IFERROR(__xludf.DUMMYFUNCTION("""COMPUTED_VALUE"""),0.5)</f>
        <v>0.5</v>
      </c>
      <c r="G7854" s="1"/>
      <c r="H7854" s="3">
        <f>IFERROR(__xludf.DUMMYFUNCTION("""COMPUTED_VALUE"""),0.5)</f>
        <v>0.5</v>
      </c>
      <c r="I7854" s="4">
        <f>IFERROR(__xludf.DUMMYFUNCTION("""COMPUTED_VALUE"""),0.0)</f>
        <v>0</v>
      </c>
      <c r="J7854" s="1" t="str">
        <f>IFERROR(__xludf.DUMMYFUNCTION("""COMPUTED_VALUE"""),"Ayza Marie Pascual")</f>
        <v>Ayza Marie Pascual</v>
      </c>
      <c r="K7854" s="1" t="str">
        <f>IFERROR(__xludf.DUMMYFUNCTION("""COMPUTED_VALUE"""),"Advanced Billing &amp; Subscriptions")</f>
        <v>Advanced Billing &amp; Subscriptions</v>
      </c>
      <c r="L7854" s="1" t="str">
        <f>IFERROR(__xludf.DUMMYFUNCTION("""COMPUTED_VALUE"""),"CPS Advanced Billing and Subscriptions (ABS)")</f>
        <v>CPS Advanced Billing and Subscriptions (ABS)</v>
      </c>
    </row>
    <row r="7855">
      <c r="A7855" s="1" t="str">
        <f>IFERROR(__xludf.DUMMYFUNCTION("""COMPUTED_VALUE"""),"2025 Dec")</f>
        <v>2025 Dec</v>
      </c>
      <c r="B7855" s="2">
        <f>IFERROR(__xludf.DUMMYFUNCTION("""COMPUTED_VALUE"""),46020.0)</f>
        <v>46020</v>
      </c>
      <c r="C7855" s="1" t="str">
        <f>IFERROR(__xludf.DUMMYFUNCTION("""COMPUTED_VALUE"""),"Print Support")</f>
        <v>Print Support</v>
      </c>
      <c r="D7855" s="1" t="str">
        <f>IFERROR(__xludf.DUMMYFUNCTION("""COMPUTED_VALUE"""),"a5b6f808-7e87-4668-a7a6-2faa138923c8")</f>
        <v>a5b6f808-7e87-4668-a7a6-2faa138923c8</v>
      </c>
      <c r="E7855" s="1">
        <f>IFERROR(__xludf.DUMMYFUNCTION("""COMPUTED_VALUE"""),1.1279766049295E13)</f>
        <v>11279766049295</v>
      </c>
      <c r="F7855" s="1"/>
      <c r="G7855" s="1"/>
      <c r="H7855" s="3">
        <f>IFERROR(__xludf.DUMMYFUNCTION("""COMPUTED_VALUE"""),0.0)</f>
        <v>0</v>
      </c>
      <c r="I7855" s="4"/>
      <c r="J7855" s="1" t="str">
        <f>IFERROR(__xludf.DUMMYFUNCTION("""COMPUTED_VALUE"""),"Jen Momo")</f>
        <v>Jen Momo</v>
      </c>
      <c r="K7855" s="1" t="str">
        <f>IFERROR(__xludf.DUMMYFUNCTION("""COMPUTED_VALUE"""),"Print Support PH")</f>
        <v>Print Support PH</v>
      </c>
      <c r="L7855" s="1" t="str">
        <f>IFERROR(__xludf.DUMMYFUNCTION("""COMPUTED_VALUE"""),"Print Print - CHT")</f>
        <v>Print Print - CHT</v>
      </c>
    </row>
    <row r="7856">
      <c r="A7856" s="1" t="str">
        <f>IFERROR(__xludf.DUMMYFUNCTION("""COMPUTED_VALUE"""),"2025 Dec")</f>
        <v>2025 Dec</v>
      </c>
      <c r="B7856" s="2">
        <f>IFERROR(__xludf.DUMMYFUNCTION("""COMPUTED_VALUE"""),46020.0)</f>
        <v>46020</v>
      </c>
      <c r="C7856" s="1" t="str">
        <f>IFERROR(__xludf.DUMMYFUNCTION("""COMPUTED_VALUE"""),"Core Product Support")</f>
        <v>Core Product Support</v>
      </c>
      <c r="D7856" s="1" t="str">
        <f>IFERROR(__xludf.DUMMYFUNCTION("""COMPUTED_VALUE"""),"e930b948-a2f3-4c3f-8b54-7ddcb5c13c7b")</f>
        <v>e930b948-a2f3-4c3f-8b54-7ddcb5c13c7b</v>
      </c>
      <c r="E7856" s="1">
        <f>IFERROR(__xludf.DUMMYFUNCTION("""COMPUTED_VALUE"""),3.61725113576E11)</f>
        <v>361725113576</v>
      </c>
      <c r="F7856" s="1">
        <f>IFERROR(__xludf.DUMMYFUNCTION("""COMPUTED_VALUE"""),0.5)</f>
        <v>0.5</v>
      </c>
      <c r="G7856" s="1">
        <f>IFERROR(__xludf.DUMMYFUNCTION("""COMPUTED_VALUE"""),2.5)</f>
        <v>2.5</v>
      </c>
      <c r="H7856" s="3">
        <f>IFERROR(__xludf.DUMMYFUNCTION("""COMPUTED_VALUE"""),3.0)</f>
        <v>3</v>
      </c>
      <c r="I7856" s="4">
        <f>IFERROR(__xludf.DUMMYFUNCTION("""COMPUTED_VALUE"""),0.8333333333333334)</f>
        <v>0.8333333333</v>
      </c>
      <c r="J7856" s="1" t="str">
        <f>IFERROR(__xludf.DUMMYFUNCTION("""COMPUTED_VALUE"""),"Ellaine Estayo")</f>
        <v>Ellaine Estayo</v>
      </c>
      <c r="K7856" s="1" t="str">
        <f>IFERROR(__xludf.DUMMYFUNCTION("""COMPUTED_VALUE"""),"Core Product Support Escalation Team")</f>
        <v>Core Product Support Escalation Team</v>
      </c>
      <c r="L7856" s="1" t="str">
        <f>IFERROR(__xludf.DUMMYFUNCTION("""COMPUTED_VALUE"""),"CPS Core Product Support Escalations (CPSET)")</f>
        <v>CPS Core Product Support Escalations (CPSET)</v>
      </c>
    </row>
    <row r="7857">
      <c r="A7857" s="1" t="str">
        <f>IFERROR(__xludf.DUMMYFUNCTION("""COMPUTED_VALUE"""),"2025 Dec")</f>
        <v>2025 Dec</v>
      </c>
      <c r="B7857" s="2">
        <f>IFERROR(__xludf.DUMMYFUNCTION("""COMPUTED_VALUE"""),46020.0)</f>
        <v>46020</v>
      </c>
      <c r="C7857" s="1" t="str">
        <f>IFERROR(__xludf.DUMMYFUNCTION("""COMPUTED_VALUE"""),"Print Support")</f>
        <v>Print Support</v>
      </c>
      <c r="D7857" s="1" t="str">
        <f>IFERROR(__xludf.DUMMYFUNCTION("""COMPUTED_VALUE"""),"b5bf3764-4c76-47b7-b10d-b1f8e9a0087e")</f>
        <v>b5bf3764-4c76-47b7-b10d-b1f8e9a0087e</v>
      </c>
      <c r="E7857" s="1">
        <f>IFERROR(__xludf.DUMMYFUNCTION("""COMPUTED_VALUE"""),6.839674714895E12)</f>
        <v>6839674714895</v>
      </c>
      <c r="F7857" s="1"/>
      <c r="G7857" s="1"/>
      <c r="H7857" s="3">
        <f>IFERROR(__xludf.DUMMYFUNCTION("""COMPUTED_VALUE"""),0.0)</f>
        <v>0</v>
      </c>
      <c r="I7857" s="4"/>
      <c r="J7857" s="1" t="str">
        <f>IFERROR(__xludf.DUMMYFUNCTION("""COMPUTED_VALUE"""),"Aliza Dote")</f>
        <v>Aliza Dote</v>
      </c>
      <c r="K7857" s="1" t="str">
        <f>IFERROR(__xludf.DUMMYFUNCTION("""COMPUTED_VALUE"""),"Print Design Support")</f>
        <v>Print Design Support</v>
      </c>
      <c r="L7857" s="1" t="str">
        <f>IFERROR(__xludf.DUMMYFUNCTION("""COMPUTED_VALUE"""),"Print Print Design")</f>
        <v>Print Print Design</v>
      </c>
    </row>
    <row r="7858">
      <c r="A7858" s="1" t="str">
        <f>IFERROR(__xludf.DUMMYFUNCTION("""COMPUTED_VALUE"""),"2025 Dec")</f>
        <v>2025 Dec</v>
      </c>
      <c r="B7858" s="2">
        <f>IFERROR(__xludf.DUMMYFUNCTION("""COMPUTED_VALUE"""),46020.0)</f>
        <v>46020</v>
      </c>
      <c r="C7858" s="1" t="str">
        <f>IFERROR(__xludf.DUMMYFUNCTION("""COMPUTED_VALUE"""),"Admin Support")</f>
        <v>Admin Support</v>
      </c>
      <c r="D7858" s="1" t="str">
        <f>IFERROR(__xludf.DUMMYFUNCTION("""COMPUTED_VALUE"""),"d50b210b-01b8-4681-be11-0604b6046af3")</f>
        <v>d50b210b-01b8-4681-be11-0604b6046af3</v>
      </c>
      <c r="E7858" s="1">
        <f>IFERROR(__xludf.DUMMYFUNCTION("""COMPUTED_VALUE"""),1.0333049788943E13)</f>
        <v>10333049788943</v>
      </c>
      <c r="F7858" s="1"/>
      <c r="G7858" s="1"/>
      <c r="H7858" s="3">
        <f>IFERROR(__xludf.DUMMYFUNCTION("""COMPUTED_VALUE"""),0.0)</f>
        <v>0</v>
      </c>
      <c r="I7858" s="4"/>
      <c r="J7858" s="1" t="str">
        <f>IFERROR(__xludf.DUMMYFUNCTION("""COMPUTED_VALUE"""),"AL Suarez")</f>
        <v>AL Suarez</v>
      </c>
      <c r="K7858" s="1" t="str">
        <f>IFERROR(__xludf.DUMMYFUNCTION("""COMPUTED_VALUE"""),"Advanced Product Support")</f>
        <v>Advanced Product Support</v>
      </c>
      <c r="L7858" s="1" t="str">
        <f>IFERROR(__xludf.DUMMYFUNCTION("""COMPUTED_VALUE"""),"CPS Advanced Product Support (APS)")</f>
        <v>CPS Advanced Product Support (APS)</v>
      </c>
    </row>
    <row r="7859">
      <c r="A7859" s="1" t="str">
        <f>IFERROR(__xludf.DUMMYFUNCTION("""COMPUTED_VALUE"""),"2025 Dec")</f>
        <v>2025 Dec</v>
      </c>
      <c r="B7859" s="2">
        <f>IFERROR(__xludf.DUMMYFUNCTION("""COMPUTED_VALUE"""),46020.0)</f>
        <v>46020</v>
      </c>
      <c r="C7859" s="1" t="str">
        <f>IFERROR(__xludf.DUMMYFUNCTION("""COMPUTED_VALUE"""),"High Sensitivity Support")</f>
        <v>High Sensitivity Support</v>
      </c>
      <c r="D7859" s="1" t="str">
        <f>IFERROR(__xludf.DUMMYFUNCTION("""COMPUTED_VALUE"""),"bdf574f0-069d-4493-a93e-73eb74edd906")</f>
        <v>bdf574f0-069d-4493-a93e-73eb74edd906</v>
      </c>
      <c r="E7859" s="1">
        <f>IFERROR(__xludf.DUMMYFUNCTION("""COMPUTED_VALUE"""),3.61725261136E11)</f>
        <v>361725261136</v>
      </c>
      <c r="F7859" s="1">
        <f>IFERROR(__xludf.DUMMYFUNCTION("""COMPUTED_VALUE"""),4.0)</f>
        <v>4</v>
      </c>
      <c r="G7859" s="1"/>
      <c r="H7859" s="3">
        <f>IFERROR(__xludf.DUMMYFUNCTION("""COMPUTED_VALUE"""),4.0)</f>
        <v>4</v>
      </c>
      <c r="I7859" s="4">
        <f>IFERROR(__xludf.DUMMYFUNCTION("""COMPUTED_VALUE"""),0.0)</f>
        <v>0</v>
      </c>
      <c r="J7859" s="1" t="str">
        <f>IFERROR(__xludf.DUMMYFUNCTION("""COMPUTED_VALUE"""),"Rex Villamor")</f>
        <v>Rex Villamor</v>
      </c>
      <c r="K7859" s="1" t="str">
        <f>IFERROR(__xludf.DUMMYFUNCTION("""COMPUTED_VALUE"""),"High Sensitivity Support PH")</f>
        <v>High Sensitivity Support PH</v>
      </c>
      <c r="L7859" s="1" t="str">
        <f>IFERROR(__xludf.DUMMYFUNCTION("""COMPUTED_VALUE"""),"HSS High Sensitivity Support PH - CHT")</f>
        <v>HSS High Sensitivity Support PH - CHT</v>
      </c>
    </row>
    <row r="7860">
      <c r="A7860" s="1" t="str">
        <f>IFERROR(__xludf.DUMMYFUNCTION("""COMPUTED_VALUE"""),"2025 Dec")</f>
        <v>2025 Dec</v>
      </c>
      <c r="B7860" s="2">
        <f>IFERROR(__xludf.DUMMYFUNCTION("""COMPUTED_VALUE"""),46020.0)</f>
        <v>46020</v>
      </c>
      <c r="C7860" s="1" t="str">
        <f>IFERROR(__xludf.DUMMYFUNCTION("""COMPUTED_VALUE"""),"Core Product Support")</f>
        <v>Core Product Support</v>
      </c>
      <c r="D7860" s="1" t="str">
        <f>IFERROR(__xludf.DUMMYFUNCTION("""COMPUTED_VALUE"""),"1f5a4168-ecb9-42df-a403-8c86095beba7")</f>
        <v>1f5a4168-ecb9-42df-a403-8c86095beba7</v>
      </c>
      <c r="E7860" s="1"/>
      <c r="F7860" s="1">
        <f>IFERROR(__xludf.DUMMYFUNCTION("""COMPUTED_VALUE"""),0.5)</f>
        <v>0.5</v>
      </c>
      <c r="G7860" s="1"/>
      <c r="H7860" s="3">
        <f>IFERROR(__xludf.DUMMYFUNCTION("""COMPUTED_VALUE"""),0.5)</f>
        <v>0.5</v>
      </c>
      <c r="I7860" s="4">
        <f>IFERROR(__xludf.DUMMYFUNCTION("""COMPUTED_VALUE"""),0.0)</f>
        <v>0</v>
      </c>
      <c r="J7860" s="1" t="str">
        <f>IFERROR(__xludf.DUMMYFUNCTION("""COMPUTED_VALUE"""),"Mikhaela Decangchon")</f>
        <v>Mikhaela Decangchon</v>
      </c>
      <c r="K7860" s="1" t="str">
        <f>IFERROR(__xludf.DUMMYFUNCTION("""COMPUTED_VALUE"""),"Advanced Product Support")</f>
        <v>Advanced Product Support</v>
      </c>
      <c r="L7860" s="1" t="str">
        <f>IFERROR(__xludf.DUMMYFUNCTION("""COMPUTED_VALUE"""),"CPS Advanced Product Support (APS)")</f>
        <v>CPS Advanced Product Support (APS)</v>
      </c>
    </row>
    <row r="7861">
      <c r="A7861" s="1" t="str">
        <f>IFERROR(__xludf.DUMMYFUNCTION("""COMPUTED_VALUE"""),"2025 Dec")</f>
        <v>2025 Dec</v>
      </c>
      <c r="B7861" s="2">
        <f>IFERROR(__xludf.DUMMYFUNCTION("""COMPUTED_VALUE"""),46020.0)</f>
        <v>46020</v>
      </c>
      <c r="C7861" s="1" t="str">
        <f>IFERROR(__xludf.DUMMYFUNCTION("""COMPUTED_VALUE"""),"Admin Support")</f>
        <v>Admin Support</v>
      </c>
      <c r="D7861" s="1" t="str">
        <f>IFERROR(__xludf.DUMMYFUNCTION("""COMPUTED_VALUE"""),"a404c935-ed2c-453c-a3d5-0af18b23cb55")</f>
        <v>a404c935-ed2c-453c-a3d5-0af18b23cb55</v>
      </c>
      <c r="E7861" s="1">
        <f>IFERROR(__xludf.DUMMYFUNCTION("""COMPUTED_VALUE"""),3.61731792475E11)</f>
        <v>361731792475</v>
      </c>
      <c r="F7861" s="1"/>
      <c r="G7861" s="1"/>
      <c r="H7861" s="3">
        <f>IFERROR(__xludf.DUMMYFUNCTION("""COMPUTED_VALUE"""),0.0)</f>
        <v>0</v>
      </c>
      <c r="I7861" s="4"/>
      <c r="J7861" s="1" t="str">
        <f>IFERROR(__xludf.DUMMYFUNCTION("""COMPUTED_VALUE"""),"Karla Mananghaya")</f>
        <v>Karla Mananghaya</v>
      </c>
      <c r="K7861" s="1" t="str">
        <f>IFERROR(__xludf.DUMMYFUNCTION("""COMPUTED_VALUE"""),"Back of House Operations PH")</f>
        <v>Back of House Operations PH</v>
      </c>
      <c r="L7861" s="1" t="str">
        <f>IFERROR(__xludf.DUMMYFUNCTION("""COMPUTED_VALUE"""),"BoHO SEE")</f>
        <v>BoHO SEE</v>
      </c>
    </row>
    <row r="7862">
      <c r="A7862" s="1" t="str">
        <f>IFERROR(__xludf.DUMMYFUNCTION("""COMPUTED_VALUE"""),"2025 Dec")</f>
        <v>2025 Dec</v>
      </c>
      <c r="B7862" s="2">
        <f>IFERROR(__xludf.DUMMYFUNCTION("""COMPUTED_VALUE"""),46020.0)</f>
        <v>46020</v>
      </c>
      <c r="C7862" s="1" t="str">
        <f>IFERROR(__xludf.DUMMYFUNCTION("""COMPUTED_VALUE"""),"Print Support")</f>
        <v>Print Support</v>
      </c>
      <c r="D7862" s="1" t="str">
        <f>IFERROR(__xludf.DUMMYFUNCTION("""COMPUTED_VALUE"""),"d34aba25-1e55-4f8e-b85b-ef3d3928a2d3")</f>
        <v>d34aba25-1e55-4f8e-b85b-ef3d3928a2d3</v>
      </c>
      <c r="E7862" s="1">
        <f>IFERROR(__xludf.DUMMYFUNCTION("""COMPUTED_VALUE"""),5.566810533775E12)</f>
        <v>5566810533775</v>
      </c>
      <c r="F7862" s="1"/>
      <c r="G7862" s="1"/>
      <c r="H7862" s="3">
        <f>IFERROR(__xludf.DUMMYFUNCTION("""COMPUTED_VALUE"""),0.0)</f>
        <v>0</v>
      </c>
      <c r="I7862" s="4"/>
      <c r="J7862" s="1" t="str">
        <f>IFERROR(__xludf.DUMMYFUNCTION("""COMPUTED_VALUE"""),"Althea Mercado")</f>
        <v>Althea Mercado</v>
      </c>
      <c r="K7862" s="1" t="str">
        <f>IFERROR(__xludf.DUMMYFUNCTION("""COMPUTED_VALUE"""),"Print Support PH")</f>
        <v>Print Support PH</v>
      </c>
      <c r="L7862" s="1" t="str">
        <f>IFERROR(__xludf.DUMMYFUNCTION("""COMPUTED_VALUE"""),"Print Print - CHT")</f>
        <v>Print Print - CHT</v>
      </c>
    </row>
    <row r="7863">
      <c r="A7863" s="1" t="str">
        <f>IFERROR(__xludf.DUMMYFUNCTION("""COMPUTED_VALUE"""),"2025 Dec")</f>
        <v>2025 Dec</v>
      </c>
      <c r="B7863" s="2">
        <f>IFERROR(__xludf.DUMMYFUNCTION("""COMPUTED_VALUE"""),46020.0)</f>
        <v>46020</v>
      </c>
      <c r="C7863" s="1" t="str">
        <f>IFERROR(__xludf.DUMMYFUNCTION("""COMPUTED_VALUE"""),"Core Product Support")</f>
        <v>Core Product Support</v>
      </c>
      <c r="D7863" s="1" t="str">
        <f>IFERROR(__xludf.DUMMYFUNCTION("""COMPUTED_VALUE"""),"c5ba42b5-b56e-4880-adbe-57292f722509")</f>
        <v>c5ba42b5-b56e-4880-adbe-57292f722509</v>
      </c>
      <c r="E7863" s="1">
        <f>IFERROR(__xludf.DUMMYFUNCTION("""COMPUTED_VALUE"""),1.1401945362575E13)</f>
        <v>11401945362575</v>
      </c>
      <c r="F7863" s="1">
        <f>IFERROR(__xludf.DUMMYFUNCTION("""COMPUTED_VALUE"""),0.5)</f>
        <v>0.5</v>
      </c>
      <c r="G7863" s="1"/>
      <c r="H7863" s="3">
        <f>IFERROR(__xludf.DUMMYFUNCTION("""COMPUTED_VALUE"""),0.5)</f>
        <v>0.5</v>
      </c>
      <c r="I7863" s="4">
        <f>IFERROR(__xludf.DUMMYFUNCTION("""COMPUTED_VALUE"""),0.0)</f>
        <v>0</v>
      </c>
      <c r="J7863" s="1" t="str">
        <f>IFERROR(__xludf.DUMMYFUNCTION("""COMPUTED_VALUE"""),"Ayza Marie Pascual")</f>
        <v>Ayza Marie Pascual</v>
      </c>
      <c r="K7863" s="1" t="str">
        <f>IFERROR(__xludf.DUMMYFUNCTION("""COMPUTED_VALUE"""),"Advanced Billing &amp; Subscriptions")</f>
        <v>Advanced Billing &amp; Subscriptions</v>
      </c>
      <c r="L7863" s="1" t="str">
        <f>IFERROR(__xludf.DUMMYFUNCTION("""COMPUTED_VALUE"""),"CPS Advanced Billing and Subscriptions (ABS)")</f>
        <v>CPS Advanced Billing and Subscriptions (ABS)</v>
      </c>
    </row>
    <row r="7864">
      <c r="A7864" s="1" t="str">
        <f>IFERROR(__xludf.DUMMYFUNCTION("""COMPUTED_VALUE"""),"2025 Dec")</f>
        <v>2025 Dec</v>
      </c>
      <c r="B7864" s="2">
        <f>IFERROR(__xludf.DUMMYFUNCTION("""COMPUTED_VALUE"""),46020.0)</f>
        <v>46020</v>
      </c>
      <c r="C7864" s="1" t="str">
        <f>IFERROR(__xludf.DUMMYFUNCTION("""COMPUTED_VALUE"""),"Print Support")</f>
        <v>Print Support</v>
      </c>
      <c r="D7864" s="1" t="str">
        <f>IFERROR(__xludf.DUMMYFUNCTION("""COMPUTED_VALUE"""),"f154e992-ffb0-484a-b731-9da1092e886a")</f>
        <v>f154e992-ffb0-484a-b731-9da1092e886a</v>
      </c>
      <c r="E7864" s="1"/>
      <c r="F7864" s="1"/>
      <c r="G7864" s="1"/>
      <c r="H7864" s="3">
        <f>IFERROR(__xludf.DUMMYFUNCTION("""COMPUTED_VALUE"""),0.0)</f>
        <v>0</v>
      </c>
      <c r="I7864" s="4"/>
      <c r="J7864" s="1" t="str">
        <f>IFERROR(__xludf.DUMMYFUNCTION("""COMPUTED_VALUE"""),"Gem Agoncillo")</f>
        <v>Gem Agoncillo</v>
      </c>
      <c r="K7864" s="1" t="str">
        <f>IFERROR(__xludf.DUMMYFUNCTION("""COMPUTED_VALUE"""),"Print Design Support")</f>
        <v>Print Design Support</v>
      </c>
      <c r="L7864" s="1" t="str">
        <f>IFERROR(__xludf.DUMMYFUNCTION("""COMPUTED_VALUE"""),"Print Print Design")</f>
        <v>Print Print Design</v>
      </c>
    </row>
    <row r="7865">
      <c r="A7865" s="1" t="str">
        <f>IFERROR(__xludf.DUMMYFUNCTION("""COMPUTED_VALUE"""),"2025 Dec")</f>
        <v>2025 Dec</v>
      </c>
      <c r="B7865" s="2">
        <f>IFERROR(__xludf.DUMMYFUNCTION("""COMPUTED_VALUE"""),46020.0)</f>
        <v>46020</v>
      </c>
      <c r="C7865" s="1" t="str">
        <f>IFERROR(__xludf.DUMMYFUNCTION("""COMPUTED_VALUE"""),"Core Product Support")</f>
        <v>Core Product Support</v>
      </c>
      <c r="D7865" s="1" t="str">
        <f>IFERROR(__xludf.DUMMYFUNCTION("""COMPUTED_VALUE"""),"123e8c80-f84d-46ba-8ddf-e514a808d270")</f>
        <v>123e8c80-f84d-46ba-8ddf-e514a808d270</v>
      </c>
      <c r="E7865" s="1">
        <f>IFERROR(__xludf.DUMMYFUNCTION("""COMPUTED_VALUE"""),7.235815845903E12)</f>
        <v>7235815845903</v>
      </c>
      <c r="F7865" s="1">
        <f>IFERROR(__xludf.DUMMYFUNCTION("""COMPUTED_VALUE"""),0.5)</f>
        <v>0.5</v>
      </c>
      <c r="G7865" s="1"/>
      <c r="H7865" s="3">
        <f>IFERROR(__xludf.DUMMYFUNCTION("""COMPUTED_VALUE"""),0.5)</f>
        <v>0.5</v>
      </c>
      <c r="I7865" s="4">
        <f>IFERROR(__xludf.DUMMYFUNCTION("""COMPUTED_VALUE"""),0.0)</f>
        <v>0</v>
      </c>
      <c r="J7865" s="1" t="str">
        <f>IFERROR(__xludf.DUMMYFUNCTION("""COMPUTED_VALUE"""),"Marie Mordeno")</f>
        <v>Marie Mordeno</v>
      </c>
      <c r="K7865" s="1" t="str">
        <f>IFERROR(__xludf.DUMMYFUNCTION("""COMPUTED_VALUE"""),"Advanced Billing &amp; Subscriptions")</f>
        <v>Advanced Billing &amp; Subscriptions</v>
      </c>
      <c r="L7865" s="1" t="str">
        <f>IFERROR(__xludf.DUMMYFUNCTION("""COMPUTED_VALUE"""),"CPS Advanced Billing and Subscriptions (ABS)")</f>
        <v>CPS Advanced Billing and Subscriptions (ABS)</v>
      </c>
    </row>
    <row r="7866">
      <c r="A7866" s="1" t="str">
        <f>IFERROR(__xludf.DUMMYFUNCTION("""COMPUTED_VALUE"""),"2025 Dec")</f>
        <v>2025 Dec</v>
      </c>
      <c r="B7866" s="2">
        <f>IFERROR(__xludf.DUMMYFUNCTION("""COMPUTED_VALUE"""),46020.0)</f>
        <v>46020</v>
      </c>
      <c r="C7866" s="1" t="str">
        <f>IFERROR(__xludf.DUMMYFUNCTION("""COMPUTED_VALUE"""),"High Sensitivity Support")</f>
        <v>High Sensitivity Support</v>
      </c>
      <c r="D7866" s="1" t="str">
        <f>IFERROR(__xludf.DUMMYFUNCTION("""COMPUTED_VALUE"""),"12813a5b-5274-49dd-9f6b-59da40c97ee7")</f>
        <v>12813a5b-5274-49dd-9f6b-59da40c97ee7</v>
      </c>
      <c r="E7866" s="1">
        <f>IFERROR(__xludf.DUMMYFUNCTION("""COMPUTED_VALUE"""),9.795905227023E12)</f>
        <v>9795905227023</v>
      </c>
      <c r="F7866" s="1">
        <f>IFERROR(__xludf.DUMMYFUNCTION("""COMPUTED_VALUE"""),4.0)</f>
        <v>4</v>
      </c>
      <c r="G7866" s="1"/>
      <c r="H7866" s="3">
        <f>IFERROR(__xludf.DUMMYFUNCTION("""COMPUTED_VALUE"""),4.0)</f>
        <v>4</v>
      </c>
      <c r="I7866" s="4">
        <f>IFERROR(__xludf.DUMMYFUNCTION("""COMPUTED_VALUE"""),0.0)</f>
        <v>0</v>
      </c>
      <c r="J7866" s="1" t="str">
        <f>IFERROR(__xludf.DUMMYFUNCTION("""COMPUTED_VALUE"""),"Xandy Azarcon")</f>
        <v>Xandy Azarcon</v>
      </c>
      <c r="K7866" s="1" t="str">
        <f>IFERROR(__xludf.DUMMYFUNCTION("""COMPUTED_VALUE"""),"High Sensitivity Support PH")</f>
        <v>High Sensitivity Support PH</v>
      </c>
      <c r="L7866" s="1" t="str">
        <f>IFERROR(__xludf.DUMMYFUNCTION("""COMPUTED_VALUE"""),"HSS High Sensitivity Support PH - CHT")</f>
        <v>HSS High Sensitivity Support PH - CHT</v>
      </c>
    </row>
    <row r="7867">
      <c r="A7867" s="1" t="str">
        <f>IFERROR(__xludf.DUMMYFUNCTION("""COMPUTED_VALUE"""),"2025 Dec")</f>
        <v>2025 Dec</v>
      </c>
      <c r="B7867" s="2">
        <f>IFERROR(__xludf.DUMMYFUNCTION("""COMPUTED_VALUE"""),46020.0)</f>
        <v>46020</v>
      </c>
      <c r="C7867" s="1" t="str">
        <f>IFERROR(__xludf.DUMMYFUNCTION("""COMPUTED_VALUE"""),"Admin Support")</f>
        <v>Admin Support</v>
      </c>
      <c r="D7867" s="1" t="str">
        <f>IFERROR(__xludf.DUMMYFUNCTION("""COMPUTED_VALUE"""),"3a47626d-5d83-4eb3-99f0-da594375a7a4")</f>
        <v>3a47626d-5d83-4eb3-99f0-da594375a7a4</v>
      </c>
      <c r="E7867" s="1">
        <f>IFERROR(__xludf.DUMMYFUNCTION("""COMPUTED_VALUE"""),3.61731944855E11)</f>
        <v>361731944855</v>
      </c>
      <c r="F7867" s="1"/>
      <c r="G7867" s="1"/>
      <c r="H7867" s="3">
        <f>IFERROR(__xludf.DUMMYFUNCTION("""COMPUTED_VALUE"""),0.0)</f>
        <v>0</v>
      </c>
      <c r="I7867" s="4"/>
      <c r="J7867" s="1" t="str">
        <f>IFERROR(__xludf.DUMMYFUNCTION("""COMPUTED_VALUE"""),"Pau Palmero")</f>
        <v>Pau Palmero</v>
      </c>
      <c r="K7867" s="1" t="str">
        <f>IFERROR(__xludf.DUMMYFUNCTION("""COMPUTED_VALUE"""),"Admin Support PH CEDD")</f>
        <v>Admin Support PH CEDD</v>
      </c>
      <c r="L7867" s="1" t="str">
        <f>IFERROR(__xludf.DUMMYFUNCTION("""COMPUTED_VALUE"""),"Admin CEDD Apps,Admin CEDD Inbox Mgt")</f>
        <v>Admin CEDD Apps,Admin CEDD Inbox Mgt</v>
      </c>
    </row>
    <row r="7868">
      <c r="A7868" s="1" t="str">
        <f>IFERROR(__xludf.DUMMYFUNCTION("""COMPUTED_VALUE"""),"2025 Dec")</f>
        <v>2025 Dec</v>
      </c>
      <c r="B7868" s="2">
        <f>IFERROR(__xludf.DUMMYFUNCTION("""COMPUTED_VALUE"""),46020.0)</f>
        <v>46020</v>
      </c>
      <c r="C7868" s="1" t="str">
        <f>IFERROR(__xludf.DUMMYFUNCTION("""COMPUTED_VALUE"""),"Core Product Support")</f>
        <v>Core Product Support</v>
      </c>
      <c r="D7868" s="1" t="str">
        <f>IFERROR(__xludf.DUMMYFUNCTION("""COMPUTED_VALUE"""),"4ab45a4c-a376-4058-a184-5b3f466a5947")</f>
        <v>4ab45a4c-a376-4058-a184-5b3f466a5947</v>
      </c>
      <c r="E7868" s="1">
        <f>IFERROR(__xludf.DUMMYFUNCTION("""COMPUTED_VALUE"""),4.967084440335E12)</f>
        <v>4967084440335</v>
      </c>
      <c r="F7868" s="1">
        <f>IFERROR(__xludf.DUMMYFUNCTION("""COMPUTED_VALUE"""),0.5)</f>
        <v>0.5</v>
      </c>
      <c r="G7868" s="1"/>
      <c r="H7868" s="3">
        <f>IFERROR(__xludf.DUMMYFUNCTION("""COMPUTED_VALUE"""),0.5)</f>
        <v>0.5</v>
      </c>
      <c r="I7868" s="4">
        <f>IFERROR(__xludf.DUMMYFUNCTION("""COMPUTED_VALUE"""),0.0)</f>
        <v>0</v>
      </c>
      <c r="J7868" s="1" t="str">
        <f>IFERROR(__xludf.DUMMYFUNCTION("""COMPUTED_VALUE"""),"Vianca De Jesus")</f>
        <v>Vianca De Jesus</v>
      </c>
      <c r="K7868" s="1" t="str">
        <f>IFERROR(__xludf.DUMMYFUNCTION("""COMPUTED_VALUE"""),"Advanced Chat Support")</f>
        <v>Advanced Chat Support</v>
      </c>
      <c r="L7868" s="1" t="str">
        <f>IFERROR(__xludf.DUMMYFUNCTION("""COMPUTED_VALUE"""),"CPS Advanced Chat Support (ACS)")</f>
        <v>CPS Advanced Chat Support (ACS)</v>
      </c>
    </row>
    <row r="7869">
      <c r="A7869" s="1" t="str">
        <f>IFERROR(__xludf.DUMMYFUNCTION("""COMPUTED_VALUE"""),"2025 Dec")</f>
        <v>2025 Dec</v>
      </c>
      <c r="B7869" s="2">
        <f>IFERROR(__xludf.DUMMYFUNCTION("""COMPUTED_VALUE"""),46020.0)</f>
        <v>46020</v>
      </c>
      <c r="C7869" s="1" t="str">
        <f>IFERROR(__xludf.DUMMYFUNCTION("""COMPUTED_VALUE"""),"Print Support")</f>
        <v>Print Support</v>
      </c>
      <c r="D7869" s="1" t="str">
        <f>IFERROR(__xludf.DUMMYFUNCTION("""COMPUTED_VALUE"""),"73b91882-25ef-4c9c-8b6f-9152a825d832")</f>
        <v>73b91882-25ef-4c9c-8b6f-9152a825d832</v>
      </c>
      <c r="E7869" s="1">
        <f>IFERROR(__xludf.DUMMYFUNCTION("""COMPUTED_VALUE"""),3.61825397936E11)</f>
        <v>361825397936</v>
      </c>
      <c r="F7869" s="1"/>
      <c r="G7869" s="1"/>
      <c r="H7869" s="3">
        <f>IFERROR(__xludf.DUMMYFUNCTION("""COMPUTED_VALUE"""),0.0)</f>
        <v>0</v>
      </c>
      <c r="I7869" s="4"/>
      <c r="J7869" s="1" t="str">
        <f>IFERROR(__xludf.DUMMYFUNCTION("""COMPUTED_VALUE"""),"Jan Domingo")</f>
        <v>Jan Domingo</v>
      </c>
      <c r="K7869" s="1" t="str">
        <f>IFERROR(__xludf.DUMMYFUNCTION("""COMPUTED_VALUE"""),"Print Design Support")</f>
        <v>Print Design Support</v>
      </c>
      <c r="L7869" s="1" t="str">
        <f>IFERROR(__xludf.DUMMYFUNCTION("""COMPUTED_VALUE"""),"Print Print Design")</f>
        <v>Print Print Design</v>
      </c>
    </row>
    <row r="7870">
      <c r="A7870" s="1" t="str">
        <f>IFERROR(__xludf.DUMMYFUNCTION("""COMPUTED_VALUE"""),"2025 Dec")</f>
        <v>2025 Dec</v>
      </c>
      <c r="B7870" s="2">
        <f>IFERROR(__xludf.DUMMYFUNCTION("""COMPUTED_VALUE"""),46020.0)</f>
        <v>46020</v>
      </c>
      <c r="C7870" s="1" t="str">
        <f>IFERROR(__xludf.DUMMYFUNCTION("""COMPUTED_VALUE"""),"Core Product Support")</f>
        <v>Core Product Support</v>
      </c>
      <c r="D7870" s="1" t="str">
        <f>IFERROR(__xludf.DUMMYFUNCTION("""COMPUTED_VALUE"""),"75169e9a-969f-480f-aae4-eff49591cf56")</f>
        <v>75169e9a-969f-480f-aae4-eff49591cf56</v>
      </c>
      <c r="E7870" s="1"/>
      <c r="F7870" s="1">
        <f>IFERROR(__xludf.DUMMYFUNCTION("""COMPUTED_VALUE"""),0.5)</f>
        <v>0.5</v>
      </c>
      <c r="G7870" s="1"/>
      <c r="H7870" s="3">
        <f>IFERROR(__xludf.DUMMYFUNCTION("""COMPUTED_VALUE"""),0.5)</f>
        <v>0.5</v>
      </c>
      <c r="I7870" s="4">
        <f>IFERROR(__xludf.DUMMYFUNCTION("""COMPUTED_VALUE"""),0.0)</f>
        <v>0</v>
      </c>
      <c r="J7870" s="1" t="str">
        <f>IFERROR(__xludf.DUMMYFUNCTION("""COMPUTED_VALUE"""),"Jelyn Elmido")</f>
        <v>Jelyn Elmido</v>
      </c>
      <c r="K7870" s="1" t="str">
        <f>IFERROR(__xludf.DUMMYFUNCTION("""COMPUTED_VALUE"""),"Advanced Product Support")</f>
        <v>Advanced Product Support</v>
      </c>
      <c r="L7870" s="1" t="str">
        <f>IFERROR(__xludf.DUMMYFUNCTION("""COMPUTED_VALUE"""),"CPS Advanced Product Support (APS)")</f>
        <v>CPS Advanced Product Support (APS)</v>
      </c>
    </row>
    <row r="7871">
      <c r="A7871" s="1" t="str">
        <f>IFERROR(__xludf.DUMMYFUNCTION("""COMPUTED_VALUE"""),"2025 Dec")</f>
        <v>2025 Dec</v>
      </c>
      <c r="B7871" s="2">
        <f>IFERROR(__xludf.DUMMYFUNCTION("""COMPUTED_VALUE"""),46020.0)</f>
        <v>46020</v>
      </c>
      <c r="C7871" s="1" t="str">
        <f>IFERROR(__xludf.DUMMYFUNCTION("""COMPUTED_VALUE"""),"Core Product Support")</f>
        <v>Core Product Support</v>
      </c>
      <c r="D7871" s="1" t="str">
        <f>IFERROR(__xludf.DUMMYFUNCTION("""COMPUTED_VALUE"""),"d235389b-3321-47e0-9816-c2275d682304")</f>
        <v>d235389b-3321-47e0-9816-c2275d682304</v>
      </c>
      <c r="E7871" s="1">
        <f>IFERROR(__xludf.DUMMYFUNCTION("""COMPUTED_VALUE"""),5.202378916623E12)</f>
        <v>5202378916623</v>
      </c>
      <c r="F7871" s="1">
        <f>IFERROR(__xludf.DUMMYFUNCTION("""COMPUTED_VALUE"""),0.5)</f>
        <v>0.5</v>
      </c>
      <c r="G7871" s="1"/>
      <c r="H7871" s="3">
        <f>IFERROR(__xludf.DUMMYFUNCTION("""COMPUTED_VALUE"""),0.5)</f>
        <v>0.5</v>
      </c>
      <c r="I7871" s="4">
        <f>IFERROR(__xludf.DUMMYFUNCTION("""COMPUTED_VALUE"""),0.0)</f>
        <v>0</v>
      </c>
      <c r="J7871" s="1" t="str">
        <f>IFERROR(__xludf.DUMMYFUNCTION("""COMPUTED_VALUE"""),"Renette Bok")</f>
        <v>Renette Bok</v>
      </c>
      <c r="K7871" s="1" t="str">
        <f>IFERROR(__xludf.DUMMYFUNCTION("""COMPUTED_VALUE"""),"Advanced Billing &amp; Subscriptions")</f>
        <v>Advanced Billing &amp; Subscriptions</v>
      </c>
      <c r="L7871" s="1" t="str">
        <f>IFERROR(__xludf.DUMMYFUNCTION("""COMPUTED_VALUE"""),"CPS Advanced Billing and Subscriptions (ABS)")</f>
        <v>CPS Advanced Billing and Subscriptions (ABS)</v>
      </c>
    </row>
    <row r="7872">
      <c r="A7872" s="1" t="str">
        <f>IFERROR(__xludf.DUMMYFUNCTION("""COMPUTED_VALUE"""),"2025 Dec")</f>
        <v>2025 Dec</v>
      </c>
      <c r="B7872" s="2">
        <f>IFERROR(__xludf.DUMMYFUNCTION("""COMPUTED_VALUE"""),46020.0)</f>
        <v>46020</v>
      </c>
      <c r="C7872" s="1" t="str">
        <f>IFERROR(__xludf.DUMMYFUNCTION("""COMPUTED_VALUE"""),"Core Product Support")</f>
        <v>Core Product Support</v>
      </c>
      <c r="D7872" s="1" t="str">
        <f>IFERROR(__xludf.DUMMYFUNCTION("""COMPUTED_VALUE"""),"e5eebde5-1bdf-4fc4-a4e5-e5f13689363d")</f>
        <v>e5eebde5-1bdf-4fc4-a4e5-e5f13689363d</v>
      </c>
      <c r="E7872" s="1">
        <f>IFERROR(__xludf.DUMMYFUNCTION("""COMPUTED_VALUE"""),8.303581036047E12)</f>
        <v>8303581036047</v>
      </c>
      <c r="F7872" s="1">
        <f>IFERROR(__xludf.DUMMYFUNCTION("""COMPUTED_VALUE"""),0.5)</f>
        <v>0.5</v>
      </c>
      <c r="G7872" s="1"/>
      <c r="H7872" s="3">
        <f>IFERROR(__xludf.DUMMYFUNCTION("""COMPUTED_VALUE"""),0.5)</f>
        <v>0.5</v>
      </c>
      <c r="I7872" s="4">
        <f>IFERROR(__xludf.DUMMYFUNCTION("""COMPUTED_VALUE"""),0.0)</f>
        <v>0</v>
      </c>
      <c r="J7872" s="1" t="str">
        <f>IFERROR(__xludf.DUMMYFUNCTION("""COMPUTED_VALUE"""),"Jelyn Elmido")</f>
        <v>Jelyn Elmido</v>
      </c>
      <c r="K7872" s="1" t="str">
        <f>IFERROR(__xludf.DUMMYFUNCTION("""COMPUTED_VALUE"""),"Advanced Product Support")</f>
        <v>Advanced Product Support</v>
      </c>
      <c r="L7872" s="1" t="str">
        <f>IFERROR(__xludf.DUMMYFUNCTION("""COMPUTED_VALUE"""),"CPS Advanced Product Support (APS)")</f>
        <v>CPS Advanced Product Support (APS)</v>
      </c>
    </row>
    <row r="7873">
      <c r="A7873" s="1" t="str">
        <f>IFERROR(__xludf.DUMMYFUNCTION("""COMPUTED_VALUE"""),"2025 Dec")</f>
        <v>2025 Dec</v>
      </c>
      <c r="B7873" s="2">
        <f>IFERROR(__xludf.DUMMYFUNCTION("""COMPUTED_VALUE"""),46020.0)</f>
        <v>46020</v>
      </c>
      <c r="C7873" s="1" t="str">
        <f>IFERROR(__xludf.DUMMYFUNCTION("""COMPUTED_VALUE"""),"Admin Support")</f>
        <v>Admin Support</v>
      </c>
      <c r="D7873" s="1" t="str">
        <f>IFERROR(__xludf.DUMMYFUNCTION("""COMPUTED_VALUE"""),"298d5f55-b7f6-4164-b84e-face9b3cbecb")</f>
        <v>298d5f55-b7f6-4164-b84e-face9b3cbecb</v>
      </c>
      <c r="E7873" s="1">
        <f>IFERROR(__xludf.DUMMYFUNCTION("""COMPUTED_VALUE"""),6.182237177103E12)</f>
        <v>6182237177103</v>
      </c>
      <c r="F7873" s="1"/>
      <c r="G7873" s="1">
        <f>IFERROR(__xludf.DUMMYFUNCTION("""COMPUTED_VALUE"""),0.25)</f>
        <v>0.25</v>
      </c>
      <c r="H7873" s="3">
        <f>IFERROR(__xludf.DUMMYFUNCTION("""COMPUTED_VALUE"""),0.25)</f>
        <v>0.25</v>
      </c>
      <c r="I7873" s="4">
        <f>IFERROR(__xludf.DUMMYFUNCTION("""COMPUTED_VALUE"""),1.0)</f>
        <v>1</v>
      </c>
      <c r="J7873" s="1" t="str">
        <f>IFERROR(__xludf.DUMMYFUNCTION("""COMPUTED_VALUE"""),"AL Suarez")</f>
        <v>AL Suarez</v>
      </c>
      <c r="K7873" s="1" t="str">
        <f>IFERROR(__xludf.DUMMYFUNCTION("""COMPUTED_VALUE"""),"Admin Support PH")</f>
        <v>Admin Support PH</v>
      </c>
      <c r="L7873" s="1" t="str">
        <f>IFERROR(__xludf.DUMMYFUNCTION("""COMPUTED_VALUE"""),"Admin PH")</f>
        <v>Admin PH</v>
      </c>
    </row>
    <row r="7874">
      <c r="A7874" s="1" t="str">
        <f>IFERROR(__xludf.DUMMYFUNCTION("""COMPUTED_VALUE"""),"2025 Dec")</f>
        <v>2025 Dec</v>
      </c>
      <c r="B7874" s="2">
        <f>IFERROR(__xludf.DUMMYFUNCTION("""COMPUTED_VALUE"""),46020.0)</f>
        <v>46020</v>
      </c>
      <c r="C7874" s="1" t="str">
        <f>IFERROR(__xludf.DUMMYFUNCTION("""COMPUTED_VALUE"""),"Admin Support")</f>
        <v>Admin Support</v>
      </c>
      <c r="D7874" s="1" t="str">
        <f>IFERROR(__xludf.DUMMYFUNCTION("""COMPUTED_VALUE"""),"bb9992e4-86b4-4be4-9177-e09f03299559")</f>
        <v>bb9992e4-86b4-4be4-9177-e09f03299559</v>
      </c>
      <c r="E7874" s="1">
        <f>IFERROR(__xludf.DUMMYFUNCTION("""COMPUTED_VALUE"""),3.61724830696E11)</f>
        <v>361724830696</v>
      </c>
      <c r="F7874" s="1"/>
      <c r="G7874" s="1"/>
      <c r="H7874" s="3">
        <f>IFERROR(__xludf.DUMMYFUNCTION("""COMPUTED_VALUE"""),0.0)</f>
        <v>0</v>
      </c>
      <c r="I7874" s="4"/>
      <c r="J7874" s="1" t="str">
        <f>IFERROR(__xludf.DUMMYFUNCTION("""COMPUTED_VALUE"""),"Rose Gabilan")</f>
        <v>Rose Gabilan</v>
      </c>
      <c r="K7874" s="1" t="str">
        <f>IFERROR(__xludf.DUMMYFUNCTION("""COMPUTED_VALUE"""),"Admin Support PH SSO")</f>
        <v>Admin Support PH SSO</v>
      </c>
      <c r="L7874" s="1" t="str">
        <f>IFERROR(__xludf.DUMMYFUNCTION("""COMPUTED_VALUE"""),"Admin SSO - CHT")</f>
        <v>Admin SSO - CHT</v>
      </c>
    </row>
    <row r="7875">
      <c r="A7875" s="1" t="str">
        <f>IFERROR(__xludf.DUMMYFUNCTION("""COMPUTED_VALUE"""),"2025 Dec")</f>
        <v>2025 Dec</v>
      </c>
      <c r="B7875" s="2">
        <f>IFERROR(__xludf.DUMMYFUNCTION("""COMPUTED_VALUE"""),46020.0)</f>
        <v>46020</v>
      </c>
      <c r="C7875" s="1" t="str">
        <f>IFERROR(__xludf.DUMMYFUNCTION("""COMPUTED_VALUE"""),"Core Product Support")</f>
        <v>Core Product Support</v>
      </c>
      <c r="D7875" s="1" t="str">
        <f>IFERROR(__xludf.DUMMYFUNCTION("""COMPUTED_VALUE"""),"1fa942bd-1815-4054-9636-810d3c7d937c")</f>
        <v>1fa942bd-1815-4054-9636-810d3c7d937c</v>
      </c>
      <c r="E7875" s="1">
        <f>IFERROR(__xludf.DUMMYFUNCTION("""COMPUTED_VALUE"""),3.61731348455E11)</f>
        <v>361731348455</v>
      </c>
      <c r="F7875" s="1">
        <f>IFERROR(__xludf.DUMMYFUNCTION("""COMPUTED_VALUE"""),0.5)</f>
        <v>0.5</v>
      </c>
      <c r="G7875" s="1">
        <f>IFERROR(__xludf.DUMMYFUNCTION("""COMPUTED_VALUE"""),2.5)</f>
        <v>2.5</v>
      </c>
      <c r="H7875" s="3">
        <f>IFERROR(__xludf.DUMMYFUNCTION("""COMPUTED_VALUE"""),3.0)</f>
        <v>3</v>
      </c>
      <c r="I7875" s="4">
        <f>IFERROR(__xludf.DUMMYFUNCTION("""COMPUTED_VALUE"""),0.8333333333333334)</f>
        <v>0.8333333333</v>
      </c>
      <c r="J7875" s="1" t="str">
        <f>IFERROR(__xludf.DUMMYFUNCTION("""COMPUTED_VALUE"""),"Sieg Ballelos")</f>
        <v>Sieg Ballelos</v>
      </c>
      <c r="K7875" s="1" t="str">
        <f>IFERROR(__xludf.DUMMYFUNCTION("""COMPUTED_VALUE"""),"Core Product Support Escalation Team")</f>
        <v>Core Product Support Escalation Team</v>
      </c>
      <c r="L7875" s="1" t="str">
        <f>IFERROR(__xludf.DUMMYFUNCTION("""COMPUTED_VALUE"""),"CPS Core Product Support Escalations (CPSET)")</f>
        <v>CPS Core Product Support Escalations (CPSET)</v>
      </c>
    </row>
    <row r="7876">
      <c r="A7876" s="1" t="str">
        <f>IFERROR(__xludf.DUMMYFUNCTION("""COMPUTED_VALUE"""),"2025 Dec")</f>
        <v>2025 Dec</v>
      </c>
      <c r="B7876" s="2">
        <f>IFERROR(__xludf.DUMMYFUNCTION("""COMPUTED_VALUE"""),46020.0)</f>
        <v>46020</v>
      </c>
      <c r="C7876" s="1" t="str">
        <f>IFERROR(__xludf.DUMMYFUNCTION("""COMPUTED_VALUE"""),"Core Product Support")</f>
        <v>Core Product Support</v>
      </c>
      <c r="D7876" s="1" t="str">
        <f>IFERROR(__xludf.DUMMYFUNCTION("""COMPUTED_VALUE"""),"b366931c-0597-40c7-babb-0a89ffc75e01")</f>
        <v>b366931c-0597-40c7-babb-0a89ffc75e01</v>
      </c>
      <c r="E7876" s="1"/>
      <c r="F7876" s="1">
        <f>IFERROR(__xludf.DUMMYFUNCTION("""COMPUTED_VALUE"""),0.5)</f>
        <v>0.5</v>
      </c>
      <c r="G7876" s="1"/>
      <c r="H7876" s="3">
        <f>IFERROR(__xludf.DUMMYFUNCTION("""COMPUTED_VALUE"""),0.5)</f>
        <v>0.5</v>
      </c>
      <c r="I7876" s="4">
        <f>IFERROR(__xludf.DUMMYFUNCTION("""COMPUTED_VALUE"""),0.0)</f>
        <v>0</v>
      </c>
      <c r="J7876" s="1" t="str">
        <f>IFERROR(__xludf.DUMMYFUNCTION("""COMPUTED_VALUE"""),"Marie Mordeno")</f>
        <v>Marie Mordeno</v>
      </c>
      <c r="K7876" s="1" t="str">
        <f>IFERROR(__xludf.DUMMYFUNCTION("""COMPUTED_VALUE"""),"Advanced Billing &amp; Subscriptions")</f>
        <v>Advanced Billing &amp; Subscriptions</v>
      </c>
      <c r="L7876" s="1" t="str">
        <f>IFERROR(__xludf.DUMMYFUNCTION("""COMPUTED_VALUE"""),"CPS Advanced Billing and Subscriptions (ABS)")</f>
        <v>CPS Advanced Billing and Subscriptions (ABS)</v>
      </c>
    </row>
    <row r="7877">
      <c r="A7877" s="1" t="str">
        <f>IFERROR(__xludf.DUMMYFUNCTION("""COMPUTED_VALUE"""),"2025 Dec")</f>
        <v>2025 Dec</v>
      </c>
      <c r="B7877" s="2">
        <f>IFERROR(__xludf.DUMMYFUNCTION("""COMPUTED_VALUE"""),46020.0)</f>
        <v>46020</v>
      </c>
      <c r="C7877" s="1" t="str">
        <f>IFERROR(__xludf.DUMMYFUNCTION("""COMPUTED_VALUE"""),"Core Product Support")</f>
        <v>Core Product Support</v>
      </c>
      <c r="D7877" s="1" t="str">
        <f>IFERROR(__xludf.DUMMYFUNCTION("""COMPUTED_VALUE"""),"d8cafb49-0513-4066-8298-8198c1c303c8")</f>
        <v>d8cafb49-0513-4066-8298-8198c1c303c8</v>
      </c>
      <c r="E7877" s="1">
        <f>IFERROR(__xludf.DUMMYFUNCTION("""COMPUTED_VALUE"""),5.566859239951E12)</f>
        <v>5566859239951</v>
      </c>
      <c r="F7877" s="1">
        <f>IFERROR(__xludf.DUMMYFUNCTION("""COMPUTED_VALUE"""),0.5)</f>
        <v>0.5</v>
      </c>
      <c r="G7877" s="1"/>
      <c r="H7877" s="3">
        <f>IFERROR(__xludf.DUMMYFUNCTION("""COMPUTED_VALUE"""),0.5)</f>
        <v>0.5</v>
      </c>
      <c r="I7877" s="4">
        <f>IFERROR(__xludf.DUMMYFUNCTION("""COMPUTED_VALUE"""),0.0)</f>
        <v>0</v>
      </c>
      <c r="J7877" s="1" t="str">
        <f>IFERROR(__xludf.DUMMYFUNCTION("""COMPUTED_VALUE"""),"Jahmie Mae Barrameda")</f>
        <v>Jahmie Mae Barrameda</v>
      </c>
      <c r="K7877" s="1" t="str">
        <f>IFERROR(__xludf.DUMMYFUNCTION("""COMPUTED_VALUE"""),"Advanced Billing &amp; Subscriptions")</f>
        <v>Advanced Billing &amp; Subscriptions</v>
      </c>
      <c r="L7877" s="1" t="str">
        <f>IFERROR(__xludf.DUMMYFUNCTION("""COMPUTED_VALUE"""),"CPS Advanced Billing and Subscriptions (ABS)")</f>
        <v>CPS Advanced Billing and Subscriptions (ABS)</v>
      </c>
    </row>
    <row r="7878">
      <c r="A7878" s="1" t="str">
        <f>IFERROR(__xludf.DUMMYFUNCTION("""COMPUTED_VALUE"""),"2025 Dec")</f>
        <v>2025 Dec</v>
      </c>
      <c r="B7878" s="2">
        <f>IFERROR(__xludf.DUMMYFUNCTION("""COMPUTED_VALUE"""),46020.0)</f>
        <v>46020</v>
      </c>
      <c r="C7878" s="1" t="str">
        <f>IFERROR(__xludf.DUMMYFUNCTION("""COMPUTED_VALUE"""),"Print Support")</f>
        <v>Print Support</v>
      </c>
      <c r="D7878" s="1" t="str">
        <f>IFERROR(__xludf.DUMMYFUNCTION("""COMPUTED_VALUE"""),"b38dd32d-e840-4454-9bff-9270032e26ec")</f>
        <v>b38dd32d-e840-4454-9bff-9270032e26ec</v>
      </c>
      <c r="E7878" s="1">
        <f>IFERROR(__xludf.DUMMYFUNCTION("""COMPUTED_VALUE"""),1.1279671882767E13)</f>
        <v>11279671882767</v>
      </c>
      <c r="F7878" s="1"/>
      <c r="G7878" s="1"/>
      <c r="H7878" s="3">
        <f>IFERROR(__xludf.DUMMYFUNCTION("""COMPUTED_VALUE"""),0.0)</f>
        <v>0</v>
      </c>
      <c r="I7878" s="4"/>
      <c r="J7878" s="1" t="str">
        <f>IFERROR(__xludf.DUMMYFUNCTION("""COMPUTED_VALUE"""),"Jen Momo")</f>
        <v>Jen Momo</v>
      </c>
      <c r="K7878" s="1" t="str">
        <f>IFERROR(__xludf.DUMMYFUNCTION("""COMPUTED_VALUE"""),"Print Support PH")</f>
        <v>Print Support PH</v>
      </c>
      <c r="L7878" s="1" t="str">
        <f>IFERROR(__xludf.DUMMYFUNCTION("""COMPUTED_VALUE"""),"Print Print - CHT")</f>
        <v>Print Print - CHT</v>
      </c>
    </row>
    <row r="7879">
      <c r="A7879" s="1" t="str">
        <f>IFERROR(__xludf.DUMMYFUNCTION("""COMPUTED_VALUE"""),"2025 Dec")</f>
        <v>2025 Dec</v>
      </c>
      <c r="B7879" s="2">
        <f>IFERROR(__xludf.DUMMYFUNCTION("""COMPUTED_VALUE"""),46020.0)</f>
        <v>46020</v>
      </c>
      <c r="C7879" s="1" t="str">
        <f>IFERROR(__xludf.DUMMYFUNCTION("""COMPUTED_VALUE"""),"Print Support")</f>
        <v>Print Support</v>
      </c>
      <c r="D7879" s="1" t="str">
        <f>IFERROR(__xludf.DUMMYFUNCTION("""COMPUTED_VALUE"""),"f6ab909a-8fae-4139-af23-d06c28a32b8c")</f>
        <v>f6ab909a-8fae-4139-af23-d06c28a32b8c</v>
      </c>
      <c r="E7879" s="1">
        <f>IFERROR(__xludf.DUMMYFUNCTION("""COMPUTED_VALUE"""),3.61724667376E11)</f>
        <v>361724667376</v>
      </c>
      <c r="F7879" s="1"/>
      <c r="G7879" s="1"/>
      <c r="H7879" s="3">
        <f>IFERROR(__xludf.DUMMYFUNCTION("""COMPUTED_VALUE"""),0.0)</f>
        <v>0</v>
      </c>
      <c r="I7879" s="4"/>
      <c r="J7879" s="1" t="str">
        <f>IFERROR(__xludf.DUMMYFUNCTION("""COMPUTED_VALUE"""),"Ann Dumlao")</f>
        <v>Ann Dumlao</v>
      </c>
      <c r="K7879" s="1" t="str">
        <f>IFERROR(__xludf.DUMMYFUNCTION("""COMPUTED_VALUE"""),"Print Support PH")</f>
        <v>Print Support PH</v>
      </c>
      <c r="L7879" s="1" t="str">
        <f>IFERROR(__xludf.DUMMYFUNCTION("""COMPUTED_VALUE"""),"Print Print - CHT")</f>
        <v>Print Print - CHT</v>
      </c>
    </row>
    <row r="7880">
      <c r="A7880" s="1" t="str">
        <f>IFERROR(__xludf.DUMMYFUNCTION("""COMPUTED_VALUE"""),"2025 Dec")</f>
        <v>2025 Dec</v>
      </c>
      <c r="B7880" s="2">
        <f>IFERROR(__xludf.DUMMYFUNCTION("""COMPUTED_VALUE"""),46020.0)</f>
        <v>46020</v>
      </c>
      <c r="C7880" s="1" t="str">
        <f>IFERROR(__xludf.DUMMYFUNCTION("""COMPUTED_VALUE"""),"Admin Support")</f>
        <v>Admin Support</v>
      </c>
      <c r="D7880" s="1" t="str">
        <f>IFERROR(__xludf.DUMMYFUNCTION("""COMPUTED_VALUE"""),"2440a395-2ee9-49c8-95dd-ec980955ac7b")</f>
        <v>2440a395-2ee9-49c8-95dd-ec980955ac7b</v>
      </c>
      <c r="E7880" s="1">
        <f>IFERROR(__xludf.DUMMYFUNCTION("""COMPUTED_VALUE"""),3.61725375656E11)</f>
        <v>361725375656</v>
      </c>
      <c r="F7880" s="1"/>
      <c r="G7880" s="1"/>
      <c r="H7880" s="3">
        <f>IFERROR(__xludf.DUMMYFUNCTION("""COMPUTED_VALUE"""),0.0)</f>
        <v>0</v>
      </c>
      <c r="I7880" s="4"/>
      <c r="J7880" s="1" t="str">
        <f>IFERROR(__xludf.DUMMYFUNCTION("""COMPUTED_VALUE"""),"Karla Mananghaya")</f>
        <v>Karla Mananghaya</v>
      </c>
      <c r="K7880" s="1" t="str">
        <f>IFERROR(__xludf.DUMMYFUNCTION("""COMPUTED_VALUE"""),"Back of House Operations PH")</f>
        <v>Back of House Operations PH</v>
      </c>
      <c r="L7880" s="1" t="str">
        <f>IFERROR(__xludf.DUMMYFUNCTION("""COMPUTED_VALUE"""),"BoHO SEE")</f>
        <v>BoHO SEE</v>
      </c>
    </row>
    <row r="7881">
      <c r="A7881" s="1" t="str">
        <f>IFERROR(__xludf.DUMMYFUNCTION("""COMPUTED_VALUE"""),"2025 Dec")</f>
        <v>2025 Dec</v>
      </c>
      <c r="B7881" s="2">
        <f>IFERROR(__xludf.DUMMYFUNCTION("""COMPUTED_VALUE"""),46020.0)</f>
        <v>46020</v>
      </c>
      <c r="C7881" s="1" t="str">
        <f>IFERROR(__xludf.DUMMYFUNCTION("""COMPUTED_VALUE"""),"High Sensitivity Support")</f>
        <v>High Sensitivity Support</v>
      </c>
      <c r="D7881" s="1" t="str">
        <f>IFERROR(__xludf.DUMMYFUNCTION("""COMPUTED_VALUE"""),"0bb396c0-8b48-4382-addc-66818b7167ec")</f>
        <v>0bb396c0-8b48-4382-addc-66818b7167ec</v>
      </c>
      <c r="E7881" s="1">
        <f>IFERROR(__xludf.DUMMYFUNCTION("""COMPUTED_VALUE"""),5.566867976335E12)</f>
        <v>5566867976335</v>
      </c>
      <c r="F7881" s="1"/>
      <c r="G7881" s="1"/>
      <c r="H7881" s="3">
        <f>IFERROR(__xludf.DUMMYFUNCTION("""COMPUTED_VALUE"""),0.0)</f>
        <v>0</v>
      </c>
      <c r="I7881" s="4"/>
      <c r="J7881" s="1" t="str">
        <f>IFERROR(__xludf.DUMMYFUNCTION("""COMPUTED_VALUE"""),"Issi Afable")</f>
        <v>Issi Afable</v>
      </c>
      <c r="K7881" s="1" t="str">
        <f>IFERROR(__xludf.DUMMYFUNCTION("""COMPUTED_VALUE"""),"High Sensitivity Support PH")</f>
        <v>High Sensitivity Support PH</v>
      </c>
      <c r="L7881" s="1" t="str">
        <f>IFERROR(__xludf.DUMMYFUNCTION("""COMPUTED_VALUE"""),"HSS High Sensitivity Support PH - SEE")</f>
        <v>HSS High Sensitivity Support PH - SEE</v>
      </c>
    </row>
    <row r="7882">
      <c r="A7882" s="1" t="str">
        <f>IFERROR(__xludf.DUMMYFUNCTION("""COMPUTED_VALUE"""),"2025 Dec")</f>
        <v>2025 Dec</v>
      </c>
      <c r="B7882" s="2">
        <f>IFERROR(__xludf.DUMMYFUNCTION("""COMPUTED_VALUE"""),46020.0)</f>
        <v>46020</v>
      </c>
      <c r="C7882" s="1" t="str">
        <f>IFERROR(__xludf.DUMMYFUNCTION("""COMPUTED_VALUE"""),"Print Support")</f>
        <v>Print Support</v>
      </c>
      <c r="D7882" s="1" t="str">
        <f>IFERROR(__xludf.DUMMYFUNCTION("""COMPUTED_VALUE"""),"bfafe2d2-bab4-4d76-87e0-5b42d5285805")</f>
        <v>bfafe2d2-bab4-4d76-87e0-5b42d5285805</v>
      </c>
      <c r="E7882" s="1">
        <f>IFERROR(__xludf.DUMMYFUNCTION("""COMPUTED_VALUE"""),5.202379009423E12)</f>
        <v>5202379009423</v>
      </c>
      <c r="F7882" s="1"/>
      <c r="G7882" s="1"/>
      <c r="H7882" s="3">
        <f>IFERROR(__xludf.DUMMYFUNCTION("""COMPUTED_VALUE"""),0.0)</f>
        <v>0</v>
      </c>
      <c r="I7882" s="4"/>
      <c r="J7882" s="1" t="str">
        <f>IFERROR(__xludf.DUMMYFUNCTION("""COMPUTED_VALUE"""),"Althea Mercado")</f>
        <v>Althea Mercado</v>
      </c>
      <c r="K7882" s="1" t="str">
        <f>IFERROR(__xludf.DUMMYFUNCTION("""COMPUTED_VALUE"""),"Print Support PH")</f>
        <v>Print Support PH</v>
      </c>
      <c r="L7882" s="1" t="str">
        <f>IFERROR(__xludf.DUMMYFUNCTION("""COMPUTED_VALUE"""),"Print Print - CHT")</f>
        <v>Print Print - CHT</v>
      </c>
    </row>
    <row r="7883">
      <c r="A7883" s="1" t="str">
        <f>IFERROR(__xludf.DUMMYFUNCTION("""COMPUTED_VALUE"""),"2025 Dec")</f>
        <v>2025 Dec</v>
      </c>
      <c r="B7883" s="2">
        <f>IFERROR(__xludf.DUMMYFUNCTION("""COMPUTED_VALUE"""),46020.0)</f>
        <v>46020</v>
      </c>
      <c r="C7883" s="1" t="str">
        <f>IFERROR(__xludf.DUMMYFUNCTION("""COMPUTED_VALUE"""),"Core Product Support")</f>
        <v>Core Product Support</v>
      </c>
      <c r="D7883" s="1" t="str">
        <f>IFERROR(__xludf.DUMMYFUNCTION("""COMPUTED_VALUE"""),"c0f3492c-b6e0-4663-88e9-07ef49890f6a")</f>
        <v>c0f3492c-b6e0-4663-88e9-07ef49890f6a</v>
      </c>
      <c r="E7883" s="1">
        <f>IFERROR(__xludf.DUMMYFUNCTION("""COMPUTED_VALUE"""),7.437401161487E12)</f>
        <v>7437401161487</v>
      </c>
      <c r="F7883" s="1">
        <f>IFERROR(__xludf.DUMMYFUNCTION("""COMPUTED_VALUE"""),0.5)</f>
        <v>0.5</v>
      </c>
      <c r="G7883" s="1"/>
      <c r="H7883" s="3">
        <f>IFERROR(__xludf.DUMMYFUNCTION("""COMPUTED_VALUE"""),0.5)</f>
        <v>0.5</v>
      </c>
      <c r="I7883" s="4">
        <f>IFERROR(__xludf.DUMMYFUNCTION("""COMPUTED_VALUE"""),0.0)</f>
        <v>0</v>
      </c>
      <c r="J7883" s="1" t="str">
        <f>IFERROR(__xludf.DUMMYFUNCTION("""COMPUTED_VALUE"""),"Renette Bok")</f>
        <v>Renette Bok</v>
      </c>
      <c r="K7883" s="1" t="str">
        <f>IFERROR(__xludf.DUMMYFUNCTION("""COMPUTED_VALUE"""),"Advanced Billing &amp; Subscriptions")</f>
        <v>Advanced Billing &amp; Subscriptions</v>
      </c>
      <c r="L7883" s="1" t="str">
        <f>IFERROR(__xludf.DUMMYFUNCTION("""COMPUTED_VALUE"""),"CPS Advanced Billing and Subscriptions (ABS)")</f>
        <v>CPS Advanced Billing and Subscriptions (ABS)</v>
      </c>
    </row>
    <row r="7884">
      <c r="A7884" s="1" t="str">
        <f>IFERROR(__xludf.DUMMYFUNCTION("""COMPUTED_VALUE"""),"2025 Dec")</f>
        <v>2025 Dec</v>
      </c>
      <c r="B7884" s="2">
        <f>IFERROR(__xludf.DUMMYFUNCTION("""COMPUTED_VALUE"""),46020.0)</f>
        <v>46020</v>
      </c>
      <c r="C7884" s="1" t="str">
        <f>IFERROR(__xludf.DUMMYFUNCTION("""COMPUTED_VALUE"""),"Core Product Support")</f>
        <v>Core Product Support</v>
      </c>
      <c r="D7884" s="1" t="str">
        <f>IFERROR(__xludf.DUMMYFUNCTION("""COMPUTED_VALUE"""),"3335501a-b303-4b1b-b874-e502875b9c00")</f>
        <v>3335501a-b303-4b1b-b874-e502875b9c00</v>
      </c>
      <c r="E7884" s="1">
        <f>IFERROR(__xludf.DUMMYFUNCTION("""COMPUTED_VALUE"""),5.901973624079E12)</f>
        <v>5901973624079</v>
      </c>
      <c r="F7884" s="1">
        <f>IFERROR(__xludf.DUMMYFUNCTION("""COMPUTED_VALUE"""),0.5)</f>
        <v>0.5</v>
      </c>
      <c r="G7884" s="1">
        <f>IFERROR(__xludf.DUMMYFUNCTION("""COMPUTED_VALUE"""),2.5)</f>
        <v>2.5</v>
      </c>
      <c r="H7884" s="3">
        <f>IFERROR(__xludf.DUMMYFUNCTION("""COMPUTED_VALUE"""),3.0)</f>
        <v>3</v>
      </c>
      <c r="I7884" s="4">
        <f>IFERROR(__xludf.DUMMYFUNCTION("""COMPUTED_VALUE"""),0.8333333333333334)</f>
        <v>0.8333333333</v>
      </c>
      <c r="J7884" s="1" t="str">
        <f>IFERROR(__xludf.DUMMYFUNCTION("""COMPUTED_VALUE"""),"Bem Launte")</f>
        <v>Bem Launte</v>
      </c>
      <c r="K7884" s="1" t="str">
        <f>IFERROR(__xludf.DUMMYFUNCTION("""COMPUTED_VALUE"""),"Core Product Support Escalation Team")</f>
        <v>Core Product Support Escalation Team</v>
      </c>
      <c r="L7884" s="1" t="str">
        <f>IFERROR(__xludf.DUMMYFUNCTION("""COMPUTED_VALUE"""),"CPS Core Product Support Escalations (CPSET)")</f>
        <v>CPS Core Product Support Escalations (CPSET)</v>
      </c>
    </row>
    <row r="7885">
      <c r="A7885" s="1" t="str">
        <f>IFERROR(__xludf.DUMMYFUNCTION("""COMPUTED_VALUE"""),"2025 Dec")</f>
        <v>2025 Dec</v>
      </c>
      <c r="B7885" s="2">
        <f>IFERROR(__xludf.DUMMYFUNCTION("""COMPUTED_VALUE"""),46020.0)</f>
        <v>46020</v>
      </c>
      <c r="C7885" s="1" t="str">
        <f>IFERROR(__xludf.DUMMYFUNCTION("""COMPUTED_VALUE"""),"Print Support")</f>
        <v>Print Support</v>
      </c>
      <c r="D7885" s="1" t="str">
        <f>IFERROR(__xludf.DUMMYFUNCTION("""COMPUTED_VALUE"""),"81f19830-f845-4879-96ee-0654dc8f6f68")</f>
        <v>81f19830-f845-4879-96ee-0654dc8f6f68</v>
      </c>
      <c r="E7885" s="1">
        <f>IFERROR(__xludf.DUMMYFUNCTION("""COMPUTED_VALUE"""),3.61750058635E11)</f>
        <v>361750058635</v>
      </c>
      <c r="F7885" s="1"/>
      <c r="G7885" s="1"/>
      <c r="H7885" s="3">
        <f>IFERROR(__xludf.DUMMYFUNCTION("""COMPUTED_VALUE"""),0.0)</f>
        <v>0</v>
      </c>
      <c r="I7885" s="4"/>
      <c r="J7885" s="1" t="str">
        <f>IFERROR(__xludf.DUMMYFUNCTION("""COMPUTED_VALUE"""),"Rae Erlano")</f>
        <v>Rae Erlano</v>
      </c>
      <c r="K7885" s="1" t="str">
        <f>IFERROR(__xludf.DUMMYFUNCTION("""COMPUTED_VALUE"""),"Print Support PH")</f>
        <v>Print Support PH</v>
      </c>
      <c r="L7885" s="1" t="str">
        <f>IFERROR(__xludf.DUMMYFUNCTION("""COMPUTED_VALUE"""),"Print Print - CHT")</f>
        <v>Print Print - CHT</v>
      </c>
    </row>
    <row r="7886">
      <c r="A7886" s="1" t="str">
        <f>IFERROR(__xludf.DUMMYFUNCTION("""COMPUTED_VALUE"""),"2025 Dec")</f>
        <v>2025 Dec</v>
      </c>
      <c r="B7886" s="2">
        <f>IFERROR(__xludf.DUMMYFUNCTION("""COMPUTED_VALUE"""),46020.0)</f>
        <v>46020</v>
      </c>
      <c r="C7886" s="1" t="str">
        <f>IFERROR(__xludf.DUMMYFUNCTION("""COMPUTED_VALUE"""),"Core Product Support")</f>
        <v>Core Product Support</v>
      </c>
      <c r="D7886" s="1" t="str">
        <f>IFERROR(__xludf.DUMMYFUNCTION("""COMPUTED_VALUE"""),"2e981db7-61ee-4b53-aef6-4c4cc65464d7")</f>
        <v>2e981db7-61ee-4b53-aef6-4c4cc65464d7</v>
      </c>
      <c r="E7886" s="1">
        <f>IFERROR(__xludf.DUMMYFUNCTION("""COMPUTED_VALUE"""),8.904435850895E12)</f>
        <v>8904435850895</v>
      </c>
      <c r="F7886" s="1">
        <f>IFERROR(__xludf.DUMMYFUNCTION("""COMPUTED_VALUE"""),0.5)</f>
        <v>0.5</v>
      </c>
      <c r="G7886" s="1"/>
      <c r="H7886" s="3">
        <f>IFERROR(__xludf.DUMMYFUNCTION("""COMPUTED_VALUE"""),0.5)</f>
        <v>0.5</v>
      </c>
      <c r="I7886" s="4">
        <f>IFERROR(__xludf.DUMMYFUNCTION("""COMPUTED_VALUE"""),0.0)</f>
        <v>0</v>
      </c>
      <c r="J7886" s="1" t="str">
        <f>IFERROR(__xludf.DUMMYFUNCTION("""COMPUTED_VALUE"""),"Mikhaela Decangchon")</f>
        <v>Mikhaela Decangchon</v>
      </c>
      <c r="K7886" s="1" t="str">
        <f>IFERROR(__xludf.DUMMYFUNCTION("""COMPUTED_VALUE"""),"Advanced Product Support")</f>
        <v>Advanced Product Support</v>
      </c>
      <c r="L7886" s="1" t="str">
        <f>IFERROR(__xludf.DUMMYFUNCTION("""COMPUTED_VALUE"""),"CPS Advanced Product Support (APS)")</f>
        <v>CPS Advanced Product Support (APS)</v>
      </c>
    </row>
    <row r="7887">
      <c r="A7887" s="1" t="str">
        <f>IFERROR(__xludf.DUMMYFUNCTION("""COMPUTED_VALUE"""),"2025 Dec")</f>
        <v>2025 Dec</v>
      </c>
      <c r="B7887" s="2">
        <f>IFERROR(__xludf.DUMMYFUNCTION("""COMPUTED_VALUE"""),46020.0)</f>
        <v>46020</v>
      </c>
      <c r="C7887" s="1" t="str">
        <f>IFERROR(__xludf.DUMMYFUNCTION("""COMPUTED_VALUE"""),"Segment-specific Support")</f>
        <v>Segment-specific Support</v>
      </c>
      <c r="D7887" s="1" t="str">
        <f>IFERROR(__xludf.DUMMYFUNCTION("""COMPUTED_VALUE"""),"a9175f4e-c2a3-4f80-bd6c-76adc2cfcef8")</f>
        <v>a9175f4e-c2a3-4f80-bd6c-76adc2cfcef8</v>
      </c>
      <c r="E7887" s="1">
        <f>IFERROR(__xludf.DUMMYFUNCTION("""COMPUTED_VALUE"""),5.359144633743E12)</f>
        <v>5359144633743</v>
      </c>
      <c r="F7887" s="1"/>
      <c r="G7887" s="1"/>
      <c r="H7887" s="3">
        <f>IFERROR(__xludf.DUMMYFUNCTION("""COMPUTED_VALUE"""),0.0)</f>
        <v>0</v>
      </c>
      <c r="I7887" s="4"/>
      <c r="J7887" s="1" t="str">
        <f>IFERROR(__xludf.DUMMYFUNCTION("""COMPUTED_VALUE"""),"Tash Kelly")</f>
        <v>Tash Kelly</v>
      </c>
      <c r="K7887" s="1" t="str">
        <f>IFERROR(__xludf.DUMMYFUNCTION("""COMPUTED_VALUE"""),"Affinity Support")</f>
        <v>Affinity Support</v>
      </c>
      <c r="L7887" s="1" t="str">
        <f>IFERROR(__xludf.DUMMYFUNCTION("""COMPUTED_VALUE"""),"SSS Affinity")</f>
        <v>SSS Affinity</v>
      </c>
    </row>
    <row r="7888">
      <c r="A7888" s="1" t="str">
        <f>IFERROR(__xludf.DUMMYFUNCTION("""COMPUTED_VALUE"""),"2025 Dec")</f>
        <v>2025 Dec</v>
      </c>
      <c r="B7888" s="2">
        <f>IFERROR(__xludf.DUMMYFUNCTION("""COMPUTED_VALUE"""),46020.0)</f>
        <v>46020</v>
      </c>
      <c r="C7888" s="1" t="str">
        <f>IFERROR(__xludf.DUMMYFUNCTION("""COMPUTED_VALUE"""),"Print Support")</f>
        <v>Print Support</v>
      </c>
      <c r="D7888" s="1" t="str">
        <f>IFERROR(__xludf.DUMMYFUNCTION("""COMPUTED_VALUE"""),"c099fecd-f2e4-4b33-8ba3-1c6779033d42")</f>
        <v>c099fecd-f2e4-4b33-8ba3-1c6779033d42</v>
      </c>
      <c r="E7888" s="1">
        <f>IFERROR(__xludf.DUMMYFUNCTION("""COMPUTED_VALUE"""),5.901988081807E12)</f>
        <v>5901988081807</v>
      </c>
      <c r="F7888" s="1"/>
      <c r="G7888" s="1"/>
      <c r="H7888" s="3">
        <f>IFERROR(__xludf.DUMMYFUNCTION("""COMPUTED_VALUE"""),0.0)</f>
        <v>0</v>
      </c>
      <c r="I7888" s="4"/>
      <c r="J7888" s="1" t="str">
        <f>IFERROR(__xludf.DUMMYFUNCTION("""COMPUTED_VALUE"""),"Rae Erlano")</f>
        <v>Rae Erlano</v>
      </c>
      <c r="K7888" s="1" t="str">
        <f>IFERROR(__xludf.DUMMYFUNCTION("""COMPUTED_VALUE"""),"Print Support PH")</f>
        <v>Print Support PH</v>
      </c>
      <c r="L7888" s="1" t="str">
        <f>IFERROR(__xludf.DUMMYFUNCTION("""COMPUTED_VALUE"""),"Print Print - CHT")</f>
        <v>Print Print - CHT</v>
      </c>
    </row>
    <row r="7889">
      <c r="A7889" s="1" t="str">
        <f>IFERROR(__xludf.DUMMYFUNCTION("""COMPUTED_VALUE"""),"2025 Dec")</f>
        <v>2025 Dec</v>
      </c>
      <c r="B7889" s="2">
        <f>IFERROR(__xludf.DUMMYFUNCTION("""COMPUTED_VALUE"""),46020.0)</f>
        <v>46020</v>
      </c>
      <c r="C7889" s="1" t="str">
        <f>IFERROR(__xludf.DUMMYFUNCTION("""COMPUTED_VALUE"""),"Print Support")</f>
        <v>Print Support</v>
      </c>
      <c r="D7889" s="1" t="str">
        <f>IFERROR(__xludf.DUMMYFUNCTION("""COMPUTED_VALUE"""),"f49619b0-d053-442f-946d-b652dbfb2703")</f>
        <v>f49619b0-d053-442f-946d-b652dbfb2703</v>
      </c>
      <c r="E7889" s="1"/>
      <c r="F7889" s="1"/>
      <c r="G7889" s="1"/>
      <c r="H7889" s="3">
        <f>IFERROR(__xludf.DUMMYFUNCTION("""COMPUTED_VALUE"""),0.0)</f>
        <v>0</v>
      </c>
      <c r="I7889" s="4"/>
      <c r="J7889" s="1" t="str">
        <f>IFERROR(__xludf.DUMMYFUNCTION("""COMPUTED_VALUE"""),"Aliza Dote")</f>
        <v>Aliza Dote</v>
      </c>
      <c r="K7889" s="1" t="str">
        <f>IFERROR(__xludf.DUMMYFUNCTION("""COMPUTED_VALUE"""),"Print Design Support")</f>
        <v>Print Design Support</v>
      </c>
      <c r="L7889" s="1" t="str">
        <f>IFERROR(__xludf.DUMMYFUNCTION("""COMPUTED_VALUE"""),"Print Print Design")</f>
        <v>Print Print Design</v>
      </c>
    </row>
    <row r="7890">
      <c r="A7890" s="1" t="str">
        <f>IFERROR(__xludf.DUMMYFUNCTION("""COMPUTED_VALUE"""),"2025 Dec")</f>
        <v>2025 Dec</v>
      </c>
      <c r="B7890" s="2">
        <f>IFERROR(__xludf.DUMMYFUNCTION("""COMPUTED_VALUE"""),46020.0)</f>
        <v>46020</v>
      </c>
      <c r="C7890" s="1" t="str">
        <f>IFERROR(__xludf.DUMMYFUNCTION("""COMPUTED_VALUE"""),"Core Product Support")</f>
        <v>Core Product Support</v>
      </c>
      <c r="D7890" s="1" t="str">
        <f>IFERROR(__xludf.DUMMYFUNCTION("""COMPUTED_VALUE"""),"34b01611-0778-4238-845c-71a5fb4b19f1")</f>
        <v>34b01611-0778-4238-845c-71a5fb4b19f1</v>
      </c>
      <c r="E7890" s="1">
        <f>IFERROR(__xludf.DUMMYFUNCTION("""COMPUTED_VALUE"""),1.0005722473615E13)</f>
        <v>10005722473615</v>
      </c>
      <c r="F7890" s="1">
        <f>IFERROR(__xludf.DUMMYFUNCTION("""COMPUTED_VALUE"""),0.5)</f>
        <v>0.5</v>
      </c>
      <c r="G7890" s="1"/>
      <c r="H7890" s="3">
        <f>IFERROR(__xludf.DUMMYFUNCTION("""COMPUTED_VALUE"""),0.5)</f>
        <v>0.5</v>
      </c>
      <c r="I7890" s="4">
        <f>IFERROR(__xludf.DUMMYFUNCTION("""COMPUTED_VALUE"""),0.0)</f>
        <v>0</v>
      </c>
      <c r="J7890" s="1" t="str">
        <f>IFERROR(__xludf.DUMMYFUNCTION("""COMPUTED_VALUE"""),"Vianca De Jesus")</f>
        <v>Vianca De Jesus</v>
      </c>
      <c r="K7890" s="1" t="str">
        <f>IFERROR(__xludf.DUMMYFUNCTION("""COMPUTED_VALUE"""),"Advanced Billing &amp; Subscriptions")</f>
        <v>Advanced Billing &amp; Subscriptions</v>
      </c>
      <c r="L7890" s="1" t="str">
        <f>IFERROR(__xludf.DUMMYFUNCTION("""COMPUTED_VALUE"""),"CPS Advanced Billing and Subscriptions (ABS)")</f>
        <v>CPS Advanced Billing and Subscriptions (ABS)</v>
      </c>
    </row>
    <row r="7891">
      <c r="A7891" s="1" t="str">
        <f>IFERROR(__xludf.DUMMYFUNCTION("""COMPUTED_VALUE"""),"2025 Dec")</f>
        <v>2025 Dec</v>
      </c>
      <c r="B7891" s="2">
        <f>IFERROR(__xludf.DUMMYFUNCTION("""COMPUTED_VALUE"""),46020.0)</f>
        <v>46020</v>
      </c>
      <c r="C7891" s="1" t="str">
        <f>IFERROR(__xludf.DUMMYFUNCTION("""COMPUTED_VALUE"""),"Core Product Support")</f>
        <v>Core Product Support</v>
      </c>
      <c r="D7891" s="1" t="str">
        <f>IFERROR(__xludf.DUMMYFUNCTION("""COMPUTED_VALUE"""),"29f1cfbb-326c-4f39-b32d-9350f380b21a")</f>
        <v>29f1cfbb-326c-4f39-b32d-9350f380b21a</v>
      </c>
      <c r="E7891" s="1">
        <f>IFERROR(__xludf.DUMMYFUNCTION("""COMPUTED_VALUE"""),3.61732161455E11)</f>
        <v>361732161455</v>
      </c>
      <c r="F7891" s="1">
        <f>IFERROR(__xludf.DUMMYFUNCTION("""COMPUTED_VALUE"""),0.5)</f>
        <v>0.5</v>
      </c>
      <c r="G7891" s="1">
        <f>IFERROR(__xludf.DUMMYFUNCTION("""COMPUTED_VALUE"""),2.0)</f>
        <v>2</v>
      </c>
      <c r="H7891" s="3">
        <f>IFERROR(__xludf.DUMMYFUNCTION("""COMPUTED_VALUE"""),2.5)</f>
        <v>2.5</v>
      </c>
      <c r="I7891" s="4">
        <f>IFERROR(__xludf.DUMMYFUNCTION("""COMPUTED_VALUE"""),0.8)</f>
        <v>0.8</v>
      </c>
      <c r="J7891" s="1" t="str">
        <f>IFERROR(__xludf.DUMMYFUNCTION("""COMPUTED_VALUE"""),"Bem Launte")</f>
        <v>Bem Launte</v>
      </c>
      <c r="K7891" s="1" t="str">
        <f>IFERROR(__xludf.DUMMYFUNCTION("""COMPUTED_VALUE"""),"Core Product Support Escalation Team")</f>
        <v>Core Product Support Escalation Team</v>
      </c>
      <c r="L7891" s="1" t="str">
        <f>IFERROR(__xludf.DUMMYFUNCTION("""COMPUTED_VALUE"""),"CPS Core Product Support Escalations (CPSET)")</f>
        <v>CPS Core Product Support Escalations (CPSET)</v>
      </c>
    </row>
    <row r="7892">
      <c r="A7892" s="1" t="str">
        <f>IFERROR(__xludf.DUMMYFUNCTION("""COMPUTED_VALUE"""),"2025 Dec")</f>
        <v>2025 Dec</v>
      </c>
      <c r="B7892" s="2">
        <f>IFERROR(__xludf.DUMMYFUNCTION("""COMPUTED_VALUE"""),46020.0)</f>
        <v>46020</v>
      </c>
      <c r="C7892" s="1" t="str">
        <f>IFERROR(__xludf.DUMMYFUNCTION("""COMPUTED_VALUE"""),"Print Support")</f>
        <v>Print Support</v>
      </c>
      <c r="D7892" s="1" t="str">
        <f>IFERROR(__xludf.DUMMYFUNCTION("""COMPUTED_VALUE"""),"e7288a86-def8-455e-9571-0e09ee52eb10")</f>
        <v>e7288a86-def8-455e-9571-0e09ee52eb10</v>
      </c>
      <c r="E7892" s="1">
        <f>IFERROR(__xludf.DUMMYFUNCTION("""COMPUTED_VALUE"""),5.566843775631E12)</f>
        <v>5566843775631</v>
      </c>
      <c r="F7892" s="1"/>
      <c r="G7892" s="1"/>
      <c r="H7892" s="3">
        <f>IFERROR(__xludf.DUMMYFUNCTION("""COMPUTED_VALUE"""),0.0)</f>
        <v>0</v>
      </c>
      <c r="I7892" s="4"/>
      <c r="J7892" s="1" t="str">
        <f>IFERROR(__xludf.DUMMYFUNCTION("""COMPUTED_VALUE"""),"Rae Erlano")</f>
        <v>Rae Erlano</v>
      </c>
      <c r="K7892" s="1" t="str">
        <f>IFERROR(__xludf.DUMMYFUNCTION("""COMPUTED_VALUE"""),"Print Support PH")</f>
        <v>Print Support PH</v>
      </c>
      <c r="L7892" s="1" t="str">
        <f>IFERROR(__xludf.DUMMYFUNCTION("""COMPUTED_VALUE"""),"Print Print - CHT")</f>
        <v>Print Print - CHT</v>
      </c>
    </row>
    <row r="7893">
      <c r="A7893" s="1" t="str">
        <f>IFERROR(__xludf.DUMMYFUNCTION("""COMPUTED_VALUE"""),"2025 Dec")</f>
        <v>2025 Dec</v>
      </c>
      <c r="B7893" s="2">
        <f>IFERROR(__xludf.DUMMYFUNCTION("""COMPUTED_VALUE"""),46020.0)</f>
        <v>46020</v>
      </c>
      <c r="C7893" s="1" t="str">
        <f>IFERROR(__xludf.DUMMYFUNCTION("""COMPUTED_VALUE"""),"Admin Support")</f>
        <v>Admin Support</v>
      </c>
      <c r="D7893" s="1" t="str">
        <f>IFERROR(__xludf.DUMMYFUNCTION("""COMPUTED_VALUE"""),"c771ba05-3c70-40d0-afa5-186bade746f2")</f>
        <v>c771ba05-3c70-40d0-afa5-186bade746f2</v>
      </c>
      <c r="E7893" s="1">
        <f>IFERROR(__xludf.DUMMYFUNCTION("""COMPUTED_VALUE"""),7.437392979983E12)</f>
        <v>7437392979983</v>
      </c>
      <c r="F7893" s="1"/>
      <c r="G7893" s="1"/>
      <c r="H7893" s="3">
        <f>IFERROR(__xludf.DUMMYFUNCTION("""COMPUTED_VALUE"""),0.0)</f>
        <v>0</v>
      </c>
      <c r="I7893" s="4"/>
      <c r="J7893" s="1" t="str">
        <f>IFERROR(__xludf.DUMMYFUNCTION("""COMPUTED_VALUE"""),"Rose Gabilan")</f>
        <v>Rose Gabilan</v>
      </c>
      <c r="K7893" s="1" t="str">
        <f>IFERROR(__xludf.DUMMYFUNCTION("""COMPUTED_VALUE"""),"Admin Support PH SSO")</f>
        <v>Admin Support PH SSO</v>
      </c>
      <c r="L7893" s="1" t="str">
        <f>IFERROR(__xludf.DUMMYFUNCTION("""COMPUTED_VALUE"""),"Admin SSO - CHT")</f>
        <v>Admin SSO - CHT</v>
      </c>
    </row>
    <row r="7894">
      <c r="A7894" s="1" t="str">
        <f>IFERROR(__xludf.DUMMYFUNCTION("""COMPUTED_VALUE"""),"2025 Dec")</f>
        <v>2025 Dec</v>
      </c>
      <c r="B7894" s="2">
        <f>IFERROR(__xludf.DUMMYFUNCTION("""COMPUTED_VALUE"""),46020.0)</f>
        <v>46020</v>
      </c>
      <c r="C7894" s="1" t="str">
        <f>IFERROR(__xludf.DUMMYFUNCTION("""COMPUTED_VALUE"""),"Admin Support")</f>
        <v>Admin Support</v>
      </c>
      <c r="D7894" s="1" t="str">
        <f>IFERROR(__xludf.DUMMYFUNCTION("""COMPUTED_VALUE"""),"5e57a2c8-fe7b-40fb-b179-0090e8e3060b")</f>
        <v>5e57a2c8-fe7b-40fb-b179-0090e8e3060b</v>
      </c>
      <c r="E7894" s="1">
        <f>IFERROR(__xludf.DUMMYFUNCTION("""COMPUTED_VALUE"""),3.61733079315E11)</f>
        <v>361733079315</v>
      </c>
      <c r="F7894" s="1"/>
      <c r="G7894" s="1"/>
      <c r="H7894" s="3">
        <f>IFERROR(__xludf.DUMMYFUNCTION("""COMPUTED_VALUE"""),0.0)</f>
        <v>0</v>
      </c>
      <c r="I7894" s="4"/>
      <c r="J7894" s="1" t="str">
        <f>IFERROR(__xludf.DUMMYFUNCTION("""COMPUTED_VALUE"""),"Kelden Laguting")</f>
        <v>Kelden Laguting</v>
      </c>
      <c r="K7894" s="1" t="str">
        <f>IFERROR(__xludf.DUMMYFUNCTION("""COMPUTED_VALUE"""),"Admin Support PH")</f>
        <v>Admin Support PH</v>
      </c>
      <c r="L7894" s="1" t="str">
        <f>IFERROR(__xludf.DUMMYFUNCTION("""COMPUTED_VALUE"""),"Admin PH")</f>
        <v>Admin PH</v>
      </c>
    </row>
    <row r="7895">
      <c r="A7895" s="1" t="str">
        <f>IFERROR(__xludf.DUMMYFUNCTION("""COMPUTED_VALUE"""),"2025 Dec")</f>
        <v>2025 Dec</v>
      </c>
      <c r="B7895" s="2">
        <f>IFERROR(__xludf.DUMMYFUNCTION("""COMPUTED_VALUE"""),46020.0)</f>
        <v>46020</v>
      </c>
      <c r="C7895" s="1" t="str">
        <f>IFERROR(__xludf.DUMMYFUNCTION("""COMPUTED_VALUE"""),"High Sensitivity Support")</f>
        <v>High Sensitivity Support</v>
      </c>
      <c r="D7895" s="1" t="str">
        <f>IFERROR(__xludf.DUMMYFUNCTION("""COMPUTED_VALUE"""),"b7fd1097-c419-4ccc-9d67-4b66f71021a1")</f>
        <v>b7fd1097-c419-4ccc-9d67-4b66f71021a1</v>
      </c>
      <c r="E7895" s="1">
        <f>IFERROR(__xludf.DUMMYFUNCTION("""COMPUTED_VALUE"""),8.139562541455E12)</f>
        <v>8139562541455</v>
      </c>
      <c r="F7895" s="1">
        <f>IFERROR(__xludf.DUMMYFUNCTION("""COMPUTED_VALUE"""),4.0)</f>
        <v>4</v>
      </c>
      <c r="G7895" s="1"/>
      <c r="H7895" s="3">
        <f>IFERROR(__xludf.DUMMYFUNCTION("""COMPUTED_VALUE"""),4.0)</f>
        <v>4</v>
      </c>
      <c r="I7895" s="4">
        <f>IFERROR(__xludf.DUMMYFUNCTION("""COMPUTED_VALUE"""),0.0)</f>
        <v>0</v>
      </c>
      <c r="J7895" s="1" t="str">
        <f>IFERROR(__xludf.DUMMYFUNCTION("""COMPUTED_VALUE"""),"Rossheen Pura")</f>
        <v>Rossheen Pura</v>
      </c>
      <c r="K7895" s="1" t="str">
        <f>IFERROR(__xludf.DUMMYFUNCTION("""COMPUTED_VALUE"""),"High Sensitivity Support PH")</f>
        <v>High Sensitivity Support PH</v>
      </c>
      <c r="L7895" s="1" t="str">
        <f>IFERROR(__xludf.DUMMYFUNCTION("""COMPUTED_VALUE"""),"HSS High Sensitivity Support PH - CHT")</f>
        <v>HSS High Sensitivity Support PH - CHT</v>
      </c>
    </row>
    <row r="7896">
      <c r="A7896" s="1" t="str">
        <f>IFERROR(__xludf.DUMMYFUNCTION("""COMPUTED_VALUE"""),"2025 Dec")</f>
        <v>2025 Dec</v>
      </c>
      <c r="B7896" s="2">
        <f>IFERROR(__xludf.DUMMYFUNCTION("""COMPUTED_VALUE"""),46020.0)</f>
        <v>46020</v>
      </c>
      <c r="C7896" s="1" t="str">
        <f>IFERROR(__xludf.DUMMYFUNCTION("""COMPUTED_VALUE"""),"Core Product Support")</f>
        <v>Core Product Support</v>
      </c>
      <c r="D7896" s="1" t="str">
        <f>IFERROR(__xludf.DUMMYFUNCTION("""COMPUTED_VALUE"""),"20080360-d6b6-487a-ad2b-4d92f14a3e3a")</f>
        <v>20080360-d6b6-487a-ad2b-4d92f14a3e3a</v>
      </c>
      <c r="E7896" s="1">
        <f>IFERROR(__xludf.DUMMYFUNCTION("""COMPUTED_VALUE"""),5.901973593231E12)</f>
        <v>5901973593231</v>
      </c>
      <c r="F7896" s="1">
        <f>IFERROR(__xludf.DUMMYFUNCTION("""COMPUTED_VALUE"""),0.5)</f>
        <v>0.5</v>
      </c>
      <c r="G7896" s="1"/>
      <c r="H7896" s="3">
        <f>IFERROR(__xludf.DUMMYFUNCTION("""COMPUTED_VALUE"""),0.5)</f>
        <v>0.5</v>
      </c>
      <c r="I7896" s="4">
        <f>IFERROR(__xludf.DUMMYFUNCTION("""COMPUTED_VALUE"""),0.0)</f>
        <v>0</v>
      </c>
      <c r="J7896" s="1" t="str">
        <f>IFERROR(__xludf.DUMMYFUNCTION("""COMPUTED_VALUE"""),"Jelyn Elmido")</f>
        <v>Jelyn Elmido</v>
      </c>
      <c r="K7896" s="1" t="str">
        <f>IFERROR(__xludf.DUMMYFUNCTION("""COMPUTED_VALUE"""),"Advanced Product Support")</f>
        <v>Advanced Product Support</v>
      </c>
      <c r="L7896" s="1" t="str">
        <f>IFERROR(__xludf.DUMMYFUNCTION("""COMPUTED_VALUE"""),"CPS Advanced Product Support (APS)")</f>
        <v>CPS Advanced Product Support (APS)</v>
      </c>
    </row>
    <row r="7897">
      <c r="A7897" s="1" t="str">
        <f>IFERROR(__xludf.DUMMYFUNCTION("""COMPUTED_VALUE"""),"2025 Dec")</f>
        <v>2025 Dec</v>
      </c>
      <c r="B7897" s="2">
        <f>IFERROR(__xludf.DUMMYFUNCTION("""COMPUTED_VALUE"""),46020.0)</f>
        <v>46020</v>
      </c>
      <c r="C7897" s="1" t="str">
        <f>IFERROR(__xludf.DUMMYFUNCTION("""COMPUTED_VALUE"""),"High Sensitivity Support")</f>
        <v>High Sensitivity Support</v>
      </c>
      <c r="D7897" s="1" t="str">
        <f>IFERROR(__xludf.DUMMYFUNCTION("""COMPUTED_VALUE"""),"27bbaf2c-6971-4b55-91a0-193260eb00dd")</f>
        <v>27bbaf2c-6971-4b55-91a0-193260eb00dd</v>
      </c>
      <c r="E7897" s="1">
        <f>IFERROR(__xludf.DUMMYFUNCTION("""COMPUTED_VALUE"""),5.202441057551E12)</f>
        <v>5202441057551</v>
      </c>
      <c r="F7897" s="1"/>
      <c r="G7897" s="1"/>
      <c r="H7897" s="3">
        <f>IFERROR(__xludf.DUMMYFUNCTION("""COMPUTED_VALUE"""),0.0)</f>
        <v>0</v>
      </c>
      <c r="I7897" s="4"/>
      <c r="J7897" s="1" t="str">
        <f>IFERROR(__xludf.DUMMYFUNCTION("""COMPUTED_VALUE"""),"Xandy Azarcon")</f>
        <v>Xandy Azarcon</v>
      </c>
      <c r="K7897" s="1" t="str">
        <f>IFERROR(__xludf.DUMMYFUNCTION("""COMPUTED_VALUE"""),"High Sensitivity Support PH")</f>
        <v>High Sensitivity Support PH</v>
      </c>
      <c r="L7897" s="1" t="str">
        <f>IFERROR(__xludf.DUMMYFUNCTION("""COMPUTED_VALUE"""),"HSS High Sensitivity Support PH - CHT")</f>
        <v>HSS High Sensitivity Support PH - CHT</v>
      </c>
    </row>
    <row r="7898">
      <c r="A7898" s="1" t="str">
        <f>IFERROR(__xludf.DUMMYFUNCTION("""COMPUTED_VALUE"""),"2025 Dec")</f>
        <v>2025 Dec</v>
      </c>
      <c r="B7898" s="2">
        <f>IFERROR(__xludf.DUMMYFUNCTION("""COMPUTED_VALUE"""),46020.0)</f>
        <v>46020</v>
      </c>
      <c r="C7898" s="1" t="str">
        <f>IFERROR(__xludf.DUMMYFUNCTION("""COMPUTED_VALUE"""),"Core Product Support")</f>
        <v>Core Product Support</v>
      </c>
      <c r="D7898" s="1" t="str">
        <f>IFERROR(__xludf.DUMMYFUNCTION("""COMPUTED_VALUE"""),"426201d1-0b5d-4900-95cc-7a8b0c35e471")</f>
        <v>426201d1-0b5d-4900-95cc-7a8b0c35e471</v>
      </c>
      <c r="E7898" s="1">
        <f>IFERROR(__xludf.DUMMYFUNCTION("""COMPUTED_VALUE"""),7.235417174415E12)</f>
        <v>7235417174415</v>
      </c>
      <c r="F7898" s="1">
        <f>IFERROR(__xludf.DUMMYFUNCTION("""COMPUTED_VALUE"""),0.5)</f>
        <v>0.5</v>
      </c>
      <c r="G7898" s="1"/>
      <c r="H7898" s="3">
        <f>IFERROR(__xludf.DUMMYFUNCTION("""COMPUTED_VALUE"""),0.5)</f>
        <v>0.5</v>
      </c>
      <c r="I7898" s="4">
        <f>IFERROR(__xludf.DUMMYFUNCTION("""COMPUTED_VALUE"""),0.0)</f>
        <v>0</v>
      </c>
      <c r="J7898" s="1" t="str">
        <f>IFERROR(__xludf.DUMMYFUNCTION("""COMPUTED_VALUE"""),"Ana Lazaro")</f>
        <v>Ana Lazaro</v>
      </c>
      <c r="K7898" s="1" t="str">
        <f>IFERROR(__xludf.DUMMYFUNCTION("""COMPUTED_VALUE"""),"Advanced Billing &amp; Subscriptions")</f>
        <v>Advanced Billing &amp; Subscriptions</v>
      </c>
      <c r="L7898" s="1" t="str">
        <f>IFERROR(__xludf.DUMMYFUNCTION("""COMPUTED_VALUE"""),"CPS Advanced Billing and Subscriptions (ABS)")</f>
        <v>CPS Advanced Billing and Subscriptions (ABS)</v>
      </c>
    </row>
    <row r="7899">
      <c r="A7899" s="1" t="str">
        <f>IFERROR(__xludf.DUMMYFUNCTION("""COMPUTED_VALUE"""),"2025 Dec")</f>
        <v>2025 Dec</v>
      </c>
      <c r="B7899" s="2">
        <f>IFERROR(__xludf.DUMMYFUNCTION("""COMPUTED_VALUE"""),46020.0)</f>
        <v>46020</v>
      </c>
      <c r="C7899" s="1" t="str">
        <f>IFERROR(__xludf.DUMMYFUNCTION("""COMPUTED_VALUE"""),"Print Support")</f>
        <v>Print Support</v>
      </c>
      <c r="D7899" s="1" t="str">
        <f>IFERROR(__xludf.DUMMYFUNCTION("""COMPUTED_VALUE"""),"ae33c457-9730-4b61-af51-a03edb80253a")</f>
        <v>ae33c457-9730-4b61-af51-a03edb80253a</v>
      </c>
      <c r="E7899" s="1">
        <f>IFERROR(__xludf.DUMMYFUNCTION("""COMPUTED_VALUE"""),3.61733077175E11)</f>
        <v>361733077175</v>
      </c>
      <c r="F7899" s="1"/>
      <c r="G7899" s="1"/>
      <c r="H7899" s="3">
        <f>IFERROR(__xludf.DUMMYFUNCTION("""COMPUTED_VALUE"""),0.0)</f>
        <v>0</v>
      </c>
      <c r="I7899" s="4"/>
      <c r="J7899" s="1" t="str">
        <f>IFERROR(__xludf.DUMMYFUNCTION("""COMPUTED_VALUE"""),"Ann Dumlao")</f>
        <v>Ann Dumlao</v>
      </c>
      <c r="K7899" s="1" t="str">
        <f>IFERROR(__xludf.DUMMYFUNCTION("""COMPUTED_VALUE"""),"Print Support PH")</f>
        <v>Print Support PH</v>
      </c>
      <c r="L7899" s="1" t="str">
        <f>IFERROR(__xludf.DUMMYFUNCTION("""COMPUTED_VALUE"""),"Print Print - CHT")</f>
        <v>Print Print - CHT</v>
      </c>
    </row>
    <row r="7900">
      <c r="A7900" s="1" t="str">
        <f>IFERROR(__xludf.DUMMYFUNCTION("""COMPUTED_VALUE"""),"2025 Dec")</f>
        <v>2025 Dec</v>
      </c>
      <c r="B7900" s="2">
        <f>IFERROR(__xludf.DUMMYFUNCTION("""COMPUTED_VALUE"""),46020.0)</f>
        <v>46020</v>
      </c>
      <c r="C7900" s="1" t="str">
        <f>IFERROR(__xludf.DUMMYFUNCTION("""COMPUTED_VALUE"""),"Core Product Support")</f>
        <v>Core Product Support</v>
      </c>
      <c r="D7900" s="1" t="str">
        <f>IFERROR(__xludf.DUMMYFUNCTION("""COMPUTED_VALUE"""),"2436b15f-d23f-4ea2-bd46-0852b5df957c")</f>
        <v>2436b15f-d23f-4ea2-bd46-0852b5df957c</v>
      </c>
      <c r="E7900" s="1">
        <f>IFERROR(__xludf.DUMMYFUNCTION("""COMPUTED_VALUE"""),3.61731349115E11)</f>
        <v>361731349115</v>
      </c>
      <c r="F7900" s="1">
        <f>IFERROR(__xludf.DUMMYFUNCTION("""COMPUTED_VALUE"""),0.5)</f>
        <v>0.5</v>
      </c>
      <c r="G7900" s="1"/>
      <c r="H7900" s="3">
        <f>IFERROR(__xludf.DUMMYFUNCTION("""COMPUTED_VALUE"""),0.5)</f>
        <v>0.5</v>
      </c>
      <c r="I7900" s="4">
        <f>IFERROR(__xludf.DUMMYFUNCTION("""COMPUTED_VALUE"""),0.0)</f>
        <v>0</v>
      </c>
      <c r="J7900" s="1" t="str">
        <f>IFERROR(__xludf.DUMMYFUNCTION("""COMPUTED_VALUE"""),"Vinz Lazaro")</f>
        <v>Vinz Lazaro</v>
      </c>
      <c r="K7900" s="1" t="str">
        <f>IFERROR(__xludf.DUMMYFUNCTION("""COMPUTED_VALUE"""),"Advanced Product Support")</f>
        <v>Advanced Product Support</v>
      </c>
      <c r="L7900" s="1" t="str">
        <f>IFERROR(__xludf.DUMMYFUNCTION("""COMPUTED_VALUE"""),"CPS Advanced Product Support (APS)")</f>
        <v>CPS Advanced Product Support (APS)</v>
      </c>
    </row>
    <row r="7901">
      <c r="A7901" s="1" t="str">
        <f>IFERROR(__xludf.DUMMYFUNCTION("""COMPUTED_VALUE"""),"2025 Dec")</f>
        <v>2025 Dec</v>
      </c>
      <c r="B7901" s="2">
        <f>IFERROR(__xludf.DUMMYFUNCTION("""COMPUTED_VALUE"""),46020.0)</f>
        <v>46020</v>
      </c>
      <c r="C7901" s="1" t="str">
        <f>IFERROR(__xludf.DUMMYFUNCTION("""COMPUTED_VALUE"""),"High Sensitivity Support")</f>
        <v>High Sensitivity Support</v>
      </c>
      <c r="D7901" s="1" t="str">
        <f>IFERROR(__xludf.DUMMYFUNCTION("""COMPUTED_VALUE"""),"3a5a6ab5-8abf-422b-9670-8975c03a0818")</f>
        <v>3a5a6ab5-8abf-422b-9670-8975c03a0818</v>
      </c>
      <c r="E7901" s="1">
        <f>IFERROR(__xludf.DUMMYFUNCTION("""COMPUTED_VALUE"""),3.61725260976E11)</f>
        <v>361725260976</v>
      </c>
      <c r="F7901" s="1">
        <f>IFERROR(__xludf.DUMMYFUNCTION("""COMPUTED_VALUE"""),4.0)</f>
        <v>4</v>
      </c>
      <c r="G7901" s="1"/>
      <c r="H7901" s="3">
        <f>IFERROR(__xludf.DUMMYFUNCTION("""COMPUTED_VALUE"""),4.0)</f>
        <v>4</v>
      </c>
      <c r="I7901" s="4">
        <f>IFERROR(__xludf.DUMMYFUNCTION("""COMPUTED_VALUE"""),0.0)</f>
        <v>0</v>
      </c>
      <c r="J7901" s="1" t="str">
        <f>IFERROR(__xludf.DUMMYFUNCTION("""COMPUTED_VALUE"""),"Rossheen Pura")</f>
        <v>Rossheen Pura</v>
      </c>
      <c r="K7901" s="1" t="str">
        <f>IFERROR(__xludf.DUMMYFUNCTION("""COMPUTED_VALUE"""),"High Sensitivity Support PH")</f>
        <v>High Sensitivity Support PH</v>
      </c>
      <c r="L7901" s="1" t="str">
        <f>IFERROR(__xludf.DUMMYFUNCTION("""COMPUTED_VALUE"""),"HSS High Sensitivity Support PH - CHT")</f>
        <v>HSS High Sensitivity Support PH - CHT</v>
      </c>
    </row>
    <row r="7902">
      <c r="A7902" s="1" t="str">
        <f>IFERROR(__xludf.DUMMYFUNCTION("""COMPUTED_VALUE"""),"2025 Dec")</f>
        <v>2025 Dec</v>
      </c>
      <c r="B7902" s="2">
        <f>IFERROR(__xludf.DUMMYFUNCTION("""COMPUTED_VALUE"""),46020.0)</f>
        <v>46020</v>
      </c>
      <c r="C7902" s="1" t="str">
        <f>IFERROR(__xludf.DUMMYFUNCTION("""COMPUTED_VALUE"""),"Core Product Support")</f>
        <v>Core Product Support</v>
      </c>
      <c r="D7902" s="1" t="str">
        <f>IFERROR(__xludf.DUMMYFUNCTION("""COMPUTED_VALUE"""),"ec2c53f2-66fa-462e-9ac9-b9e626e485b4")</f>
        <v>ec2c53f2-66fa-462e-9ac9-b9e626e485b4</v>
      </c>
      <c r="E7902" s="1">
        <f>IFERROR(__xludf.DUMMYFUNCTION("""COMPUTED_VALUE"""),5.047318720783E12)</f>
        <v>5047318720783</v>
      </c>
      <c r="F7902" s="1">
        <f>IFERROR(__xludf.DUMMYFUNCTION("""COMPUTED_VALUE"""),0.5)</f>
        <v>0.5</v>
      </c>
      <c r="G7902" s="1"/>
      <c r="H7902" s="3">
        <f>IFERROR(__xludf.DUMMYFUNCTION("""COMPUTED_VALUE"""),0.5)</f>
        <v>0.5</v>
      </c>
      <c r="I7902" s="4">
        <f>IFERROR(__xludf.DUMMYFUNCTION("""COMPUTED_VALUE"""),0.0)</f>
        <v>0</v>
      </c>
      <c r="J7902" s="1" t="str">
        <f>IFERROR(__xludf.DUMMYFUNCTION("""COMPUTED_VALUE"""),"Vinz Lazaro")</f>
        <v>Vinz Lazaro</v>
      </c>
      <c r="K7902" s="1" t="str">
        <f>IFERROR(__xludf.DUMMYFUNCTION("""COMPUTED_VALUE"""),"Advanced Product Support")</f>
        <v>Advanced Product Support</v>
      </c>
      <c r="L7902" s="1" t="str">
        <f>IFERROR(__xludf.DUMMYFUNCTION("""COMPUTED_VALUE"""),"CPS Advanced Product Support (APS)")</f>
        <v>CPS Advanced Product Support (APS)</v>
      </c>
    </row>
    <row r="7903">
      <c r="A7903" s="1" t="str">
        <f>IFERROR(__xludf.DUMMYFUNCTION("""COMPUTED_VALUE"""),"2025 Dec")</f>
        <v>2025 Dec</v>
      </c>
      <c r="B7903" s="2">
        <f>IFERROR(__xludf.DUMMYFUNCTION("""COMPUTED_VALUE"""),46020.0)</f>
        <v>46020</v>
      </c>
      <c r="C7903" s="1" t="str">
        <f>IFERROR(__xludf.DUMMYFUNCTION("""COMPUTED_VALUE"""),"High Sensitivity Support")</f>
        <v>High Sensitivity Support</v>
      </c>
      <c r="D7903" s="1" t="str">
        <f>IFERROR(__xludf.DUMMYFUNCTION("""COMPUTED_VALUE"""),"ac409d1d-146f-4f2e-97cf-ac668184be31")</f>
        <v>ac409d1d-146f-4f2e-97cf-ac668184be31</v>
      </c>
      <c r="E7903" s="1">
        <f>IFERROR(__xludf.DUMMYFUNCTION("""COMPUTED_VALUE"""),9.285050515215E12)</f>
        <v>9285050515215</v>
      </c>
      <c r="F7903" s="1">
        <f>IFERROR(__xludf.DUMMYFUNCTION("""COMPUTED_VALUE"""),4.0)</f>
        <v>4</v>
      </c>
      <c r="G7903" s="1"/>
      <c r="H7903" s="3">
        <f>IFERROR(__xludf.DUMMYFUNCTION("""COMPUTED_VALUE"""),4.0)</f>
        <v>4</v>
      </c>
      <c r="I7903" s="4">
        <f>IFERROR(__xludf.DUMMYFUNCTION("""COMPUTED_VALUE"""),0.0)</f>
        <v>0</v>
      </c>
      <c r="J7903" s="1" t="str">
        <f>IFERROR(__xludf.DUMMYFUNCTION("""COMPUTED_VALUE"""),"Xandy Azarcon")</f>
        <v>Xandy Azarcon</v>
      </c>
      <c r="K7903" s="1" t="str">
        <f>IFERROR(__xludf.DUMMYFUNCTION("""COMPUTED_VALUE"""),"High Sensitivity Support PH")</f>
        <v>High Sensitivity Support PH</v>
      </c>
      <c r="L7903" s="1" t="str">
        <f>IFERROR(__xludf.DUMMYFUNCTION("""COMPUTED_VALUE"""),"HSS High Sensitivity Support PH - CHT")</f>
        <v>HSS High Sensitivity Support PH - CHT</v>
      </c>
    </row>
    <row r="7904">
      <c r="A7904" s="1" t="str">
        <f>IFERROR(__xludf.DUMMYFUNCTION("""COMPUTED_VALUE"""),"2025 Dec")</f>
        <v>2025 Dec</v>
      </c>
      <c r="B7904" s="2">
        <f>IFERROR(__xludf.DUMMYFUNCTION("""COMPUTED_VALUE"""),46020.0)</f>
        <v>46020</v>
      </c>
      <c r="C7904" s="1" t="str">
        <f>IFERROR(__xludf.DUMMYFUNCTION("""COMPUTED_VALUE"""),"Admin Support")</f>
        <v>Admin Support</v>
      </c>
      <c r="D7904" s="1" t="str">
        <f>IFERROR(__xludf.DUMMYFUNCTION("""COMPUTED_VALUE"""),"390ace33-d7f9-4dda-8f95-3d06e72320ce")</f>
        <v>390ace33-d7f9-4dda-8f95-3d06e72320ce</v>
      </c>
      <c r="E7904" s="1">
        <f>IFERROR(__xludf.DUMMYFUNCTION("""COMPUTED_VALUE"""),3.61724963216E11)</f>
        <v>361724963216</v>
      </c>
      <c r="F7904" s="1"/>
      <c r="G7904" s="1"/>
      <c r="H7904" s="3">
        <f>IFERROR(__xludf.DUMMYFUNCTION("""COMPUTED_VALUE"""),0.0)</f>
        <v>0</v>
      </c>
      <c r="I7904" s="4"/>
      <c r="J7904" s="1" t="str">
        <f>IFERROR(__xludf.DUMMYFUNCTION("""COMPUTED_VALUE"""),"Karla Mananghaya")</f>
        <v>Karla Mananghaya</v>
      </c>
      <c r="K7904" s="1" t="str">
        <f>IFERROR(__xludf.DUMMYFUNCTION("""COMPUTED_VALUE"""),"Admin Support PH")</f>
        <v>Admin Support PH</v>
      </c>
      <c r="L7904" s="1" t="str">
        <f>IFERROR(__xludf.DUMMYFUNCTION("""COMPUTED_VALUE"""),"Admin - SEE")</f>
        <v>Admin - SEE</v>
      </c>
    </row>
    <row r="7905">
      <c r="A7905" s="1" t="str">
        <f>IFERROR(__xludf.DUMMYFUNCTION("""COMPUTED_VALUE"""),"2025 Dec")</f>
        <v>2025 Dec</v>
      </c>
      <c r="B7905" s="2">
        <f>IFERROR(__xludf.DUMMYFUNCTION("""COMPUTED_VALUE"""),46020.0)</f>
        <v>46020</v>
      </c>
      <c r="C7905" s="1" t="str">
        <f>IFERROR(__xludf.DUMMYFUNCTION("""COMPUTED_VALUE"""),"Core Product Support")</f>
        <v>Core Product Support</v>
      </c>
      <c r="D7905" s="1" t="str">
        <f>IFERROR(__xludf.DUMMYFUNCTION("""COMPUTED_VALUE"""),"4213e169-349c-47c9-b613-f4356c986a3d")</f>
        <v>4213e169-349c-47c9-b613-f4356c986a3d</v>
      </c>
      <c r="E7905" s="1">
        <f>IFERROR(__xludf.DUMMYFUNCTION("""COMPUTED_VALUE"""),1.0548588312463E13)</f>
        <v>10548588312463</v>
      </c>
      <c r="F7905" s="1">
        <f>IFERROR(__xludf.DUMMYFUNCTION("""COMPUTED_VALUE"""),0.5)</f>
        <v>0.5</v>
      </c>
      <c r="G7905" s="1"/>
      <c r="H7905" s="3">
        <f>IFERROR(__xludf.DUMMYFUNCTION("""COMPUTED_VALUE"""),0.5)</f>
        <v>0.5</v>
      </c>
      <c r="I7905" s="4">
        <f>IFERROR(__xludf.DUMMYFUNCTION("""COMPUTED_VALUE"""),0.0)</f>
        <v>0</v>
      </c>
      <c r="J7905" s="1" t="str">
        <f>IFERROR(__xludf.DUMMYFUNCTION("""COMPUTED_VALUE"""),"Belle Bentazal")</f>
        <v>Belle Bentazal</v>
      </c>
      <c r="K7905" s="1" t="str">
        <f>IFERROR(__xludf.DUMMYFUNCTION("""COMPUTED_VALUE"""),"Advanced Product Support")</f>
        <v>Advanced Product Support</v>
      </c>
      <c r="L7905" s="1" t="str">
        <f>IFERROR(__xludf.DUMMYFUNCTION("""COMPUTED_VALUE"""),"CPS Advanced Product Support (APS)")</f>
        <v>CPS Advanced Product Support (APS)</v>
      </c>
    </row>
    <row r="7906">
      <c r="A7906" s="1" t="str">
        <f>IFERROR(__xludf.DUMMYFUNCTION("""COMPUTED_VALUE"""),"2025 Dec")</f>
        <v>2025 Dec</v>
      </c>
      <c r="B7906" s="2">
        <f>IFERROR(__xludf.DUMMYFUNCTION("""COMPUTED_VALUE"""),46020.0)</f>
        <v>46020</v>
      </c>
      <c r="C7906" s="1" t="str">
        <f>IFERROR(__xludf.DUMMYFUNCTION("""COMPUTED_VALUE"""),"Core Product Support")</f>
        <v>Core Product Support</v>
      </c>
      <c r="D7906" s="1" t="str">
        <f>IFERROR(__xludf.DUMMYFUNCTION("""COMPUTED_VALUE"""),"3d49537c-dbf0-4f04-896b-1d3cc141a183")</f>
        <v>3d49537c-dbf0-4f04-896b-1d3cc141a183</v>
      </c>
      <c r="E7906" s="1">
        <f>IFERROR(__xludf.DUMMYFUNCTION("""COMPUTED_VALUE"""),5.901988041103E12)</f>
        <v>5901988041103</v>
      </c>
      <c r="F7906" s="1">
        <f>IFERROR(__xludf.DUMMYFUNCTION("""COMPUTED_VALUE"""),0.5)</f>
        <v>0.5</v>
      </c>
      <c r="G7906" s="1"/>
      <c r="H7906" s="3">
        <f>IFERROR(__xludf.DUMMYFUNCTION("""COMPUTED_VALUE"""),0.5)</f>
        <v>0.5</v>
      </c>
      <c r="I7906" s="4">
        <f>IFERROR(__xludf.DUMMYFUNCTION("""COMPUTED_VALUE"""),0.0)</f>
        <v>0</v>
      </c>
      <c r="J7906" s="1" t="str">
        <f>IFERROR(__xludf.DUMMYFUNCTION("""COMPUTED_VALUE"""),"Vianca De Jesus")</f>
        <v>Vianca De Jesus</v>
      </c>
      <c r="K7906" s="1" t="str">
        <f>IFERROR(__xludf.DUMMYFUNCTION("""COMPUTED_VALUE"""),"Advanced Chat Support")</f>
        <v>Advanced Chat Support</v>
      </c>
      <c r="L7906" s="1" t="str">
        <f>IFERROR(__xludf.DUMMYFUNCTION("""COMPUTED_VALUE"""),"CPS Advanced Chat Support (ACS)")</f>
        <v>CPS Advanced Chat Support (ACS)</v>
      </c>
    </row>
    <row r="7907">
      <c r="A7907" s="1" t="str">
        <f>IFERROR(__xludf.DUMMYFUNCTION("""COMPUTED_VALUE"""),"2025 Dec")</f>
        <v>2025 Dec</v>
      </c>
      <c r="B7907" s="2">
        <f>IFERROR(__xludf.DUMMYFUNCTION("""COMPUTED_VALUE"""),46020.0)</f>
        <v>46020</v>
      </c>
      <c r="C7907" s="1" t="str">
        <f>IFERROR(__xludf.DUMMYFUNCTION("""COMPUTED_VALUE"""),"Core Product Support")</f>
        <v>Core Product Support</v>
      </c>
      <c r="D7907" s="1" t="str">
        <f>IFERROR(__xludf.DUMMYFUNCTION("""COMPUTED_VALUE"""),"b5f49a72-6ea0-44a0-8325-970c0e83dea7")</f>
        <v>b5f49a72-6ea0-44a0-8325-970c0e83dea7</v>
      </c>
      <c r="E7907" s="1">
        <f>IFERROR(__xludf.DUMMYFUNCTION("""COMPUTED_VALUE"""),9.586408388239E12)</f>
        <v>9586408388239</v>
      </c>
      <c r="F7907" s="1">
        <f>IFERROR(__xludf.DUMMYFUNCTION("""COMPUTED_VALUE"""),0.5)</f>
        <v>0.5</v>
      </c>
      <c r="G7907" s="1"/>
      <c r="H7907" s="3">
        <f>IFERROR(__xludf.DUMMYFUNCTION("""COMPUTED_VALUE"""),0.5)</f>
        <v>0.5</v>
      </c>
      <c r="I7907" s="4">
        <f>IFERROR(__xludf.DUMMYFUNCTION("""COMPUTED_VALUE"""),0.0)</f>
        <v>0</v>
      </c>
      <c r="J7907" s="1" t="str">
        <f>IFERROR(__xludf.DUMMYFUNCTION("""COMPUTED_VALUE"""),"Belle Bentazal")</f>
        <v>Belle Bentazal</v>
      </c>
      <c r="K7907" s="1" t="str">
        <f>IFERROR(__xludf.DUMMYFUNCTION("""COMPUTED_VALUE"""),"Advanced Product Support")</f>
        <v>Advanced Product Support</v>
      </c>
      <c r="L7907" s="1" t="str">
        <f>IFERROR(__xludf.DUMMYFUNCTION("""COMPUTED_VALUE"""),"CPS Advanced Product Support (APS)")</f>
        <v>CPS Advanced Product Support (APS)</v>
      </c>
    </row>
    <row r="7908">
      <c r="A7908" s="1" t="str">
        <f>IFERROR(__xludf.DUMMYFUNCTION("""COMPUTED_VALUE"""),"2025 Dec")</f>
        <v>2025 Dec</v>
      </c>
      <c r="B7908" s="2">
        <f>IFERROR(__xludf.DUMMYFUNCTION("""COMPUTED_VALUE"""),46020.0)</f>
        <v>46020</v>
      </c>
      <c r="C7908" s="1" t="str">
        <f>IFERROR(__xludf.DUMMYFUNCTION("""COMPUTED_VALUE"""),"Admin Support")</f>
        <v>Admin Support</v>
      </c>
      <c r="D7908" s="1" t="str">
        <f>IFERROR(__xludf.DUMMYFUNCTION("""COMPUTED_VALUE"""),"3960812e-748b-47a3-8dea-3a0c6b21aee1")</f>
        <v>3960812e-748b-47a3-8dea-3a0c6b21aee1</v>
      </c>
      <c r="E7908" s="1">
        <f>IFERROR(__xludf.DUMMYFUNCTION("""COMPUTED_VALUE"""),9.107749076367E12)</f>
        <v>9107749076367</v>
      </c>
      <c r="F7908" s="1"/>
      <c r="G7908" s="1"/>
      <c r="H7908" s="3">
        <f>IFERROR(__xludf.DUMMYFUNCTION("""COMPUTED_VALUE"""),0.0)</f>
        <v>0</v>
      </c>
      <c r="I7908" s="4"/>
      <c r="J7908" s="1" t="str">
        <f>IFERROR(__xludf.DUMMYFUNCTION("""COMPUTED_VALUE"""),"Pau Palmero")</f>
        <v>Pau Palmero</v>
      </c>
      <c r="K7908" s="1" t="str">
        <f>IFERROR(__xludf.DUMMYFUNCTION("""COMPUTED_VALUE"""),"Admin Support PH CEDD")</f>
        <v>Admin Support PH CEDD</v>
      </c>
      <c r="L7908" s="1" t="str">
        <f>IFERROR(__xludf.DUMMYFUNCTION("""COMPUTED_VALUE"""),"Admin CEDD Apps,Admin CEDD Inbox Mgt")</f>
        <v>Admin CEDD Apps,Admin CEDD Inbox Mgt</v>
      </c>
    </row>
    <row r="7909">
      <c r="A7909" s="1" t="str">
        <f>IFERROR(__xludf.DUMMYFUNCTION("""COMPUTED_VALUE"""),"2025 Dec")</f>
        <v>2025 Dec</v>
      </c>
      <c r="B7909" s="2">
        <f>IFERROR(__xludf.DUMMYFUNCTION("""COMPUTED_VALUE"""),46020.0)</f>
        <v>46020</v>
      </c>
      <c r="C7909" s="1" t="str">
        <f>IFERROR(__xludf.DUMMYFUNCTION("""COMPUTED_VALUE"""),"Segment-specific Support")</f>
        <v>Segment-specific Support</v>
      </c>
      <c r="D7909" s="1" t="str">
        <f>IFERROR(__xludf.DUMMYFUNCTION("""COMPUTED_VALUE"""),"0519f8dd-38e2-4c44-b925-77b43587196d")</f>
        <v>0519f8dd-38e2-4c44-b925-77b43587196d</v>
      </c>
      <c r="E7909" s="1">
        <f>IFERROR(__xludf.DUMMYFUNCTION("""COMPUTED_VALUE"""),3.61731348815E11)</f>
        <v>361731348815</v>
      </c>
      <c r="F7909" s="1"/>
      <c r="G7909" s="1"/>
      <c r="H7909" s="3">
        <f>IFERROR(__xludf.DUMMYFUNCTION("""COMPUTED_VALUE"""),0.0)</f>
        <v>0</v>
      </c>
      <c r="I7909" s="4"/>
      <c r="J7909" s="1" t="str">
        <f>IFERROR(__xludf.DUMMYFUNCTION("""COMPUTED_VALUE"""),"Aileen Dayanghirang")</f>
        <v>Aileen Dayanghirang</v>
      </c>
      <c r="K7909" s="1" t="str">
        <f>IFERROR(__xludf.DUMMYFUNCTION("""COMPUTED_VALUE"""),"Creators Support")</f>
        <v>Creators Support</v>
      </c>
      <c r="L7909" s="1" t="str">
        <f>IFERROR(__xludf.DUMMYFUNCTION("""COMPUTED_VALUE"""),"SSS Creators")</f>
        <v>SSS Creators</v>
      </c>
    </row>
    <row r="7910">
      <c r="A7910" s="1" t="str">
        <f>IFERROR(__xludf.DUMMYFUNCTION("""COMPUTED_VALUE"""),"2025 Dec")</f>
        <v>2025 Dec</v>
      </c>
      <c r="B7910" s="2">
        <f>IFERROR(__xludf.DUMMYFUNCTION("""COMPUTED_VALUE"""),46020.0)</f>
        <v>46020</v>
      </c>
      <c r="C7910" s="1" t="str">
        <f>IFERROR(__xludf.DUMMYFUNCTION("""COMPUTED_VALUE"""),"Core Product Support")</f>
        <v>Core Product Support</v>
      </c>
      <c r="D7910" s="1" t="str">
        <f>IFERROR(__xludf.DUMMYFUNCTION("""COMPUTED_VALUE"""),"3ea48634-b6a2-4b3f-b17e-bc63a77dd069")</f>
        <v>3ea48634-b6a2-4b3f-b17e-bc63a77dd069</v>
      </c>
      <c r="E7910" s="1">
        <f>IFERROR(__xludf.DUMMYFUNCTION("""COMPUTED_VALUE"""),3.61969384715E11)</f>
        <v>361969384715</v>
      </c>
      <c r="F7910" s="1"/>
      <c r="G7910" s="1"/>
      <c r="H7910" s="3">
        <f>IFERROR(__xludf.DUMMYFUNCTION("""COMPUTED_VALUE"""),0.0)</f>
        <v>0</v>
      </c>
      <c r="I7910" s="4"/>
      <c r="J7910" s="1" t="str">
        <f>IFERROR(__xludf.DUMMYFUNCTION("""COMPUTED_VALUE"""),"Vianca De Jesus")</f>
        <v>Vianca De Jesus</v>
      </c>
      <c r="K7910" s="1" t="str">
        <f>IFERROR(__xludf.DUMMYFUNCTION("""COMPUTED_VALUE"""),"Advanced Chat Support")</f>
        <v>Advanced Chat Support</v>
      </c>
      <c r="L7910" s="1" t="str">
        <f>IFERROR(__xludf.DUMMYFUNCTION("""COMPUTED_VALUE"""),"CPS Advanced Chat Support (ACS)")</f>
        <v>CPS Advanced Chat Support (ACS)</v>
      </c>
    </row>
    <row r="7911">
      <c r="A7911" s="1" t="str">
        <f>IFERROR(__xludf.DUMMYFUNCTION("""COMPUTED_VALUE"""),"2025 Dec")</f>
        <v>2025 Dec</v>
      </c>
      <c r="B7911" s="2">
        <f>IFERROR(__xludf.DUMMYFUNCTION("""COMPUTED_VALUE"""),46020.0)</f>
        <v>46020</v>
      </c>
      <c r="C7911" s="1" t="str">
        <f>IFERROR(__xludf.DUMMYFUNCTION("""COMPUTED_VALUE"""),"Print Support")</f>
        <v>Print Support</v>
      </c>
      <c r="D7911" s="1" t="str">
        <f>IFERROR(__xludf.DUMMYFUNCTION("""COMPUTED_VALUE"""),"5957e659-d004-4b50-a833-96d89b506744")</f>
        <v>5957e659-d004-4b50-a833-96d89b506744</v>
      </c>
      <c r="E7911" s="1">
        <f>IFERROR(__xludf.DUMMYFUNCTION("""COMPUTED_VALUE"""),1.3475786244239E13)</f>
        <v>13475786244239</v>
      </c>
      <c r="F7911" s="1"/>
      <c r="G7911" s="1"/>
      <c r="H7911" s="3">
        <f>IFERROR(__xludf.DUMMYFUNCTION("""COMPUTED_VALUE"""),0.0)</f>
        <v>0</v>
      </c>
      <c r="I7911" s="4"/>
      <c r="J7911" s="1" t="str">
        <f>IFERROR(__xludf.DUMMYFUNCTION("""COMPUTED_VALUE"""),"Gem Agoncillo")</f>
        <v>Gem Agoncillo</v>
      </c>
      <c r="K7911" s="1" t="str">
        <f>IFERROR(__xludf.DUMMYFUNCTION("""COMPUTED_VALUE"""),"Print Design Support")</f>
        <v>Print Design Support</v>
      </c>
      <c r="L7911" s="1" t="str">
        <f>IFERROR(__xludf.DUMMYFUNCTION("""COMPUTED_VALUE"""),"Print Print Design")</f>
        <v>Print Print Design</v>
      </c>
    </row>
    <row r="7912">
      <c r="A7912" s="1" t="str">
        <f>IFERROR(__xludf.DUMMYFUNCTION("""COMPUTED_VALUE"""),"2025 Dec")</f>
        <v>2025 Dec</v>
      </c>
      <c r="B7912" s="2">
        <f>IFERROR(__xludf.DUMMYFUNCTION("""COMPUTED_VALUE"""),46020.0)</f>
        <v>46020</v>
      </c>
      <c r="C7912" s="1" t="str">
        <f>IFERROR(__xludf.DUMMYFUNCTION("""COMPUTED_VALUE"""),"Admin Support")</f>
        <v>Admin Support</v>
      </c>
      <c r="D7912" s="1" t="str">
        <f>IFERROR(__xludf.DUMMYFUNCTION("""COMPUTED_VALUE"""),"aba1b506-4ed6-4f4a-abad-f264703b1937")</f>
        <v>aba1b506-4ed6-4f4a-abad-f264703b1937</v>
      </c>
      <c r="E7912" s="1">
        <f>IFERROR(__xludf.DUMMYFUNCTION("""COMPUTED_VALUE"""),9.684963584655E12)</f>
        <v>9684963584655</v>
      </c>
      <c r="F7912" s="1">
        <f>IFERROR(__xludf.DUMMYFUNCTION("""COMPUTED_VALUE"""),0.5)</f>
        <v>0.5</v>
      </c>
      <c r="G7912" s="1"/>
      <c r="H7912" s="3">
        <f>IFERROR(__xludf.DUMMYFUNCTION("""COMPUTED_VALUE"""),0.5)</f>
        <v>0.5</v>
      </c>
      <c r="I7912" s="4">
        <f>IFERROR(__xludf.DUMMYFUNCTION("""COMPUTED_VALUE"""),0.0)</f>
        <v>0</v>
      </c>
      <c r="J7912" s="1" t="str">
        <f>IFERROR(__xludf.DUMMYFUNCTION("""COMPUTED_VALUE"""),"Tash Kelly")</f>
        <v>Tash Kelly</v>
      </c>
      <c r="K7912" s="1" t="str">
        <f>IFERROR(__xludf.DUMMYFUNCTION("""COMPUTED_VALUE"""),"Admin Support NA")</f>
        <v>Admin Support NA</v>
      </c>
      <c r="L7912" s="1" t="str">
        <f>IFERROR(__xludf.DUMMYFUNCTION("""COMPUTED_VALUE"""),"Admin NA")</f>
        <v>Admin NA</v>
      </c>
    </row>
    <row r="7913">
      <c r="A7913" s="1" t="str">
        <f>IFERROR(__xludf.DUMMYFUNCTION("""COMPUTED_VALUE"""),"2025 Dec")</f>
        <v>2025 Dec</v>
      </c>
      <c r="B7913" s="2">
        <f>IFERROR(__xludf.DUMMYFUNCTION("""COMPUTED_VALUE"""),46020.0)</f>
        <v>46020</v>
      </c>
      <c r="C7913" s="1" t="str">
        <f>IFERROR(__xludf.DUMMYFUNCTION("""COMPUTED_VALUE"""),"High Sensitivity Support")</f>
        <v>High Sensitivity Support</v>
      </c>
      <c r="D7913" s="1" t="str">
        <f>IFERROR(__xludf.DUMMYFUNCTION("""COMPUTED_VALUE"""),"1b0e8a89-47b2-4607-8a32-61610d221409")</f>
        <v>1b0e8a89-47b2-4607-8a32-61610d221409</v>
      </c>
      <c r="E7913" s="1">
        <f>IFERROR(__xludf.DUMMYFUNCTION("""COMPUTED_VALUE"""),9.107749325455E12)</f>
        <v>9107749325455</v>
      </c>
      <c r="F7913" s="1">
        <f>IFERROR(__xludf.DUMMYFUNCTION("""COMPUTED_VALUE"""),4.0)</f>
        <v>4</v>
      </c>
      <c r="G7913" s="1"/>
      <c r="H7913" s="3">
        <f>IFERROR(__xludf.DUMMYFUNCTION("""COMPUTED_VALUE"""),4.0)</f>
        <v>4</v>
      </c>
      <c r="I7913" s="4">
        <f>IFERROR(__xludf.DUMMYFUNCTION("""COMPUTED_VALUE"""),0.0)</f>
        <v>0</v>
      </c>
      <c r="J7913" s="1" t="str">
        <f>IFERROR(__xludf.DUMMYFUNCTION("""COMPUTED_VALUE"""),"Rex Villamor")</f>
        <v>Rex Villamor</v>
      </c>
      <c r="K7913" s="1" t="str">
        <f>IFERROR(__xludf.DUMMYFUNCTION("""COMPUTED_VALUE"""),"High Sensitivity Support PH")</f>
        <v>High Sensitivity Support PH</v>
      </c>
      <c r="L7913" s="1" t="str">
        <f>IFERROR(__xludf.DUMMYFUNCTION("""COMPUTED_VALUE"""),"HSS High Sensitivity Support PH - CHT")</f>
        <v>HSS High Sensitivity Support PH - CHT</v>
      </c>
    </row>
    <row r="7914">
      <c r="A7914" s="1" t="str">
        <f>IFERROR(__xludf.DUMMYFUNCTION("""COMPUTED_VALUE"""),"2025 Dec")</f>
        <v>2025 Dec</v>
      </c>
      <c r="B7914" s="2">
        <f>IFERROR(__xludf.DUMMYFUNCTION("""COMPUTED_VALUE"""),46020.0)</f>
        <v>46020</v>
      </c>
      <c r="C7914" s="1" t="str">
        <f>IFERROR(__xludf.DUMMYFUNCTION("""COMPUTED_VALUE"""),"Core Product Support")</f>
        <v>Core Product Support</v>
      </c>
      <c r="D7914" s="1" t="str">
        <f>IFERROR(__xludf.DUMMYFUNCTION("""COMPUTED_VALUE"""),"34f2d71e-2948-4046-b11a-6ec3d91fb2f7")</f>
        <v>34f2d71e-2948-4046-b11a-6ec3d91fb2f7</v>
      </c>
      <c r="E7914" s="1">
        <f>IFERROR(__xludf.DUMMYFUNCTION("""COMPUTED_VALUE"""),3.61725261076E11)</f>
        <v>361725261076</v>
      </c>
      <c r="F7914" s="1"/>
      <c r="G7914" s="1">
        <f>IFERROR(__xludf.DUMMYFUNCTION("""COMPUTED_VALUE"""),1.0)</f>
        <v>1</v>
      </c>
      <c r="H7914" s="3">
        <f>IFERROR(__xludf.DUMMYFUNCTION("""COMPUTED_VALUE"""),1.0)</f>
        <v>1</v>
      </c>
      <c r="I7914" s="4">
        <f>IFERROR(__xludf.DUMMYFUNCTION("""COMPUTED_VALUE"""),1.0)</f>
        <v>1</v>
      </c>
      <c r="J7914" s="1" t="str">
        <f>IFERROR(__xludf.DUMMYFUNCTION("""COMPUTED_VALUE"""),"Bem Launte")</f>
        <v>Bem Launte</v>
      </c>
      <c r="K7914" s="1" t="str">
        <f>IFERROR(__xludf.DUMMYFUNCTION("""COMPUTED_VALUE"""),"Core Product Support Escalation Team")</f>
        <v>Core Product Support Escalation Team</v>
      </c>
      <c r="L7914" s="1" t="str">
        <f>IFERROR(__xludf.DUMMYFUNCTION("""COMPUTED_VALUE"""),"CPS Core Product Support Escalations (CPSET)")</f>
        <v>CPS Core Product Support Escalations (CPSET)</v>
      </c>
    </row>
    <row r="7915">
      <c r="A7915" s="1" t="str">
        <f>IFERROR(__xludf.DUMMYFUNCTION("""COMPUTED_VALUE"""),"2025 Dec")</f>
        <v>2025 Dec</v>
      </c>
      <c r="B7915" s="2">
        <f>IFERROR(__xludf.DUMMYFUNCTION("""COMPUTED_VALUE"""),46020.0)</f>
        <v>46020</v>
      </c>
      <c r="C7915" s="1" t="str">
        <f>IFERROR(__xludf.DUMMYFUNCTION("""COMPUTED_VALUE"""),"Core Product Support")</f>
        <v>Core Product Support</v>
      </c>
      <c r="D7915" s="1" t="str">
        <f>IFERROR(__xludf.DUMMYFUNCTION("""COMPUTED_VALUE"""),"d0bf168c-4c21-43be-abef-2d821133980c")</f>
        <v>d0bf168c-4c21-43be-abef-2d821133980c</v>
      </c>
      <c r="E7915" s="1">
        <f>IFERROR(__xludf.DUMMYFUNCTION("""COMPUTED_VALUE"""),7.437371735567E12)</f>
        <v>7437371735567</v>
      </c>
      <c r="F7915" s="1">
        <f>IFERROR(__xludf.DUMMYFUNCTION("""COMPUTED_VALUE"""),0.5)</f>
        <v>0.5</v>
      </c>
      <c r="G7915" s="1"/>
      <c r="H7915" s="3">
        <f>IFERROR(__xludf.DUMMYFUNCTION("""COMPUTED_VALUE"""),0.5)</f>
        <v>0.5</v>
      </c>
      <c r="I7915" s="4">
        <f>IFERROR(__xludf.DUMMYFUNCTION("""COMPUTED_VALUE"""),0.0)</f>
        <v>0</v>
      </c>
      <c r="J7915" s="1" t="str">
        <f>IFERROR(__xludf.DUMMYFUNCTION("""COMPUTED_VALUE"""),"Renette Bok")</f>
        <v>Renette Bok</v>
      </c>
      <c r="K7915" s="1" t="str">
        <f>IFERROR(__xludf.DUMMYFUNCTION("""COMPUTED_VALUE"""),"Advanced Billing &amp; Subscriptions")</f>
        <v>Advanced Billing &amp; Subscriptions</v>
      </c>
      <c r="L7915" s="1" t="str">
        <f>IFERROR(__xludf.DUMMYFUNCTION("""COMPUTED_VALUE"""),"CPS Advanced Billing and Subscriptions (ABS)")</f>
        <v>CPS Advanced Billing and Subscriptions (ABS)</v>
      </c>
    </row>
    <row r="7916">
      <c r="A7916" s="1" t="str">
        <f>IFERROR(__xludf.DUMMYFUNCTION("""COMPUTED_VALUE"""),"2025 Dec")</f>
        <v>2025 Dec</v>
      </c>
      <c r="B7916" s="2">
        <f>IFERROR(__xludf.DUMMYFUNCTION("""COMPUTED_VALUE"""),46020.0)</f>
        <v>46020</v>
      </c>
      <c r="C7916" s="1" t="str">
        <f>IFERROR(__xludf.DUMMYFUNCTION("""COMPUTED_VALUE"""),"High Sensitivity Support")</f>
        <v>High Sensitivity Support</v>
      </c>
      <c r="D7916" s="1" t="str">
        <f>IFERROR(__xludf.DUMMYFUNCTION("""COMPUTED_VALUE"""),"f56a1f10-27ad-435d-9c50-8e847d04dbcf")</f>
        <v>f56a1f10-27ad-435d-9c50-8e847d04dbcf</v>
      </c>
      <c r="E7916" s="1">
        <f>IFERROR(__xludf.DUMMYFUNCTION("""COMPUTED_VALUE"""),5.566811301007E12)</f>
        <v>5566811301007</v>
      </c>
      <c r="F7916" s="1"/>
      <c r="G7916" s="1"/>
      <c r="H7916" s="3">
        <f>IFERROR(__xludf.DUMMYFUNCTION("""COMPUTED_VALUE"""),0.0)</f>
        <v>0</v>
      </c>
      <c r="I7916" s="4"/>
      <c r="J7916" s="1" t="str">
        <f>IFERROR(__xludf.DUMMYFUNCTION("""COMPUTED_VALUE"""),"Issi Afable")</f>
        <v>Issi Afable</v>
      </c>
      <c r="K7916" s="1" t="str">
        <f>IFERROR(__xludf.DUMMYFUNCTION("""COMPUTED_VALUE"""),"High Sensitivity Support PH")</f>
        <v>High Sensitivity Support PH</v>
      </c>
      <c r="L7916" s="1" t="str">
        <f>IFERROR(__xludf.DUMMYFUNCTION("""COMPUTED_VALUE"""),"HSS High Sensitivity Support PH - SEE")</f>
        <v>HSS High Sensitivity Support PH - SEE</v>
      </c>
    </row>
    <row r="7917">
      <c r="A7917" s="1" t="str">
        <f>IFERROR(__xludf.DUMMYFUNCTION("""COMPUTED_VALUE"""),"2025 Dec")</f>
        <v>2025 Dec</v>
      </c>
      <c r="B7917" s="2">
        <f>IFERROR(__xludf.DUMMYFUNCTION("""COMPUTED_VALUE"""),46020.0)</f>
        <v>46020</v>
      </c>
      <c r="C7917" s="1" t="str">
        <f>IFERROR(__xludf.DUMMYFUNCTION("""COMPUTED_VALUE"""),"Print Support")</f>
        <v>Print Support</v>
      </c>
      <c r="D7917" s="1" t="str">
        <f>IFERROR(__xludf.DUMMYFUNCTION("""COMPUTED_VALUE"""),"298f0d76-bd7a-4274-ba39-7bf5fff1a6f0")</f>
        <v>298f0d76-bd7a-4274-ba39-7bf5fff1a6f0</v>
      </c>
      <c r="E7917" s="1"/>
      <c r="F7917" s="1"/>
      <c r="G7917" s="1"/>
      <c r="H7917" s="3">
        <f>IFERROR(__xludf.DUMMYFUNCTION("""COMPUTED_VALUE"""),0.0)</f>
        <v>0</v>
      </c>
      <c r="I7917" s="4"/>
      <c r="J7917" s="1" t="str">
        <f>IFERROR(__xludf.DUMMYFUNCTION("""COMPUTED_VALUE"""),"Gem Agoncillo")</f>
        <v>Gem Agoncillo</v>
      </c>
      <c r="K7917" s="1" t="str">
        <f>IFERROR(__xludf.DUMMYFUNCTION("""COMPUTED_VALUE"""),"Print Design Support")</f>
        <v>Print Design Support</v>
      </c>
      <c r="L7917" s="1" t="str">
        <f>IFERROR(__xludf.DUMMYFUNCTION("""COMPUTED_VALUE"""),"Print Print Design")</f>
        <v>Print Print Design</v>
      </c>
    </row>
    <row r="7918">
      <c r="A7918" s="1" t="str">
        <f>IFERROR(__xludf.DUMMYFUNCTION("""COMPUTED_VALUE"""),"2025 Dec")</f>
        <v>2025 Dec</v>
      </c>
      <c r="B7918" s="2">
        <f>IFERROR(__xludf.DUMMYFUNCTION("""COMPUTED_VALUE"""),46020.0)</f>
        <v>46020</v>
      </c>
      <c r="C7918" s="1" t="str">
        <f>IFERROR(__xludf.DUMMYFUNCTION("""COMPUTED_VALUE"""),"Print Support")</f>
        <v>Print Support</v>
      </c>
      <c r="D7918" s="1" t="str">
        <f>IFERROR(__xludf.DUMMYFUNCTION("""COMPUTED_VALUE"""),"6a7b954c-b6c3-49ee-b531-c1516331ca46")</f>
        <v>6a7b954c-b6c3-49ee-b531-c1516331ca46</v>
      </c>
      <c r="E7918" s="1">
        <f>IFERROR(__xludf.DUMMYFUNCTION("""COMPUTED_VALUE"""),3.61725484216E11)</f>
        <v>361725484216</v>
      </c>
      <c r="F7918" s="1"/>
      <c r="G7918" s="1"/>
      <c r="H7918" s="3">
        <f>IFERROR(__xludf.DUMMYFUNCTION("""COMPUTED_VALUE"""),0.0)</f>
        <v>0</v>
      </c>
      <c r="I7918" s="4"/>
      <c r="J7918" s="1" t="str">
        <f>IFERROR(__xludf.DUMMYFUNCTION("""COMPUTED_VALUE"""),"Louise Dianne Estrella")</f>
        <v>Louise Dianne Estrella</v>
      </c>
      <c r="K7918" s="1" t="str">
        <f>IFERROR(__xludf.DUMMYFUNCTION("""COMPUTED_VALUE"""),"Print Support PH")</f>
        <v>Print Support PH</v>
      </c>
      <c r="L7918" s="1" t="str">
        <f>IFERROR(__xludf.DUMMYFUNCTION("""COMPUTED_VALUE"""),"Print Print - CHT")</f>
        <v>Print Print - CHT</v>
      </c>
    </row>
    <row r="7919">
      <c r="A7919" s="1" t="str">
        <f>IFERROR(__xludf.DUMMYFUNCTION("""COMPUTED_VALUE"""),"2025 Dec")</f>
        <v>2025 Dec</v>
      </c>
      <c r="B7919" s="2">
        <f>IFERROR(__xludf.DUMMYFUNCTION("""COMPUTED_VALUE"""),46020.0)</f>
        <v>46020</v>
      </c>
      <c r="C7919" s="1" t="str">
        <f>IFERROR(__xludf.DUMMYFUNCTION("""COMPUTED_VALUE"""),"Print Support")</f>
        <v>Print Support</v>
      </c>
      <c r="D7919" s="1" t="str">
        <f>IFERROR(__xludf.DUMMYFUNCTION("""COMPUTED_VALUE"""),"795981ce-4d10-4d82-8c86-abfaee5aa819")</f>
        <v>795981ce-4d10-4d82-8c86-abfaee5aa819</v>
      </c>
      <c r="E7919" s="1"/>
      <c r="F7919" s="1"/>
      <c r="G7919" s="1"/>
      <c r="H7919" s="3">
        <f>IFERROR(__xludf.DUMMYFUNCTION("""COMPUTED_VALUE"""),0.0)</f>
        <v>0</v>
      </c>
      <c r="I7919" s="4"/>
      <c r="J7919" s="1" t="str">
        <f>IFERROR(__xludf.DUMMYFUNCTION("""COMPUTED_VALUE"""),"Rei De Jesus")</f>
        <v>Rei De Jesus</v>
      </c>
      <c r="K7919" s="1" t="str">
        <f>IFERROR(__xludf.DUMMYFUNCTION("""COMPUTED_VALUE"""),"Print Design Support")</f>
        <v>Print Design Support</v>
      </c>
      <c r="L7919" s="1" t="str">
        <f>IFERROR(__xludf.DUMMYFUNCTION("""COMPUTED_VALUE"""),"Print Print Design")</f>
        <v>Print Print Design</v>
      </c>
    </row>
    <row r="7920">
      <c r="A7920" s="1" t="str">
        <f>IFERROR(__xludf.DUMMYFUNCTION("""COMPUTED_VALUE"""),"2025 Dec")</f>
        <v>2025 Dec</v>
      </c>
      <c r="B7920" s="2">
        <f>IFERROR(__xludf.DUMMYFUNCTION("""COMPUTED_VALUE"""),46020.0)</f>
        <v>46020</v>
      </c>
      <c r="C7920" s="1" t="str">
        <f>IFERROR(__xludf.DUMMYFUNCTION("""COMPUTED_VALUE"""),"Core Product Support")</f>
        <v>Core Product Support</v>
      </c>
      <c r="D7920" s="1" t="str">
        <f>IFERROR(__xludf.DUMMYFUNCTION("""COMPUTED_VALUE"""),"c3188fb3-23e5-43d8-86c2-072029c768d3")</f>
        <v>c3188fb3-23e5-43d8-86c2-072029c768d3</v>
      </c>
      <c r="E7920" s="1">
        <f>IFERROR(__xludf.DUMMYFUNCTION("""COMPUTED_VALUE"""),1.0808000160399E13)</f>
        <v>10808000160399</v>
      </c>
      <c r="F7920" s="1">
        <f>IFERROR(__xludf.DUMMYFUNCTION("""COMPUTED_VALUE"""),0.5)</f>
        <v>0.5</v>
      </c>
      <c r="G7920" s="1"/>
      <c r="H7920" s="3">
        <f>IFERROR(__xludf.DUMMYFUNCTION("""COMPUTED_VALUE"""),0.5)</f>
        <v>0.5</v>
      </c>
      <c r="I7920" s="4">
        <f>IFERROR(__xludf.DUMMYFUNCTION("""COMPUTED_VALUE"""),0.0)</f>
        <v>0</v>
      </c>
      <c r="J7920" s="1" t="str">
        <f>IFERROR(__xludf.DUMMYFUNCTION("""COMPUTED_VALUE"""),"Cate Velasco")</f>
        <v>Cate Velasco</v>
      </c>
      <c r="K7920" s="1" t="str">
        <f>IFERROR(__xludf.DUMMYFUNCTION("""COMPUTED_VALUE"""),"Advanced Product Support")</f>
        <v>Advanced Product Support</v>
      </c>
      <c r="L7920" s="1" t="str">
        <f>IFERROR(__xludf.DUMMYFUNCTION("""COMPUTED_VALUE"""),"CPS Advanced Product Support (APS)")</f>
        <v>CPS Advanced Product Support (APS)</v>
      </c>
    </row>
    <row r="7921">
      <c r="A7921" s="1" t="str">
        <f>IFERROR(__xludf.DUMMYFUNCTION("""COMPUTED_VALUE"""),"2025 Dec")</f>
        <v>2025 Dec</v>
      </c>
      <c r="B7921" s="2">
        <f>IFERROR(__xludf.DUMMYFUNCTION("""COMPUTED_VALUE"""),46020.0)</f>
        <v>46020</v>
      </c>
      <c r="C7921" s="1" t="str">
        <f>IFERROR(__xludf.DUMMYFUNCTION("""COMPUTED_VALUE"""),"Core Product Support")</f>
        <v>Core Product Support</v>
      </c>
      <c r="D7921" s="1" t="str">
        <f>IFERROR(__xludf.DUMMYFUNCTION("""COMPUTED_VALUE"""),"484a67d0-5e69-4c98-848a-5ffa0b23046e")</f>
        <v>484a67d0-5e69-4c98-848a-5ffa0b23046e</v>
      </c>
      <c r="E7921" s="1">
        <f>IFERROR(__xludf.DUMMYFUNCTION("""COMPUTED_VALUE"""),5.202392804111E12)</f>
        <v>5202392804111</v>
      </c>
      <c r="F7921" s="1">
        <f>IFERROR(__xludf.DUMMYFUNCTION("""COMPUTED_VALUE"""),0.5)</f>
        <v>0.5</v>
      </c>
      <c r="G7921" s="1"/>
      <c r="H7921" s="3">
        <f>IFERROR(__xludf.DUMMYFUNCTION("""COMPUTED_VALUE"""),0.5)</f>
        <v>0.5</v>
      </c>
      <c r="I7921" s="4">
        <f>IFERROR(__xludf.DUMMYFUNCTION("""COMPUTED_VALUE"""),0.0)</f>
        <v>0</v>
      </c>
      <c r="J7921" s="1" t="str">
        <f>IFERROR(__xludf.DUMMYFUNCTION("""COMPUTED_VALUE"""),"Renette Bok")</f>
        <v>Renette Bok</v>
      </c>
      <c r="K7921" s="1" t="str">
        <f>IFERROR(__xludf.DUMMYFUNCTION("""COMPUTED_VALUE"""),"Advanced Billing &amp; Subscriptions")</f>
        <v>Advanced Billing &amp; Subscriptions</v>
      </c>
      <c r="L7921" s="1" t="str">
        <f>IFERROR(__xludf.DUMMYFUNCTION("""COMPUTED_VALUE"""),"CPS Advanced Billing and Subscriptions (ABS)")</f>
        <v>CPS Advanced Billing and Subscriptions (ABS)</v>
      </c>
    </row>
    <row r="7922">
      <c r="A7922" s="1" t="str">
        <f>IFERROR(__xludf.DUMMYFUNCTION("""COMPUTED_VALUE"""),"2025 Dec")</f>
        <v>2025 Dec</v>
      </c>
      <c r="B7922" s="2">
        <f>IFERROR(__xludf.DUMMYFUNCTION("""COMPUTED_VALUE"""),46020.0)</f>
        <v>46020</v>
      </c>
      <c r="C7922" s="1" t="str">
        <f>IFERROR(__xludf.DUMMYFUNCTION("""COMPUTED_VALUE"""),"Core Product Support")</f>
        <v>Core Product Support</v>
      </c>
      <c r="D7922" s="1" t="str">
        <f>IFERROR(__xludf.DUMMYFUNCTION("""COMPUTED_VALUE"""),"64aee857-09bd-4a17-90d8-7b6e2d71c216")</f>
        <v>64aee857-09bd-4a17-90d8-7b6e2d71c216</v>
      </c>
      <c r="E7922" s="1">
        <f>IFERROR(__xludf.DUMMYFUNCTION("""COMPUTED_VALUE"""),3.61725374316E11)</f>
        <v>361725374316</v>
      </c>
      <c r="F7922" s="1">
        <f>IFERROR(__xludf.DUMMYFUNCTION("""COMPUTED_VALUE"""),0.5)</f>
        <v>0.5</v>
      </c>
      <c r="G7922" s="1">
        <f>IFERROR(__xludf.DUMMYFUNCTION("""COMPUTED_VALUE"""),2.0)</f>
        <v>2</v>
      </c>
      <c r="H7922" s="3">
        <f>IFERROR(__xludf.DUMMYFUNCTION("""COMPUTED_VALUE"""),2.5)</f>
        <v>2.5</v>
      </c>
      <c r="I7922" s="4">
        <f>IFERROR(__xludf.DUMMYFUNCTION("""COMPUTED_VALUE"""),0.8)</f>
        <v>0.8</v>
      </c>
      <c r="J7922" s="1" t="str">
        <f>IFERROR(__xludf.DUMMYFUNCTION("""COMPUTED_VALUE"""),"Sieg Ballelos")</f>
        <v>Sieg Ballelos</v>
      </c>
      <c r="K7922" s="1" t="str">
        <f>IFERROR(__xludf.DUMMYFUNCTION("""COMPUTED_VALUE"""),"Core Product Support Escalation Team")</f>
        <v>Core Product Support Escalation Team</v>
      </c>
      <c r="L7922" s="1" t="str">
        <f>IFERROR(__xludf.DUMMYFUNCTION("""COMPUTED_VALUE"""),"CPS Core Product Support Escalations (CPSET)")</f>
        <v>CPS Core Product Support Escalations (CPSET)</v>
      </c>
    </row>
    <row r="7923">
      <c r="A7923" s="1" t="str">
        <f>IFERROR(__xludf.DUMMYFUNCTION("""COMPUTED_VALUE"""),"2025 Dec")</f>
        <v>2025 Dec</v>
      </c>
      <c r="B7923" s="2">
        <f>IFERROR(__xludf.DUMMYFUNCTION("""COMPUTED_VALUE"""),46020.0)</f>
        <v>46020</v>
      </c>
      <c r="C7923" s="1" t="str">
        <f>IFERROR(__xludf.DUMMYFUNCTION("""COMPUTED_VALUE"""),"High Sensitivity Support")</f>
        <v>High Sensitivity Support</v>
      </c>
      <c r="D7923" s="1" t="str">
        <f>IFERROR(__xludf.DUMMYFUNCTION("""COMPUTED_VALUE"""),"c7c30477-846d-4f22-bc04-2aab19385d44")</f>
        <v>c7c30477-846d-4f22-bc04-2aab19385d44</v>
      </c>
      <c r="E7923" s="1">
        <f>IFERROR(__xludf.DUMMYFUNCTION("""COMPUTED_VALUE"""),5.359149433359E12)</f>
        <v>5359149433359</v>
      </c>
      <c r="F7923" s="1"/>
      <c r="G7923" s="1"/>
      <c r="H7923" s="3">
        <f>IFERROR(__xludf.DUMMYFUNCTION("""COMPUTED_VALUE"""),0.0)</f>
        <v>0</v>
      </c>
      <c r="I7923" s="4"/>
      <c r="J7923" s="1" t="str">
        <f>IFERROR(__xludf.DUMMYFUNCTION("""COMPUTED_VALUE"""),"Xandy Azarcon")</f>
        <v>Xandy Azarcon</v>
      </c>
      <c r="K7923" s="1" t="str">
        <f>IFERROR(__xludf.DUMMYFUNCTION("""COMPUTED_VALUE"""),"#N/A")</f>
        <v>#N/A</v>
      </c>
      <c r="L7923" s="1"/>
    </row>
    <row r="7924">
      <c r="A7924" s="1" t="str">
        <f>IFERROR(__xludf.DUMMYFUNCTION("""COMPUTED_VALUE"""),"2025 Dec")</f>
        <v>2025 Dec</v>
      </c>
      <c r="B7924" s="2">
        <f>IFERROR(__xludf.DUMMYFUNCTION("""COMPUTED_VALUE"""),46020.0)</f>
        <v>46020</v>
      </c>
      <c r="C7924" s="1" t="str">
        <f>IFERROR(__xludf.DUMMYFUNCTION("""COMPUTED_VALUE"""),"Core Product Support")</f>
        <v>Core Product Support</v>
      </c>
      <c r="D7924" s="1" t="str">
        <f>IFERROR(__xludf.DUMMYFUNCTION("""COMPUTED_VALUE"""),"1b08e244-a5e3-48ac-9d85-880d42b6e733")</f>
        <v>1b08e244-a5e3-48ac-9d85-880d42b6e733</v>
      </c>
      <c r="E7924" s="1">
        <f>IFERROR(__xludf.DUMMYFUNCTION("""COMPUTED_VALUE"""),3.61744094696E11)</f>
        <v>361744094696</v>
      </c>
      <c r="F7924" s="1">
        <f>IFERROR(__xludf.DUMMYFUNCTION("""COMPUTED_VALUE"""),0.5)</f>
        <v>0.5</v>
      </c>
      <c r="G7924" s="1"/>
      <c r="H7924" s="3">
        <f>IFERROR(__xludf.DUMMYFUNCTION("""COMPUTED_VALUE"""),0.5)</f>
        <v>0.5</v>
      </c>
      <c r="I7924" s="4">
        <f>IFERROR(__xludf.DUMMYFUNCTION("""COMPUTED_VALUE"""),0.0)</f>
        <v>0</v>
      </c>
      <c r="J7924" s="1" t="str">
        <f>IFERROR(__xludf.DUMMYFUNCTION("""COMPUTED_VALUE"""),"Vinz Lazaro")</f>
        <v>Vinz Lazaro</v>
      </c>
      <c r="K7924" s="1" t="str">
        <f>IFERROR(__xludf.DUMMYFUNCTION("""COMPUTED_VALUE"""),"Advanced Product Support")</f>
        <v>Advanced Product Support</v>
      </c>
      <c r="L7924" s="1" t="str">
        <f>IFERROR(__xludf.DUMMYFUNCTION("""COMPUTED_VALUE"""),"CPS Advanced Product Support (APS)")</f>
        <v>CPS Advanced Product Support (APS)</v>
      </c>
    </row>
    <row r="7925">
      <c r="A7925" s="1" t="str">
        <f>IFERROR(__xludf.DUMMYFUNCTION("""COMPUTED_VALUE"""),"2025 Dec")</f>
        <v>2025 Dec</v>
      </c>
      <c r="B7925" s="2">
        <f>IFERROR(__xludf.DUMMYFUNCTION("""COMPUTED_VALUE"""),46020.0)</f>
        <v>46020</v>
      </c>
      <c r="C7925" s="1" t="str">
        <f>IFERROR(__xludf.DUMMYFUNCTION("""COMPUTED_VALUE"""),"Core Product Support")</f>
        <v>Core Product Support</v>
      </c>
      <c r="D7925" s="1" t="str">
        <f>IFERROR(__xludf.DUMMYFUNCTION("""COMPUTED_VALUE"""),"fc9b38e6-bcda-447e-bc09-efbb10174ad9")</f>
        <v>fc9b38e6-bcda-447e-bc09-efbb10174ad9</v>
      </c>
      <c r="E7925" s="1">
        <f>IFERROR(__xludf.DUMMYFUNCTION("""COMPUTED_VALUE"""),3.61733222835E11)</f>
        <v>361733222835</v>
      </c>
      <c r="F7925" s="1">
        <f>IFERROR(__xludf.DUMMYFUNCTION("""COMPUTED_VALUE"""),0.5)</f>
        <v>0.5</v>
      </c>
      <c r="G7925" s="1">
        <f>IFERROR(__xludf.DUMMYFUNCTION("""COMPUTED_VALUE"""),2.5)</f>
        <v>2.5</v>
      </c>
      <c r="H7925" s="3">
        <f>IFERROR(__xludf.DUMMYFUNCTION("""COMPUTED_VALUE"""),3.0)</f>
        <v>3</v>
      </c>
      <c r="I7925" s="4">
        <f>IFERROR(__xludf.DUMMYFUNCTION("""COMPUTED_VALUE"""),0.8333333333333334)</f>
        <v>0.8333333333</v>
      </c>
      <c r="J7925" s="1" t="str">
        <f>IFERROR(__xludf.DUMMYFUNCTION("""COMPUTED_VALUE"""),"Ellaine Estayo")</f>
        <v>Ellaine Estayo</v>
      </c>
      <c r="K7925" s="1" t="str">
        <f>IFERROR(__xludf.DUMMYFUNCTION("""COMPUTED_VALUE"""),"Core Product Support Escalation Team")</f>
        <v>Core Product Support Escalation Team</v>
      </c>
      <c r="L7925" s="1" t="str">
        <f>IFERROR(__xludf.DUMMYFUNCTION("""COMPUTED_VALUE"""),"CPS Core Product Support Escalations (CPSET)")</f>
        <v>CPS Core Product Support Escalations (CPSET)</v>
      </c>
    </row>
    <row r="7926">
      <c r="A7926" s="1" t="str">
        <f>IFERROR(__xludf.DUMMYFUNCTION("""COMPUTED_VALUE"""),"2025 Dec")</f>
        <v>2025 Dec</v>
      </c>
      <c r="B7926" s="2">
        <f>IFERROR(__xludf.DUMMYFUNCTION("""COMPUTED_VALUE"""),46020.0)</f>
        <v>46020</v>
      </c>
      <c r="C7926" s="1" t="str">
        <f>IFERROR(__xludf.DUMMYFUNCTION("""COMPUTED_VALUE"""),"High Sensitivity Support")</f>
        <v>High Sensitivity Support</v>
      </c>
      <c r="D7926" s="1" t="str">
        <f>IFERROR(__xludf.DUMMYFUNCTION("""COMPUTED_VALUE"""),"42147b58-e8e5-4766-a41a-8d98cf8a5872")</f>
        <v>42147b58-e8e5-4766-a41a-8d98cf8a5872</v>
      </c>
      <c r="E7926" s="1">
        <f>IFERROR(__xludf.DUMMYFUNCTION("""COMPUTED_VALUE"""),5.359185373455E12)</f>
        <v>5359185373455</v>
      </c>
      <c r="F7926" s="1">
        <f>IFERROR(__xludf.DUMMYFUNCTION("""COMPUTED_VALUE"""),3.0)</f>
        <v>3</v>
      </c>
      <c r="G7926" s="1"/>
      <c r="H7926" s="3">
        <f>IFERROR(__xludf.DUMMYFUNCTION("""COMPUTED_VALUE"""),3.0)</f>
        <v>3</v>
      </c>
      <c r="I7926" s="4">
        <f>IFERROR(__xludf.DUMMYFUNCTION("""COMPUTED_VALUE"""),0.0)</f>
        <v>0</v>
      </c>
      <c r="J7926" s="1" t="str">
        <f>IFERROR(__xludf.DUMMYFUNCTION("""COMPUTED_VALUE"""),"Rossheen Pura")</f>
        <v>Rossheen Pura</v>
      </c>
      <c r="K7926" s="1" t="str">
        <f>IFERROR(__xludf.DUMMYFUNCTION("""COMPUTED_VALUE"""),"High Sensitivity Support PH")</f>
        <v>High Sensitivity Support PH</v>
      </c>
      <c r="L7926" s="1" t="str">
        <f>IFERROR(__xludf.DUMMYFUNCTION("""COMPUTED_VALUE"""),"HSS High Sensitivity Support PH - CHT")</f>
        <v>HSS High Sensitivity Support PH - CHT</v>
      </c>
    </row>
    <row r="7927">
      <c r="A7927" s="1" t="str">
        <f>IFERROR(__xludf.DUMMYFUNCTION("""COMPUTED_VALUE"""),"2025 Dec")</f>
        <v>2025 Dec</v>
      </c>
      <c r="B7927" s="2">
        <f>IFERROR(__xludf.DUMMYFUNCTION("""COMPUTED_VALUE"""),46020.0)</f>
        <v>46020</v>
      </c>
      <c r="C7927" s="1" t="str">
        <f>IFERROR(__xludf.DUMMYFUNCTION("""COMPUTED_VALUE"""),"Core Product Support")</f>
        <v>Core Product Support</v>
      </c>
      <c r="D7927" s="1" t="str">
        <f>IFERROR(__xludf.DUMMYFUNCTION("""COMPUTED_VALUE"""),"b70eebc6-c7c9-48bc-a876-82736f994fb9")</f>
        <v>b70eebc6-c7c9-48bc-a876-82736f994fb9</v>
      </c>
      <c r="E7927" s="1">
        <f>IFERROR(__xludf.DUMMYFUNCTION("""COMPUTED_VALUE"""),1.1401980902415E13)</f>
        <v>11401980902415</v>
      </c>
      <c r="F7927" s="1">
        <f>IFERROR(__xludf.DUMMYFUNCTION("""COMPUTED_VALUE"""),0.5)</f>
        <v>0.5</v>
      </c>
      <c r="G7927" s="1"/>
      <c r="H7927" s="3">
        <f>IFERROR(__xludf.DUMMYFUNCTION("""COMPUTED_VALUE"""),0.5)</f>
        <v>0.5</v>
      </c>
      <c r="I7927" s="4">
        <f>IFERROR(__xludf.DUMMYFUNCTION("""COMPUTED_VALUE"""),0.0)</f>
        <v>0</v>
      </c>
      <c r="J7927" s="1" t="str">
        <f>IFERROR(__xludf.DUMMYFUNCTION("""COMPUTED_VALUE"""),"Ayza Marie Pascual")</f>
        <v>Ayza Marie Pascual</v>
      </c>
      <c r="K7927" s="1" t="str">
        <f>IFERROR(__xludf.DUMMYFUNCTION("""COMPUTED_VALUE"""),"Advanced Billing &amp; Subscriptions")</f>
        <v>Advanced Billing &amp; Subscriptions</v>
      </c>
      <c r="L7927" s="1" t="str">
        <f>IFERROR(__xludf.DUMMYFUNCTION("""COMPUTED_VALUE"""),"CPS Advanced Billing and Subscriptions (ABS)")</f>
        <v>CPS Advanced Billing and Subscriptions (ABS)</v>
      </c>
    </row>
    <row r="7928">
      <c r="A7928" s="1" t="str">
        <f>IFERROR(__xludf.DUMMYFUNCTION("""COMPUTED_VALUE"""),"2025 Dec")</f>
        <v>2025 Dec</v>
      </c>
      <c r="B7928" s="2">
        <f>IFERROR(__xludf.DUMMYFUNCTION("""COMPUTED_VALUE"""),46020.0)</f>
        <v>46020</v>
      </c>
      <c r="C7928" s="1" t="str">
        <f>IFERROR(__xludf.DUMMYFUNCTION("""COMPUTED_VALUE"""),"Core Product Support")</f>
        <v>Core Product Support</v>
      </c>
      <c r="D7928" s="1" t="str">
        <f>IFERROR(__xludf.DUMMYFUNCTION("""COMPUTED_VALUE"""),"9d825d2e-3519-4559-9782-f32e81d2d824")</f>
        <v>9d825d2e-3519-4559-9782-f32e81d2d824</v>
      </c>
      <c r="E7928" s="1">
        <f>IFERROR(__xludf.DUMMYFUNCTION("""COMPUTED_VALUE"""),3.61861297715E11)</f>
        <v>361861297715</v>
      </c>
      <c r="F7928" s="1">
        <f>IFERROR(__xludf.DUMMYFUNCTION("""COMPUTED_VALUE"""),0.5)</f>
        <v>0.5</v>
      </c>
      <c r="G7928" s="1"/>
      <c r="H7928" s="3">
        <f>IFERROR(__xludf.DUMMYFUNCTION("""COMPUTED_VALUE"""),0.5)</f>
        <v>0.5</v>
      </c>
      <c r="I7928" s="4">
        <f>IFERROR(__xludf.DUMMYFUNCTION("""COMPUTED_VALUE"""),0.0)</f>
        <v>0</v>
      </c>
      <c r="J7928" s="1" t="str">
        <f>IFERROR(__xludf.DUMMYFUNCTION("""COMPUTED_VALUE"""),"Jem Mondoñedo")</f>
        <v>Jem Mondoñedo</v>
      </c>
      <c r="K7928" s="1" t="str">
        <f>IFERROR(__xludf.DUMMYFUNCTION("""COMPUTED_VALUE"""),"Advanced Chat Support")</f>
        <v>Advanced Chat Support</v>
      </c>
      <c r="L7928" s="1" t="str">
        <f>IFERROR(__xludf.DUMMYFUNCTION("""COMPUTED_VALUE"""),"CPS Advanced Chat Support (ACS)")</f>
        <v>CPS Advanced Chat Support (ACS)</v>
      </c>
    </row>
    <row r="7929">
      <c r="A7929" s="1" t="str">
        <f>IFERROR(__xludf.DUMMYFUNCTION("""COMPUTED_VALUE"""),"2025 Dec")</f>
        <v>2025 Dec</v>
      </c>
      <c r="B7929" s="2">
        <f>IFERROR(__xludf.DUMMYFUNCTION("""COMPUTED_VALUE"""),46020.0)</f>
        <v>46020</v>
      </c>
      <c r="C7929" s="1" t="str">
        <f>IFERROR(__xludf.DUMMYFUNCTION("""COMPUTED_VALUE"""),"Core Product Support")</f>
        <v>Core Product Support</v>
      </c>
      <c r="D7929" s="1" t="str">
        <f>IFERROR(__xludf.DUMMYFUNCTION("""COMPUTED_VALUE"""),"f05426fa-d3ef-48ef-9506-1b0d003468b9")</f>
        <v>f05426fa-d3ef-48ef-9506-1b0d003468b9</v>
      </c>
      <c r="E7929" s="1">
        <f>IFERROR(__xludf.DUMMYFUNCTION("""COMPUTED_VALUE"""),8.409892191631E12)</f>
        <v>8409892191631</v>
      </c>
      <c r="F7929" s="1">
        <f>IFERROR(__xludf.DUMMYFUNCTION("""COMPUTED_VALUE"""),1.0)</f>
        <v>1</v>
      </c>
      <c r="G7929" s="1"/>
      <c r="H7929" s="3">
        <f>IFERROR(__xludf.DUMMYFUNCTION("""COMPUTED_VALUE"""),1.0)</f>
        <v>1</v>
      </c>
      <c r="I7929" s="4">
        <f>IFERROR(__xludf.DUMMYFUNCTION("""COMPUTED_VALUE"""),0.0)</f>
        <v>0</v>
      </c>
      <c r="J7929" s="1" t="str">
        <f>IFERROR(__xludf.DUMMYFUNCTION("""COMPUTED_VALUE"""),"Jahmie Mae Barrameda")</f>
        <v>Jahmie Mae Barrameda</v>
      </c>
      <c r="K7929" s="1" t="str">
        <f>IFERROR(__xludf.DUMMYFUNCTION("""COMPUTED_VALUE"""),"Advanced Billing &amp; Subscriptions")</f>
        <v>Advanced Billing &amp; Subscriptions</v>
      </c>
      <c r="L7929" s="1" t="str">
        <f>IFERROR(__xludf.DUMMYFUNCTION("""COMPUTED_VALUE"""),"CPS Advanced Billing and Subscriptions (ABS)")</f>
        <v>CPS Advanced Billing and Subscriptions (ABS)</v>
      </c>
    </row>
    <row r="7930">
      <c r="A7930" s="1" t="str">
        <f>IFERROR(__xludf.DUMMYFUNCTION("""COMPUTED_VALUE"""),"2025 Dec")</f>
        <v>2025 Dec</v>
      </c>
      <c r="B7930" s="2">
        <f>IFERROR(__xludf.DUMMYFUNCTION("""COMPUTED_VALUE"""),46020.0)</f>
        <v>46020</v>
      </c>
      <c r="C7930" s="1" t="str">
        <f>IFERROR(__xludf.DUMMYFUNCTION("""COMPUTED_VALUE"""),"Multilingual Support")</f>
        <v>Multilingual Support</v>
      </c>
      <c r="D7930" s="1" t="str">
        <f>IFERROR(__xludf.DUMMYFUNCTION("""COMPUTED_VALUE"""),"ddff770a-8bbb-4a78-9bec-f5c563c6b901")</f>
        <v>ddff770a-8bbb-4a78-9bec-f5c563c6b901</v>
      </c>
      <c r="E7930" s="1">
        <f>IFERROR(__xludf.DUMMYFUNCTION("""COMPUTED_VALUE"""),4.759846838031E12)</f>
        <v>4759846838031</v>
      </c>
      <c r="F7930" s="1"/>
      <c r="G7930" s="1"/>
      <c r="H7930" s="3">
        <f>IFERROR(__xludf.DUMMYFUNCTION("""COMPUTED_VALUE"""),0.0)</f>
        <v>0</v>
      </c>
      <c r="I7930" s="4"/>
      <c r="J7930" s="1" t="str">
        <f>IFERROR(__xludf.DUMMYFUNCTION("""COMPUTED_VALUE"""),"Arlene Maurillo")</f>
        <v>Arlene Maurillo</v>
      </c>
      <c r="K7930" s="1" t="str">
        <f>IFERROR(__xludf.DUMMYFUNCTION("""COMPUTED_VALUE"""),"PHL, Multilingual Support")</f>
        <v>PHL, Multilingual Support</v>
      </c>
      <c r="L7930" s="1" t="str">
        <f>IFERROR(__xludf.DUMMYFUNCTION("""COMPUTED_VALUE"""),"ML Portuguese Support")</f>
        <v>ML Portuguese Support</v>
      </c>
    </row>
    <row r="7931">
      <c r="A7931" s="1" t="str">
        <f>IFERROR(__xludf.DUMMYFUNCTION("""COMPUTED_VALUE"""),"2025 Dec")</f>
        <v>2025 Dec</v>
      </c>
      <c r="B7931" s="2">
        <f>IFERROR(__xludf.DUMMYFUNCTION("""COMPUTED_VALUE"""),46020.0)</f>
        <v>46020</v>
      </c>
      <c r="C7931" s="1" t="str">
        <f>IFERROR(__xludf.DUMMYFUNCTION("""COMPUTED_VALUE"""),"Core Product Support")</f>
        <v>Core Product Support</v>
      </c>
      <c r="D7931" s="1" t="str">
        <f>IFERROR(__xludf.DUMMYFUNCTION("""COMPUTED_VALUE"""),"50370a17-1382-4a9f-8e42-5d34af042f22")</f>
        <v>50370a17-1382-4a9f-8e42-5d34af042f22</v>
      </c>
      <c r="E7931" s="1">
        <f>IFERROR(__xludf.DUMMYFUNCTION("""COMPUTED_VALUE"""),1.1401981770511E13)</f>
        <v>11401981770511</v>
      </c>
      <c r="F7931" s="1">
        <f>IFERROR(__xludf.DUMMYFUNCTION("""COMPUTED_VALUE"""),0.5)</f>
        <v>0.5</v>
      </c>
      <c r="G7931" s="1"/>
      <c r="H7931" s="3">
        <f>IFERROR(__xludf.DUMMYFUNCTION("""COMPUTED_VALUE"""),0.5)</f>
        <v>0.5</v>
      </c>
      <c r="I7931" s="4">
        <f>IFERROR(__xludf.DUMMYFUNCTION("""COMPUTED_VALUE"""),0.0)</f>
        <v>0</v>
      </c>
      <c r="J7931" s="1" t="str">
        <f>IFERROR(__xludf.DUMMYFUNCTION("""COMPUTED_VALUE"""),"Mikhaela Decangchon")</f>
        <v>Mikhaela Decangchon</v>
      </c>
      <c r="K7931" s="1" t="str">
        <f>IFERROR(__xludf.DUMMYFUNCTION("""COMPUTED_VALUE"""),"Advanced Product Support")</f>
        <v>Advanced Product Support</v>
      </c>
      <c r="L7931" s="1" t="str">
        <f>IFERROR(__xludf.DUMMYFUNCTION("""COMPUTED_VALUE"""),"CPS Advanced Product Support (APS)")</f>
        <v>CPS Advanced Product Support (APS)</v>
      </c>
    </row>
    <row r="7932">
      <c r="A7932" s="1" t="str">
        <f>IFERROR(__xludf.DUMMYFUNCTION("""COMPUTED_VALUE"""),"2025 Dec")</f>
        <v>2025 Dec</v>
      </c>
      <c r="B7932" s="2">
        <f>IFERROR(__xludf.DUMMYFUNCTION("""COMPUTED_VALUE"""),46020.0)</f>
        <v>46020</v>
      </c>
      <c r="C7932" s="1" t="str">
        <f>IFERROR(__xludf.DUMMYFUNCTION("""COMPUTED_VALUE"""),"Core Product Support")</f>
        <v>Core Product Support</v>
      </c>
      <c r="D7932" s="1" t="str">
        <f>IFERROR(__xludf.DUMMYFUNCTION("""COMPUTED_VALUE"""),"6472d23f-e427-46f0-a9cb-1e9b17ddfd44")</f>
        <v>6472d23f-e427-46f0-a9cb-1e9b17ddfd44</v>
      </c>
      <c r="E7932" s="1">
        <f>IFERROR(__xludf.DUMMYFUNCTION("""COMPUTED_VALUE"""),1.0548627051023E13)</f>
        <v>10548627051023</v>
      </c>
      <c r="F7932" s="1">
        <f>IFERROR(__xludf.DUMMYFUNCTION("""COMPUTED_VALUE"""),0.5)</f>
        <v>0.5</v>
      </c>
      <c r="G7932" s="1"/>
      <c r="H7932" s="3">
        <f>IFERROR(__xludf.DUMMYFUNCTION("""COMPUTED_VALUE"""),0.5)</f>
        <v>0.5</v>
      </c>
      <c r="I7932" s="4">
        <f>IFERROR(__xludf.DUMMYFUNCTION("""COMPUTED_VALUE"""),0.0)</f>
        <v>0</v>
      </c>
      <c r="J7932" s="1" t="str">
        <f>IFERROR(__xludf.DUMMYFUNCTION("""COMPUTED_VALUE"""),"Belle Bentazal")</f>
        <v>Belle Bentazal</v>
      </c>
      <c r="K7932" s="1" t="str">
        <f>IFERROR(__xludf.DUMMYFUNCTION("""COMPUTED_VALUE"""),"Advanced Product Support")</f>
        <v>Advanced Product Support</v>
      </c>
      <c r="L7932" s="1" t="str">
        <f>IFERROR(__xludf.DUMMYFUNCTION("""COMPUTED_VALUE"""),"CPS Advanced Product Support (APS)")</f>
        <v>CPS Advanced Product Support (APS)</v>
      </c>
    </row>
    <row r="7933">
      <c r="A7933" s="1" t="str">
        <f>IFERROR(__xludf.DUMMYFUNCTION("""COMPUTED_VALUE"""),"2025 Dec")</f>
        <v>2025 Dec</v>
      </c>
      <c r="B7933" s="2">
        <f>IFERROR(__xludf.DUMMYFUNCTION("""COMPUTED_VALUE"""),46020.0)</f>
        <v>46020</v>
      </c>
      <c r="C7933" s="1" t="str">
        <f>IFERROR(__xludf.DUMMYFUNCTION("""COMPUTED_VALUE"""),"Core Product Support")</f>
        <v>Core Product Support</v>
      </c>
      <c r="D7933" s="1" t="str">
        <f>IFERROR(__xludf.DUMMYFUNCTION("""COMPUTED_VALUE"""),"03428ca1-a361-4015-9a9f-9609cb3ad0fe")</f>
        <v>03428ca1-a361-4015-9a9f-9609cb3ad0fe</v>
      </c>
      <c r="E7933" s="1">
        <f>IFERROR(__xludf.DUMMYFUNCTION("""COMPUTED_VALUE"""),5.047314651919E12)</f>
        <v>5047314651919</v>
      </c>
      <c r="F7933" s="1"/>
      <c r="G7933" s="1">
        <f>IFERROR(__xludf.DUMMYFUNCTION("""COMPUTED_VALUE"""),2.0)</f>
        <v>2</v>
      </c>
      <c r="H7933" s="3">
        <f>IFERROR(__xludf.DUMMYFUNCTION("""COMPUTED_VALUE"""),2.0)</f>
        <v>2</v>
      </c>
      <c r="I7933" s="4">
        <f>IFERROR(__xludf.DUMMYFUNCTION("""COMPUTED_VALUE"""),1.0)</f>
        <v>1</v>
      </c>
      <c r="J7933" s="1" t="str">
        <f>IFERROR(__xludf.DUMMYFUNCTION("""COMPUTED_VALUE"""),"Bem Launte")</f>
        <v>Bem Launte</v>
      </c>
      <c r="K7933" s="1" t="str">
        <f>IFERROR(__xludf.DUMMYFUNCTION("""COMPUTED_VALUE"""),"Core Product Support Escalation Team")</f>
        <v>Core Product Support Escalation Team</v>
      </c>
      <c r="L7933" s="1" t="str">
        <f>IFERROR(__xludf.DUMMYFUNCTION("""COMPUTED_VALUE"""),"CPS Core Product Support Escalations (CPSET)")</f>
        <v>CPS Core Product Support Escalations (CPSET)</v>
      </c>
    </row>
    <row r="7934">
      <c r="A7934" s="1" t="str">
        <f>IFERROR(__xludf.DUMMYFUNCTION("""COMPUTED_VALUE"""),"2025 Dec")</f>
        <v>2025 Dec</v>
      </c>
      <c r="B7934" s="2">
        <f>IFERROR(__xludf.DUMMYFUNCTION("""COMPUTED_VALUE"""),46020.0)</f>
        <v>46020</v>
      </c>
      <c r="C7934" s="1" t="str">
        <f>IFERROR(__xludf.DUMMYFUNCTION("""COMPUTED_VALUE"""),"Core Product Support")</f>
        <v>Core Product Support</v>
      </c>
      <c r="D7934" s="1" t="str">
        <f>IFERROR(__xludf.DUMMYFUNCTION("""COMPUTED_VALUE"""),"eb75942b-e616-42a5-bbc5-1d6cc92843bb")</f>
        <v>eb75942b-e616-42a5-bbc5-1d6cc92843bb</v>
      </c>
      <c r="E7934" s="1">
        <f>IFERROR(__xludf.DUMMYFUNCTION("""COMPUTED_VALUE"""),7.437355919375E12)</f>
        <v>7437355919375</v>
      </c>
      <c r="F7934" s="1">
        <f>IFERROR(__xludf.DUMMYFUNCTION("""COMPUTED_VALUE"""),0.5)</f>
        <v>0.5</v>
      </c>
      <c r="G7934" s="1"/>
      <c r="H7934" s="3">
        <f>IFERROR(__xludf.DUMMYFUNCTION("""COMPUTED_VALUE"""),0.5)</f>
        <v>0.5</v>
      </c>
      <c r="I7934" s="4">
        <f>IFERROR(__xludf.DUMMYFUNCTION("""COMPUTED_VALUE"""),0.0)</f>
        <v>0</v>
      </c>
      <c r="J7934" s="1" t="str">
        <f>IFERROR(__xludf.DUMMYFUNCTION("""COMPUTED_VALUE"""),"Ana Lazaro")</f>
        <v>Ana Lazaro</v>
      </c>
      <c r="K7934" s="1" t="str">
        <f>IFERROR(__xludf.DUMMYFUNCTION("""COMPUTED_VALUE"""),"Advanced Billing &amp; Subscriptions")</f>
        <v>Advanced Billing &amp; Subscriptions</v>
      </c>
      <c r="L7934" s="1" t="str">
        <f>IFERROR(__xludf.DUMMYFUNCTION("""COMPUTED_VALUE"""),"CPS Advanced Billing and Subscriptions (ABS)")</f>
        <v>CPS Advanced Billing and Subscriptions (ABS)</v>
      </c>
    </row>
    <row r="7935">
      <c r="A7935" s="1" t="str">
        <f>IFERROR(__xludf.DUMMYFUNCTION("""COMPUTED_VALUE"""),"2025 Dec")</f>
        <v>2025 Dec</v>
      </c>
      <c r="B7935" s="2">
        <f>IFERROR(__xludf.DUMMYFUNCTION("""COMPUTED_VALUE"""),46020.0)</f>
        <v>46020</v>
      </c>
      <c r="C7935" s="1" t="str">
        <f>IFERROR(__xludf.DUMMYFUNCTION("""COMPUTED_VALUE"""),"Admin Support")</f>
        <v>Admin Support</v>
      </c>
      <c r="D7935" s="1" t="str">
        <f>IFERROR(__xludf.DUMMYFUNCTION("""COMPUTED_VALUE"""),"3f58d026-d7af-4464-8ba2-17fb4976b8ac")</f>
        <v>3f58d026-d7af-4464-8ba2-17fb4976b8ac</v>
      </c>
      <c r="E7935" s="1">
        <f>IFERROR(__xludf.DUMMYFUNCTION("""COMPUTED_VALUE"""),3.61724668516E11)</f>
        <v>361724668516</v>
      </c>
      <c r="F7935" s="1"/>
      <c r="G7935" s="1"/>
      <c r="H7935" s="3">
        <f>IFERROR(__xludf.DUMMYFUNCTION("""COMPUTED_VALUE"""),0.0)</f>
        <v>0</v>
      </c>
      <c r="I7935" s="4"/>
      <c r="J7935" s="1" t="str">
        <f>IFERROR(__xludf.DUMMYFUNCTION("""COMPUTED_VALUE"""),"Karla Mananghaya")</f>
        <v>Karla Mananghaya</v>
      </c>
      <c r="K7935" s="1" t="str">
        <f>IFERROR(__xludf.DUMMYFUNCTION("""COMPUTED_VALUE"""),"Admin Support PH SSO")</f>
        <v>Admin Support PH SSO</v>
      </c>
      <c r="L7935" s="1" t="str">
        <f>IFERROR(__xludf.DUMMYFUNCTION("""COMPUTED_VALUE"""),"Admin SSO - CHT")</f>
        <v>Admin SSO - CHT</v>
      </c>
    </row>
    <row r="7936">
      <c r="A7936" s="1" t="str">
        <f>IFERROR(__xludf.DUMMYFUNCTION("""COMPUTED_VALUE"""),"2025 Dec")</f>
        <v>2025 Dec</v>
      </c>
      <c r="B7936" s="2">
        <f>IFERROR(__xludf.DUMMYFUNCTION("""COMPUTED_VALUE"""),46020.0)</f>
        <v>46020</v>
      </c>
      <c r="C7936" s="1" t="str">
        <f>IFERROR(__xludf.DUMMYFUNCTION("""COMPUTED_VALUE"""),"Admin Support")</f>
        <v>Admin Support</v>
      </c>
      <c r="D7936" s="1" t="str">
        <f>IFERROR(__xludf.DUMMYFUNCTION("""COMPUTED_VALUE"""),"021b74ea-5511-4b56-9f2a-6ea9d6443caa")</f>
        <v>021b74ea-5511-4b56-9f2a-6ea9d6443caa</v>
      </c>
      <c r="E7936" s="1">
        <f>IFERROR(__xludf.DUMMYFUNCTION("""COMPUTED_VALUE"""),3.61725374416E11)</f>
        <v>361725374416</v>
      </c>
      <c r="F7936" s="1"/>
      <c r="G7936" s="1"/>
      <c r="H7936" s="3">
        <f>IFERROR(__xludf.DUMMYFUNCTION("""COMPUTED_VALUE"""),0.0)</f>
        <v>0</v>
      </c>
      <c r="I7936" s="4"/>
      <c r="J7936" s="1" t="str">
        <f>IFERROR(__xludf.DUMMYFUNCTION("""COMPUTED_VALUE"""),"Rose Gabilan")</f>
        <v>Rose Gabilan</v>
      </c>
      <c r="K7936" s="1" t="str">
        <f>IFERROR(__xludf.DUMMYFUNCTION("""COMPUTED_VALUE"""),"Admin Support PH SSO")</f>
        <v>Admin Support PH SSO</v>
      </c>
      <c r="L7936" s="1" t="str">
        <f>IFERROR(__xludf.DUMMYFUNCTION("""COMPUTED_VALUE"""),"Admin SSO - CHT")</f>
        <v>Admin SSO - CHT</v>
      </c>
    </row>
    <row r="7937">
      <c r="A7937" s="1" t="str">
        <f>IFERROR(__xludf.DUMMYFUNCTION("""COMPUTED_VALUE"""),"2025 Dec")</f>
        <v>2025 Dec</v>
      </c>
      <c r="B7937" s="2">
        <f>IFERROR(__xludf.DUMMYFUNCTION("""COMPUTED_VALUE"""),46020.0)</f>
        <v>46020</v>
      </c>
      <c r="C7937" s="1" t="str">
        <f>IFERROR(__xludf.DUMMYFUNCTION("""COMPUTED_VALUE"""),"Admin Support")</f>
        <v>Admin Support</v>
      </c>
      <c r="D7937" s="1" t="str">
        <f>IFERROR(__xludf.DUMMYFUNCTION("""COMPUTED_VALUE"""),"328935f7-c639-4b8f-8512-a9641b2cf808")</f>
        <v>328935f7-c639-4b8f-8512-a9641b2cf808</v>
      </c>
      <c r="E7937" s="1">
        <f>IFERROR(__xludf.DUMMYFUNCTION("""COMPUTED_VALUE"""),3.61731648215E11)</f>
        <v>361731648215</v>
      </c>
      <c r="F7937" s="1"/>
      <c r="G7937" s="1"/>
      <c r="H7937" s="3">
        <f>IFERROR(__xludf.DUMMYFUNCTION("""COMPUTED_VALUE"""),0.0)</f>
        <v>0</v>
      </c>
      <c r="I7937" s="4"/>
      <c r="J7937" s="1" t="str">
        <f>IFERROR(__xludf.DUMMYFUNCTION("""COMPUTED_VALUE"""),"Rose Gabilan")</f>
        <v>Rose Gabilan</v>
      </c>
      <c r="K7937" s="1" t="str">
        <f>IFERROR(__xludf.DUMMYFUNCTION("""COMPUTED_VALUE"""),"Admin Support PH SSO")</f>
        <v>Admin Support PH SSO</v>
      </c>
      <c r="L7937" s="1" t="str">
        <f>IFERROR(__xludf.DUMMYFUNCTION("""COMPUTED_VALUE"""),"Admin SSO - CHT")</f>
        <v>Admin SSO - CHT</v>
      </c>
    </row>
    <row r="7938">
      <c r="A7938" s="1" t="str">
        <f>IFERROR(__xludf.DUMMYFUNCTION("""COMPUTED_VALUE"""),"2025 Dec")</f>
        <v>2025 Dec</v>
      </c>
      <c r="B7938" s="2">
        <f>IFERROR(__xludf.DUMMYFUNCTION("""COMPUTED_VALUE"""),46020.0)</f>
        <v>46020</v>
      </c>
      <c r="C7938" s="1" t="str">
        <f>IFERROR(__xludf.DUMMYFUNCTION("""COMPUTED_VALUE"""),"Core Product Support")</f>
        <v>Core Product Support</v>
      </c>
      <c r="D7938" s="1" t="str">
        <f>IFERROR(__xludf.DUMMYFUNCTION("""COMPUTED_VALUE"""),"157b66db-b9f4-4a3d-a00a-5cf3eefe9b58")</f>
        <v>157b66db-b9f4-4a3d-a00a-5cf3eefe9b58</v>
      </c>
      <c r="E7938" s="1">
        <f>IFERROR(__xludf.DUMMYFUNCTION("""COMPUTED_VALUE"""),3.61731791835E11)</f>
        <v>361731791835</v>
      </c>
      <c r="F7938" s="1">
        <f>IFERROR(__xludf.DUMMYFUNCTION("""COMPUTED_VALUE"""),0.5)</f>
        <v>0.5</v>
      </c>
      <c r="G7938" s="1"/>
      <c r="H7938" s="3">
        <f>IFERROR(__xludf.DUMMYFUNCTION("""COMPUTED_VALUE"""),0.5)</f>
        <v>0.5</v>
      </c>
      <c r="I7938" s="4">
        <f>IFERROR(__xludf.DUMMYFUNCTION("""COMPUTED_VALUE"""),0.0)</f>
        <v>0</v>
      </c>
      <c r="J7938" s="1" t="str">
        <f>IFERROR(__xludf.DUMMYFUNCTION("""COMPUTED_VALUE"""),"Renette Bok")</f>
        <v>Renette Bok</v>
      </c>
      <c r="K7938" s="1" t="str">
        <f>IFERROR(__xludf.DUMMYFUNCTION("""COMPUTED_VALUE"""),"Advanced Billing &amp; Subscriptions")</f>
        <v>Advanced Billing &amp; Subscriptions</v>
      </c>
      <c r="L7938" s="1" t="str">
        <f>IFERROR(__xludf.DUMMYFUNCTION("""COMPUTED_VALUE"""),"CPS Advanced Billing and Subscriptions (ABS)")</f>
        <v>CPS Advanced Billing and Subscriptions (ABS)</v>
      </c>
    </row>
    <row r="7939">
      <c r="A7939" s="1" t="str">
        <f>IFERROR(__xludf.DUMMYFUNCTION("""COMPUTED_VALUE"""),"2025 Dec")</f>
        <v>2025 Dec</v>
      </c>
      <c r="B7939" s="2">
        <f>IFERROR(__xludf.DUMMYFUNCTION("""COMPUTED_VALUE"""),46020.0)</f>
        <v>46020</v>
      </c>
      <c r="C7939" s="1" t="str">
        <f>IFERROR(__xludf.DUMMYFUNCTION("""COMPUTED_VALUE"""),"Core Product Support")</f>
        <v>Core Product Support</v>
      </c>
      <c r="D7939" s="1" t="str">
        <f>IFERROR(__xludf.DUMMYFUNCTION("""COMPUTED_VALUE"""),"9f2b3750-482b-4498-a201-4e32c8fad021")</f>
        <v>9f2b3750-482b-4498-a201-4e32c8fad021</v>
      </c>
      <c r="E7939" s="1">
        <f>IFERROR(__xludf.DUMMYFUNCTION("""COMPUTED_VALUE"""),3.61861298275E11)</f>
        <v>361861298275</v>
      </c>
      <c r="F7939" s="1">
        <f>IFERROR(__xludf.DUMMYFUNCTION("""COMPUTED_VALUE"""),0.5)</f>
        <v>0.5</v>
      </c>
      <c r="G7939" s="1">
        <f>IFERROR(__xludf.DUMMYFUNCTION("""COMPUTED_VALUE"""),2.5)</f>
        <v>2.5</v>
      </c>
      <c r="H7939" s="3">
        <f>IFERROR(__xludf.DUMMYFUNCTION("""COMPUTED_VALUE"""),3.0)</f>
        <v>3</v>
      </c>
      <c r="I7939" s="4">
        <f>IFERROR(__xludf.DUMMYFUNCTION("""COMPUTED_VALUE"""),0.8333333333333334)</f>
        <v>0.8333333333</v>
      </c>
      <c r="J7939" s="1" t="str">
        <f>IFERROR(__xludf.DUMMYFUNCTION("""COMPUTED_VALUE"""),"Bem Launte")</f>
        <v>Bem Launte</v>
      </c>
      <c r="K7939" s="1" t="str">
        <f>IFERROR(__xludf.DUMMYFUNCTION("""COMPUTED_VALUE"""),"Core Product Support Escalation Team")</f>
        <v>Core Product Support Escalation Team</v>
      </c>
      <c r="L7939" s="1" t="str">
        <f>IFERROR(__xludf.DUMMYFUNCTION("""COMPUTED_VALUE"""),"CPS Core Product Support Escalations (CPSET)")</f>
        <v>CPS Core Product Support Escalations (CPSET)</v>
      </c>
    </row>
    <row r="7940">
      <c r="A7940" s="1" t="str">
        <f>IFERROR(__xludf.DUMMYFUNCTION("""COMPUTED_VALUE"""),"2025 Dec")</f>
        <v>2025 Dec</v>
      </c>
      <c r="B7940" s="2">
        <f>IFERROR(__xludf.DUMMYFUNCTION("""COMPUTED_VALUE"""),46020.0)</f>
        <v>46020</v>
      </c>
      <c r="C7940" s="1" t="str">
        <f>IFERROR(__xludf.DUMMYFUNCTION("""COMPUTED_VALUE"""),"High Sensitivity Support")</f>
        <v>High Sensitivity Support</v>
      </c>
      <c r="D7940" s="1" t="str">
        <f>IFERROR(__xludf.DUMMYFUNCTION("""COMPUTED_VALUE"""),"572f7cc4-e4a6-4132-92cf-6f6ba75ee4d7")</f>
        <v>572f7cc4-e4a6-4132-92cf-6f6ba75ee4d7</v>
      </c>
      <c r="E7940" s="1">
        <f>IFERROR(__xludf.DUMMYFUNCTION("""COMPUTED_VALUE"""),5.202419220111E12)</f>
        <v>5202419220111</v>
      </c>
      <c r="F7940" s="1"/>
      <c r="G7940" s="1">
        <f>IFERROR(__xludf.DUMMYFUNCTION("""COMPUTED_VALUE"""),1.05)</f>
        <v>1.05</v>
      </c>
      <c r="H7940" s="3">
        <f>IFERROR(__xludf.DUMMYFUNCTION("""COMPUTED_VALUE"""),1.05)</f>
        <v>1.05</v>
      </c>
      <c r="I7940" s="4">
        <f>IFERROR(__xludf.DUMMYFUNCTION("""COMPUTED_VALUE"""),1.0)</f>
        <v>1</v>
      </c>
      <c r="J7940" s="1" t="str">
        <f>IFERROR(__xludf.DUMMYFUNCTION("""COMPUTED_VALUE"""),"Issi Afable")</f>
        <v>Issi Afable</v>
      </c>
      <c r="K7940" s="1" t="str">
        <f>IFERROR(__xludf.DUMMYFUNCTION("""COMPUTED_VALUE"""),"High Sensitivity Support PH")</f>
        <v>High Sensitivity Support PH</v>
      </c>
      <c r="L7940" s="1" t="str">
        <f>IFERROR(__xludf.DUMMYFUNCTION("""COMPUTED_VALUE"""),"HSS High Sensitivity Support PH - SEE")</f>
        <v>HSS High Sensitivity Support PH - SEE</v>
      </c>
    </row>
    <row r="7941">
      <c r="A7941" s="1" t="str">
        <f>IFERROR(__xludf.DUMMYFUNCTION("""COMPUTED_VALUE"""),"2025 Dec")</f>
        <v>2025 Dec</v>
      </c>
      <c r="B7941" s="2">
        <f>IFERROR(__xludf.DUMMYFUNCTION("""COMPUTED_VALUE"""),46020.0)</f>
        <v>46020</v>
      </c>
      <c r="C7941" s="1" t="str">
        <f>IFERROR(__xludf.DUMMYFUNCTION("""COMPUTED_VALUE"""),"Segment-specific Support")</f>
        <v>Segment-specific Support</v>
      </c>
      <c r="D7941" s="1" t="str">
        <f>IFERROR(__xludf.DUMMYFUNCTION("""COMPUTED_VALUE"""),"78d3efd2-2d00-4986-b5cc-7ca6a1d3542d")</f>
        <v>78d3efd2-2d00-4986-b5cc-7ca6a1d3542d</v>
      </c>
      <c r="E7941" s="1">
        <f>IFERROR(__xludf.DUMMYFUNCTION("""COMPUTED_VALUE"""),5.566867981071E12)</f>
        <v>5566867981071</v>
      </c>
      <c r="F7941" s="1"/>
      <c r="G7941" s="1"/>
      <c r="H7941" s="3">
        <f>IFERROR(__xludf.DUMMYFUNCTION("""COMPUTED_VALUE"""),0.0)</f>
        <v>0</v>
      </c>
      <c r="I7941" s="4"/>
      <c r="J7941" s="1" t="str">
        <f>IFERROR(__xludf.DUMMYFUNCTION("""COMPUTED_VALUE"""),"Tash Kelly")</f>
        <v>Tash Kelly</v>
      </c>
      <c r="K7941" s="1" t="str">
        <f>IFERROR(__xludf.DUMMYFUNCTION("""COMPUTED_VALUE"""),"Affinity Support")</f>
        <v>Affinity Support</v>
      </c>
      <c r="L7941" s="1" t="str">
        <f>IFERROR(__xludf.DUMMYFUNCTION("""COMPUTED_VALUE"""),"SSS Affinity")</f>
        <v>SSS Affinity</v>
      </c>
    </row>
    <row r="7942">
      <c r="A7942" s="1" t="str">
        <f>IFERROR(__xludf.DUMMYFUNCTION("""COMPUTED_VALUE"""),"2025 Dec")</f>
        <v>2025 Dec</v>
      </c>
      <c r="B7942" s="2">
        <f>IFERROR(__xludf.DUMMYFUNCTION("""COMPUTED_VALUE"""),46020.0)</f>
        <v>46020</v>
      </c>
      <c r="C7942" s="1" t="str">
        <f>IFERROR(__xludf.DUMMYFUNCTION("""COMPUTED_VALUE"""),"Print Support")</f>
        <v>Print Support</v>
      </c>
      <c r="D7942" s="1" t="str">
        <f>IFERROR(__xludf.DUMMYFUNCTION("""COMPUTED_VALUE"""),"03738c45-2c9f-44bf-bb4b-58a2fe9fdf5d")</f>
        <v>03738c45-2c9f-44bf-bb4b-58a2fe9fdf5d</v>
      </c>
      <c r="E7942" s="1"/>
      <c r="F7942" s="1"/>
      <c r="G7942" s="1"/>
      <c r="H7942" s="3">
        <f>IFERROR(__xludf.DUMMYFUNCTION("""COMPUTED_VALUE"""),0.0)</f>
        <v>0</v>
      </c>
      <c r="I7942" s="4"/>
      <c r="J7942" s="1" t="str">
        <f>IFERROR(__xludf.DUMMYFUNCTION("""COMPUTED_VALUE"""),"Aliza Dote")</f>
        <v>Aliza Dote</v>
      </c>
      <c r="K7942" s="1" t="str">
        <f>IFERROR(__xludf.DUMMYFUNCTION("""COMPUTED_VALUE"""),"Print Design Support")</f>
        <v>Print Design Support</v>
      </c>
      <c r="L7942" s="1" t="str">
        <f>IFERROR(__xludf.DUMMYFUNCTION("""COMPUTED_VALUE"""),"Print Print Design")</f>
        <v>Print Print Design</v>
      </c>
    </row>
    <row r="7943">
      <c r="A7943" s="1" t="str">
        <f>IFERROR(__xludf.DUMMYFUNCTION("""COMPUTED_VALUE"""),"2025 Dec")</f>
        <v>2025 Dec</v>
      </c>
      <c r="B7943" s="2">
        <f>IFERROR(__xludf.DUMMYFUNCTION("""COMPUTED_VALUE"""),46020.0)</f>
        <v>46020</v>
      </c>
      <c r="C7943" s="1" t="str">
        <f>IFERROR(__xludf.DUMMYFUNCTION("""COMPUTED_VALUE"""),"Core Product Support")</f>
        <v>Core Product Support</v>
      </c>
      <c r="D7943" s="1" t="str">
        <f>IFERROR(__xludf.DUMMYFUNCTION("""COMPUTED_VALUE"""),"9c934de8-6199-4bb2-bcc9-bd8b70ec7a9c")</f>
        <v>9c934de8-6199-4bb2-bcc9-bd8b70ec7a9c</v>
      </c>
      <c r="E7943" s="1">
        <f>IFERROR(__xludf.DUMMYFUNCTION("""COMPUTED_VALUE"""),9.795939875087E12)</f>
        <v>9795939875087</v>
      </c>
      <c r="F7943" s="1">
        <f>IFERROR(__xludf.DUMMYFUNCTION("""COMPUTED_VALUE"""),0.5)</f>
        <v>0.5</v>
      </c>
      <c r="G7943" s="1"/>
      <c r="H7943" s="3">
        <f>IFERROR(__xludf.DUMMYFUNCTION("""COMPUTED_VALUE"""),0.5)</f>
        <v>0.5</v>
      </c>
      <c r="I7943" s="4">
        <f>IFERROR(__xludf.DUMMYFUNCTION("""COMPUTED_VALUE"""),0.0)</f>
        <v>0</v>
      </c>
      <c r="J7943" s="1" t="str">
        <f>IFERROR(__xludf.DUMMYFUNCTION("""COMPUTED_VALUE"""),"Cate Velasco")</f>
        <v>Cate Velasco</v>
      </c>
      <c r="K7943" s="1" t="str">
        <f>IFERROR(__xludf.DUMMYFUNCTION("""COMPUTED_VALUE"""),"Advanced Product Support")</f>
        <v>Advanced Product Support</v>
      </c>
      <c r="L7943" s="1" t="str">
        <f>IFERROR(__xludf.DUMMYFUNCTION("""COMPUTED_VALUE"""),"CPS Advanced Product Support (APS)")</f>
        <v>CPS Advanced Product Support (APS)</v>
      </c>
    </row>
    <row r="7944">
      <c r="A7944" s="1" t="str">
        <f>IFERROR(__xludf.DUMMYFUNCTION("""COMPUTED_VALUE"""),"2025 Dec")</f>
        <v>2025 Dec</v>
      </c>
      <c r="B7944" s="2">
        <f>IFERROR(__xludf.DUMMYFUNCTION("""COMPUTED_VALUE"""),46020.0)</f>
        <v>46020</v>
      </c>
      <c r="C7944" s="1" t="str">
        <f>IFERROR(__xludf.DUMMYFUNCTION("""COMPUTED_VALUE"""),"Core Product Support")</f>
        <v>Core Product Support</v>
      </c>
      <c r="D7944" s="1" t="str">
        <f>IFERROR(__xludf.DUMMYFUNCTION("""COMPUTED_VALUE"""),"0f8d8927-aad1-40c2-82ac-95b7b823eec0")</f>
        <v>0f8d8927-aad1-40c2-82ac-95b7b823eec0</v>
      </c>
      <c r="E7944" s="1">
        <f>IFERROR(__xludf.DUMMYFUNCTION("""COMPUTED_VALUE"""),5.202441056015E12)</f>
        <v>5202441056015</v>
      </c>
      <c r="F7944" s="1">
        <f>IFERROR(__xludf.DUMMYFUNCTION("""COMPUTED_VALUE"""),0.5)</f>
        <v>0.5</v>
      </c>
      <c r="G7944" s="1"/>
      <c r="H7944" s="3">
        <f>IFERROR(__xludf.DUMMYFUNCTION("""COMPUTED_VALUE"""),0.5)</f>
        <v>0.5</v>
      </c>
      <c r="I7944" s="4">
        <f>IFERROR(__xludf.DUMMYFUNCTION("""COMPUTED_VALUE"""),0.0)</f>
        <v>0</v>
      </c>
      <c r="J7944" s="1" t="str">
        <f>IFERROR(__xludf.DUMMYFUNCTION("""COMPUTED_VALUE"""),"Renette Bok")</f>
        <v>Renette Bok</v>
      </c>
      <c r="K7944" s="1" t="str">
        <f>IFERROR(__xludf.DUMMYFUNCTION("""COMPUTED_VALUE"""),"Advanced Billing &amp; Subscriptions")</f>
        <v>Advanced Billing &amp; Subscriptions</v>
      </c>
      <c r="L7944" s="1" t="str">
        <f>IFERROR(__xludf.DUMMYFUNCTION("""COMPUTED_VALUE"""),"CPS Advanced Billing and Subscriptions (ABS)")</f>
        <v>CPS Advanced Billing and Subscriptions (ABS)</v>
      </c>
    </row>
    <row r="7945">
      <c r="A7945" s="1" t="str">
        <f>IFERROR(__xludf.DUMMYFUNCTION("""COMPUTED_VALUE"""),"2025 Dec")</f>
        <v>2025 Dec</v>
      </c>
      <c r="B7945" s="2">
        <f>IFERROR(__xludf.DUMMYFUNCTION("""COMPUTED_VALUE"""),46020.0)</f>
        <v>46020</v>
      </c>
      <c r="C7945" s="1" t="str">
        <f>IFERROR(__xludf.DUMMYFUNCTION("""COMPUTED_VALUE"""),"Core Product Support")</f>
        <v>Core Product Support</v>
      </c>
      <c r="D7945" s="1" t="str">
        <f>IFERROR(__xludf.DUMMYFUNCTION("""COMPUTED_VALUE"""),"e33e46e4-d59d-4c5b-9834-288e99d79b63")</f>
        <v>e33e46e4-d59d-4c5b-9834-288e99d79b63</v>
      </c>
      <c r="E7945" s="1">
        <f>IFERROR(__xludf.DUMMYFUNCTION("""COMPUTED_VALUE"""),1.0333049582991E13)</f>
        <v>10333049582991</v>
      </c>
      <c r="F7945" s="1">
        <f>IFERROR(__xludf.DUMMYFUNCTION("""COMPUTED_VALUE"""),0.5)</f>
        <v>0.5</v>
      </c>
      <c r="G7945" s="1"/>
      <c r="H7945" s="3">
        <f>IFERROR(__xludf.DUMMYFUNCTION("""COMPUTED_VALUE"""),0.5)</f>
        <v>0.5</v>
      </c>
      <c r="I7945" s="4">
        <f>IFERROR(__xludf.DUMMYFUNCTION("""COMPUTED_VALUE"""),0.0)</f>
        <v>0</v>
      </c>
      <c r="J7945" s="1" t="str">
        <f>IFERROR(__xludf.DUMMYFUNCTION("""COMPUTED_VALUE"""),"Cate Velasco")</f>
        <v>Cate Velasco</v>
      </c>
      <c r="K7945" s="1" t="str">
        <f>IFERROR(__xludf.DUMMYFUNCTION("""COMPUTED_VALUE"""),"Advanced Product Support")</f>
        <v>Advanced Product Support</v>
      </c>
      <c r="L7945" s="1" t="str">
        <f>IFERROR(__xludf.DUMMYFUNCTION("""COMPUTED_VALUE"""),"CPS Advanced Product Support (APS)")</f>
        <v>CPS Advanced Product Support (APS)</v>
      </c>
    </row>
    <row r="7946">
      <c r="A7946" s="1" t="str">
        <f>IFERROR(__xludf.DUMMYFUNCTION("""COMPUTED_VALUE"""),"2025 Dec")</f>
        <v>2025 Dec</v>
      </c>
      <c r="B7946" s="2">
        <f>IFERROR(__xludf.DUMMYFUNCTION("""COMPUTED_VALUE"""),46020.0)</f>
        <v>46020</v>
      </c>
      <c r="C7946" s="1" t="str">
        <f>IFERROR(__xludf.DUMMYFUNCTION("""COMPUTED_VALUE"""),"Core Product Support")</f>
        <v>Core Product Support</v>
      </c>
      <c r="D7946" s="1" t="str">
        <f>IFERROR(__xludf.DUMMYFUNCTION("""COMPUTED_VALUE"""),"748f7375-5497-4286-b6df-38229b609d09")</f>
        <v>748f7375-5497-4286-b6df-38229b609d09</v>
      </c>
      <c r="E7946" s="1"/>
      <c r="F7946" s="1">
        <f>IFERROR(__xludf.DUMMYFUNCTION("""COMPUTED_VALUE"""),0.5)</f>
        <v>0.5</v>
      </c>
      <c r="G7946" s="1"/>
      <c r="H7946" s="3">
        <f>IFERROR(__xludf.DUMMYFUNCTION("""COMPUTED_VALUE"""),0.5)</f>
        <v>0.5</v>
      </c>
      <c r="I7946" s="4">
        <f>IFERROR(__xludf.DUMMYFUNCTION("""COMPUTED_VALUE"""),0.0)</f>
        <v>0</v>
      </c>
      <c r="J7946" s="1" t="str">
        <f>IFERROR(__xludf.DUMMYFUNCTION("""COMPUTED_VALUE"""),"Mikhaela Decangchon")</f>
        <v>Mikhaela Decangchon</v>
      </c>
      <c r="K7946" s="1" t="str">
        <f>IFERROR(__xludf.DUMMYFUNCTION("""COMPUTED_VALUE"""),"Advanced Product Support")</f>
        <v>Advanced Product Support</v>
      </c>
      <c r="L7946" s="1" t="str">
        <f>IFERROR(__xludf.DUMMYFUNCTION("""COMPUTED_VALUE"""),"CPS Advanced Product Support (APS)")</f>
        <v>CPS Advanced Product Support (APS)</v>
      </c>
    </row>
    <row r="7947">
      <c r="A7947" s="1" t="str">
        <f>IFERROR(__xludf.DUMMYFUNCTION("""COMPUTED_VALUE"""),"2025 Dec")</f>
        <v>2025 Dec</v>
      </c>
      <c r="B7947" s="2">
        <f>IFERROR(__xludf.DUMMYFUNCTION("""COMPUTED_VALUE"""),46020.0)</f>
        <v>46020</v>
      </c>
      <c r="C7947" s="1" t="str">
        <f>IFERROR(__xludf.DUMMYFUNCTION("""COMPUTED_VALUE"""),"Admin Support")</f>
        <v>Admin Support</v>
      </c>
      <c r="D7947" s="1" t="str">
        <f>IFERROR(__xludf.DUMMYFUNCTION("""COMPUTED_VALUE"""),"8d05170b-44c2-4973-963a-14bb293f18ab")</f>
        <v>8d05170b-44c2-4973-963a-14bb293f18ab</v>
      </c>
      <c r="E7947" s="1">
        <f>IFERROR(__xludf.DUMMYFUNCTION("""COMPUTED_VALUE"""),3.61731348415E11)</f>
        <v>361731348415</v>
      </c>
      <c r="F7947" s="1"/>
      <c r="G7947" s="1"/>
      <c r="H7947" s="3">
        <f>IFERROR(__xludf.DUMMYFUNCTION("""COMPUTED_VALUE"""),0.0)</f>
        <v>0</v>
      </c>
      <c r="I7947" s="4"/>
      <c r="J7947" s="1" t="str">
        <f>IFERROR(__xludf.DUMMYFUNCTION("""COMPUTED_VALUE"""),"Kelden Laguting")</f>
        <v>Kelden Laguting</v>
      </c>
      <c r="K7947" s="1" t="str">
        <f>IFERROR(__xludf.DUMMYFUNCTION("""COMPUTED_VALUE"""),"Admin Support PH")</f>
        <v>Admin Support PH</v>
      </c>
      <c r="L7947" s="1" t="str">
        <f>IFERROR(__xludf.DUMMYFUNCTION("""COMPUTED_VALUE"""),"Admin PH")</f>
        <v>Admin PH</v>
      </c>
    </row>
    <row r="7948">
      <c r="A7948" s="1" t="str">
        <f>IFERROR(__xludf.DUMMYFUNCTION("""COMPUTED_VALUE"""),"2025 Dec")</f>
        <v>2025 Dec</v>
      </c>
      <c r="B7948" s="2">
        <f>IFERROR(__xludf.DUMMYFUNCTION("""COMPUTED_VALUE"""),46020.0)</f>
        <v>46020</v>
      </c>
      <c r="C7948" s="1" t="str">
        <f>IFERROR(__xludf.DUMMYFUNCTION("""COMPUTED_VALUE"""),"Admin Support")</f>
        <v>Admin Support</v>
      </c>
      <c r="D7948" s="1" t="str">
        <f>IFERROR(__xludf.DUMMYFUNCTION("""COMPUTED_VALUE"""),"c51116f5-04d9-48df-a12a-dbf63eaf9c18")</f>
        <v>c51116f5-04d9-48df-a12a-dbf63eaf9c18</v>
      </c>
      <c r="E7948" s="1">
        <f>IFERROR(__xludf.DUMMYFUNCTION("""COMPUTED_VALUE"""),3.61731647035E11)</f>
        <v>361731647035</v>
      </c>
      <c r="F7948" s="1"/>
      <c r="G7948" s="1"/>
      <c r="H7948" s="3">
        <f>IFERROR(__xludf.DUMMYFUNCTION("""COMPUTED_VALUE"""),0.0)</f>
        <v>0</v>
      </c>
      <c r="I7948" s="4"/>
      <c r="J7948" s="1" t="str">
        <f>IFERROR(__xludf.DUMMYFUNCTION("""COMPUTED_VALUE"""),"Rose Gabilan")</f>
        <v>Rose Gabilan</v>
      </c>
      <c r="K7948" s="1" t="str">
        <f>IFERROR(__xludf.DUMMYFUNCTION("""COMPUTED_VALUE"""),"Admin Support PH SSO")</f>
        <v>Admin Support PH SSO</v>
      </c>
      <c r="L7948" s="1" t="str">
        <f>IFERROR(__xludf.DUMMYFUNCTION("""COMPUTED_VALUE"""),"Admin SSO - CHT")</f>
        <v>Admin SSO - CHT</v>
      </c>
    </row>
    <row r="7949">
      <c r="A7949" s="1" t="str">
        <f>IFERROR(__xludf.DUMMYFUNCTION("""COMPUTED_VALUE"""),"2025 Dec")</f>
        <v>2025 Dec</v>
      </c>
      <c r="B7949" s="2">
        <f>IFERROR(__xludf.DUMMYFUNCTION("""COMPUTED_VALUE"""),46020.0)</f>
        <v>46020</v>
      </c>
      <c r="C7949" s="1" t="str">
        <f>IFERROR(__xludf.DUMMYFUNCTION("""COMPUTED_VALUE"""),"Core Product Support")</f>
        <v>Core Product Support</v>
      </c>
      <c r="D7949" s="1" t="str">
        <f>IFERROR(__xludf.DUMMYFUNCTION("""COMPUTED_VALUE"""),"ee26274a-f5bb-4f8f-aa29-94921d6e67a9")</f>
        <v>ee26274a-f5bb-4f8f-aa29-94921d6e67a9</v>
      </c>
      <c r="E7949" s="1">
        <f>IFERROR(__xludf.DUMMYFUNCTION("""COMPUTED_VALUE"""),9.107717956879E12)</f>
        <v>9107717956879</v>
      </c>
      <c r="F7949" s="1">
        <f>IFERROR(__xludf.DUMMYFUNCTION("""COMPUTED_VALUE"""),0.5)</f>
        <v>0.5</v>
      </c>
      <c r="G7949" s="1"/>
      <c r="H7949" s="3">
        <f>IFERROR(__xludf.DUMMYFUNCTION("""COMPUTED_VALUE"""),0.5)</f>
        <v>0.5</v>
      </c>
      <c r="I7949" s="4">
        <f>IFERROR(__xludf.DUMMYFUNCTION("""COMPUTED_VALUE"""),0.0)</f>
        <v>0</v>
      </c>
      <c r="J7949" s="1" t="str">
        <f>IFERROR(__xludf.DUMMYFUNCTION("""COMPUTED_VALUE"""),"Marie Mordeno")</f>
        <v>Marie Mordeno</v>
      </c>
      <c r="K7949" s="1" t="str">
        <f>IFERROR(__xludf.DUMMYFUNCTION("""COMPUTED_VALUE"""),"Advanced Billing &amp; Subscriptions")</f>
        <v>Advanced Billing &amp; Subscriptions</v>
      </c>
      <c r="L7949" s="1" t="str">
        <f>IFERROR(__xludf.DUMMYFUNCTION("""COMPUTED_VALUE"""),"CPS Advanced Billing and Subscriptions (ABS)")</f>
        <v>CPS Advanced Billing and Subscriptions (ABS)</v>
      </c>
    </row>
    <row r="7950">
      <c r="A7950" s="1" t="str">
        <f>IFERROR(__xludf.DUMMYFUNCTION("""COMPUTED_VALUE"""),"2025 Dec")</f>
        <v>2025 Dec</v>
      </c>
      <c r="B7950" s="2">
        <f>IFERROR(__xludf.DUMMYFUNCTION("""COMPUTED_VALUE"""),46020.0)</f>
        <v>46020</v>
      </c>
      <c r="C7950" s="1" t="str">
        <f>IFERROR(__xludf.DUMMYFUNCTION("""COMPUTED_VALUE"""),"Core Product Support")</f>
        <v>Core Product Support</v>
      </c>
      <c r="D7950" s="1" t="str">
        <f>IFERROR(__xludf.DUMMYFUNCTION("""COMPUTED_VALUE"""),"9ec42277-802e-4dea-b288-c3f190cff1eb")</f>
        <v>9ec42277-802e-4dea-b288-c3f190cff1eb</v>
      </c>
      <c r="E7950" s="1">
        <f>IFERROR(__xludf.DUMMYFUNCTION("""COMPUTED_VALUE"""),3.61726427476E11)</f>
        <v>361726427476</v>
      </c>
      <c r="F7950" s="1">
        <f>IFERROR(__xludf.DUMMYFUNCTION("""COMPUTED_VALUE"""),0.5)</f>
        <v>0.5</v>
      </c>
      <c r="G7950" s="1">
        <f>IFERROR(__xludf.DUMMYFUNCTION("""COMPUTED_VALUE"""),2.5)</f>
        <v>2.5</v>
      </c>
      <c r="H7950" s="3">
        <f>IFERROR(__xludf.DUMMYFUNCTION("""COMPUTED_VALUE"""),3.0)</f>
        <v>3</v>
      </c>
      <c r="I7950" s="4">
        <f>IFERROR(__xludf.DUMMYFUNCTION("""COMPUTED_VALUE"""),0.8333333333333334)</f>
        <v>0.8333333333</v>
      </c>
      <c r="J7950" s="1" t="str">
        <f>IFERROR(__xludf.DUMMYFUNCTION("""COMPUTED_VALUE"""),"Ellaine Estayo")</f>
        <v>Ellaine Estayo</v>
      </c>
      <c r="K7950" s="1" t="str">
        <f>IFERROR(__xludf.DUMMYFUNCTION("""COMPUTED_VALUE"""),"Core Product Support Escalation Team")</f>
        <v>Core Product Support Escalation Team</v>
      </c>
      <c r="L7950" s="1" t="str">
        <f>IFERROR(__xludf.DUMMYFUNCTION("""COMPUTED_VALUE"""),"CPS Core Product Support Escalations (CPSET)")</f>
        <v>CPS Core Product Support Escalations (CPSET)</v>
      </c>
    </row>
    <row r="7951">
      <c r="A7951" s="1" t="str">
        <f>IFERROR(__xludf.DUMMYFUNCTION("""COMPUTED_VALUE"""),"2025 Dec")</f>
        <v>2025 Dec</v>
      </c>
      <c r="B7951" s="2">
        <f>IFERROR(__xludf.DUMMYFUNCTION("""COMPUTED_VALUE"""),46020.0)</f>
        <v>46020</v>
      </c>
      <c r="C7951" s="1" t="str">
        <f>IFERROR(__xludf.DUMMYFUNCTION("""COMPUTED_VALUE"""),"Print Support")</f>
        <v>Print Support</v>
      </c>
      <c r="D7951" s="1" t="str">
        <f>IFERROR(__xludf.DUMMYFUNCTION("""COMPUTED_VALUE"""),"9e3b5d29-0e29-4565-a70a-6e7ee3c7be84")</f>
        <v>9e3b5d29-0e29-4565-a70a-6e7ee3c7be84</v>
      </c>
      <c r="E7951" s="1">
        <f>IFERROR(__xludf.DUMMYFUNCTION("""COMPUTED_VALUE"""),1.0548602091791E13)</f>
        <v>10548602091791</v>
      </c>
      <c r="F7951" s="1"/>
      <c r="G7951" s="1"/>
      <c r="H7951" s="3">
        <f>IFERROR(__xludf.DUMMYFUNCTION("""COMPUTED_VALUE"""),0.0)</f>
        <v>0</v>
      </c>
      <c r="I7951" s="4"/>
      <c r="J7951" s="1" t="str">
        <f>IFERROR(__xludf.DUMMYFUNCTION("""COMPUTED_VALUE"""),"Jen Momo")</f>
        <v>Jen Momo</v>
      </c>
      <c r="K7951" s="1" t="str">
        <f>IFERROR(__xludf.DUMMYFUNCTION("""COMPUTED_VALUE"""),"Print Support PH")</f>
        <v>Print Support PH</v>
      </c>
      <c r="L7951" s="1" t="str">
        <f>IFERROR(__xludf.DUMMYFUNCTION("""COMPUTED_VALUE"""),"Print Print - CHT")</f>
        <v>Print Print - CHT</v>
      </c>
    </row>
    <row r="7952">
      <c r="A7952" s="1" t="str">
        <f>IFERROR(__xludf.DUMMYFUNCTION("""COMPUTED_VALUE"""),"2025 Dec")</f>
        <v>2025 Dec</v>
      </c>
      <c r="B7952" s="2">
        <f>IFERROR(__xludf.DUMMYFUNCTION("""COMPUTED_VALUE"""),46020.0)</f>
        <v>46020</v>
      </c>
      <c r="C7952" s="1" t="str">
        <f>IFERROR(__xludf.DUMMYFUNCTION("""COMPUTED_VALUE"""),"Segment-specific Support")</f>
        <v>Segment-specific Support</v>
      </c>
      <c r="D7952" s="1" t="str">
        <f>IFERROR(__xludf.DUMMYFUNCTION("""COMPUTED_VALUE"""),"eda8dc46-d638-4955-b85e-554ac98c41d8")</f>
        <v>eda8dc46-d638-4955-b85e-554ac98c41d8</v>
      </c>
      <c r="E7952" s="1">
        <f>IFERROR(__xludf.DUMMYFUNCTION("""COMPUTED_VALUE"""),3.61731943235E11)</f>
        <v>361731943235</v>
      </c>
      <c r="F7952" s="1"/>
      <c r="G7952" s="1"/>
      <c r="H7952" s="3">
        <f>IFERROR(__xludf.DUMMYFUNCTION("""COMPUTED_VALUE"""),0.0)</f>
        <v>0</v>
      </c>
      <c r="I7952" s="4"/>
      <c r="J7952" s="1" t="str">
        <f>IFERROR(__xludf.DUMMYFUNCTION("""COMPUTED_VALUE"""),"Aileen Dayanghirang")</f>
        <v>Aileen Dayanghirang</v>
      </c>
      <c r="K7952" s="1" t="str">
        <f>IFERROR(__xludf.DUMMYFUNCTION("""COMPUTED_VALUE"""),"Creators Support")</f>
        <v>Creators Support</v>
      </c>
      <c r="L7952" s="1" t="str">
        <f>IFERROR(__xludf.DUMMYFUNCTION("""COMPUTED_VALUE"""),"SSS Creators")</f>
        <v>SSS Creators</v>
      </c>
    </row>
    <row r="7953">
      <c r="A7953" s="1" t="str">
        <f>IFERROR(__xludf.DUMMYFUNCTION("""COMPUTED_VALUE"""),"2025 Dec")</f>
        <v>2025 Dec</v>
      </c>
      <c r="B7953" s="2">
        <f>IFERROR(__xludf.DUMMYFUNCTION("""COMPUTED_VALUE"""),46020.0)</f>
        <v>46020</v>
      </c>
      <c r="C7953" s="1" t="str">
        <f>IFERROR(__xludf.DUMMYFUNCTION("""COMPUTED_VALUE"""),"Admin Support")</f>
        <v>Admin Support</v>
      </c>
      <c r="D7953" s="1" t="str">
        <f>IFERROR(__xludf.DUMMYFUNCTION("""COMPUTED_VALUE"""),"1135d838-4518-48e7-a5b8-f1738f44245c")</f>
        <v>1135d838-4518-48e7-a5b8-f1738f44245c</v>
      </c>
      <c r="E7953" s="1">
        <f>IFERROR(__xludf.DUMMYFUNCTION("""COMPUTED_VALUE"""),9.795666354191E12)</f>
        <v>9795666354191</v>
      </c>
      <c r="F7953" s="1"/>
      <c r="G7953" s="1"/>
      <c r="H7953" s="3">
        <f>IFERROR(__xludf.DUMMYFUNCTION("""COMPUTED_VALUE"""),0.0)</f>
        <v>0</v>
      </c>
      <c r="I7953" s="4"/>
      <c r="J7953" s="1" t="str">
        <f>IFERROR(__xludf.DUMMYFUNCTION("""COMPUTED_VALUE"""),"Elise Cesario Mendes")</f>
        <v>Elise Cesario Mendes</v>
      </c>
      <c r="K7953" s="1" t="str">
        <f>IFERROR(__xludf.DUMMYFUNCTION("""COMPUTED_VALUE"""),"Admin Support APJ")</f>
        <v>Admin Support APJ</v>
      </c>
      <c r="L7953" s="1" t="str">
        <f>IFERROR(__xludf.DUMMYFUNCTION("""COMPUTED_VALUE"""),"Admin APJ")</f>
        <v>Admin APJ</v>
      </c>
    </row>
    <row r="7954">
      <c r="A7954" s="1" t="str">
        <f>IFERROR(__xludf.DUMMYFUNCTION("""COMPUTED_VALUE"""),"2025 Dec")</f>
        <v>2025 Dec</v>
      </c>
      <c r="B7954" s="2">
        <f>IFERROR(__xludf.DUMMYFUNCTION("""COMPUTED_VALUE"""),46020.0)</f>
        <v>46020</v>
      </c>
      <c r="C7954" s="1" t="str">
        <f>IFERROR(__xludf.DUMMYFUNCTION("""COMPUTED_VALUE"""),"High Sensitivity Support")</f>
        <v>High Sensitivity Support</v>
      </c>
      <c r="D7954" s="1" t="str">
        <f>IFERROR(__xludf.DUMMYFUNCTION("""COMPUTED_VALUE"""),"a3bbe934-01ae-4e93-9369-021e3581998d")</f>
        <v>a3bbe934-01ae-4e93-9369-021e3581998d</v>
      </c>
      <c r="E7954" s="1">
        <f>IFERROR(__xludf.DUMMYFUNCTION("""COMPUTED_VALUE"""),8.409869745551E12)</f>
        <v>8409869745551</v>
      </c>
      <c r="F7954" s="1">
        <f>IFERROR(__xludf.DUMMYFUNCTION("""COMPUTED_VALUE"""),4.0)</f>
        <v>4</v>
      </c>
      <c r="G7954" s="1"/>
      <c r="H7954" s="3">
        <f>IFERROR(__xludf.DUMMYFUNCTION("""COMPUTED_VALUE"""),4.0)</f>
        <v>4</v>
      </c>
      <c r="I7954" s="4">
        <f>IFERROR(__xludf.DUMMYFUNCTION("""COMPUTED_VALUE"""),0.0)</f>
        <v>0</v>
      </c>
      <c r="J7954" s="1" t="str">
        <f>IFERROR(__xludf.DUMMYFUNCTION("""COMPUTED_VALUE"""),"Rex Villamor")</f>
        <v>Rex Villamor</v>
      </c>
      <c r="K7954" s="1" t="str">
        <f>IFERROR(__xludf.DUMMYFUNCTION("""COMPUTED_VALUE"""),"High Sensitivity Support PH")</f>
        <v>High Sensitivity Support PH</v>
      </c>
      <c r="L7954" s="1" t="str">
        <f>IFERROR(__xludf.DUMMYFUNCTION("""COMPUTED_VALUE"""),"HSS High Sensitivity Support PH - CHT")</f>
        <v>HSS High Sensitivity Support PH - CHT</v>
      </c>
    </row>
    <row r="7955">
      <c r="A7955" s="1" t="str">
        <f>IFERROR(__xludf.DUMMYFUNCTION("""COMPUTED_VALUE"""),"2025 Dec")</f>
        <v>2025 Dec</v>
      </c>
      <c r="B7955" s="2">
        <f>IFERROR(__xludf.DUMMYFUNCTION("""COMPUTED_VALUE"""),46020.0)</f>
        <v>46020</v>
      </c>
      <c r="C7955" s="1" t="str">
        <f>IFERROR(__xludf.DUMMYFUNCTION("""COMPUTED_VALUE"""),"Core Product Support")</f>
        <v>Core Product Support</v>
      </c>
      <c r="D7955" s="1" t="str">
        <f>IFERROR(__xludf.DUMMYFUNCTION("""COMPUTED_VALUE"""),"3160ea91-bbe8-47f3-b356-db1889bfb947")</f>
        <v>3160ea91-bbe8-47f3-b356-db1889bfb947</v>
      </c>
      <c r="E7955" s="1">
        <f>IFERROR(__xludf.DUMMYFUNCTION("""COMPUTED_VALUE"""),8.904462217231E12)</f>
        <v>8904462217231</v>
      </c>
      <c r="F7955" s="1">
        <f>IFERROR(__xludf.DUMMYFUNCTION("""COMPUTED_VALUE"""),0.5)</f>
        <v>0.5</v>
      </c>
      <c r="G7955" s="1"/>
      <c r="H7955" s="3">
        <f>IFERROR(__xludf.DUMMYFUNCTION("""COMPUTED_VALUE"""),0.5)</f>
        <v>0.5</v>
      </c>
      <c r="I7955" s="4">
        <f>IFERROR(__xludf.DUMMYFUNCTION("""COMPUTED_VALUE"""),0.0)</f>
        <v>0</v>
      </c>
      <c r="J7955" s="1" t="str">
        <f>IFERROR(__xludf.DUMMYFUNCTION("""COMPUTED_VALUE"""),"Ana Lazaro")</f>
        <v>Ana Lazaro</v>
      </c>
      <c r="K7955" s="1" t="str">
        <f>IFERROR(__xludf.DUMMYFUNCTION("""COMPUTED_VALUE"""),"Advanced Billing &amp; Subscriptions")</f>
        <v>Advanced Billing &amp; Subscriptions</v>
      </c>
      <c r="L7955" s="1" t="str">
        <f>IFERROR(__xludf.DUMMYFUNCTION("""COMPUTED_VALUE"""),"CPS Advanced Billing and Subscriptions (ABS)")</f>
        <v>CPS Advanced Billing and Subscriptions (ABS)</v>
      </c>
    </row>
    <row r="7956">
      <c r="A7956" s="1" t="str">
        <f>IFERROR(__xludf.DUMMYFUNCTION("""COMPUTED_VALUE"""),"2025 Dec")</f>
        <v>2025 Dec</v>
      </c>
      <c r="B7956" s="2">
        <f>IFERROR(__xludf.DUMMYFUNCTION("""COMPUTED_VALUE"""),46020.0)</f>
        <v>46020</v>
      </c>
      <c r="C7956" s="1" t="str">
        <f>IFERROR(__xludf.DUMMYFUNCTION("""COMPUTED_VALUE"""),"Admin Support")</f>
        <v>Admin Support</v>
      </c>
      <c r="D7956" s="1" t="str">
        <f>IFERROR(__xludf.DUMMYFUNCTION("""COMPUTED_VALUE"""),"0c4907ba-7b85-4f42-8afb-a62cdeb8fbd3")</f>
        <v>0c4907ba-7b85-4f42-8afb-a62cdeb8fbd3</v>
      </c>
      <c r="E7956" s="1">
        <f>IFERROR(__xludf.DUMMYFUNCTION("""COMPUTED_VALUE"""),3.61731944975E11)</f>
        <v>361731944975</v>
      </c>
      <c r="F7956" s="1"/>
      <c r="G7956" s="1"/>
      <c r="H7956" s="3">
        <f>IFERROR(__xludf.DUMMYFUNCTION("""COMPUTED_VALUE"""),0.0)</f>
        <v>0</v>
      </c>
      <c r="I7956" s="4"/>
      <c r="J7956" s="1" t="str">
        <f>IFERROR(__xludf.DUMMYFUNCTION("""COMPUTED_VALUE"""),"Kelden Laguting")</f>
        <v>Kelden Laguting</v>
      </c>
      <c r="K7956" s="1" t="str">
        <f>IFERROR(__xludf.DUMMYFUNCTION("""COMPUTED_VALUE"""),"Admin Support PH")</f>
        <v>Admin Support PH</v>
      </c>
      <c r="L7956" s="1" t="str">
        <f>IFERROR(__xludf.DUMMYFUNCTION("""COMPUTED_VALUE"""),"Admin PH")</f>
        <v>Admin PH</v>
      </c>
    </row>
    <row r="7957">
      <c r="A7957" s="1" t="str">
        <f>IFERROR(__xludf.DUMMYFUNCTION("""COMPUTED_VALUE"""),"2025 Dec")</f>
        <v>2025 Dec</v>
      </c>
      <c r="B7957" s="2">
        <f>IFERROR(__xludf.DUMMYFUNCTION("""COMPUTED_VALUE"""),46020.0)</f>
        <v>46020</v>
      </c>
      <c r="C7957" s="1" t="str">
        <f>IFERROR(__xludf.DUMMYFUNCTION("""COMPUTED_VALUE"""),"Admin Support")</f>
        <v>Admin Support</v>
      </c>
      <c r="D7957" s="1" t="str">
        <f>IFERROR(__xludf.DUMMYFUNCTION("""COMPUTED_VALUE"""),"f3e01c36-ae47-4587-bb42-c4f8b42102e5")</f>
        <v>f3e01c36-ae47-4587-bb42-c4f8b42102e5</v>
      </c>
      <c r="E7957" s="1">
        <f>IFERROR(__xludf.DUMMYFUNCTION("""COMPUTED_VALUE"""),3.61725484056E11)</f>
        <v>361725484056</v>
      </c>
      <c r="F7957" s="1"/>
      <c r="G7957" s="1">
        <f>IFERROR(__xludf.DUMMYFUNCTION("""COMPUTED_VALUE"""),1.5)</f>
        <v>1.5</v>
      </c>
      <c r="H7957" s="3">
        <f>IFERROR(__xludf.DUMMYFUNCTION("""COMPUTED_VALUE"""),1.5)</f>
        <v>1.5</v>
      </c>
      <c r="I7957" s="4">
        <f>IFERROR(__xludf.DUMMYFUNCTION("""COMPUTED_VALUE"""),1.0)</f>
        <v>1</v>
      </c>
      <c r="J7957" s="1" t="str">
        <f>IFERROR(__xludf.DUMMYFUNCTION("""COMPUTED_VALUE"""),"Rose Gabilan")</f>
        <v>Rose Gabilan</v>
      </c>
      <c r="K7957" s="1" t="str">
        <f>IFERROR(__xludf.DUMMYFUNCTION("""COMPUTED_VALUE"""),"Admin Support PH SSO")</f>
        <v>Admin Support PH SSO</v>
      </c>
      <c r="L7957" s="1" t="str">
        <f>IFERROR(__xludf.DUMMYFUNCTION("""COMPUTED_VALUE"""),"Admin SSO - CHT")</f>
        <v>Admin SSO - CHT</v>
      </c>
    </row>
    <row r="7958">
      <c r="A7958" s="1" t="str">
        <f>IFERROR(__xludf.DUMMYFUNCTION("""COMPUTED_VALUE"""),"2025 Dec")</f>
        <v>2025 Dec</v>
      </c>
      <c r="B7958" s="2">
        <f>IFERROR(__xludf.DUMMYFUNCTION("""COMPUTED_VALUE"""),46020.0)</f>
        <v>46020</v>
      </c>
      <c r="C7958" s="1" t="str">
        <f>IFERROR(__xludf.DUMMYFUNCTION("""COMPUTED_VALUE"""),"Segment-specific Support")</f>
        <v>Segment-specific Support</v>
      </c>
      <c r="D7958" s="1" t="str">
        <f>IFERROR(__xludf.DUMMYFUNCTION("""COMPUTED_VALUE"""),"0a760e6d-f69c-4cfc-a59a-917274456550")</f>
        <v>0a760e6d-f69c-4cfc-a59a-917274456550</v>
      </c>
      <c r="E7958" s="1">
        <f>IFERROR(__xludf.DUMMYFUNCTION("""COMPUTED_VALUE"""),5.047314632975E12)</f>
        <v>5047314632975</v>
      </c>
      <c r="F7958" s="1"/>
      <c r="G7958" s="1"/>
      <c r="H7958" s="3">
        <f>IFERROR(__xludf.DUMMYFUNCTION("""COMPUTED_VALUE"""),0.0)</f>
        <v>0</v>
      </c>
      <c r="I7958" s="4"/>
      <c r="J7958" s="1" t="str">
        <f>IFERROR(__xludf.DUMMYFUNCTION("""COMPUTED_VALUE"""),"Tash Kelly")</f>
        <v>Tash Kelly</v>
      </c>
      <c r="K7958" s="1" t="str">
        <f>IFERROR(__xludf.DUMMYFUNCTION("""COMPUTED_VALUE"""),"Affinity Support")</f>
        <v>Affinity Support</v>
      </c>
      <c r="L7958" s="1" t="str">
        <f>IFERROR(__xludf.DUMMYFUNCTION("""COMPUTED_VALUE"""),"SSS Affinity")</f>
        <v>SSS Affinity</v>
      </c>
    </row>
    <row r="7959">
      <c r="A7959" s="1" t="str">
        <f>IFERROR(__xludf.DUMMYFUNCTION("""COMPUTED_VALUE"""),"2025 Dec")</f>
        <v>2025 Dec</v>
      </c>
      <c r="B7959" s="2">
        <f>IFERROR(__xludf.DUMMYFUNCTION("""COMPUTED_VALUE"""),46020.0)</f>
        <v>46020</v>
      </c>
      <c r="C7959" s="1" t="str">
        <f>IFERROR(__xludf.DUMMYFUNCTION("""COMPUTED_VALUE"""),"Admin Support")</f>
        <v>Admin Support</v>
      </c>
      <c r="D7959" s="1" t="str">
        <f>IFERROR(__xludf.DUMMYFUNCTION("""COMPUTED_VALUE"""),"97756389-1733-4bfe-bf0b-b3fe225fe510")</f>
        <v>97756389-1733-4bfe-bf0b-b3fe225fe510</v>
      </c>
      <c r="E7959" s="1">
        <f>IFERROR(__xludf.DUMMYFUNCTION("""COMPUTED_VALUE"""),9.153847235087E12)</f>
        <v>9153847235087</v>
      </c>
      <c r="F7959" s="1"/>
      <c r="G7959" s="1"/>
      <c r="H7959" s="3">
        <f>IFERROR(__xludf.DUMMYFUNCTION("""COMPUTED_VALUE"""),0.0)</f>
        <v>0</v>
      </c>
      <c r="I7959" s="4"/>
      <c r="J7959" s="1" t="str">
        <f>IFERROR(__xludf.DUMMYFUNCTION("""COMPUTED_VALUE"""),"Tash Kelly")</f>
        <v>Tash Kelly</v>
      </c>
      <c r="K7959" s="1" t="str">
        <f>IFERROR(__xludf.DUMMYFUNCTION("""COMPUTED_VALUE"""),"Admin Support EMEA")</f>
        <v>Admin Support EMEA</v>
      </c>
      <c r="L7959" s="1" t="str">
        <f>IFERROR(__xludf.DUMMYFUNCTION("""COMPUTED_VALUE"""),"Admin EMEA")</f>
        <v>Admin EMEA</v>
      </c>
    </row>
    <row r="7960">
      <c r="A7960" s="1" t="str">
        <f>IFERROR(__xludf.DUMMYFUNCTION("""COMPUTED_VALUE"""),"2025 Dec")</f>
        <v>2025 Dec</v>
      </c>
      <c r="B7960" s="2">
        <f>IFERROR(__xludf.DUMMYFUNCTION("""COMPUTED_VALUE"""),46020.0)</f>
        <v>46020</v>
      </c>
      <c r="C7960" s="1" t="str">
        <f>IFERROR(__xludf.DUMMYFUNCTION("""COMPUTED_VALUE"""),"Admin Support")</f>
        <v>Admin Support</v>
      </c>
      <c r="D7960" s="1" t="str">
        <f>IFERROR(__xludf.DUMMYFUNCTION("""COMPUTED_VALUE"""),"b8e64047-ce95-4bd1-ba70-97209dbdd968")</f>
        <v>b8e64047-ce95-4bd1-ba70-97209dbdd968</v>
      </c>
      <c r="E7960" s="1">
        <f>IFERROR(__xludf.DUMMYFUNCTION("""COMPUTED_VALUE"""),5.813415515279E12)</f>
        <v>5813415515279</v>
      </c>
      <c r="F7960" s="1">
        <f>IFERROR(__xludf.DUMMYFUNCTION("""COMPUTED_VALUE"""),0.5)</f>
        <v>0.5</v>
      </c>
      <c r="G7960" s="1"/>
      <c r="H7960" s="3">
        <f>IFERROR(__xludf.DUMMYFUNCTION("""COMPUTED_VALUE"""),0.5)</f>
        <v>0.5</v>
      </c>
      <c r="I7960" s="4">
        <f>IFERROR(__xludf.DUMMYFUNCTION("""COMPUTED_VALUE"""),0.0)</f>
        <v>0</v>
      </c>
      <c r="J7960" s="1" t="str">
        <f>IFERROR(__xludf.DUMMYFUNCTION("""COMPUTED_VALUE"""),"Tash Kelly")</f>
        <v>Tash Kelly</v>
      </c>
      <c r="K7960" s="1" t="str">
        <f>IFERROR(__xludf.DUMMYFUNCTION("""COMPUTED_VALUE"""),"Admin Support NA")</f>
        <v>Admin Support NA</v>
      </c>
      <c r="L7960" s="1" t="str">
        <f>IFERROR(__xludf.DUMMYFUNCTION("""COMPUTED_VALUE"""),"Admin NA")</f>
        <v>Admin NA</v>
      </c>
    </row>
    <row r="7961">
      <c r="A7961" s="1" t="str">
        <f>IFERROR(__xludf.DUMMYFUNCTION("""COMPUTED_VALUE"""),"2025 Dec")</f>
        <v>2025 Dec</v>
      </c>
      <c r="B7961" s="2">
        <f>IFERROR(__xludf.DUMMYFUNCTION("""COMPUTED_VALUE"""),46020.0)</f>
        <v>46020</v>
      </c>
      <c r="C7961" s="1" t="str">
        <f>IFERROR(__xludf.DUMMYFUNCTION("""COMPUTED_VALUE"""),"Print Support")</f>
        <v>Print Support</v>
      </c>
      <c r="D7961" s="1" t="str">
        <f>IFERROR(__xludf.DUMMYFUNCTION("""COMPUTED_VALUE"""),"0a8eade5-f55e-4b55-9dca-c83c736a8818")</f>
        <v>0a8eade5-f55e-4b55-9dca-c83c736a8818</v>
      </c>
      <c r="E7961" s="1">
        <f>IFERROR(__xludf.DUMMYFUNCTION("""COMPUTED_VALUE"""),3.61744044436E11)</f>
        <v>361744044436</v>
      </c>
      <c r="F7961" s="1">
        <f>IFERROR(__xludf.DUMMYFUNCTION("""COMPUTED_VALUE"""),2.0)</f>
        <v>2</v>
      </c>
      <c r="G7961" s="1"/>
      <c r="H7961" s="3">
        <f>IFERROR(__xludf.DUMMYFUNCTION("""COMPUTED_VALUE"""),2.0)</f>
        <v>2</v>
      </c>
      <c r="I7961" s="4">
        <f>IFERROR(__xludf.DUMMYFUNCTION("""COMPUTED_VALUE"""),0.0)</f>
        <v>0</v>
      </c>
      <c r="J7961" s="1" t="str">
        <f>IFERROR(__xludf.DUMMYFUNCTION("""COMPUTED_VALUE"""),"Rae Erlano")</f>
        <v>Rae Erlano</v>
      </c>
      <c r="K7961" s="1" t="str">
        <f>IFERROR(__xludf.DUMMYFUNCTION("""COMPUTED_VALUE"""),"Print Support PH")</f>
        <v>Print Support PH</v>
      </c>
      <c r="L7961" s="1" t="str">
        <f>IFERROR(__xludf.DUMMYFUNCTION("""COMPUTED_VALUE"""),"Print Print - SEE")</f>
        <v>Print Print - SEE</v>
      </c>
    </row>
    <row r="7962">
      <c r="A7962" s="1" t="str">
        <f>IFERROR(__xludf.DUMMYFUNCTION("""COMPUTED_VALUE"""),"2025 Dec")</f>
        <v>2025 Dec</v>
      </c>
      <c r="B7962" s="2">
        <f>IFERROR(__xludf.DUMMYFUNCTION("""COMPUTED_VALUE"""),46020.0)</f>
        <v>46020</v>
      </c>
      <c r="C7962" s="1" t="str">
        <f>IFERROR(__xludf.DUMMYFUNCTION("""COMPUTED_VALUE"""),"Print Support")</f>
        <v>Print Support</v>
      </c>
      <c r="D7962" s="1" t="str">
        <f>IFERROR(__xludf.DUMMYFUNCTION("""COMPUTED_VALUE"""),"7938e720-2f23-4ae8-a8bc-a1aeb68883d0")</f>
        <v>7938e720-2f23-4ae8-a8bc-a1aeb68883d0</v>
      </c>
      <c r="E7962" s="1">
        <f>IFERROR(__xludf.DUMMYFUNCTION("""COMPUTED_VALUE"""),5.359144671119E12)</f>
        <v>5359144671119</v>
      </c>
      <c r="F7962" s="1"/>
      <c r="G7962" s="1"/>
      <c r="H7962" s="3">
        <f>IFERROR(__xludf.DUMMYFUNCTION("""COMPUTED_VALUE"""),0.0)</f>
        <v>0</v>
      </c>
      <c r="I7962" s="4"/>
      <c r="J7962" s="1" t="str">
        <f>IFERROR(__xludf.DUMMYFUNCTION("""COMPUTED_VALUE"""),"Rae Erlano")</f>
        <v>Rae Erlano</v>
      </c>
      <c r="K7962" s="1" t="str">
        <f>IFERROR(__xludf.DUMMYFUNCTION("""COMPUTED_VALUE"""),"Print Support PH")</f>
        <v>Print Support PH</v>
      </c>
      <c r="L7962" s="1" t="str">
        <f>IFERROR(__xludf.DUMMYFUNCTION("""COMPUTED_VALUE"""),"Print Print - CHT")</f>
        <v>Print Print - CHT</v>
      </c>
    </row>
    <row r="7963">
      <c r="A7963" s="1" t="str">
        <f>IFERROR(__xludf.DUMMYFUNCTION("""COMPUTED_VALUE"""),"2025 Dec")</f>
        <v>2025 Dec</v>
      </c>
      <c r="B7963" s="2">
        <f>IFERROR(__xludf.DUMMYFUNCTION("""COMPUTED_VALUE"""),46020.0)</f>
        <v>46020</v>
      </c>
      <c r="C7963" s="1" t="str">
        <f>IFERROR(__xludf.DUMMYFUNCTION("""COMPUTED_VALUE"""),"Core Product Support")</f>
        <v>Core Product Support</v>
      </c>
      <c r="D7963" s="1" t="str">
        <f>IFERROR(__xludf.DUMMYFUNCTION("""COMPUTED_VALUE"""),"7bf5cef1-9473-43c3-9aff-115283ed0e7a")</f>
        <v>7bf5cef1-9473-43c3-9aff-115283ed0e7a</v>
      </c>
      <c r="E7963" s="1">
        <f>IFERROR(__xludf.DUMMYFUNCTION("""COMPUTED_VALUE"""),1.0005707260559E13)</f>
        <v>10005707260559</v>
      </c>
      <c r="F7963" s="1">
        <f>IFERROR(__xludf.DUMMYFUNCTION("""COMPUTED_VALUE"""),0.5)</f>
        <v>0.5</v>
      </c>
      <c r="G7963" s="1"/>
      <c r="H7963" s="3">
        <f>IFERROR(__xludf.DUMMYFUNCTION("""COMPUTED_VALUE"""),0.5)</f>
        <v>0.5</v>
      </c>
      <c r="I7963" s="4">
        <f>IFERROR(__xludf.DUMMYFUNCTION("""COMPUTED_VALUE"""),0.0)</f>
        <v>0</v>
      </c>
      <c r="J7963" s="1" t="str">
        <f>IFERROR(__xludf.DUMMYFUNCTION("""COMPUTED_VALUE"""),"Jahmie Mae Barrameda")</f>
        <v>Jahmie Mae Barrameda</v>
      </c>
      <c r="K7963" s="1" t="str">
        <f>IFERROR(__xludf.DUMMYFUNCTION("""COMPUTED_VALUE"""),"Advanced Billing &amp; Subscriptions")</f>
        <v>Advanced Billing &amp; Subscriptions</v>
      </c>
      <c r="L7963" s="1" t="str">
        <f>IFERROR(__xludf.DUMMYFUNCTION("""COMPUTED_VALUE"""),"CPS Advanced Billing and Subscriptions (ABS)")</f>
        <v>CPS Advanced Billing and Subscriptions (ABS)</v>
      </c>
    </row>
    <row r="7964">
      <c r="A7964" s="1" t="str">
        <f>IFERROR(__xludf.DUMMYFUNCTION("""COMPUTED_VALUE"""),"2025 Dec")</f>
        <v>2025 Dec</v>
      </c>
      <c r="B7964" s="2">
        <f>IFERROR(__xludf.DUMMYFUNCTION("""COMPUTED_VALUE"""),46020.0)</f>
        <v>46020</v>
      </c>
      <c r="C7964" s="1" t="str">
        <f>IFERROR(__xludf.DUMMYFUNCTION("""COMPUTED_VALUE"""),"Segment-specific Support")</f>
        <v>Segment-specific Support</v>
      </c>
      <c r="D7964" s="1" t="str">
        <f>IFERROR(__xludf.DUMMYFUNCTION("""COMPUTED_VALUE"""),"ea5d3075-1c56-458e-abc7-f25ded5a9d76")</f>
        <v>ea5d3075-1c56-458e-abc7-f25ded5a9d76</v>
      </c>
      <c r="E7964" s="1">
        <f>IFERROR(__xludf.DUMMYFUNCTION("""COMPUTED_VALUE"""),1.1401961186319E13)</f>
        <v>11401961186319</v>
      </c>
      <c r="F7964" s="1"/>
      <c r="G7964" s="1"/>
      <c r="H7964" s="3">
        <f>IFERROR(__xludf.DUMMYFUNCTION("""COMPUTED_VALUE"""),0.0)</f>
        <v>0</v>
      </c>
      <c r="I7964" s="4"/>
      <c r="J7964" s="1" t="str">
        <f>IFERROR(__xludf.DUMMYFUNCTION("""COMPUTED_VALUE"""),"Aileen Dayanghirang")</f>
        <v>Aileen Dayanghirang</v>
      </c>
      <c r="K7964" s="1" t="str">
        <f>IFERROR(__xludf.DUMMYFUNCTION("""COMPUTED_VALUE"""),"Creators Support")</f>
        <v>Creators Support</v>
      </c>
      <c r="L7964" s="1" t="str">
        <f>IFERROR(__xludf.DUMMYFUNCTION("""COMPUTED_VALUE"""),"SSS Creators")</f>
        <v>SSS Creators</v>
      </c>
    </row>
    <row r="7965">
      <c r="A7965" s="1" t="str">
        <f>IFERROR(__xludf.DUMMYFUNCTION("""COMPUTED_VALUE"""),"2025 Dec")</f>
        <v>2025 Dec</v>
      </c>
      <c r="B7965" s="2">
        <f>IFERROR(__xludf.DUMMYFUNCTION("""COMPUTED_VALUE"""),46020.0)</f>
        <v>46020</v>
      </c>
      <c r="C7965" s="1" t="str">
        <f>IFERROR(__xludf.DUMMYFUNCTION("""COMPUTED_VALUE"""),"Admin Support")</f>
        <v>Admin Support</v>
      </c>
      <c r="D7965" s="1" t="str">
        <f>IFERROR(__xludf.DUMMYFUNCTION("""COMPUTED_VALUE"""),"ac612821-c478-4ed1-8b21-3e20fb1b17d4")</f>
        <v>ac612821-c478-4ed1-8b21-3e20fb1b17d4</v>
      </c>
      <c r="E7965" s="1">
        <f>IFERROR(__xludf.DUMMYFUNCTION("""COMPUTED_VALUE"""),8.409862611087E12)</f>
        <v>8409862611087</v>
      </c>
      <c r="F7965" s="1"/>
      <c r="G7965" s="1"/>
      <c r="H7965" s="3">
        <f>IFERROR(__xludf.DUMMYFUNCTION("""COMPUTED_VALUE"""),0.0)</f>
        <v>0</v>
      </c>
      <c r="I7965" s="4"/>
      <c r="J7965" s="1" t="str">
        <f>IFERROR(__xludf.DUMMYFUNCTION("""COMPUTED_VALUE"""),"Kelden Laguting")</f>
        <v>Kelden Laguting</v>
      </c>
      <c r="K7965" s="1" t="str">
        <f>IFERROR(__xludf.DUMMYFUNCTION("""COMPUTED_VALUE"""),"Admin Support PH")</f>
        <v>Admin Support PH</v>
      </c>
      <c r="L7965" s="1" t="str">
        <f>IFERROR(__xludf.DUMMYFUNCTION("""COMPUTED_VALUE"""),"Admin PH")</f>
        <v>Admin PH</v>
      </c>
    </row>
    <row r="7966">
      <c r="A7966" s="1" t="str">
        <f>IFERROR(__xludf.DUMMYFUNCTION("""COMPUTED_VALUE"""),"2025 Dec")</f>
        <v>2025 Dec</v>
      </c>
      <c r="B7966" s="2">
        <f>IFERROR(__xludf.DUMMYFUNCTION("""COMPUTED_VALUE"""),46020.0)</f>
        <v>46020</v>
      </c>
      <c r="C7966" s="1" t="str">
        <f>IFERROR(__xludf.DUMMYFUNCTION("""COMPUTED_VALUE"""),"Multilingual Support")</f>
        <v>Multilingual Support</v>
      </c>
      <c r="D7966" s="1" t="str">
        <f>IFERROR(__xludf.DUMMYFUNCTION("""COMPUTED_VALUE"""),"c643f4d3-31ef-4155-ba4e-a552baeb6f23")</f>
        <v>c643f4d3-31ef-4155-ba4e-a552baeb6f23</v>
      </c>
      <c r="E7966" s="1">
        <f>IFERROR(__xludf.DUMMYFUNCTION("""COMPUTED_VALUE"""),3.61726424916E11)</f>
        <v>361726424916</v>
      </c>
      <c r="F7966" s="1"/>
      <c r="G7966" s="1"/>
      <c r="H7966" s="3">
        <f>IFERROR(__xludf.DUMMYFUNCTION("""COMPUTED_VALUE"""),0.0)</f>
        <v>0</v>
      </c>
      <c r="I7966" s="4"/>
      <c r="J7966" s="1" t="str">
        <f>IFERROR(__xludf.DUMMYFUNCTION("""COMPUTED_VALUE"""),"Arlene Maurillo")</f>
        <v>Arlene Maurillo</v>
      </c>
      <c r="K7966" s="1" t="str">
        <f>IFERROR(__xludf.DUMMYFUNCTION("""COMPUTED_VALUE"""),"PHL, Multilingual Support")</f>
        <v>PHL, Multilingual Support</v>
      </c>
      <c r="L7966" s="1" t="str">
        <f>IFERROR(__xludf.DUMMYFUNCTION("""COMPUTED_VALUE"""),"ML French Support")</f>
        <v>ML French Support</v>
      </c>
    </row>
    <row r="7967">
      <c r="A7967" s="1" t="str">
        <f>IFERROR(__xludf.DUMMYFUNCTION("""COMPUTED_VALUE"""),"2025 Dec")</f>
        <v>2025 Dec</v>
      </c>
      <c r="B7967" s="2">
        <f>IFERROR(__xludf.DUMMYFUNCTION("""COMPUTED_VALUE"""),46020.0)</f>
        <v>46020</v>
      </c>
      <c r="C7967" s="1" t="str">
        <f>IFERROR(__xludf.DUMMYFUNCTION("""COMPUTED_VALUE"""),"High Sensitivity Support")</f>
        <v>High Sensitivity Support</v>
      </c>
      <c r="D7967" s="1" t="str">
        <f>IFERROR(__xludf.DUMMYFUNCTION("""COMPUTED_VALUE"""),"19ca9753-f76b-4593-ad5b-20f0e6bda57d")</f>
        <v>19ca9753-f76b-4593-ad5b-20f0e6bda57d</v>
      </c>
      <c r="E7967" s="1">
        <f>IFERROR(__xludf.DUMMYFUNCTION("""COMPUTED_VALUE"""),3.61694652335E11)</f>
        <v>361694652335</v>
      </c>
      <c r="F7967" s="1"/>
      <c r="G7967" s="1"/>
      <c r="H7967" s="3">
        <f>IFERROR(__xludf.DUMMYFUNCTION("""COMPUTED_VALUE"""),0.0)</f>
        <v>0</v>
      </c>
      <c r="I7967" s="4"/>
      <c r="J7967" s="1" t="str">
        <f>IFERROR(__xludf.DUMMYFUNCTION("""COMPUTED_VALUE"""),"Xandy Azarcon")</f>
        <v>Xandy Azarcon</v>
      </c>
      <c r="K7967" s="1" t="str">
        <f>IFERROR(__xludf.DUMMYFUNCTION("""COMPUTED_VALUE"""),"High Sensitivity Support PH")</f>
        <v>High Sensitivity Support PH</v>
      </c>
      <c r="L7967" s="1" t="str">
        <f>IFERROR(__xludf.DUMMYFUNCTION("""COMPUTED_VALUE"""),"HSS High Sensitivity Support PH - CHT")</f>
        <v>HSS High Sensitivity Support PH - CHT</v>
      </c>
    </row>
    <row r="7968">
      <c r="A7968" s="1" t="str">
        <f>IFERROR(__xludf.DUMMYFUNCTION("""COMPUTED_VALUE"""),"2025 Dec")</f>
        <v>2025 Dec</v>
      </c>
      <c r="B7968" s="2">
        <f>IFERROR(__xludf.DUMMYFUNCTION("""COMPUTED_VALUE"""),46020.0)</f>
        <v>46020</v>
      </c>
      <c r="C7968" s="1" t="str">
        <f>IFERROR(__xludf.DUMMYFUNCTION("""COMPUTED_VALUE"""),"High Sensitivity Support")</f>
        <v>High Sensitivity Support</v>
      </c>
      <c r="D7968" s="1" t="str">
        <f>IFERROR(__xludf.DUMMYFUNCTION("""COMPUTED_VALUE"""),"9ade6020-1c9b-4fab-b5d6-fa3b2ae1a212")</f>
        <v>9ade6020-1c9b-4fab-b5d6-fa3b2ae1a212</v>
      </c>
      <c r="E7968" s="1">
        <f>IFERROR(__xludf.DUMMYFUNCTION("""COMPUTED_VALUE"""),5.047383497615E12)</f>
        <v>5047383497615</v>
      </c>
      <c r="F7968" s="1"/>
      <c r="G7968" s="1"/>
      <c r="H7968" s="3">
        <f>IFERROR(__xludf.DUMMYFUNCTION("""COMPUTED_VALUE"""),0.0)</f>
        <v>0</v>
      </c>
      <c r="I7968" s="4"/>
      <c r="J7968" s="1" t="str">
        <f>IFERROR(__xludf.DUMMYFUNCTION("""COMPUTED_VALUE"""),"Issi Afable")</f>
        <v>Issi Afable</v>
      </c>
      <c r="K7968" s="1" t="str">
        <f>IFERROR(__xludf.DUMMYFUNCTION("""COMPUTED_VALUE"""),"High Sensitivity Support PH")</f>
        <v>High Sensitivity Support PH</v>
      </c>
      <c r="L7968" s="1" t="str">
        <f>IFERROR(__xludf.DUMMYFUNCTION("""COMPUTED_VALUE"""),"HSS High Sensitivity Support PH - SEE")</f>
        <v>HSS High Sensitivity Support PH - SEE</v>
      </c>
    </row>
    <row r="7969">
      <c r="A7969" s="1" t="str">
        <f>IFERROR(__xludf.DUMMYFUNCTION("""COMPUTED_VALUE"""),"2025 Dec")</f>
        <v>2025 Dec</v>
      </c>
      <c r="B7969" s="2">
        <f>IFERROR(__xludf.DUMMYFUNCTION("""COMPUTED_VALUE"""),46020.0)</f>
        <v>46020</v>
      </c>
      <c r="C7969" s="1" t="str">
        <f>IFERROR(__xludf.DUMMYFUNCTION("""COMPUTED_VALUE"""),"Print Support")</f>
        <v>Print Support</v>
      </c>
      <c r="D7969" s="1" t="str">
        <f>IFERROR(__xludf.DUMMYFUNCTION("""COMPUTED_VALUE"""),"05869263-0d01-4309-8f73-ab6deb080e16")</f>
        <v>05869263-0d01-4309-8f73-ab6deb080e16</v>
      </c>
      <c r="E7969" s="1"/>
      <c r="F7969" s="1"/>
      <c r="G7969" s="1"/>
      <c r="H7969" s="3">
        <f>IFERROR(__xludf.DUMMYFUNCTION("""COMPUTED_VALUE"""),0.0)</f>
        <v>0</v>
      </c>
      <c r="I7969" s="4"/>
      <c r="J7969" s="1" t="str">
        <f>IFERROR(__xludf.DUMMYFUNCTION("""COMPUTED_VALUE"""),"G-Anne Murillo")</f>
        <v>G-Anne Murillo</v>
      </c>
      <c r="K7969" s="1" t="str">
        <f>IFERROR(__xludf.DUMMYFUNCTION("""COMPUTED_VALUE"""),"Print Design Support")</f>
        <v>Print Design Support</v>
      </c>
      <c r="L7969" s="1" t="str">
        <f>IFERROR(__xludf.DUMMYFUNCTION("""COMPUTED_VALUE"""),"Print Print Design")</f>
        <v>Print Print Design</v>
      </c>
    </row>
    <row r="7970">
      <c r="A7970" s="1" t="str">
        <f>IFERROR(__xludf.DUMMYFUNCTION("""COMPUTED_VALUE"""),"2025 Dec")</f>
        <v>2025 Dec</v>
      </c>
      <c r="B7970" s="2">
        <f>IFERROR(__xludf.DUMMYFUNCTION("""COMPUTED_VALUE"""),46020.0)</f>
        <v>46020</v>
      </c>
      <c r="C7970" s="1" t="str">
        <f>IFERROR(__xludf.DUMMYFUNCTION("""COMPUTED_VALUE"""),"Print Support")</f>
        <v>Print Support</v>
      </c>
      <c r="D7970" s="1" t="str">
        <f>IFERROR(__xludf.DUMMYFUNCTION("""COMPUTED_VALUE"""),"5fe68c01-0359-40ab-9a6d-78a5cd050024")</f>
        <v>5fe68c01-0359-40ab-9a6d-78a5cd050024</v>
      </c>
      <c r="E7970" s="1"/>
      <c r="F7970" s="1"/>
      <c r="G7970" s="1"/>
      <c r="H7970" s="3">
        <f>IFERROR(__xludf.DUMMYFUNCTION("""COMPUTED_VALUE"""),0.0)</f>
        <v>0</v>
      </c>
      <c r="I7970" s="4"/>
      <c r="J7970" s="1" t="str">
        <f>IFERROR(__xludf.DUMMYFUNCTION("""COMPUTED_VALUE"""),"Jan Domingo")</f>
        <v>Jan Domingo</v>
      </c>
      <c r="K7970" s="1" t="str">
        <f>IFERROR(__xludf.DUMMYFUNCTION("""COMPUTED_VALUE"""),"Print Design Support")</f>
        <v>Print Design Support</v>
      </c>
      <c r="L7970" s="1" t="str">
        <f>IFERROR(__xludf.DUMMYFUNCTION("""COMPUTED_VALUE"""),"Print Print Design")</f>
        <v>Print Print Design</v>
      </c>
    </row>
    <row r="7971">
      <c r="A7971" s="1" t="str">
        <f>IFERROR(__xludf.DUMMYFUNCTION("""COMPUTED_VALUE"""),"2025 Dec")</f>
        <v>2025 Dec</v>
      </c>
      <c r="B7971" s="2">
        <f>IFERROR(__xludf.DUMMYFUNCTION("""COMPUTED_VALUE"""),46020.0)</f>
        <v>46020</v>
      </c>
      <c r="C7971" s="1" t="str">
        <f>IFERROR(__xludf.DUMMYFUNCTION("""COMPUTED_VALUE"""),"Print Support")</f>
        <v>Print Support</v>
      </c>
      <c r="D7971" s="1" t="str">
        <f>IFERROR(__xludf.DUMMYFUNCTION("""COMPUTED_VALUE"""),"50551296-1c12-4ee1-842f-b3c74e1d0706")</f>
        <v>50551296-1c12-4ee1-842f-b3c74e1d0706</v>
      </c>
      <c r="E7971" s="1">
        <f>IFERROR(__xludf.DUMMYFUNCTION("""COMPUTED_VALUE"""),3.61725486956E11)</f>
        <v>361725486956</v>
      </c>
      <c r="F7971" s="1">
        <f>IFERROR(__xludf.DUMMYFUNCTION("""COMPUTED_VALUE"""),2.0)</f>
        <v>2</v>
      </c>
      <c r="G7971" s="1"/>
      <c r="H7971" s="3">
        <f>IFERROR(__xludf.DUMMYFUNCTION("""COMPUTED_VALUE"""),2.0)</f>
        <v>2</v>
      </c>
      <c r="I7971" s="4">
        <f>IFERROR(__xludf.DUMMYFUNCTION("""COMPUTED_VALUE"""),0.0)</f>
        <v>0</v>
      </c>
      <c r="J7971" s="1" t="str">
        <f>IFERROR(__xludf.DUMMYFUNCTION("""COMPUTED_VALUE"""),"Memae Faustino")</f>
        <v>Memae Faustino</v>
      </c>
      <c r="K7971" s="1" t="str">
        <f>IFERROR(__xludf.DUMMYFUNCTION("""COMPUTED_VALUE"""),"Print Support PH")</f>
        <v>Print Support PH</v>
      </c>
      <c r="L7971" s="1" t="str">
        <f>IFERROR(__xludf.DUMMYFUNCTION("""COMPUTED_VALUE"""),"Print Print - SEE")</f>
        <v>Print Print - SEE</v>
      </c>
    </row>
    <row r="7972">
      <c r="A7972" s="1" t="str">
        <f>IFERROR(__xludf.DUMMYFUNCTION("""COMPUTED_VALUE"""),"2025 Dec")</f>
        <v>2025 Dec</v>
      </c>
      <c r="B7972" s="2">
        <f>IFERROR(__xludf.DUMMYFUNCTION("""COMPUTED_VALUE"""),46020.0)</f>
        <v>46020</v>
      </c>
      <c r="C7972" s="1" t="str">
        <f>IFERROR(__xludf.DUMMYFUNCTION("""COMPUTED_VALUE"""),"Core Product Support")</f>
        <v>Core Product Support</v>
      </c>
      <c r="D7972" s="1" t="str">
        <f>IFERROR(__xludf.DUMMYFUNCTION("""COMPUTED_VALUE"""),"4dbfa916-5ac6-473d-aa13-5812e02f0be2")</f>
        <v>4dbfa916-5ac6-473d-aa13-5812e02f0be2</v>
      </c>
      <c r="E7972" s="1">
        <f>IFERROR(__xludf.DUMMYFUNCTION("""COMPUTED_VALUE"""),9.586394042255E12)</f>
        <v>9586394042255</v>
      </c>
      <c r="F7972" s="1">
        <f>IFERROR(__xludf.DUMMYFUNCTION("""COMPUTED_VALUE"""),1.0)</f>
        <v>1</v>
      </c>
      <c r="G7972" s="1"/>
      <c r="H7972" s="3">
        <f>IFERROR(__xludf.DUMMYFUNCTION("""COMPUTED_VALUE"""),1.0)</f>
        <v>1</v>
      </c>
      <c r="I7972" s="4">
        <f>IFERROR(__xludf.DUMMYFUNCTION("""COMPUTED_VALUE"""),0.0)</f>
        <v>0</v>
      </c>
      <c r="J7972" s="1" t="str">
        <f>IFERROR(__xludf.DUMMYFUNCTION("""COMPUTED_VALUE"""),"Vinz Lazaro")</f>
        <v>Vinz Lazaro</v>
      </c>
      <c r="K7972" s="1" t="str">
        <f>IFERROR(__xludf.DUMMYFUNCTION("""COMPUTED_VALUE"""),"Advanced Product Support")</f>
        <v>Advanced Product Support</v>
      </c>
      <c r="L7972" s="1" t="str">
        <f>IFERROR(__xludf.DUMMYFUNCTION("""COMPUTED_VALUE"""),"CPS Advanced Product Support (APS)")</f>
        <v>CPS Advanced Product Support (APS)</v>
      </c>
    </row>
    <row r="7973">
      <c r="A7973" s="1" t="str">
        <f>IFERROR(__xludf.DUMMYFUNCTION("""COMPUTED_VALUE"""),"2025 Dec")</f>
        <v>2025 Dec</v>
      </c>
      <c r="B7973" s="2">
        <f>IFERROR(__xludf.DUMMYFUNCTION("""COMPUTED_VALUE"""),46020.0)</f>
        <v>46020</v>
      </c>
      <c r="C7973" s="1" t="str">
        <f>IFERROR(__xludf.DUMMYFUNCTION("""COMPUTED_VALUE"""),"Print Support")</f>
        <v>Print Support</v>
      </c>
      <c r="D7973" s="1" t="str">
        <f>IFERROR(__xludf.DUMMYFUNCTION("""COMPUTED_VALUE"""),"9c6c901c-ce92-460f-9d6d-5ee12b03a1ec")</f>
        <v>9c6c901c-ce92-460f-9d6d-5ee12b03a1ec</v>
      </c>
      <c r="E7973" s="1"/>
      <c r="F7973" s="1"/>
      <c r="G7973" s="1"/>
      <c r="H7973" s="3">
        <f>IFERROR(__xludf.DUMMYFUNCTION("""COMPUTED_VALUE"""),0.0)</f>
        <v>0</v>
      </c>
      <c r="I7973" s="4"/>
      <c r="J7973" s="1" t="str">
        <f>IFERROR(__xludf.DUMMYFUNCTION("""COMPUTED_VALUE"""),"Rei De Jesus")</f>
        <v>Rei De Jesus</v>
      </c>
      <c r="K7973" s="1" t="str">
        <f>IFERROR(__xludf.DUMMYFUNCTION("""COMPUTED_VALUE"""),"Print Design Support")</f>
        <v>Print Design Support</v>
      </c>
      <c r="L7973" s="1" t="str">
        <f>IFERROR(__xludf.DUMMYFUNCTION("""COMPUTED_VALUE"""),"Print Print Design")</f>
        <v>Print Print Design</v>
      </c>
    </row>
    <row r="7974">
      <c r="A7974" s="1" t="str">
        <f>IFERROR(__xludf.DUMMYFUNCTION("""COMPUTED_VALUE"""),"2025 Dec")</f>
        <v>2025 Dec</v>
      </c>
      <c r="B7974" s="2">
        <f>IFERROR(__xludf.DUMMYFUNCTION("""COMPUTED_VALUE"""),46020.0)</f>
        <v>46020</v>
      </c>
      <c r="C7974" s="1" t="str">
        <f>IFERROR(__xludf.DUMMYFUNCTION("""COMPUTED_VALUE"""),"Core Product Support")</f>
        <v>Core Product Support</v>
      </c>
      <c r="D7974" s="1" t="str">
        <f>IFERROR(__xludf.DUMMYFUNCTION("""COMPUTED_VALUE"""),"cc817a63-c749-4aa1-ad3c-e3d33f5e04ff")</f>
        <v>cc817a63-c749-4aa1-ad3c-e3d33f5e04ff</v>
      </c>
      <c r="E7974" s="1">
        <f>IFERROR(__xludf.DUMMYFUNCTION("""COMPUTED_VALUE"""),5.566828557583E12)</f>
        <v>5566828557583</v>
      </c>
      <c r="F7974" s="1">
        <f>IFERROR(__xludf.DUMMYFUNCTION("""COMPUTED_VALUE"""),0.5)</f>
        <v>0.5</v>
      </c>
      <c r="G7974" s="1"/>
      <c r="H7974" s="3">
        <f>IFERROR(__xludf.DUMMYFUNCTION("""COMPUTED_VALUE"""),0.5)</f>
        <v>0.5</v>
      </c>
      <c r="I7974" s="4">
        <f>IFERROR(__xludf.DUMMYFUNCTION("""COMPUTED_VALUE"""),0.0)</f>
        <v>0</v>
      </c>
      <c r="J7974" s="1" t="str">
        <f>IFERROR(__xludf.DUMMYFUNCTION("""COMPUTED_VALUE"""),"Renette Bok")</f>
        <v>Renette Bok</v>
      </c>
      <c r="K7974" s="1" t="str">
        <f>IFERROR(__xludf.DUMMYFUNCTION("""COMPUTED_VALUE"""),"Advanced Billing &amp; Subscriptions")</f>
        <v>Advanced Billing &amp; Subscriptions</v>
      </c>
      <c r="L7974" s="1" t="str">
        <f>IFERROR(__xludf.DUMMYFUNCTION("""COMPUTED_VALUE"""),"CPS Advanced Billing and Subscriptions (ABS)")</f>
        <v>CPS Advanced Billing and Subscriptions (ABS)</v>
      </c>
    </row>
    <row r="7975">
      <c r="A7975" s="1" t="str">
        <f>IFERROR(__xludf.DUMMYFUNCTION("""COMPUTED_VALUE"""),"2025 Dec")</f>
        <v>2025 Dec</v>
      </c>
      <c r="B7975" s="2">
        <f>IFERROR(__xludf.DUMMYFUNCTION("""COMPUTED_VALUE"""),46020.0)</f>
        <v>46020</v>
      </c>
      <c r="C7975" s="1" t="str">
        <f>IFERROR(__xludf.DUMMYFUNCTION("""COMPUTED_VALUE"""),"Multilingual Support")</f>
        <v>Multilingual Support</v>
      </c>
      <c r="D7975" s="1" t="str">
        <f>IFERROR(__xludf.DUMMYFUNCTION("""COMPUTED_VALUE"""),"6f52f807-9641-4f21-b34f-312ae3e9b3c9")</f>
        <v>6f52f807-9641-4f21-b34f-312ae3e9b3c9</v>
      </c>
      <c r="E7975" s="1">
        <f>IFERROR(__xludf.DUMMYFUNCTION("""COMPUTED_VALUE"""),3.61724828456E11)</f>
        <v>361724828456</v>
      </c>
      <c r="F7975" s="1"/>
      <c r="G7975" s="1"/>
      <c r="H7975" s="3">
        <f>IFERROR(__xludf.DUMMYFUNCTION("""COMPUTED_VALUE"""),0.0)</f>
        <v>0</v>
      </c>
      <c r="I7975" s="4"/>
      <c r="J7975" s="1" t="str">
        <f>IFERROR(__xludf.DUMMYFUNCTION("""COMPUTED_VALUE"""),"Arlene Maurillo")</f>
        <v>Arlene Maurillo</v>
      </c>
      <c r="K7975" s="1" t="str">
        <f>IFERROR(__xludf.DUMMYFUNCTION("""COMPUTED_VALUE"""),"PHL, Multilingual Support")</f>
        <v>PHL, Multilingual Support</v>
      </c>
      <c r="L7975" s="1" t="str">
        <f>IFERROR(__xludf.DUMMYFUNCTION("""COMPUTED_VALUE"""),"ML Russian Support")</f>
        <v>ML Russian Support</v>
      </c>
    </row>
    <row r="7976">
      <c r="A7976" s="1" t="str">
        <f>IFERROR(__xludf.DUMMYFUNCTION("""COMPUTED_VALUE"""),"2025 Dec")</f>
        <v>2025 Dec</v>
      </c>
      <c r="B7976" s="2">
        <f>IFERROR(__xludf.DUMMYFUNCTION("""COMPUTED_VALUE"""),46020.0)</f>
        <v>46020</v>
      </c>
      <c r="C7976" s="1" t="str">
        <f>IFERROR(__xludf.DUMMYFUNCTION("""COMPUTED_VALUE"""),"Core Product Support")</f>
        <v>Core Product Support</v>
      </c>
      <c r="D7976" s="1" t="str">
        <f>IFERROR(__xludf.DUMMYFUNCTION("""COMPUTED_VALUE"""),"e9348ef0-6be7-4d18-8f01-bbb3181a2030")</f>
        <v>e9348ef0-6be7-4d18-8f01-bbb3181a2030</v>
      </c>
      <c r="E7976" s="1">
        <f>IFERROR(__xludf.DUMMYFUNCTION("""COMPUTED_VALUE"""),8.904451015951E12)</f>
        <v>8904451015951</v>
      </c>
      <c r="F7976" s="1">
        <f>IFERROR(__xludf.DUMMYFUNCTION("""COMPUTED_VALUE"""),0.5)</f>
        <v>0.5</v>
      </c>
      <c r="G7976" s="1"/>
      <c r="H7976" s="3">
        <f>IFERROR(__xludf.DUMMYFUNCTION("""COMPUTED_VALUE"""),0.5)</f>
        <v>0.5</v>
      </c>
      <c r="I7976" s="4">
        <f>IFERROR(__xludf.DUMMYFUNCTION("""COMPUTED_VALUE"""),0.0)</f>
        <v>0</v>
      </c>
      <c r="J7976" s="1" t="str">
        <f>IFERROR(__xludf.DUMMYFUNCTION("""COMPUTED_VALUE"""),"Ana Lazaro")</f>
        <v>Ana Lazaro</v>
      </c>
      <c r="K7976" s="1" t="str">
        <f>IFERROR(__xludf.DUMMYFUNCTION("""COMPUTED_VALUE"""),"Advanced Billing &amp; Subscriptions")</f>
        <v>Advanced Billing &amp; Subscriptions</v>
      </c>
      <c r="L7976" s="1" t="str">
        <f>IFERROR(__xludf.DUMMYFUNCTION("""COMPUTED_VALUE"""),"CPS Advanced Billing and Subscriptions (ABS)")</f>
        <v>CPS Advanced Billing and Subscriptions (ABS)</v>
      </c>
    </row>
    <row r="7977">
      <c r="A7977" s="1" t="str">
        <f>IFERROR(__xludf.DUMMYFUNCTION("""COMPUTED_VALUE"""),"2025 Dec")</f>
        <v>2025 Dec</v>
      </c>
      <c r="B7977" s="2">
        <f>IFERROR(__xludf.DUMMYFUNCTION("""COMPUTED_VALUE"""),46020.0)</f>
        <v>46020</v>
      </c>
      <c r="C7977" s="1" t="str">
        <f>IFERROR(__xludf.DUMMYFUNCTION("""COMPUTED_VALUE"""),"Core Product Support")</f>
        <v>Core Product Support</v>
      </c>
      <c r="D7977" s="1" t="str">
        <f>IFERROR(__xludf.DUMMYFUNCTION("""COMPUTED_VALUE"""),"5917755d-94e1-4bcf-b3d5-736f4efd635f")</f>
        <v>5917755d-94e1-4bcf-b3d5-736f4efd635f</v>
      </c>
      <c r="E7977" s="1">
        <f>IFERROR(__xludf.DUMMYFUNCTION("""COMPUTED_VALUE"""),3.61725488916E11)</f>
        <v>361725488916</v>
      </c>
      <c r="F7977" s="1">
        <f>IFERROR(__xludf.DUMMYFUNCTION("""COMPUTED_VALUE"""),0.5)</f>
        <v>0.5</v>
      </c>
      <c r="G7977" s="1">
        <f>IFERROR(__xludf.DUMMYFUNCTION("""COMPUTED_VALUE"""),2.5)</f>
        <v>2.5</v>
      </c>
      <c r="H7977" s="3">
        <f>IFERROR(__xludf.DUMMYFUNCTION("""COMPUTED_VALUE"""),3.0)</f>
        <v>3</v>
      </c>
      <c r="I7977" s="4">
        <f>IFERROR(__xludf.DUMMYFUNCTION("""COMPUTED_VALUE"""),0.8333333333333334)</f>
        <v>0.8333333333</v>
      </c>
      <c r="J7977" s="1" t="str">
        <f>IFERROR(__xludf.DUMMYFUNCTION("""COMPUTED_VALUE"""),"Bem Launte")</f>
        <v>Bem Launte</v>
      </c>
      <c r="K7977" s="1" t="str">
        <f>IFERROR(__xludf.DUMMYFUNCTION("""COMPUTED_VALUE"""),"Core Product Support Escalation Team")</f>
        <v>Core Product Support Escalation Team</v>
      </c>
      <c r="L7977" s="1" t="str">
        <f>IFERROR(__xludf.DUMMYFUNCTION("""COMPUTED_VALUE"""),"CPS Core Product Support Escalations (CPSET)")</f>
        <v>CPS Core Product Support Escalations (CPSET)</v>
      </c>
    </row>
    <row r="7978">
      <c r="A7978" s="1" t="str">
        <f>IFERROR(__xludf.DUMMYFUNCTION("""COMPUTED_VALUE"""),"2025 Dec")</f>
        <v>2025 Dec</v>
      </c>
      <c r="B7978" s="2">
        <f>IFERROR(__xludf.DUMMYFUNCTION("""COMPUTED_VALUE"""),46020.0)</f>
        <v>46020</v>
      </c>
      <c r="C7978" s="1" t="str">
        <f>IFERROR(__xludf.DUMMYFUNCTION("""COMPUTED_VALUE"""),"Admin Support")</f>
        <v>Admin Support</v>
      </c>
      <c r="D7978" s="1" t="str">
        <f>IFERROR(__xludf.DUMMYFUNCTION("""COMPUTED_VALUE"""),"869426c4-df7f-4a39-b2f3-8e70e583ed69")</f>
        <v>869426c4-df7f-4a39-b2f3-8e70e583ed69</v>
      </c>
      <c r="E7978" s="1">
        <f>IFERROR(__xludf.DUMMYFUNCTION("""COMPUTED_VALUE"""),3.61725115636E11)</f>
        <v>361725115636</v>
      </c>
      <c r="F7978" s="1"/>
      <c r="G7978" s="1"/>
      <c r="H7978" s="3">
        <f>IFERROR(__xludf.DUMMYFUNCTION("""COMPUTED_VALUE"""),0.0)</f>
        <v>0</v>
      </c>
      <c r="I7978" s="4"/>
      <c r="J7978" s="1" t="str">
        <f>IFERROR(__xludf.DUMMYFUNCTION("""COMPUTED_VALUE"""),"Camille Alvarez")</f>
        <v>Camille Alvarez</v>
      </c>
      <c r="K7978" s="1" t="str">
        <f>IFERROR(__xludf.DUMMYFUNCTION("""COMPUTED_VALUE"""),"Admin Support PH SSO")</f>
        <v>Admin Support PH SSO</v>
      </c>
      <c r="L7978" s="1" t="str">
        <f>IFERROR(__xludf.DUMMYFUNCTION("""COMPUTED_VALUE"""),"Admin SSO - SEE")</f>
        <v>Admin SSO - SEE</v>
      </c>
    </row>
    <row r="7979">
      <c r="A7979" s="1" t="str">
        <f>IFERROR(__xludf.DUMMYFUNCTION("""COMPUTED_VALUE"""),"2025 Dec")</f>
        <v>2025 Dec</v>
      </c>
      <c r="B7979" s="2">
        <f>IFERROR(__xludf.DUMMYFUNCTION("""COMPUTED_VALUE"""),46020.0)</f>
        <v>46020</v>
      </c>
      <c r="C7979" s="1" t="str">
        <f>IFERROR(__xludf.DUMMYFUNCTION("""COMPUTED_VALUE"""),"Print Support")</f>
        <v>Print Support</v>
      </c>
      <c r="D7979" s="1" t="str">
        <f>IFERROR(__xludf.DUMMYFUNCTION("""COMPUTED_VALUE"""),"cb7f900d-e2ff-4ff8-b74f-c2db90bdfb62")</f>
        <v>cb7f900d-e2ff-4ff8-b74f-c2db90bdfb62</v>
      </c>
      <c r="E7979" s="1">
        <f>IFERROR(__xludf.DUMMYFUNCTION("""COMPUTED_VALUE"""),3.61750052875E11)</f>
        <v>361750052875</v>
      </c>
      <c r="F7979" s="1">
        <f>IFERROR(__xludf.DUMMYFUNCTION("""COMPUTED_VALUE"""),2.0)</f>
        <v>2</v>
      </c>
      <c r="G7979" s="1"/>
      <c r="H7979" s="3">
        <f>IFERROR(__xludf.DUMMYFUNCTION("""COMPUTED_VALUE"""),2.0)</f>
        <v>2</v>
      </c>
      <c r="I7979" s="4">
        <f>IFERROR(__xludf.DUMMYFUNCTION("""COMPUTED_VALUE"""),0.0)</f>
        <v>0</v>
      </c>
      <c r="J7979" s="1" t="str">
        <f>IFERROR(__xludf.DUMMYFUNCTION("""COMPUTED_VALUE"""),"Memae Faustino")</f>
        <v>Memae Faustino</v>
      </c>
      <c r="K7979" s="1" t="str">
        <f>IFERROR(__xludf.DUMMYFUNCTION("""COMPUTED_VALUE"""),"Print Support PH")</f>
        <v>Print Support PH</v>
      </c>
      <c r="L7979" s="1" t="str">
        <f>IFERROR(__xludf.DUMMYFUNCTION("""COMPUTED_VALUE"""),"Print Print - SEE")</f>
        <v>Print Print - SEE</v>
      </c>
    </row>
  </sheetData>
  <drawing r:id="rId1"/>
</worksheet>
</file>