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_group" sheetId="2" r:id="rId1"/>
    <sheet name="control_group" sheetId="3" r:id="rId2"/>
    <sheet name="ab_testing" sheetId="4" r:id="rId3"/>
  </sheets>
  <definedNames>
    <definedName name="ExternalData_1" localSheetId="1" hidden="1">'control_group'!$A$1:$J$31</definedName>
    <definedName name="ExternalData_1" localSheetId="0" hidden="1">test_group!$A$1:$J$31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D26" i="4"/>
  <c r="E25" i="4"/>
  <c r="D25" i="4"/>
  <c r="E24" i="4"/>
  <c r="D24" i="4"/>
  <c r="E23" i="4"/>
  <c r="D23" i="4"/>
  <c r="E22" i="4"/>
  <c r="D22" i="4"/>
  <c r="E21" i="4"/>
  <c r="D21" i="4"/>
  <c r="E20" i="4"/>
  <c r="E19" i="4"/>
  <c r="D20" i="4"/>
  <c r="F20" i="4"/>
  <c r="F21" i="4"/>
  <c r="F22" i="4"/>
  <c r="F23" i="4"/>
  <c r="F24" i="4"/>
  <c r="F25" i="4"/>
  <c r="F26" i="4"/>
  <c r="F19" i="4"/>
  <c r="D19" i="4"/>
  <c r="C26" i="4"/>
  <c r="C25" i="4"/>
  <c r="C24" i="4"/>
  <c r="C23" i="4"/>
  <c r="C22" i="4"/>
  <c r="C21" i="4"/>
  <c r="C20" i="4"/>
  <c r="C19" i="4"/>
  <c r="B26" i="4"/>
  <c r="B25" i="4"/>
  <c r="B24" i="4"/>
  <c r="B23" i="4"/>
  <c r="B22" i="4"/>
  <c r="B21" i="4"/>
  <c r="B20" i="4"/>
  <c r="B19" i="4"/>
  <c r="C12" i="4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C7" i="4"/>
  <c r="C6" i="4"/>
  <c r="C5" i="4"/>
  <c r="D5" i="4" s="1"/>
  <c r="E5" i="4" s="1"/>
  <c r="B12" i="4"/>
  <c r="D12" i="4" s="1"/>
  <c r="E12" i="4" s="1"/>
  <c r="B11" i="4"/>
  <c r="B10" i="4"/>
  <c r="B9" i="4"/>
  <c r="B8" i="4"/>
  <c r="B7" i="4"/>
  <c r="D7" i="4" s="1"/>
  <c r="E7" i="4" s="1"/>
  <c r="B6" i="4"/>
  <c r="D6" i="4" s="1"/>
  <c r="E6" i="4" s="1"/>
  <c r="B5" i="4"/>
  <c r="D46" i="3" l="1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42" i="3"/>
  <c r="D43" i="3"/>
  <c r="D44" i="3"/>
  <c r="D45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71" i="3"/>
  <c r="C67" i="3"/>
  <c r="C44" i="3"/>
  <c r="C48" i="3"/>
  <c r="C52" i="3"/>
  <c r="C56" i="3"/>
  <c r="C60" i="3"/>
  <c r="C64" i="3"/>
  <c r="D39" i="3"/>
  <c r="E39" i="3"/>
  <c r="F39" i="3"/>
  <c r="G39" i="3"/>
  <c r="H39" i="3"/>
  <c r="I39" i="3"/>
  <c r="J39" i="3"/>
  <c r="C39" i="3"/>
  <c r="D38" i="3"/>
  <c r="E38" i="3"/>
  <c r="F38" i="3"/>
  <c r="G38" i="3"/>
  <c r="H38" i="3"/>
  <c r="I38" i="3"/>
  <c r="J38" i="3"/>
  <c r="C38" i="3"/>
  <c r="D37" i="3"/>
  <c r="E37" i="3"/>
  <c r="F37" i="3"/>
  <c r="G37" i="3"/>
  <c r="H37" i="3"/>
  <c r="I37" i="3"/>
  <c r="J37" i="3"/>
  <c r="C37" i="3"/>
  <c r="C36" i="3"/>
  <c r="C70" i="3" s="1"/>
  <c r="D36" i="3"/>
  <c r="E36" i="3"/>
  <c r="F36" i="3"/>
  <c r="G36" i="3"/>
  <c r="H36" i="3"/>
  <c r="I36" i="3"/>
  <c r="J36" i="3"/>
  <c r="D35" i="3"/>
  <c r="E35" i="3"/>
  <c r="F35" i="3"/>
  <c r="G35" i="3"/>
  <c r="H35" i="3"/>
  <c r="I35" i="3"/>
  <c r="J35" i="3"/>
  <c r="C35" i="3"/>
  <c r="C34" i="3"/>
  <c r="D34" i="3"/>
  <c r="E34" i="3"/>
  <c r="F34" i="3"/>
  <c r="G34" i="3"/>
  <c r="H34" i="3"/>
  <c r="I34" i="3"/>
  <c r="J34" i="3"/>
  <c r="C63" i="3" l="1"/>
  <c r="C59" i="3"/>
  <c r="C55" i="3"/>
  <c r="C51" i="3"/>
  <c r="C47" i="3"/>
  <c r="C43" i="3"/>
  <c r="C66" i="3"/>
  <c r="C42" i="3"/>
  <c r="C62" i="3"/>
  <c r="C58" i="3"/>
  <c r="C54" i="3"/>
  <c r="C50" i="3"/>
  <c r="C46" i="3"/>
  <c r="C69" i="3"/>
  <c r="C65" i="3"/>
  <c r="C61" i="3"/>
  <c r="C57" i="3"/>
  <c r="C53" i="3"/>
  <c r="C49" i="3"/>
  <c r="C45" i="3"/>
  <c r="C68" i="3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I45" i="2"/>
  <c r="I53" i="2"/>
  <c r="I61" i="2"/>
  <c r="I69" i="2"/>
  <c r="H46" i="2"/>
  <c r="H47" i="2"/>
  <c r="H50" i="2"/>
  <c r="H51" i="2"/>
  <c r="H54" i="2"/>
  <c r="H55" i="2"/>
  <c r="H58" i="2"/>
  <c r="H59" i="2"/>
  <c r="H62" i="2"/>
  <c r="H63" i="2"/>
  <c r="H66" i="2"/>
  <c r="H67" i="2"/>
  <c r="H70" i="2"/>
  <c r="H71" i="2"/>
  <c r="G44" i="2"/>
  <c r="G45" i="2"/>
  <c r="G48" i="2"/>
  <c r="G49" i="2"/>
  <c r="G52" i="2"/>
  <c r="G53" i="2"/>
  <c r="G56" i="2"/>
  <c r="G57" i="2"/>
  <c r="G60" i="2"/>
  <c r="G61" i="2"/>
  <c r="G64" i="2"/>
  <c r="G65" i="2"/>
  <c r="G68" i="2"/>
  <c r="G69" i="2"/>
  <c r="G72" i="2"/>
  <c r="G73" i="2"/>
  <c r="E49" i="2"/>
  <c r="E57" i="2"/>
  <c r="E65" i="2"/>
  <c r="E73" i="2"/>
  <c r="E40" i="2"/>
  <c r="F40" i="2"/>
  <c r="G40" i="2"/>
  <c r="H40" i="2"/>
  <c r="I40" i="2"/>
  <c r="J40" i="2"/>
  <c r="E39" i="2"/>
  <c r="F39" i="2"/>
  <c r="G39" i="2"/>
  <c r="H39" i="2"/>
  <c r="I39" i="2"/>
  <c r="J39" i="2"/>
  <c r="E38" i="2"/>
  <c r="F38" i="2"/>
  <c r="G38" i="2"/>
  <c r="H38" i="2"/>
  <c r="I38" i="2"/>
  <c r="J38" i="2"/>
  <c r="E37" i="2"/>
  <c r="F37" i="2"/>
  <c r="G37" i="2"/>
  <c r="G46" i="2" s="1"/>
  <c r="H37" i="2"/>
  <c r="H44" i="2" s="1"/>
  <c r="I37" i="2"/>
  <c r="J37" i="2"/>
  <c r="J55" i="2" s="1"/>
  <c r="E36" i="2"/>
  <c r="F36" i="2"/>
  <c r="G36" i="2"/>
  <c r="H36" i="2"/>
  <c r="I36" i="2"/>
  <c r="J36" i="2"/>
  <c r="E35" i="2"/>
  <c r="F35" i="2"/>
  <c r="G35" i="2"/>
  <c r="H35" i="2"/>
  <c r="I35" i="2"/>
  <c r="J35" i="2"/>
  <c r="D40" i="2"/>
  <c r="D39" i="2"/>
  <c r="D38" i="2"/>
  <c r="D37" i="2"/>
  <c r="D36" i="2"/>
  <c r="D35" i="2"/>
  <c r="C40" i="2"/>
  <c r="C39" i="2"/>
  <c r="C54" i="2" s="1"/>
  <c r="C38" i="2"/>
  <c r="C37" i="2"/>
  <c r="C36" i="2"/>
  <c r="C35" i="2"/>
  <c r="D73" i="2" l="1"/>
  <c r="D47" i="2"/>
  <c r="D51" i="2"/>
  <c r="D55" i="2"/>
  <c r="D59" i="2"/>
  <c r="D63" i="2"/>
  <c r="D67" i="2"/>
  <c r="D71" i="2"/>
  <c r="D44" i="2"/>
  <c r="D49" i="2"/>
  <c r="D53" i="2"/>
  <c r="D57" i="2"/>
  <c r="D61" i="2"/>
  <c r="D65" i="2"/>
  <c r="D69" i="2"/>
  <c r="D45" i="2"/>
  <c r="D48" i="2"/>
  <c r="D52" i="2"/>
  <c r="D56" i="2"/>
  <c r="D60" i="2"/>
  <c r="D64" i="2"/>
  <c r="D68" i="2"/>
  <c r="D72" i="2"/>
  <c r="F44" i="2"/>
  <c r="F48" i="2"/>
  <c r="F52" i="2"/>
  <c r="F56" i="2"/>
  <c r="F60" i="2"/>
  <c r="F64" i="2"/>
  <c r="F68" i="2"/>
  <c r="F72" i="2"/>
  <c r="F46" i="2"/>
  <c r="F50" i="2"/>
  <c r="F54" i="2"/>
  <c r="F58" i="2"/>
  <c r="F62" i="2"/>
  <c r="F66" i="2"/>
  <c r="F70" i="2"/>
  <c r="F45" i="2"/>
  <c r="F49" i="2"/>
  <c r="F53" i="2"/>
  <c r="F57" i="2"/>
  <c r="F61" i="2"/>
  <c r="F65" i="2"/>
  <c r="F69" i="2"/>
  <c r="F73" i="2"/>
  <c r="C44" i="2"/>
  <c r="C55" i="2"/>
  <c r="F55" i="2"/>
  <c r="J59" i="2"/>
  <c r="I46" i="2"/>
  <c r="I50" i="2"/>
  <c r="I54" i="2"/>
  <c r="I58" i="2"/>
  <c r="I62" i="2"/>
  <c r="I66" i="2"/>
  <c r="I70" i="2"/>
  <c r="I47" i="2"/>
  <c r="I51" i="2"/>
  <c r="I55" i="2"/>
  <c r="I59" i="2"/>
  <c r="I63" i="2"/>
  <c r="I67" i="2"/>
  <c r="I71" i="2"/>
  <c r="I44" i="2"/>
  <c r="I48" i="2"/>
  <c r="I52" i="2"/>
  <c r="I56" i="2"/>
  <c r="I60" i="2"/>
  <c r="I64" i="2"/>
  <c r="I68" i="2"/>
  <c r="I72" i="2"/>
  <c r="E46" i="2"/>
  <c r="E50" i="2"/>
  <c r="E54" i="2"/>
  <c r="E58" i="2"/>
  <c r="E62" i="2"/>
  <c r="E66" i="2"/>
  <c r="E70" i="2"/>
  <c r="E44" i="2"/>
  <c r="E48" i="2"/>
  <c r="E52" i="2"/>
  <c r="E56" i="2"/>
  <c r="E60" i="2"/>
  <c r="E64" i="2"/>
  <c r="E68" i="2"/>
  <c r="E72" i="2"/>
  <c r="E47" i="2"/>
  <c r="E51" i="2"/>
  <c r="E55" i="2"/>
  <c r="E59" i="2"/>
  <c r="E63" i="2"/>
  <c r="E67" i="2"/>
  <c r="E71" i="2"/>
  <c r="C48" i="2"/>
  <c r="C50" i="2"/>
  <c r="D70" i="2"/>
  <c r="D54" i="2"/>
  <c r="E69" i="2"/>
  <c r="E53" i="2"/>
  <c r="F67" i="2"/>
  <c r="F51" i="2"/>
  <c r="I73" i="2"/>
  <c r="I57" i="2"/>
  <c r="J71" i="2"/>
  <c r="C73" i="2"/>
  <c r="C67" i="2"/>
  <c r="C71" i="2"/>
  <c r="J44" i="2"/>
  <c r="J48" i="2"/>
  <c r="J52" i="2"/>
  <c r="J56" i="2"/>
  <c r="J60" i="2"/>
  <c r="J64" i="2"/>
  <c r="J68" i="2"/>
  <c r="J72" i="2"/>
  <c r="J45" i="2"/>
  <c r="J49" i="2"/>
  <c r="J53" i="2"/>
  <c r="J57" i="2"/>
  <c r="J61" i="2"/>
  <c r="J65" i="2"/>
  <c r="J69" i="2"/>
  <c r="J73" i="2"/>
  <c r="J46" i="2"/>
  <c r="J50" i="2"/>
  <c r="J54" i="2"/>
  <c r="J58" i="2"/>
  <c r="J62" i="2"/>
  <c r="J66" i="2"/>
  <c r="J70" i="2"/>
  <c r="C72" i="2"/>
  <c r="C47" i="2"/>
  <c r="J51" i="2"/>
  <c r="C51" i="2"/>
  <c r="D58" i="2"/>
  <c r="F71" i="2"/>
  <c r="C65" i="2"/>
  <c r="C59" i="2"/>
  <c r="C62" i="2"/>
  <c r="D66" i="2"/>
  <c r="D50" i="2"/>
  <c r="F63" i="2"/>
  <c r="F47" i="2"/>
  <c r="J67" i="2"/>
  <c r="C49" i="2"/>
  <c r="C58" i="2"/>
  <c r="C68" i="2"/>
  <c r="D62" i="2"/>
  <c r="D46" i="2"/>
  <c r="E61" i="2"/>
  <c r="E45" i="2"/>
  <c r="F59" i="2"/>
  <c r="I65" i="2"/>
  <c r="I49" i="2"/>
  <c r="J63" i="2"/>
  <c r="J47" i="2"/>
  <c r="C46" i="2"/>
  <c r="C53" i="2"/>
  <c r="C61" i="2"/>
  <c r="C57" i="2"/>
  <c r="C64" i="2"/>
  <c r="C70" i="2"/>
  <c r="C66" i="2"/>
  <c r="G71" i="2"/>
  <c r="G67" i="2"/>
  <c r="G63" i="2"/>
  <c r="G59" i="2"/>
  <c r="G55" i="2"/>
  <c r="G51" i="2"/>
  <c r="G47" i="2"/>
  <c r="H73" i="2"/>
  <c r="H69" i="2"/>
  <c r="H65" i="2"/>
  <c r="H61" i="2"/>
  <c r="H57" i="2"/>
  <c r="H53" i="2"/>
  <c r="H49" i="2"/>
  <c r="H45" i="2"/>
  <c r="C45" i="2"/>
  <c r="C52" i="2"/>
  <c r="C60" i="2"/>
  <c r="C56" i="2"/>
  <c r="C63" i="2"/>
  <c r="C69" i="2"/>
  <c r="G70" i="2"/>
  <c r="G66" i="2"/>
  <c r="G62" i="2"/>
  <c r="G58" i="2"/>
  <c r="G54" i="2"/>
  <c r="G50" i="2"/>
  <c r="H72" i="2"/>
  <c r="H68" i="2"/>
  <c r="H64" i="2"/>
  <c r="H60" i="2"/>
  <c r="H56" i="2"/>
  <c r="H52" i="2"/>
  <c r="H48" i="2"/>
</calcChain>
</file>

<file path=xl/connections.xml><?xml version="1.0" encoding="utf-8"?>
<connections xmlns="http://schemas.openxmlformats.org/spreadsheetml/2006/main">
  <connection id="1" keepAlive="1" name="Query - control_group" description="Connection to the 'control_group' query in the workbook." type="5" refreshedVersion="6" background="1" saveData="1">
    <dbPr connection="Provider=Microsoft.Mashup.OleDb.1;Data Source=$Workbook$;Location=control_group;Extended Properties=&quot;&quot;" command="SELECT * FROM [control_group]"/>
  </connection>
  <connection id="2" keepAlive="1" name="Query - test_group" description="Connection to the 'test_group' query in the workbook." type="5" refreshedVersion="6" background="1" saveData="1">
    <dbPr connection="Provider=Microsoft.Mashup.OleDb.1;Data Source=$Workbook$;Location=test_group;Extended Properties=&quot;&quot;" command="SELECT * FROM [test_group]"/>
  </connection>
</connections>
</file>

<file path=xl/sharedStrings.xml><?xml version="1.0" encoding="utf-8"?>
<sst xmlns="http://schemas.openxmlformats.org/spreadsheetml/2006/main" count="193" uniqueCount="42">
  <si>
    <t>Campaign Name</t>
  </si>
  <si>
    <t>Date</t>
  </si>
  <si>
    <t>Spend [USD]</t>
  </si>
  <si>
    <t># of Impressions</t>
  </si>
  <si>
    <t>Reach</t>
  </si>
  <si>
    <t># of Website Clicks</t>
  </si>
  <si>
    <t># of Searches</t>
  </si>
  <si>
    <t># of View Content</t>
  </si>
  <si>
    <t># of Add to Cart</t>
  </si>
  <si>
    <t># of Purchase</t>
  </si>
  <si>
    <t>Test Campaign</t>
  </si>
  <si>
    <t>Control Campaign</t>
  </si>
  <si>
    <t>Value / Feature</t>
  </si>
  <si>
    <t>Minimum</t>
  </si>
  <si>
    <t>Maximum</t>
  </si>
  <si>
    <t>Average</t>
  </si>
  <si>
    <t>Median</t>
  </si>
  <si>
    <t>Standard Deviation</t>
  </si>
  <si>
    <t>Variance</t>
  </si>
  <si>
    <t>Spend [USD] Z-score</t>
  </si>
  <si>
    <t># of Impressions Z-score</t>
  </si>
  <si>
    <t>Reach Z-score</t>
  </si>
  <si>
    <t># of Website Clicks Z-score</t>
  </si>
  <si>
    <t># of Searches Z-score</t>
  </si>
  <si>
    <t># of View Content Z-score</t>
  </si>
  <si>
    <t># of Add to Cart Z-score</t>
  </si>
  <si>
    <t># of Purchase Z-score</t>
  </si>
  <si>
    <t>Min Z-score</t>
  </si>
  <si>
    <t>Max Z-score</t>
  </si>
  <si>
    <t>Outliers Detected</t>
  </si>
  <si>
    <t>Feature / Value</t>
  </si>
  <si>
    <t>NO</t>
  </si>
  <si>
    <t>Feature</t>
  </si>
  <si>
    <t>Test Var</t>
  </si>
  <si>
    <t>Control Var</t>
  </si>
  <si>
    <t>Ratio (larger/smaller)</t>
  </si>
  <si>
    <t>Type</t>
  </si>
  <si>
    <t>Avg. Test Group</t>
  </si>
  <si>
    <t>Avg. Control Group</t>
  </si>
  <si>
    <t>P-Value</t>
  </si>
  <si>
    <t>Significant (p &lt; 0.05)?</t>
  </si>
  <si>
    <t>Better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</si>
</sst>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1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Gadug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/>
    <xf numFmtId="2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 applyFont="1" applyAlignment="1">
      <alignment horizontal="righ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2" fontId="0" fillId="0" borderId="0" xfId="0" applyNumberFormat="1" applyFont="1" applyAlignment="1"/>
    <xf numFmtId="171" fontId="0" fillId="0" borderId="0" xfId="0" applyNumberFormat="1"/>
  </cellXfs>
  <cellStyles count="1">
    <cellStyle name="Normal" xfId="0" builtinId="0"/>
  </cellStyles>
  <dxfs count="72">
    <dxf>
      <numFmt numFmtId="171" formatCode="0.0000000000"/>
    </dxf>
    <dxf>
      <font>
        <b/>
      </font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font>
        <b/>
      </font>
    </dxf>
    <dxf>
      <numFmt numFmtId="3" formatCode="#,##0"/>
    </dxf>
    <dxf>
      <numFmt numFmtId="2" formatCode="0.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147917</xdr:colOff>
      <xdr:row>1</xdr:row>
      <xdr:rowOff>59392</xdr:rowOff>
    </xdr:from>
    <xdr:to>
      <xdr:col>14</xdr:col>
      <xdr:colOff>1008531</xdr:colOff>
      <xdr:row>16</xdr:row>
      <xdr:rowOff>78442</xdr:rowOff>
    </xdr:to>
    <xdr:sp macro="" textlink="">
      <xdr:nvSpPr>
        <xdr:cNvPr id="2" name="TextBox 1"/>
        <xdr:cNvSpPr txBox="1"/>
      </xdr:nvSpPr>
      <xdr:spPr>
        <a:xfrm>
          <a:off x="14827623" y="249892"/>
          <a:ext cx="4805084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first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test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In</a:t>
          </a:r>
          <a:r>
            <a:rPr lang="en-US" sz="1400" baseline="0"/>
            <a:t> the </a:t>
          </a:r>
          <a:r>
            <a:rPr lang="en-US" sz="1400" b="1" baseline="0"/>
            <a:t>test group</a:t>
          </a:r>
          <a:r>
            <a:rPr lang="en-US" sz="1400" baseline="0"/>
            <a:t> dataset </a:t>
          </a:r>
          <a:r>
            <a:rPr lang="en-US" sz="1400"/>
            <a:t>The </a:t>
          </a:r>
          <a:r>
            <a:rPr lang="en-US" sz="1400" b="1"/>
            <a:t>Z-score</a:t>
          </a:r>
          <a:r>
            <a:rPr lang="en-US" sz="1400"/>
            <a:t> was calculated for each numerical variable to identify potential outliers,</a:t>
          </a:r>
          <a:r>
            <a:rPr lang="en-US" sz="1400" baseline="0"/>
            <a:t> </a:t>
          </a:r>
          <a:r>
            <a:rPr lang="en-US" sz="1400"/>
            <a:t>All values were found to be within the range of </a:t>
          </a:r>
          <a:r>
            <a:rPr lang="en-US" sz="1400" b="1"/>
            <a:t>-3 to +3</a:t>
          </a:r>
          <a:r>
            <a:rPr lang="en-US" sz="1400"/>
            <a:t>, indicating that no extreme outliers are present in the dataset,</a:t>
          </a:r>
          <a:r>
            <a:rPr lang="en-US" sz="1400" baseline="0"/>
            <a:t> </a:t>
          </a:r>
          <a:r>
            <a:rPr lang="en-US" sz="1400"/>
            <a:t>This finding was also visually confirmed using box plots.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0</xdr:rowOff>
    </xdr:from>
    <xdr:to>
      <xdr:col>15</xdr:col>
      <xdr:colOff>0</xdr:colOff>
      <xdr:row>18</xdr:row>
      <xdr:rowOff>66675</xdr:rowOff>
    </xdr:to>
    <xdr:sp macro="" textlink="">
      <xdr:nvSpPr>
        <xdr:cNvPr id="2" name="TextBox 1"/>
        <xdr:cNvSpPr txBox="1"/>
      </xdr:nvSpPr>
      <xdr:spPr>
        <a:xfrm>
          <a:off x="14916150" y="381000"/>
          <a:ext cx="4419600" cy="311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second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control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Every column except "</a:t>
          </a:r>
          <a:r>
            <a:rPr lang="en-US" sz="1400" b="1"/>
            <a:t>Spend (USD)</a:t>
          </a:r>
          <a:r>
            <a:rPr lang="en-US" sz="1400"/>
            <a:t>" contains </a:t>
          </a:r>
          <a:r>
            <a:rPr lang="en-US" sz="1400" b="1"/>
            <a:t>one</a:t>
          </a:r>
          <a:r>
            <a:rPr lang="en-US" sz="1400"/>
            <a:t> missing value.</a:t>
          </a:r>
        </a:p>
        <a:p>
          <a:r>
            <a:rPr lang="en-US" sz="1400"/>
            <a:t>-</a:t>
          </a:r>
          <a:r>
            <a:rPr lang="en-US" sz="1400" baseline="0"/>
            <a:t> </a:t>
          </a:r>
          <a:r>
            <a:rPr lang="en-US" sz="1400" b="1"/>
            <a:t>One outlier </a:t>
          </a:r>
          <a:r>
            <a:rPr lang="en-US" sz="1400"/>
            <a:t>was detected in the “</a:t>
          </a:r>
          <a:r>
            <a:rPr lang="en-US" sz="1400" b="1"/>
            <a:t>Count of Searches</a:t>
          </a:r>
          <a:r>
            <a:rPr lang="en-US" sz="1400"/>
            <a:t>” column. The value was replaced with the column </a:t>
          </a:r>
          <a:r>
            <a:rPr lang="en-US" sz="1400" b="1"/>
            <a:t>median (2390)</a:t>
          </a:r>
          <a:r>
            <a:rPr lang="en-US" sz="1400"/>
            <a:t> to maintain data integrity.</a:t>
          </a:r>
          <a:r>
            <a:rPr lang="ar-EG" sz="1400"/>
            <a:t/>
          </a:r>
          <a:br>
            <a:rPr lang="ar-EG" sz="1400"/>
          </a:br>
          <a:r>
            <a:rPr lang="en-US" sz="1400"/>
            <a:t>-</a:t>
          </a:r>
          <a:r>
            <a:rPr lang="en-US" sz="1400" baseline="0"/>
            <a:t> </a:t>
          </a:r>
          <a:r>
            <a:rPr lang="en-US" sz="1400"/>
            <a:t>After fixing the outlier and missing value issues, all values in the control dataset were found to be within the range of </a:t>
          </a:r>
          <a:r>
            <a:rPr lang="en-US" sz="1400" b="1"/>
            <a:t>-3</a:t>
          </a:r>
          <a:r>
            <a:rPr lang="en-US" sz="1400"/>
            <a:t> to </a:t>
          </a:r>
          <a:r>
            <a:rPr lang="en-US" sz="1400" b="1"/>
            <a:t>+3</a:t>
          </a:r>
          <a:r>
            <a:rPr lang="en-US" sz="1400"/>
            <a:t>, indicating that no outliers are present.</a:t>
          </a:r>
        </a:p>
        <a:p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152399</xdr:rowOff>
    </xdr:from>
    <xdr:to>
      <xdr:col>26</xdr:col>
      <xdr:colOff>19050</xdr:colOff>
      <xdr:row>16</xdr:row>
      <xdr:rowOff>0</xdr:rowOff>
    </xdr:to>
    <xdr:sp macro="" textlink="">
      <xdr:nvSpPr>
        <xdr:cNvPr id="5" name="TextBox 4"/>
        <xdr:cNvSpPr txBox="1"/>
      </xdr:nvSpPr>
      <xdr:spPr>
        <a:xfrm>
          <a:off x="6953249" y="533399"/>
          <a:ext cx="13239751" cy="2514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A/B Testing Setup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The goal is to determine </a:t>
          </a:r>
          <a:r>
            <a:rPr lang="en-US" sz="1600" b="1"/>
            <a:t>which campaign performed better</a:t>
          </a:r>
          <a:r>
            <a:rPr lang="en-US" sz="1600"/>
            <a:t> in terms of key performance metrics such as purchases, clicks, and impressions.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Since each dataset contains </a:t>
          </a:r>
          <a:r>
            <a:rPr lang="en-US" sz="1600" b="1"/>
            <a:t>only 30 observations</a:t>
          </a:r>
          <a:r>
            <a:rPr lang="en-US" sz="1600"/>
            <a:t>, the </a:t>
          </a:r>
          <a:r>
            <a:rPr lang="en-US" sz="1600" b="1"/>
            <a:t>T-Test</a:t>
          </a:r>
          <a:r>
            <a:rPr lang="en-US" sz="1600"/>
            <a:t> is the appropriate statistical method to evaluate the difference between the two campaign means.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A </a:t>
          </a:r>
          <a:r>
            <a:rPr lang="en-US" sz="1600" b="1"/>
            <a:t>two-tailed test</a:t>
          </a:r>
          <a:r>
            <a:rPr lang="en-US" sz="1600"/>
            <a:t> was used, as the objective is to identify whether there is a </a:t>
          </a:r>
          <a:r>
            <a:rPr lang="en-US" sz="1600" b="1"/>
            <a:t>significant difference in performance</a:t>
          </a:r>
          <a:r>
            <a:rPr lang="en-US" sz="1600"/>
            <a:t> between the control and test campaigns, regardless of which one performs better.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For the columns</a:t>
          </a:r>
          <a:r>
            <a:rPr lang="en-US" sz="1600" baseline="0"/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of Impressions</a:t>
          </a:r>
          <a:r>
            <a:rPr lang="en-US" sz="1600"/>
            <a:t> and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of Searches</a:t>
          </a:r>
          <a:r>
            <a:rPr lang="en-US" sz="1600"/>
            <a:t> we will use type </a:t>
          </a:r>
          <a:r>
            <a:rPr lang="en-US" sz="1600" b="1"/>
            <a:t>3</a:t>
          </a:r>
          <a:r>
            <a:rPr lang="en-US" sz="1600"/>
            <a:t> as they have the </a:t>
          </a:r>
          <a:r>
            <a:rPr lang="en-US" sz="1600" b="1"/>
            <a:t>type</a:t>
          </a:r>
          <a:r>
            <a:rPr lang="en-US" sz="1600"/>
            <a:t> of unequal variance.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The</a:t>
          </a:r>
          <a:r>
            <a:rPr lang="en-US" sz="1600" baseline="0"/>
            <a:t> rest of the columns will use type 2 as they have equal variance type.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/>
            <a:t>- if the p-value is less than 0.05 then there is </a:t>
          </a: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significant difference in performance.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/>
        </a:p>
        <a:p>
          <a:endParaRPr lang="en-US" sz="16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st_group" displayName="test_group" ref="A1:J31" tableType="queryTable" totalsRowShown="0">
  <autoFilter ref="A1:J31"/>
  <tableColumns count="10">
    <tableColumn id="21" uniqueName="21" name="Campaign Name" queryTableFieldId="1" dataDxfId="71"/>
    <tableColumn id="22" uniqueName="22" name="Date" queryTableFieldId="2" dataDxfId="70"/>
    <tableColumn id="23" uniqueName="23" name="Spend [USD]" queryTableFieldId="3" dataDxfId="21"/>
    <tableColumn id="24" uniqueName="24" name="# of Impressions" queryTableFieldId="4" dataDxfId="20"/>
    <tableColumn id="25" uniqueName="25" name="Reach" queryTableFieldId="5" dataDxfId="19"/>
    <tableColumn id="26" uniqueName="26" name="# of Website Clicks" queryTableFieldId="6" dataDxfId="18"/>
    <tableColumn id="27" uniqueName="27" name="# of Searches" queryTableFieldId="7" dataDxfId="17"/>
    <tableColumn id="28" uniqueName="28" name="# of View Content" queryTableFieldId="8" dataDxfId="16"/>
    <tableColumn id="29" uniqueName="29" name="# of Add to Cart" queryTableFieldId="9" dataDxfId="15"/>
    <tableColumn id="30" uniqueName="30" name="# of Purchase" queryTableFieldId="10" dataDxfId="1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8" name="Table18" displayName="Table18" ref="A18:F26" totalsRowShown="0">
  <autoFilter ref="A18:F26"/>
  <tableColumns count="6">
    <tableColumn id="1" name="Feature" dataDxfId="5"/>
    <tableColumn id="2" name="Avg. Test Group" dataDxfId="4">
      <calculatedColumnFormula>AVERAGE(test_group[Spend '[USD']])</calculatedColumnFormula>
    </tableColumn>
    <tableColumn id="3" name="Avg. Control Group" dataDxfId="3">
      <calculatedColumnFormula>AVERAGE(control_group[Spend '[USD']])</calculatedColumnFormula>
    </tableColumn>
    <tableColumn id="4" name="P-Value" dataDxfId="0">
      <calculatedColumnFormula>_xlfn.T.TEST(test_group[Spend '[USD']], control_group[Spend '[USD']],2,2)</calculatedColumnFormula>
    </tableColumn>
    <tableColumn id="5" name="Significant (p &lt; 0.05)?" dataDxfId="2">
      <calculatedColumnFormula>IF(Table18[[#This Row],[P-Value]]&lt;0.05,"YES","NO")</calculatedColumnFormula>
    </tableColumn>
    <tableColumn id="6" name="Better Campaign" dataDxfId="1">
      <calculatedColumnFormula>IF(Table18[[#This Row],[Avg. Test Group]]&gt;Table18[[#This Row],[Avg. Control Group]],"TEST","CONTROL")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desc_test_stats" displayName="desc_test_stats" ref="B34:J40" totalsRowShown="0">
  <autoFilter ref="B34:J40"/>
  <tableColumns count="9">
    <tableColumn id="1" name="Value / Feature"/>
    <tableColumn id="2" name="Spend [USD]" dataDxfId="45">
      <calculatedColumnFormula>MIN(test_group[Spend '[USD']])</calculatedColumnFormula>
    </tableColumn>
    <tableColumn id="3" name="# of Impressions" dataDxfId="44">
      <calculatedColumnFormula>MIN(test_group['# of Impressions])</calculatedColumnFormula>
    </tableColumn>
    <tableColumn id="4" name="Reach" dataDxfId="43"/>
    <tableColumn id="5" name="# of Website Clicks" dataDxfId="42"/>
    <tableColumn id="6" name="# of Searches" dataDxfId="41"/>
    <tableColumn id="7" name="# of View Content" dataDxfId="40"/>
    <tableColumn id="8" name="# of Add to Cart" dataDxfId="39"/>
    <tableColumn id="9" name="# of Purchase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est_group_zscore" displayName="test_group_zscore" ref="C43:J73" totalsRowShown="0" headerRowDxfId="69" dataDxfId="68">
  <autoFilter ref="C43:J73"/>
  <tableColumns count="8">
    <tableColumn id="1" name="Spend [USD] Z-score" dataDxfId="67">
      <calculatedColumnFormula>(C2-$C$37)/$C$39</calculatedColumnFormula>
    </tableColumn>
    <tableColumn id="2" name="# of Impressions Z-score" dataDxfId="66">
      <calculatedColumnFormula>(D2-$D$37)/$D$39</calculatedColumnFormula>
    </tableColumn>
    <tableColumn id="3" name="Reach Z-score" dataDxfId="65">
      <calculatedColumnFormula>(E2-$E$37)/$E$39</calculatedColumnFormula>
    </tableColumn>
    <tableColumn id="4" name="# of Website Clicks Z-score" dataDxfId="64">
      <calculatedColumnFormula>(F2-$F$37)/$F$39</calculatedColumnFormula>
    </tableColumn>
    <tableColumn id="5" name="# of Searches Z-score" dataDxfId="63">
      <calculatedColumnFormula>(G2-$G$37)/$G$39</calculatedColumnFormula>
    </tableColumn>
    <tableColumn id="6" name="# of View Content Z-score" dataDxfId="62">
      <calculatedColumnFormula>(H2-$H$37)/$H$39</calculatedColumnFormula>
    </tableColumn>
    <tableColumn id="7" name="# of Add to Cart Z-score" dataDxfId="61">
      <calculatedColumnFormula>(I2-$I$37)/$I$39</calculatedColumnFormula>
    </tableColumn>
    <tableColumn id="8" name="# of Purchase Z-score" dataDxfId="60">
      <calculatedColumnFormula>(J2-$J$37)/$J$39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43:O51" totalsRowShown="0" headerRowDxfId="59">
  <autoFilter ref="L43:O51"/>
  <tableColumns count="4">
    <tableColumn id="1" name="Feature / Value"/>
    <tableColumn id="2" name="Min Z-score" dataDxfId="13">
      <calculatedColumnFormula>MIN(test_group_zscore[Spend '[USD'] Z-score])</calculatedColumnFormula>
    </tableColumn>
    <tableColumn id="3" name="Max Z-score" dataDxfId="12">
      <calculatedColumnFormula>MAX(test_group_zscore[Spend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ontrol_group" displayName="control_group" ref="A1:J31" tableType="queryTable" totalsRowShown="0">
  <autoFilter ref="A1:J31"/>
  <tableColumns count="10">
    <tableColumn id="21" uniqueName="21" name="Campaign Name" queryTableFieldId="1" dataDxfId="58"/>
    <tableColumn id="22" uniqueName="22" name="Date" queryTableFieldId="2" dataDxfId="57"/>
    <tableColumn id="23" uniqueName="23" name="Spend [USD]" queryTableFieldId="3" dataDxfId="29"/>
    <tableColumn id="24" uniqueName="24" name="# of Impressions" queryTableFieldId="4" dataDxfId="28"/>
    <tableColumn id="25" uniqueName="25" name="Reach" queryTableFieldId="5" dataDxfId="27"/>
    <tableColumn id="26" uniqueName="26" name="# of Website Clicks" queryTableFieldId="6" dataDxfId="26"/>
    <tableColumn id="27" uniqueName="27" name="# of Searches" queryTableFieldId="7" dataDxfId="25"/>
    <tableColumn id="28" uniqueName="28" name="# of View Content" queryTableFieldId="8" dataDxfId="24"/>
    <tableColumn id="29" uniqueName="29" name="# of Add to Cart" queryTableFieldId="9" dataDxfId="23"/>
    <tableColumn id="30" uniqueName="30" name="# of Purchase" queryTableFieldId="10" dataDxfId="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desc_control_stats" displayName="desc_control_stats" ref="B33:J39" totalsRowShown="0">
  <autoFilter ref="B33:J39"/>
  <tableColumns count="9">
    <tableColumn id="1" name="Value / Feature"/>
    <tableColumn id="2" name="Spend [USD]" dataDxfId="37">
      <calculatedColumnFormula>MIN(control_group[Spend '[USD']])</calculatedColumnFormula>
    </tableColumn>
    <tableColumn id="3" name="# of Impressions" dataDxfId="36">
      <calculatedColumnFormula>MIN(control_group['# of Impressions])</calculatedColumnFormula>
    </tableColumn>
    <tableColumn id="4" name="Reach" dataDxfId="35">
      <calculatedColumnFormula>MIN(control_group[Reach])</calculatedColumnFormula>
    </tableColumn>
    <tableColumn id="5" name="# of Website Clicks" dataDxfId="34"/>
    <tableColumn id="6" name="# of Searches" dataDxfId="33"/>
    <tableColumn id="7" name="# of View Content" dataDxfId="32"/>
    <tableColumn id="8" name="# of Add to Cart" dataDxfId="31"/>
    <tableColumn id="9" name="# of Purchas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41:J71" totalsRowShown="0" dataDxfId="56">
  <autoFilter ref="C41:J71"/>
  <tableColumns count="8">
    <tableColumn id="1" name="Spend [USD] Z-score" dataDxfId="55">
      <calculatedColumnFormula>(C2-$C$36)/$C$38</calculatedColumnFormula>
    </tableColumn>
    <tableColumn id="2" name="# of Impressions Z-score" dataDxfId="54">
      <calculatedColumnFormula>(D2-$D$36)/$D$38</calculatedColumnFormula>
    </tableColumn>
    <tableColumn id="3" name="Reach Z-score" dataDxfId="53">
      <calculatedColumnFormula>(E2-$E$36)/$E$38</calculatedColumnFormula>
    </tableColumn>
    <tableColumn id="4" name="# of Website Clicks Z-score" dataDxfId="52">
      <calculatedColumnFormula>(F2-$F$36)/$F$38</calculatedColumnFormula>
    </tableColumn>
    <tableColumn id="5" name="# of Searches Z-score" dataDxfId="51">
      <calculatedColumnFormula>(G2-$G$36)/$G$38</calculatedColumnFormula>
    </tableColumn>
    <tableColumn id="6" name="# of View Content Z-score" dataDxfId="50">
      <calculatedColumnFormula>(H2-$H$36)/$H$38</calculatedColumnFormula>
    </tableColumn>
    <tableColumn id="7" name="# of Add to Cart Z-score" dataDxfId="49">
      <calculatedColumnFormula>(I2-$I$36)/$I$38</calculatedColumnFormula>
    </tableColumn>
    <tableColumn id="8" name="# of Purchase Z-score" dataDxfId="48">
      <calculatedColumnFormula>(J2-$J$36)/$J$38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41:O49" totalsRowShown="0">
  <autoFilter ref="L41:O49"/>
  <tableColumns count="4">
    <tableColumn id="1" name="Feature / Value"/>
    <tableColumn id="2" name="Min Z-score" dataDxfId="47">
      <calculatedColumnFormula>MIN(Table6[Spend '[USD'] Z-score])</calculatedColumnFormula>
    </tableColumn>
    <tableColumn id="3" name="Max Z-score" dataDxfId="46">
      <calculatedColumnFormula>MAX(Table6[Spend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e17" displayName="Table17" ref="A4:E12" totalsRowShown="0" headerRowDxfId="9">
  <autoFilter ref="A4:E12"/>
  <tableColumns count="5">
    <tableColumn id="1" name="Feature" dataDxfId="11"/>
    <tableColumn id="2" name="Test Var" dataDxfId="10"/>
    <tableColumn id="3" name="Control Var" dataDxfId="8"/>
    <tableColumn id="4" name="Ratio (larger/smaller)" dataDxfId="7">
      <calculatedColumnFormula>Table17[[#This Row],[Control Var]]/Table17[[#This Row],[Test Var]]</calculatedColumnFormula>
    </tableColumn>
    <tableColumn id="5" name="Type" dataDxfId="6">
      <calculatedColumnFormula>IF(Table17[[#This Row],[Ratio (larger/smaller)]]&lt;2,"equal var","unequal var")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="85" zoomScaleNormal="85" workbookViewId="0">
      <selection activeCell="D1" sqref="D1:D3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4.85546875" bestFit="1" customWidth="1"/>
    <col min="4" max="4" width="28.42578125" bestFit="1" customWidth="1"/>
    <col min="5" max="5" width="17.85546875" bestFit="1" customWidth="1"/>
    <col min="6" max="6" width="30.5703125" bestFit="1" customWidth="1"/>
    <col min="7" max="7" width="25.140625" bestFit="1" customWidth="1"/>
    <col min="8" max="8" width="29.7109375" bestFit="1" customWidth="1"/>
    <col min="9" max="9" width="27.5703125" bestFit="1" customWidth="1"/>
    <col min="10" max="10" width="25.28515625" bestFit="1" customWidth="1"/>
    <col min="12" max="12" width="17.85546875" customWidth="1"/>
    <col min="13" max="13" width="16" customWidth="1"/>
    <col min="14" max="14" width="16.28515625" customWidth="1"/>
    <col min="15" max="15" width="2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43678</v>
      </c>
      <c r="C2" s="11">
        <v>3008</v>
      </c>
      <c r="D2" s="11">
        <v>39550</v>
      </c>
      <c r="E2" s="11">
        <v>35820</v>
      </c>
      <c r="F2" s="11">
        <v>3038</v>
      </c>
      <c r="G2" s="11">
        <v>1946</v>
      </c>
      <c r="H2" s="11">
        <v>1069</v>
      </c>
      <c r="I2" s="11">
        <v>894</v>
      </c>
      <c r="J2" s="11">
        <v>255</v>
      </c>
    </row>
    <row r="3" spans="1:10" x14ac:dyDescent="0.25">
      <c r="A3" s="1" t="s">
        <v>10</v>
      </c>
      <c r="B3" s="2">
        <v>43679</v>
      </c>
      <c r="C3" s="11">
        <v>2542</v>
      </c>
      <c r="D3" s="11">
        <v>100719</v>
      </c>
      <c r="E3" s="11">
        <v>91236</v>
      </c>
      <c r="F3" s="11">
        <v>4657</v>
      </c>
      <c r="G3" s="11">
        <v>2359</v>
      </c>
      <c r="H3" s="11">
        <v>1548</v>
      </c>
      <c r="I3" s="11">
        <v>879</v>
      </c>
      <c r="J3" s="11">
        <v>677</v>
      </c>
    </row>
    <row r="4" spans="1:10" x14ac:dyDescent="0.25">
      <c r="A4" s="1" t="s">
        <v>10</v>
      </c>
      <c r="B4" s="2">
        <v>43680</v>
      </c>
      <c r="C4" s="11">
        <v>2365</v>
      </c>
      <c r="D4" s="11">
        <v>70263</v>
      </c>
      <c r="E4" s="11">
        <v>45198</v>
      </c>
      <c r="F4" s="11">
        <v>7885</v>
      </c>
      <c r="G4" s="11">
        <v>2572</v>
      </c>
      <c r="H4" s="11">
        <v>2367</v>
      </c>
      <c r="I4" s="11">
        <v>1268</v>
      </c>
      <c r="J4" s="11">
        <v>578</v>
      </c>
    </row>
    <row r="5" spans="1:10" x14ac:dyDescent="0.25">
      <c r="A5" s="1" t="s">
        <v>10</v>
      </c>
      <c r="B5" s="2">
        <v>43681</v>
      </c>
      <c r="C5" s="11">
        <v>2710</v>
      </c>
      <c r="D5" s="11">
        <v>78451</v>
      </c>
      <c r="E5" s="11">
        <v>25937</v>
      </c>
      <c r="F5" s="11">
        <v>4216</v>
      </c>
      <c r="G5" s="11">
        <v>2216</v>
      </c>
      <c r="H5" s="11">
        <v>1437</v>
      </c>
      <c r="I5" s="11">
        <v>566</v>
      </c>
      <c r="J5" s="11">
        <v>340</v>
      </c>
    </row>
    <row r="6" spans="1:10" x14ac:dyDescent="0.25">
      <c r="A6" s="1" t="s">
        <v>10</v>
      </c>
      <c r="B6" s="2">
        <v>43682</v>
      </c>
      <c r="C6" s="11">
        <v>2297</v>
      </c>
      <c r="D6" s="11">
        <v>114295</v>
      </c>
      <c r="E6" s="11">
        <v>95138</v>
      </c>
      <c r="F6" s="11">
        <v>5863</v>
      </c>
      <c r="G6" s="11">
        <v>2106</v>
      </c>
      <c r="H6" s="11">
        <v>858</v>
      </c>
      <c r="I6" s="11">
        <v>956</v>
      </c>
      <c r="J6" s="11">
        <v>768</v>
      </c>
    </row>
    <row r="7" spans="1:10" x14ac:dyDescent="0.25">
      <c r="A7" s="1" t="s">
        <v>10</v>
      </c>
      <c r="B7" s="2">
        <v>43683</v>
      </c>
      <c r="C7" s="11">
        <v>2458</v>
      </c>
      <c r="D7" s="11">
        <v>42684</v>
      </c>
      <c r="E7" s="11">
        <v>31489</v>
      </c>
      <c r="F7" s="11">
        <v>7488</v>
      </c>
      <c r="G7" s="11">
        <v>1854</v>
      </c>
      <c r="H7" s="11">
        <v>1073</v>
      </c>
      <c r="I7" s="11">
        <v>882</v>
      </c>
      <c r="J7" s="11">
        <v>488</v>
      </c>
    </row>
    <row r="8" spans="1:10" x14ac:dyDescent="0.25">
      <c r="A8" s="1" t="s">
        <v>10</v>
      </c>
      <c r="B8" s="2">
        <v>43684</v>
      </c>
      <c r="C8" s="11">
        <v>2838</v>
      </c>
      <c r="D8" s="11">
        <v>53986</v>
      </c>
      <c r="E8" s="11">
        <v>42148</v>
      </c>
      <c r="F8" s="11">
        <v>4221</v>
      </c>
      <c r="G8" s="11">
        <v>2733</v>
      </c>
      <c r="H8" s="11">
        <v>2182</v>
      </c>
      <c r="I8" s="11">
        <v>1301</v>
      </c>
      <c r="J8" s="11">
        <v>890</v>
      </c>
    </row>
    <row r="9" spans="1:10" x14ac:dyDescent="0.25">
      <c r="A9" s="1" t="s">
        <v>10</v>
      </c>
      <c r="B9" s="2">
        <v>43685</v>
      </c>
      <c r="C9" s="11">
        <v>2916</v>
      </c>
      <c r="D9" s="11">
        <v>33669</v>
      </c>
      <c r="E9" s="11">
        <v>20149</v>
      </c>
      <c r="F9" s="11">
        <v>7184</v>
      </c>
      <c r="G9" s="11">
        <v>2867</v>
      </c>
      <c r="H9" s="11">
        <v>2194</v>
      </c>
      <c r="I9" s="11">
        <v>1240</v>
      </c>
      <c r="J9" s="11">
        <v>431</v>
      </c>
    </row>
    <row r="10" spans="1:10" x14ac:dyDescent="0.25">
      <c r="A10" s="1" t="s">
        <v>10</v>
      </c>
      <c r="B10" s="2">
        <v>43686</v>
      </c>
      <c r="C10" s="11">
        <v>2652</v>
      </c>
      <c r="D10" s="11">
        <v>45511</v>
      </c>
      <c r="E10" s="11">
        <v>31598</v>
      </c>
      <c r="F10" s="11">
        <v>8259</v>
      </c>
      <c r="G10" s="11">
        <v>2899</v>
      </c>
      <c r="H10" s="11">
        <v>2761</v>
      </c>
      <c r="I10" s="11">
        <v>1200</v>
      </c>
      <c r="J10" s="11">
        <v>845</v>
      </c>
    </row>
    <row r="11" spans="1:10" x14ac:dyDescent="0.25">
      <c r="A11" s="1" t="s">
        <v>10</v>
      </c>
      <c r="B11" s="2">
        <v>43687</v>
      </c>
      <c r="C11" s="11">
        <v>2790</v>
      </c>
      <c r="D11" s="11">
        <v>95054</v>
      </c>
      <c r="E11" s="11">
        <v>79632</v>
      </c>
      <c r="F11" s="11">
        <v>8125</v>
      </c>
      <c r="G11" s="11">
        <v>2312</v>
      </c>
      <c r="H11" s="11">
        <v>1804</v>
      </c>
      <c r="I11" s="11">
        <v>424</v>
      </c>
      <c r="J11" s="11">
        <v>275</v>
      </c>
    </row>
    <row r="12" spans="1:10" x14ac:dyDescent="0.25">
      <c r="A12" s="1" t="s">
        <v>10</v>
      </c>
      <c r="B12" s="2">
        <v>43688</v>
      </c>
      <c r="C12" s="11">
        <v>2420</v>
      </c>
      <c r="D12" s="11">
        <v>83633</v>
      </c>
      <c r="E12" s="11">
        <v>71286</v>
      </c>
      <c r="F12" s="11">
        <v>3750</v>
      </c>
      <c r="G12" s="11">
        <v>2893</v>
      </c>
      <c r="H12" s="11">
        <v>2617</v>
      </c>
      <c r="I12" s="11">
        <v>1075</v>
      </c>
      <c r="J12" s="11">
        <v>668</v>
      </c>
    </row>
    <row r="13" spans="1:10" x14ac:dyDescent="0.25">
      <c r="A13" s="1" t="s">
        <v>10</v>
      </c>
      <c r="B13" s="2">
        <v>43689</v>
      </c>
      <c r="C13" s="11">
        <v>2831</v>
      </c>
      <c r="D13" s="11">
        <v>124591</v>
      </c>
      <c r="E13" s="11">
        <v>10598</v>
      </c>
      <c r="F13" s="11">
        <v>8264</v>
      </c>
      <c r="G13" s="11">
        <v>2081</v>
      </c>
      <c r="H13" s="11">
        <v>1992</v>
      </c>
      <c r="I13" s="11">
        <v>1382</v>
      </c>
      <c r="J13" s="11">
        <v>709</v>
      </c>
    </row>
    <row r="14" spans="1:10" x14ac:dyDescent="0.25">
      <c r="A14" s="1" t="s">
        <v>10</v>
      </c>
      <c r="B14" s="2">
        <v>43690</v>
      </c>
      <c r="C14" s="11">
        <v>1972</v>
      </c>
      <c r="D14" s="11">
        <v>65827</v>
      </c>
      <c r="E14" s="11">
        <v>49531</v>
      </c>
      <c r="F14" s="11">
        <v>7568</v>
      </c>
      <c r="G14" s="11">
        <v>2213</v>
      </c>
      <c r="H14" s="11">
        <v>2058</v>
      </c>
      <c r="I14" s="11">
        <v>1391</v>
      </c>
      <c r="J14" s="11">
        <v>812</v>
      </c>
    </row>
    <row r="15" spans="1:10" x14ac:dyDescent="0.25">
      <c r="A15" s="1" t="s">
        <v>10</v>
      </c>
      <c r="B15" s="2">
        <v>43691</v>
      </c>
      <c r="C15" s="11">
        <v>2537</v>
      </c>
      <c r="D15" s="11">
        <v>56304</v>
      </c>
      <c r="E15" s="11">
        <v>25982</v>
      </c>
      <c r="F15" s="11">
        <v>3993</v>
      </c>
      <c r="G15" s="11">
        <v>1979</v>
      </c>
      <c r="H15" s="11">
        <v>1059</v>
      </c>
      <c r="I15" s="11">
        <v>779</v>
      </c>
      <c r="J15" s="11">
        <v>340</v>
      </c>
    </row>
    <row r="16" spans="1:10" x14ac:dyDescent="0.25">
      <c r="A16" s="1" t="s">
        <v>10</v>
      </c>
      <c r="B16" s="2">
        <v>43692</v>
      </c>
      <c r="C16" s="11">
        <v>2516</v>
      </c>
      <c r="D16" s="11">
        <v>94338</v>
      </c>
      <c r="E16" s="11">
        <v>76219</v>
      </c>
      <c r="F16" s="11">
        <v>4993</v>
      </c>
      <c r="G16" s="11">
        <v>2537</v>
      </c>
      <c r="H16" s="11">
        <v>1609</v>
      </c>
      <c r="I16" s="11">
        <v>1090</v>
      </c>
      <c r="J16" s="11">
        <v>398</v>
      </c>
    </row>
    <row r="17" spans="1:10" x14ac:dyDescent="0.25">
      <c r="A17" s="1" t="s">
        <v>10</v>
      </c>
      <c r="B17" s="2">
        <v>43693</v>
      </c>
      <c r="C17" s="11">
        <v>3076</v>
      </c>
      <c r="D17" s="11">
        <v>106584</v>
      </c>
      <c r="E17" s="11">
        <v>81389</v>
      </c>
      <c r="F17" s="11">
        <v>6800</v>
      </c>
      <c r="G17" s="11">
        <v>2661</v>
      </c>
      <c r="H17" s="11">
        <v>2594</v>
      </c>
      <c r="I17" s="11">
        <v>1059</v>
      </c>
      <c r="J17" s="11">
        <v>487</v>
      </c>
    </row>
    <row r="18" spans="1:10" x14ac:dyDescent="0.25">
      <c r="A18" s="1" t="s">
        <v>10</v>
      </c>
      <c r="B18" s="2">
        <v>43694</v>
      </c>
      <c r="C18" s="11">
        <v>1968</v>
      </c>
      <c r="D18" s="11">
        <v>95843</v>
      </c>
      <c r="E18" s="11">
        <v>54389</v>
      </c>
      <c r="F18" s="11">
        <v>7910</v>
      </c>
      <c r="G18" s="11">
        <v>1995</v>
      </c>
      <c r="H18" s="11">
        <v>1576</v>
      </c>
      <c r="I18" s="11">
        <v>383</v>
      </c>
      <c r="J18" s="11">
        <v>238</v>
      </c>
    </row>
    <row r="19" spans="1:10" x14ac:dyDescent="0.25">
      <c r="A19" s="1" t="s">
        <v>10</v>
      </c>
      <c r="B19" s="2">
        <v>43695</v>
      </c>
      <c r="C19" s="11">
        <v>1979</v>
      </c>
      <c r="D19" s="11">
        <v>53632</v>
      </c>
      <c r="E19" s="11">
        <v>43241</v>
      </c>
      <c r="F19" s="11">
        <v>6909</v>
      </c>
      <c r="G19" s="11">
        <v>2824</v>
      </c>
      <c r="H19" s="11">
        <v>2522</v>
      </c>
      <c r="I19" s="11">
        <v>461</v>
      </c>
      <c r="J19" s="11">
        <v>257</v>
      </c>
    </row>
    <row r="20" spans="1:10" x14ac:dyDescent="0.25">
      <c r="A20" s="1" t="s">
        <v>10</v>
      </c>
      <c r="B20" s="2">
        <v>43696</v>
      </c>
      <c r="C20" s="11">
        <v>2626</v>
      </c>
      <c r="D20" s="11">
        <v>22521</v>
      </c>
      <c r="E20" s="11">
        <v>10698</v>
      </c>
      <c r="F20" s="11">
        <v>7617</v>
      </c>
      <c r="G20" s="11">
        <v>2924</v>
      </c>
      <c r="H20" s="11">
        <v>2801</v>
      </c>
      <c r="I20" s="11">
        <v>788</v>
      </c>
      <c r="J20" s="11">
        <v>512</v>
      </c>
    </row>
    <row r="21" spans="1:10" x14ac:dyDescent="0.25">
      <c r="A21" s="1" t="s">
        <v>10</v>
      </c>
      <c r="B21" s="2">
        <v>43697</v>
      </c>
      <c r="C21" s="11">
        <v>2712</v>
      </c>
      <c r="D21" s="11">
        <v>39470</v>
      </c>
      <c r="E21" s="11">
        <v>31893</v>
      </c>
      <c r="F21" s="11">
        <v>6050</v>
      </c>
      <c r="G21" s="11">
        <v>2061</v>
      </c>
      <c r="H21" s="11">
        <v>1894</v>
      </c>
      <c r="I21" s="11">
        <v>1047</v>
      </c>
      <c r="J21" s="11">
        <v>730</v>
      </c>
    </row>
    <row r="22" spans="1:10" x14ac:dyDescent="0.25">
      <c r="A22" s="1" t="s">
        <v>10</v>
      </c>
      <c r="B22" s="2">
        <v>43698</v>
      </c>
      <c r="C22" s="11">
        <v>3112</v>
      </c>
      <c r="D22" s="11">
        <v>133771</v>
      </c>
      <c r="E22" s="11">
        <v>109834</v>
      </c>
      <c r="F22" s="11">
        <v>5471</v>
      </c>
      <c r="G22" s="11">
        <v>1995</v>
      </c>
      <c r="H22" s="11">
        <v>1868</v>
      </c>
      <c r="I22" s="11">
        <v>278</v>
      </c>
      <c r="J22" s="11">
        <v>245</v>
      </c>
    </row>
    <row r="23" spans="1:10" x14ac:dyDescent="0.25">
      <c r="A23" s="1" t="s">
        <v>10</v>
      </c>
      <c r="B23" s="2">
        <v>43699</v>
      </c>
      <c r="C23" s="11">
        <v>2899</v>
      </c>
      <c r="D23" s="11">
        <v>34752</v>
      </c>
      <c r="E23" s="11">
        <v>27932</v>
      </c>
      <c r="F23" s="11">
        <v>4431</v>
      </c>
      <c r="G23" s="11">
        <v>1983</v>
      </c>
      <c r="H23" s="11">
        <v>1131</v>
      </c>
      <c r="I23" s="11">
        <v>367</v>
      </c>
      <c r="J23" s="11">
        <v>276</v>
      </c>
    </row>
    <row r="24" spans="1:10" x14ac:dyDescent="0.25">
      <c r="A24" s="1" t="s">
        <v>10</v>
      </c>
      <c r="B24" s="2">
        <v>43700</v>
      </c>
      <c r="C24" s="11">
        <v>2407</v>
      </c>
      <c r="D24" s="11">
        <v>60286</v>
      </c>
      <c r="E24" s="11">
        <v>49329</v>
      </c>
      <c r="F24" s="11">
        <v>5077</v>
      </c>
      <c r="G24" s="11">
        <v>2592</v>
      </c>
      <c r="H24" s="11">
        <v>2004</v>
      </c>
      <c r="I24" s="11">
        <v>632</v>
      </c>
      <c r="J24" s="11">
        <v>473</v>
      </c>
    </row>
    <row r="25" spans="1:10" x14ac:dyDescent="0.25">
      <c r="A25" s="1" t="s">
        <v>10</v>
      </c>
      <c r="B25" s="2">
        <v>43701</v>
      </c>
      <c r="C25" s="11">
        <v>2078</v>
      </c>
      <c r="D25" s="11">
        <v>36650</v>
      </c>
      <c r="E25" s="11">
        <v>30489</v>
      </c>
      <c r="F25" s="11">
        <v>7156</v>
      </c>
      <c r="G25" s="11">
        <v>2687</v>
      </c>
      <c r="H25" s="11">
        <v>2427</v>
      </c>
      <c r="I25" s="11">
        <v>327</v>
      </c>
      <c r="J25" s="11">
        <v>269</v>
      </c>
    </row>
    <row r="26" spans="1:10" x14ac:dyDescent="0.25">
      <c r="A26" s="1" t="s">
        <v>10</v>
      </c>
      <c r="B26" s="2">
        <v>43702</v>
      </c>
      <c r="C26" s="11">
        <v>2928</v>
      </c>
      <c r="D26" s="11">
        <v>120576</v>
      </c>
      <c r="E26" s="11">
        <v>105978</v>
      </c>
      <c r="F26" s="11">
        <v>3596</v>
      </c>
      <c r="G26" s="11">
        <v>2937</v>
      </c>
      <c r="H26" s="11">
        <v>2551</v>
      </c>
      <c r="I26" s="11">
        <v>1228</v>
      </c>
      <c r="J26" s="11">
        <v>651</v>
      </c>
    </row>
    <row r="27" spans="1:10" x14ac:dyDescent="0.25">
      <c r="A27" s="1" t="s">
        <v>10</v>
      </c>
      <c r="B27" s="2">
        <v>43703</v>
      </c>
      <c r="C27" s="11">
        <v>2311</v>
      </c>
      <c r="D27" s="11">
        <v>80841</v>
      </c>
      <c r="E27" s="11">
        <v>61589</v>
      </c>
      <c r="F27" s="11">
        <v>3820</v>
      </c>
      <c r="G27" s="11">
        <v>2037</v>
      </c>
      <c r="H27" s="11">
        <v>1046</v>
      </c>
      <c r="I27" s="11">
        <v>346</v>
      </c>
      <c r="J27" s="11">
        <v>284</v>
      </c>
    </row>
    <row r="28" spans="1:10" x14ac:dyDescent="0.25">
      <c r="A28" s="1" t="s">
        <v>10</v>
      </c>
      <c r="B28" s="2">
        <v>43704</v>
      </c>
      <c r="C28" s="11">
        <v>2915</v>
      </c>
      <c r="D28" s="11">
        <v>111469</v>
      </c>
      <c r="E28" s="11">
        <v>92159</v>
      </c>
      <c r="F28" s="11">
        <v>6435</v>
      </c>
      <c r="G28" s="11">
        <v>2976</v>
      </c>
      <c r="H28" s="11">
        <v>2552</v>
      </c>
      <c r="I28" s="11">
        <v>992</v>
      </c>
      <c r="J28" s="11">
        <v>771</v>
      </c>
    </row>
    <row r="29" spans="1:10" x14ac:dyDescent="0.25">
      <c r="A29" s="1" t="s">
        <v>10</v>
      </c>
      <c r="B29" s="2">
        <v>43705</v>
      </c>
      <c r="C29" s="11">
        <v>2247</v>
      </c>
      <c r="D29" s="11">
        <v>54627</v>
      </c>
      <c r="E29" s="11">
        <v>41267</v>
      </c>
      <c r="F29" s="11">
        <v>8144</v>
      </c>
      <c r="G29" s="11">
        <v>2432</v>
      </c>
      <c r="H29" s="11">
        <v>1281</v>
      </c>
      <c r="I29" s="11">
        <v>1009</v>
      </c>
      <c r="J29" s="11">
        <v>721</v>
      </c>
    </row>
    <row r="30" spans="1:10" x14ac:dyDescent="0.25">
      <c r="A30" s="1" t="s">
        <v>10</v>
      </c>
      <c r="B30" s="2">
        <v>43706</v>
      </c>
      <c r="C30" s="11">
        <v>2805</v>
      </c>
      <c r="D30" s="11">
        <v>67444</v>
      </c>
      <c r="E30" s="11">
        <v>43219</v>
      </c>
      <c r="F30" s="11">
        <v>7651</v>
      </c>
      <c r="G30" s="11">
        <v>1920</v>
      </c>
      <c r="H30" s="11">
        <v>1240</v>
      </c>
      <c r="I30" s="11">
        <v>1168</v>
      </c>
      <c r="J30" s="11">
        <v>677</v>
      </c>
    </row>
    <row r="31" spans="1:10" x14ac:dyDescent="0.25">
      <c r="A31" s="1" t="s">
        <v>10</v>
      </c>
      <c r="B31" s="2">
        <v>43707</v>
      </c>
      <c r="C31" s="11">
        <v>1977</v>
      </c>
      <c r="D31" s="11">
        <v>120203</v>
      </c>
      <c r="E31" s="11">
        <v>89380</v>
      </c>
      <c r="F31" s="11">
        <v>4399</v>
      </c>
      <c r="G31" s="11">
        <v>2978</v>
      </c>
      <c r="H31" s="11">
        <v>1625</v>
      </c>
      <c r="I31" s="11">
        <v>1034</v>
      </c>
      <c r="J31" s="11">
        <v>572</v>
      </c>
    </row>
    <row r="34" spans="2:16" x14ac:dyDescent="0.25">
      <c r="B34" t="s">
        <v>12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</row>
    <row r="35" spans="2:16" x14ac:dyDescent="0.25">
      <c r="B35" t="s">
        <v>13</v>
      </c>
      <c r="C35" s="11">
        <f>MIN(test_group[Spend '[USD']])</f>
        <v>1968</v>
      </c>
      <c r="D35" s="11">
        <f>MIN(test_group['# of Impressions])</f>
        <v>22521</v>
      </c>
      <c r="E35" s="11">
        <f>MIN(test_group[Reach])</f>
        <v>10598</v>
      </c>
      <c r="F35" s="11">
        <f>MIN(test_group['# of Website Clicks])</f>
        <v>3038</v>
      </c>
      <c r="G35" s="11">
        <f>MIN(test_group['# of Searches])</f>
        <v>1854</v>
      </c>
      <c r="H35" s="11">
        <f>MIN(test_group['# of View Content])</f>
        <v>858</v>
      </c>
      <c r="I35" s="11">
        <f>MIN(test_group['# of Add to Cart])</f>
        <v>278</v>
      </c>
      <c r="J35" s="11">
        <f>MIN(test_group['# of Purchase])</f>
        <v>238</v>
      </c>
    </row>
    <row r="36" spans="2:16" x14ac:dyDescent="0.25">
      <c r="B36" t="s">
        <v>14</v>
      </c>
      <c r="C36" s="11">
        <f>MAX(test_group[Spend '[USD']])</f>
        <v>3112</v>
      </c>
      <c r="D36" s="11">
        <f>MAX(test_group['# of Impressions])</f>
        <v>133771</v>
      </c>
      <c r="E36" s="11">
        <f>MAX(test_group[Reach])</f>
        <v>109834</v>
      </c>
      <c r="F36" s="11">
        <f>MAX(test_group['# of Website Clicks])</f>
        <v>8264</v>
      </c>
      <c r="G36" s="11">
        <f>MAX(test_group['# of Searches])</f>
        <v>2978</v>
      </c>
      <c r="H36" s="11">
        <f>MAX(test_group['# of View Content])</f>
        <v>2801</v>
      </c>
      <c r="I36" s="11">
        <f>MAX(test_group['# of Add to Cart])</f>
        <v>1391</v>
      </c>
      <c r="J36" s="11">
        <f>MAX(test_group['# of Purchase])</f>
        <v>890</v>
      </c>
    </row>
    <row r="37" spans="2:16" x14ac:dyDescent="0.25">
      <c r="B37" t="s">
        <v>15</v>
      </c>
      <c r="C37" s="11">
        <f>AVERAGE(test_group[Spend '[USD']])</f>
        <v>2563.0666666666666</v>
      </c>
      <c r="D37" s="11">
        <f>AVERAGE(test_group['# of Impressions])</f>
        <v>74584.800000000003</v>
      </c>
      <c r="E37" s="11">
        <f>AVERAGE(test_group[Reach])</f>
        <v>53491.566666666666</v>
      </c>
      <c r="F37" s="11">
        <f>AVERAGE(test_group['# of Website Clicks])</f>
        <v>6032.333333333333</v>
      </c>
      <c r="G37" s="11">
        <f>AVERAGE(test_group['# of Searches])</f>
        <v>2418.9666666666667</v>
      </c>
      <c r="H37" s="11">
        <f>AVERAGE(test_group['# of View Content])</f>
        <v>1858</v>
      </c>
      <c r="I37" s="11">
        <f>AVERAGE(test_group['# of Add to Cart])</f>
        <v>881.5333333333333</v>
      </c>
      <c r="J37" s="11">
        <f>AVERAGE(test_group['# of Purchase])</f>
        <v>521.23333333333335</v>
      </c>
    </row>
    <row r="38" spans="2:16" x14ac:dyDescent="0.25">
      <c r="B38" t="s">
        <v>16</v>
      </c>
      <c r="C38" s="11">
        <f>MEDIAN(test_group[Spend '[USD']])</f>
        <v>2584</v>
      </c>
      <c r="D38" s="11">
        <f>MEDIAN(test_group['# of Impressions])</f>
        <v>68853.5</v>
      </c>
      <c r="E38" s="11">
        <f>MEDIAN(test_group[Reach])</f>
        <v>44219.5</v>
      </c>
      <c r="F38" s="11">
        <f>MEDIAN(test_group['# of Website Clicks])</f>
        <v>6242.5</v>
      </c>
      <c r="G38" s="11">
        <f>MEDIAN(test_group['# of Searches])</f>
        <v>2395.5</v>
      </c>
      <c r="H38" s="11">
        <f>MEDIAN(test_group['# of View Content])</f>
        <v>1881</v>
      </c>
      <c r="I38" s="11">
        <f>MEDIAN(test_group['# of Add to Cart])</f>
        <v>974</v>
      </c>
      <c r="J38" s="11">
        <f>MEDIAN(test_group['# of Purchase])</f>
        <v>500</v>
      </c>
    </row>
    <row r="39" spans="2:16" x14ac:dyDescent="0.25">
      <c r="B39" t="s">
        <v>17</v>
      </c>
      <c r="C39" s="11">
        <f>_xlfn.STDEV.S(test_group[Spend '[USD']])</f>
        <v>348.68768095614587</v>
      </c>
      <c r="D39" s="11">
        <f>_xlfn.STDEV.S(test_group['# of Impressions])</f>
        <v>32121.377421833295</v>
      </c>
      <c r="E39" s="11">
        <f>_xlfn.STDEV.S(test_group[Reach])</f>
        <v>28795.775751845526</v>
      </c>
      <c r="F39" s="11">
        <f>_xlfn.STDEV.S(test_group['# of Website Clicks])</f>
        <v>1708.5672629293897</v>
      </c>
      <c r="G39" s="11">
        <f>_xlfn.STDEV.S(test_group['# of Searches])</f>
        <v>388.74231189500239</v>
      </c>
      <c r="H39" s="11">
        <f>_xlfn.STDEV.S(test_group['# of View Content])</f>
        <v>597.65466905921176</v>
      </c>
      <c r="I39" s="11">
        <f>_xlfn.STDEV.S(test_group['# of Add to Cart])</f>
        <v>347.58424762264792</v>
      </c>
      <c r="J39" s="11">
        <f>_xlfn.STDEV.S(test_group['# of Purchase])</f>
        <v>211.04774477523475</v>
      </c>
    </row>
    <row r="40" spans="2:16" x14ac:dyDescent="0.25">
      <c r="B40" t="s">
        <v>18</v>
      </c>
      <c r="C40" s="11">
        <f>_xlfn.VAR.S(test_group[Spend '[USD']])</f>
        <v>121583.09885057498</v>
      </c>
      <c r="D40" s="11">
        <f>_xlfn.VAR.S(test_group['# of Impressions])</f>
        <v>1031782887.4758617</v>
      </c>
      <c r="E40" s="11">
        <f>_xlfn.VAR.S(test_group[Reach])</f>
        <v>829196701.1505748</v>
      </c>
      <c r="F40" s="11">
        <f>_xlfn.VAR.S(test_group['# of Website Clicks])</f>
        <v>2919202.0919540259</v>
      </c>
      <c r="G40" s="11">
        <f>_xlfn.VAR.S(test_group['# of Searches])</f>
        <v>151120.58505747133</v>
      </c>
      <c r="H40" s="11">
        <f>_xlfn.VAR.S(test_group['# of View Content])</f>
        <v>357191.10344827588</v>
      </c>
      <c r="I40" s="11">
        <f>_xlfn.VAR.S(test_group['# of Add to Cart])</f>
        <v>120814.80919540224</v>
      </c>
      <c r="J40" s="11">
        <f>_xlfn.VAR.S(test_group['# of Purchase])</f>
        <v>44541.150574712628</v>
      </c>
    </row>
    <row r="43" spans="2:16" ht="15.75" x14ac:dyDescent="0.25">
      <c r="C43" s="9" t="s">
        <v>19</v>
      </c>
      <c r="D43" s="9" t="s">
        <v>20</v>
      </c>
      <c r="E43" s="9" t="s">
        <v>21</v>
      </c>
      <c r="F43" s="9" t="s">
        <v>22</v>
      </c>
      <c r="G43" s="9" t="s">
        <v>23</v>
      </c>
      <c r="H43" s="9" t="s">
        <v>24</v>
      </c>
      <c r="I43" s="9" t="s">
        <v>25</v>
      </c>
      <c r="J43" s="9" t="s">
        <v>26</v>
      </c>
      <c r="L43" t="s">
        <v>30</v>
      </c>
      <c r="M43" s="4" t="s">
        <v>27</v>
      </c>
      <c r="N43" s="4" t="s">
        <v>28</v>
      </c>
      <c r="O43" s="4" t="s">
        <v>29</v>
      </c>
    </row>
    <row r="44" spans="2:16" ht="15.75" x14ac:dyDescent="0.25">
      <c r="C44" s="8">
        <f>(C2-$C$37)/$C$39</f>
        <v>1.2760225199619033</v>
      </c>
      <c r="D44" s="8">
        <f t="shared" ref="D44:D72" si="0">(D2-$D$37)/$D$39</f>
        <v>-1.0907004248263159</v>
      </c>
      <c r="E44" s="8">
        <f t="shared" ref="E44:E73" si="1">(E2-$E$37)/$E$39</f>
        <v>-0.61368607739397651</v>
      </c>
      <c r="F44" s="8">
        <f t="shared" ref="F44:F73" si="2">(F2-$F$37)/$F$39</f>
        <v>-1.7525405047264331</v>
      </c>
      <c r="G44" s="8">
        <f t="shared" ref="G44:G73" si="3">(G2-$G$37)/$G$39</f>
        <v>-1.2166585735447624</v>
      </c>
      <c r="H44" s="8">
        <f t="shared" ref="H44:H73" si="4">(H2-$H$37)/$H$39</f>
        <v>-1.3201603548784975</v>
      </c>
      <c r="I44" s="8">
        <f t="shared" ref="I44:I73" si="5">(I2-$I$37)/$I$39</f>
        <v>3.5866604289274448E-2</v>
      </c>
      <c r="J44" s="8">
        <f t="shared" ref="J44:J73" si="6">(J2-$J$37)/$J$39</f>
        <v>-1.2614839055346034</v>
      </c>
      <c r="L44" t="s">
        <v>2</v>
      </c>
      <c r="M44" s="6">
        <f>MIN(test_group_zscore[Spend '[USD'] Z-score])</f>
        <v>-1.7065893037428748</v>
      </c>
      <c r="N44" s="12">
        <f>MAX(test_group_zscore[Spend '[USD'] Z-score])</f>
        <v>1.574283702332381</v>
      </c>
      <c r="O44" s="3" t="s">
        <v>31</v>
      </c>
      <c r="P44" s="5"/>
    </row>
    <row r="45" spans="2:16" ht="15.75" x14ac:dyDescent="0.25">
      <c r="C45" s="8">
        <f>(C3-$C$37)/$C$39</f>
        <v>-6.0417008736583788E-2</v>
      </c>
      <c r="D45" s="8">
        <f>(D3-$D$37)/$D$39</f>
        <v>0.8136076998440378</v>
      </c>
      <c r="E45" s="8">
        <f t="shared" si="1"/>
        <v>1.310762858365234</v>
      </c>
      <c r="F45" s="8">
        <f t="shared" si="2"/>
        <v>-0.80496294361585907</v>
      </c>
      <c r="G45" s="8">
        <f t="shared" si="3"/>
        <v>-0.15425814178638583</v>
      </c>
      <c r="H45" s="8">
        <f t="shared" si="4"/>
        <v>-0.51869418252513844</v>
      </c>
      <c r="I45" s="8">
        <f t="shared" si="5"/>
        <v>-7.2884008716171634E-3</v>
      </c>
      <c r="J45" s="8">
        <f t="shared" si="6"/>
        <v>0.73806363973496947</v>
      </c>
      <c r="L45" t="s">
        <v>3</v>
      </c>
      <c r="M45" s="6">
        <f>MIN(test_group_zscore['# of Impressions Z-score])</f>
        <v>-1.6208458098254404</v>
      </c>
      <c r="N45" s="6">
        <f>MAX(test_group_zscore['# of Impressions Z-score])</f>
        <v>1.8425797630885659</v>
      </c>
      <c r="O45" s="3" t="s">
        <v>31</v>
      </c>
    </row>
    <row r="46" spans="2:16" ht="15.75" x14ac:dyDescent="0.25">
      <c r="C46" s="8">
        <f t="shared" ref="C46:C48" si="7">(C4-$C$37)/$C$39</f>
        <v>-0.56803459796326239</v>
      </c>
      <c r="D46" s="8">
        <f t="shared" si="0"/>
        <v>-0.13454591137995292</v>
      </c>
      <c r="E46" s="8">
        <f t="shared" si="1"/>
        <v>-0.28801330924849733</v>
      </c>
      <c r="F46" s="8">
        <f t="shared" si="2"/>
        <v>1.0843393215261625</v>
      </c>
      <c r="G46" s="8">
        <f t="shared" si="3"/>
        <v>0.39366266200183259</v>
      </c>
      <c r="H46" s="8">
        <f t="shared" si="4"/>
        <v>0.85166238356546931</v>
      </c>
      <c r="I46" s="8">
        <f t="shared" si="5"/>
        <v>1.1118647329675053</v>
      </c>
      <c r="J46" s="8">
        <f t="shared" si="6"/>
        <v>0.26897547153191803</v>
      </c>
      <c r="L46" t="s">
        <v>4</v>
      </c>
      <c r="M46" s="6">
        <f>MIN(test_group_zscore[Reach Z-score])</f>
        <v>-1.4895784380428649</v>
      </c>
      <c r="N46" s="6">
        <f>MAX(test_group_zscore[Reach Z-score])</f>
        <v>1.956621478750137</v>
      </c>
      <c r="O46" s="3" t="s">
        <v>31</v>
      </c>
    </row>
    <row r="47" spans="2:16" ht="15.75" x14ac:dyDescent="0.25">
      <c r="C47" s="8">
        <f>(C5-$C$37)/$C$39</f>
        <v>0.42138951663111113</v>
      </c>
      <c r="D47" s="8">
        <f t="shared" si="0"/>
        <v>0.12036221078651793</v>
      </c>
      <c r="E47" s="8">
        <f t="shared" si="1"/>
        <v>-0.95689614004931567</v>
      </c>
      <c r="F47" s="8">
        <f t="shared" si="2"/>
        <v>-1.063073940805336</v>
      </c>
      <c r="G47" s="8">
        <f t="shared" si="3"/>
        <v>-0.52211107578504889</v>
      </c>
      <c r="H47" s="8">
        <f t="shared" si="4"/>
        <v>-0.70442016400994611</v>
      </c>
      <c r="I47" s="8">
        <f t="shared" si="5"/>
        <v>-0.90778950856222218</v>
      </c>
      <c r="J47" s="8">
        <f t="shared" si="6"/>
        <v>-0.85873143788551898</v>
      </c>
      <c r="L47" t="s">
        <v>5</v>
      </c>
      <c r="M47" s="6">
        <f>MIN(test_group_zscore['# of Website Clicks Z-score])</f>
        <v>-1.7525405047264331</v>
      </c>
      <c r="N47" s="6">
        <f>MAX(test_group_zscore['# of Website Clicks Z-score])</f>
        <v>1.3061626048250554</v>
      </c>
      <c r="O47" s="3" t="s">
        <v>31</v>
      </c>
    </row>
    <row r="48" spans="2:16" ht="15.75" x14ac:dyDescent="0.25">
      <c r="C48" s="8">
        <f t="shared" si="7"/>
        <v>-0.76305152489780548</v>
      </c>
      <c r="D48" s="8">
        <f t="shared" si="0"/>
        <v>1.2362545814429642</v>
      </c>
      <c r="E48" s="8">
        <f t="shared" si="1"/>
        <v>1.4462688448552807</v>
      </c>
      <c r="F48" s="8">
        <f t="shared" si="2"/>
        <v>-9.9108379873207891E-2</v>
      </c>
      <c r="G48" s="8">
        <f t="shared" si="3"/>
        <v>-0.80507487116863585</v>
      </c>
      <c r="H48" s="8">
        <f t="shared" si="4"/>
        <v>-1.6732070404036725</v>
      </c>
      <c r="I48" s="8">
        <f t="shared" si="5"/>
        <v>0.2142406256209598</v>
      </c>
      <c r="J48" s="8">
        <f t="shared" si="6"/>
        <v>1.1692456933357542</v>
      </c>
      <c r="L48" t="s">
        <v>6</v>
      </c>
      <c r="M48" s="6">
        <f>MIN(test_group_zscore['# of Searches Z-score])</f>
        <v>-1.4533192024110351</v>
      </c>
      <c r="N48" s="6">
        <f>MAX(test_group_zscore['# of Searches Z-score])</f>
        <v>1.4380563067812535</v>
      </c>
      <c r="O48" s="3" t="s">
        <v>31</v>
      </c>
    </row>
    <row r="49" spans="3:15" ht="15.75" x14ac:dyDescent="0.25">
      <c r="C49" s="8">
        <f>(C7-$C$37)/$C$39</f>
        <v>-0.30132027142043122</v>
      </c>
      <c r="D49" s="8">
        <f t="shared" si="0"/>
        <v>-0.99313300239474278</v>
      </c>
      <c r="E49" s="8">
        <f t="shared" si="1"/>
        <v>-0.76409008238843912</v>
      </c>
      <c r="F49" s="8">
        <f t="shared" si="2"/>
        <v>0.85198089548484202</v>
      </c>
      <c r="G49" s="8">
        <f t="shared" si="3"/>
        <v>-1.4533192024110351</v>
      </c>
      <c r="H49" s="8">
        <f t="shared" si="4"/>
        <v>-1.3134675267168829</v>
      </c>
      <c r="I49" s="8">
        <f t="shared" si="5"/>
        <v>1.3426001605611596E-3</v>
      </c>
      <c r="J49" s="8">
        <f t="shared" si="6"/>
        <v>-0.15746831774358336</v>
      </c>
      <c r="L49" t="s">
        <v>7</v>
      </c>
      <c r="M49" s="6">
        <f>MIN(test_group_zscore['# of View Content Z-score])</f>
        <v>-1.6732070404036725</v>
      </c>
      <c r="N49" s="6">
        <f>MAX(test_group_zscore['# of View Content Z-score])</f>
        <v>1.577834239100663</v>
      </c>
      <c r="O49" s="3" t="s">
        <v>31</v>
      </c>
    </row>
    <row r="50" spans="3:15" ht="15.75" x14ac:dyDescent="0.25">
      <c r="C50" s="8">
        <f t="shared" ref="C50:C73" si="8">(C8-$C$37)/$C$39</f>
        <v>0.7884802026255453</v>
      </c>
      <c r="D50" s="8">
        <f t="shared" si="0"/>
        <v>-0.64128009610194192</v>
      </c>
      <c r="E50" s="8">
        <f t="shared" si="1"/>
        <v>-0.39393162262487946</v>
      </c>
      <c r="F50" s="8">
        <f t="shared" si="2"/>
        <v>-1.0601475122657729</v>
      </c>
      <c r="G50" s="8">
        <f t="shared" si="3"/>
        <v>0.80781876251780982</v>
      </c>
      <c r="H50" s="8">
        <f t="shared" si="4"/>
        <v>0.54211908109078988</v>
      </c>
      <c r="I50" s="8">
        <f t="shared" si="5"/>
        <v>1.206805744321467</v>
      </c>
      <c r="J50" s="8">
        <f t="shared" si="6"/>
        <v>1.7473139410203227</v>
      </c>
      <c r="L50" t="s">
        <v>8</v>
      </c>
      <c r="M50" s="6">
        <f>MIN(test_group_zscore['# of Add to Cart Z-score])</f>
        <v>-1.7363656076513412</v>
      </c>
      <c r="N50" s="6">
        <f>MAX(test_group_zscore['# of Add to Cart Z-score])</f>
        <v>1.4657357752868165</v>
      </c>
      <c r="O50" s="3" t="s">
        <v>31</v>
      </c>
    </row>
    <row r="51" spans="3:15" ht="15.75" x14ac:dyDescent="0.25">
      <c r="C51" s="8">
        <f t="shared" si="8"/>
        <v>1.0121760894034038</v>
      </c>
      <c r="D51" s="8">
        <f t="shared" si="0"/>
        <v>-1.2737872184830104</v>
      </c>
      <c r="E51" s="8">
        <f t="shared" si="1"/>
        <v>-1.157897844253414</v>
      </c>
      <c r="F51" s="8">
        <f t="shared" si="2"/>
        <v>0.67405404027939764</v>
      </c>
      <c r="G51" s="8">
        <f t="shared" si="3"/>
        <v>1.1525201132578158</v>
      </c>
      <c r="H51" s="8">
        <f t="shared" si="4"/>
        <v>0.56219756557563394</v>
      </c>
      <c r="I51" s="8">
        <f t="shared" si="5"/>
        <v>1.0313087233338409</v>
      </c>
      <c r="J51" s="8">
        <f t="shared" si="6"/>
        <v>-0.42754938428473421</v>
      </c>
      <c r="L51" t="s">
        <v>9</v>
      </c>
      <c r="M51" s="6">
        <f>MIN(test_group_zscore['# of Purchase Z-score])</f>
        <v>-1.3420343990644206</v>
      </c>
      <c r="N51" s="6">
        <f>MAX(test_group_zscore['# of Purchase Z-score])</f>
        <v>1.7473139410203227</v>
      </c>
      <c r="O51" s="3" t="s">
        <v>31</v>
      </c>
    </row>
    <row r="52" spans="3:15" ht="15.75" x14ac:dyDescent="0.25">
      <c r="C52" s="8">
        <f t="shared" si="8"/>
        <v>0.25505154953988313</v>
      </c>
      <c r="D52" s="8">
        <f t="shared" si="0"/>
        <v>-0.90512307794864932</v>
      </c>
      <c r="E52" s="8">
        <f t="shared" si="1"/>
        <v>-0.76030480495957831</v>
      </c>
      <c r="F52" s="8">
        <f t="shared" si="2"/>
        <v>1.3032361762854923</v>
      </c>
      <c r="G52" s="8">
        <f t="shared" si="3"/>
        <v>1.2348368537330412</v>
      </c>
      <c r="H52" s="8">
        <f t="shared" si="4"/>
        <v>1.5109059574845163</v>
      </c>
      <c r="I52" s="8">
        <f t="shared" si="5"/>
        <v>0.91622870957146341</v>
      </c>
      <c r="J52" s="8">
        <f t="shared" si="6"/>
        <v>1.534092046382572</v>
      </c>
    </row>
    <row r="53" spans="3:15" ht="15.75" x14ac:dyDescent="0.25">
      <c r="C53" s="8">
        <f t="shared" si="8"/>
        <v>0.6508211953776325</v>
      </c>
      <c r="D53" s="8">
        <f t="shared" si="0"/>
        <v>0.63724539988396733</v>
      </c>
      <c r="E53" s="8">
        <f t="shared" si="1"/>
        <v>0.90778708511292638</v>
      </c>
      <c r="F53" s="8">
        <f t="shared" si="2"/>
        <v>1.2248078914251976</v>
      </c>
      <c r="G53" s="8">
        <f t="shared" si="3"/>
        <v>-0.27516085435937299</v>
      </c>
      <c r="H53" s="8">
        <f t="shared" si="4"/>
        <v>-9.0353180181798318E-2</v>
      </c>
      <c r="I53" s="8">
        <f t="shared" si="5"/>
        <v>-1.3163235574186629</v>
      </c>
      <c r="J53" s="8">
        <f t="shared" si="6"/>
        <v>-1.1667186190289365</v>
      </c>
    </row>
    <row r="54" spans="3:15" ht="15.75" x14ac:dyDescent="0.25">
      <c r="C54" s="8">
        <f t="shared" si="8"/>
        <v>-0.41030031882502888</v>
      </c>
      <c r="D54" s="8">
        <f t="shared" si="0"/>
        <v>0.28168779567497076</v>
      </c>
      <c r="E54" s="8">
        <f t="shared" si="1"/>
        <v>0.61795290693611149</v>
      </c>
      <c r="F54" s="8">
        <f t="shared" si="2"/>
        <v>-1.3358170806926291</v>
      </c>
      <c r="G54" s="8">
        <f t="shared" si="3"/>
        <v>1.2194024648939363</v>
      </c>
      <c r="H54" s="8">
        <f t="shared" si="4"/>
        <v>1.2699641436663873</v>
      </c>
      <c r="I54" s="8">
        <f t="shared" si="5"/>
        <v>0.55660366656403326</v>
      </c>
      <c r="J54" s="8">
        <f t="shared" si="6"/>
        <v>0.69541926080741934</v>
      </c>
    </row>
    <row r="55" spans="3:15" ht="15.75" x14ac:dyDescent="0.25">
      <c r="C55" s="8">
        <f t="shared" si="8"/>
        <v>0.76840493073522464</v>
      </c>
      <c r="D55" s="8">
        <f t="shared" si="0"/>
        <v>1.5567887809820438</v>
      </c>
      <c r="E55" s="8">
        <f t="shared" si="1"/>
        <v>-1.4895784380428649</v>
      </c>
      <c r="F55" s="8">
        <f t="shared" si="2"/>
        <v>1.3061626048250554</v>
      </c>
      <c r="G55" s="8">
        <f t="shared" si="3"/>
        <v>-0.86938482466490563</v>
      </c>
      <c r="H55" s="8">
        <f t="shared" si="4"/>
        <v>0.22420974341409211</v>
      </c>
      <c r="I55" s="8">
        <f t="shared" si="5"/>
        <v>1.4398427721902816</v>
      </c>
      <c r="J55" s="8">
        <f t="shared" si="6"/>
        <v>0.88968809814403671</v>
      </c>
    </row>
    <row r="56" spans="3:15" ht="15.75" x14ac:dyDescent="0.25">
      <c r="C56" s="8">
        <f t="shared" si="8"/>
        <v>-1.6951177198055487</v>
      </c>
      <c r="D56" s="8">
        <f t="shared" si="0"/>
        <v>-0.27264708748284311</v>
      </c>
      <c r="E56" s="8">
        <f t="shared" si="1"/>
        <v>-0.13753984962231247</v>
      </c>
      <c r="F56" s="8">
        <f t="shared" si="2"/>
        <v>0.89880375211785368</v>
      </c>
      <c r="G56" s="8">
        <f t="shared" si="3"/>
        <v>-0.52982827020460121</v>
      </c>
      <c r="H56" s="8">
        <f t="shared" si="4"/>
        <v>0.3346414080807345</v>
      </c>
      <c r="I56" s="8">
        <f t="shared" si="5"/>
        <v>1.4657357752868165</v>
      </c>
      <c r="J56" s="8">
        <f t="shared" si="6"/>
        <v>1.3777293236482215</v>
      </c>
    </row>
    <row r="57" spans="3:15" ht="15.75" x14ac:dyDescent="0.25">
      <c r="C57" s="8">
        <f t="shared" si="8"/>
        <v>-7.4756488658241374E-2</v>
      </c>
      <c r="D57" s="8">
        <f t="shared" si="0"/>
        <v>-0.56911631652428196</v>
      </c>
      <c r="E57" s="8">
        <f t="shared" si="1"/>
        <v>-0.95533341083556578</v>
      </c>
      <c r="F57" s="8">
        <f t="shared" si="2"/>
        <v>-1.193592653669856</v>
      </c>
      <c r="G57" s="8">
        <f t="shared" si="3"/>
        <v>-1.1317694349296863</v>
      </c>
      <c r="H57" s="8">
        <f t="shared" si="4"/>
        <v>-1.3368924252825343</v>
      </c>
      <c r="I57" s="8">
        <f t="shared" si="5"/>
        <v>-0.29498843527756125</v>
      </c>
      <c r="J57" s="8">
        <f t="shared" si="6"/>
        <v>-0.85873143788551898</v>
      </c>
    </row>
    <row r="58" spans="3:15" ht="15.75" x14ac:dyDescent="0.25">
      <c r="C58" s="8">
        <f t="shared" si="8"/>
        <v>-0.13498230432920325</v>
      </c>
      <c r="D58" s="8">
        <f t="shared" si="0"/>
        <v>0.61495494855626909</v>
      </c>
      <c r="E58" s="8">
        <f t="shared" si="1"/>
        <v>0.78926275607896168</v>
      </c>
      <c r="F58" s="8">
        <f t="shared" si="2"/>
        <v>-0.60830694575721</v>
      </c>
      <c r="G58" s="8">
        <f t="shared" si="3"/>
        <v>0.30362872710705491</v>
      </c>
      <c r="H58" s="8">
        <f t="shared" si="4"/>
        <v>-0.41662855306051444</v>
      </c>
      <c r="I58" s="8">
        <f t="shared" si="5"/>
        <v>0.59975867172492492</v>
      </c>
      <c r="J58" s="8">
        <f t="shared" si="6"/>
        <v>-0.58391210701908469</v>
      </c>
    </row>
    <row r="59" spans="3:15" ht="15.75" x14ac:dyDescent="0.25">
      <c r="C59" s="8">
        <f t="shared" si="8"/>
        <v>1.4710394468964465</v>
      </c>
      <c r="D59" s="8">
        <f t="shared" si="0"/>
        <v>0.996196382856538</v>
      </c>
      <c r="E59" s="8">
        <f t="shared" si="1"/>
        <v>0.96880297908089463</v>
      </c>
      <c r="F59" s="8">
        <f t="shared" si="2"/>
        <v>0.44930432844094148</v>
      </c>
      <c r="G59" s="8">
        <f t="shared" si="3"/>
        <v>0.62260609644855291</v>
      </c>
      <c r="H59" s="8">
        <f t="shared" si="4"/>
        <v>1.2314803817371029</v>
      </c>
      <c r="I59" s="8">
        <f t="shared" si="5"/>
        <v>0.51057166105908225</v>
      </c>
      <c r="J59" s="8">
        <f t="shared" si="6"/>
        <v>-0.16220658206886671</v>
      </c>
    </row>
    <row r="60" spans="3:15" ht="15.75" x14ac:dyDescent="0.25">
      <c r="C60" s="8">
        <f t="shared" si="8"/>
        <v>-1.7065893037428748</v>
      </c>
      <c r="D60" s="8">
        <f t="shared" si="0"/>
        <v>0.66180848102580236</v>
      </c>
      <c r="E60" s="8">
        <f t="shared" si="1"/>
        <v>3.1165450830954525E-2</v>
      </c>
      <c r="F60" s="8">
        <f t="shared" si="2"/>
        <v>1.0989714642239787</v>
      </c>
      <c r="G60" s="8">
        <f t="shared" si="3"/>
        <v>-1.0906110646920737</v>
      </c>
      <c r="H60" s="8">
        <f t="shared" si="4"/>
        <v>-0.47184438539383561</v>
      </c>
      <c r="I60" s="8">
        <f t="shared" si="5"/>
        <v>-1.4342805715250999</v>
      </c>
      <c r="J60" s="8">
        <f t="shared" si="6"/>
        <v>-1.3420343990644206</v>
      </c>
    </row>
    <row r="61" spans="3:15" ht="15.75" x14ac:dyDescent="0.25">
      <c r="C61" s="8">
        <f t="shared" si="8"/>
        <v>-1.6750424479152279</v>
      </c>
      <c r="D61" s="8">
        <f t="shared" si="0"/>
        <v>-0.6523007941047424</v>
      </c>
      <c r="E61" s="8">
        <f t="shared" si="1"/>
        <v>-0.35597466638868741</v>
      </c>
      <c r="F61" s="8">
        <f t="shared" si="2"/>
        <v>0.5131004706034199</v>
      </c>
      <c r="G61" s="8">
        <f t="shared" si="3"/>
        <v>1.0419069932442317</v>
      </c>
      <c r="H61" s="8">
        <f t="shared" si="4"/>
        <v>1.1110094748280386</v>
      </c>
      <c r="I61" s="8">
        <f t="shared" si="5"/>
        <v>-1.2098745446884636</v>
      </c>
      <c r="J61" s="8">
        <f t="shared" si="6"/>
        <v>-1.2520073768840367</v>
      </c>
    </row>
    <row r="62" spans="3:15" ht="15.75" x14ac:dyDescent="0.25">
      <c r="C62" s="8">
        <f t="shared" si="8"/>
        <v>0.18048625394726367</v>
      </c>
      <c r="D62" s="8">
        <f t="shared" si="0"/>
        <v>-1.6208458098254404</v>
      </c>
      <c r="E62" s="8">
        <f t="shared" si="1"/>
        <v>-1.4861057064567542</v>
      </c>
      <c r="F62" s="8">
        <f t="shared" si="2"/>
        <v>0.92748275180557338</v>
      </c>
      <c r="G62" s="8">
        <f t="shared" si="3"/>
        <v>1.2991468072293109</v>
      </c>
      <c r="H62" s="8">
        <f t="shared" si="4"/>
        <v>1.577834239100663</v>
      </c>
      <c r="I62" s="8">
        <f t="shared" si="5"/>
        <v>-0.26909543218102627</v>
      </c>
      <c r="J62" s="8">
        <f t="shared" si="6"/>
        <v>-4.3749973936782989E-2</v>
      </c>
    </row>
    <row r="63" spans="3:15" ht="15.75" x14ac:dyDescent="0.25">
      <c r="C63" s="8">
        <f t="shared" si="8"/>
        <v>0.42712530859977416</v>
      </c>
      <c r="D63" s="8">
        <f t="shared" si="0"/>
        <v>-1.0931909780472877</v>
      </c>
      <c r="E63" s="8">
        <f t="shared" si="1"/>
        <v>-0.75006024678055117</v>
      </c>
      <c r="F63" s="8">
        <f t="shared" si="2"/>
        <v>1.0340047506456925E-2</v>
      </c>
      <c r="G63" s="8">
        <f t="shared" si="3"/>
        <v>-0.92083278746192143</v>
      </c>
      <c r="H63" s="8">
        <f t="shared" si="4"/>
        <v>6.0235453454532205E-2</v>
      </c>
      <c r="I63" s="8">
        <f t="shared" si="5"/>
        <v>0.47604765693036893</v>
      </c>
      <c r="J63" s="8">
        <f t="shared" si="6"/>
        <v>0.98919164897498701</v>
      </c>
    </row>
    <row r="64" spans="3:15" ht="15.75" x14ac:dyDescent="0.25">
      <c r="C64" s="8">
        <f t="shared" si="8"/>
        <v>1.574283702332381</v>
      </c>
      <c r="D64" s="8">
        <f t="shared" si="0"/>
        <v>1.8425797630885659</v>
      </c>
      <c r="E64" s="8">
        <f t="shared" si="1"/>
        <v>1.956621478750137</v>
      </c>
      <c r="F64" s="8">
        <f t="shared" si="2"/>
        <v>-0.32854037737496516</v>
      </c>
      <c r="G64" s="8">
        <f t="shared" si="3"/>
        <v>-1.0906110646920737</v>
      </c>
      <c r="H64" s="8">
        <f t="shared" si="4"/>
        <v>1.6732070404036726E-2</v>
      </c>
      <c r="I64" s="8">
        <f t="shared" si="5"/>
        <v>-1.7363656076513412</v>
      </c>
      <c r="J64" s="8">
        <f t="shared" si="6"/>
        <v>-1.3088665487874371</v>
      </c>
    </row>
    <row r="65" spans="3:10" ht="15.75" x14ac:dyDescent="0.25">
      <c r="C65" s="8">
        <f t="shared" si="8"/>
        <v>0.96342185766976784</v>
      </c>
      <c r="D65" s="8">
        <f t="shared" si="0"/>
        <v>-1.2400713542541038</v>
      </c>
      <c r="E65" s="8">
        <f t="shared" si="1"/>
        <v>-0.88761514490640347</v>
      </c>
      <c r="F65" s="8">
        <f t="shared" si="2"/>
        <v>-0.93723751360411711</v>
      </c>
      <c r="G65" s="8">
        <f t="shared" si="3"/>
        <v>-1.121479842370283</v>
      </c>
      <c r="H65" s="8">
        <f t="shared" si="4"/>
        <v>-1.2164215183734699</v>
      </c>
      <c r="I65" s="8">
        <f t="shared" si="5"/>
        <v>-1.4803125770300509</v>
      </c>
      <c r="J65" s="8">
        <f t="shared" si="6"/>
        <v>-1.1619803547036531</v>
      </c>
    </row>
    <row r="66" spans="3:10" ht="15.75" x14ac:dyDescent="0.25">
      <c r="C66" s="8">
        <f t="shared" si="8"/>
        <v>-0.44758296662133862</v>
      </c>
      <c r="D66" s="8">
        <f t="shared" si="0"/>
        <v>-0.44514902995040723</v>
      </c>
      <c r="E66" s="8">
        <f t="shared" si="1"/>
        <v>-0.14455476742625648</v>
      </c>
      <c r="F66" s="8">
        <f t="shared" si="2"/>
        <v>-0.55914294629254768</v>
      </c>
      <c r="G66" s="8">
        <f t="shared" si="3"/>
        <v>0.44511062479884839</v>
      </c>
      <c r="H66" s="8">
        <f t="shared" si="4"/>
        <v>0.24428822789893617</v>
      </c>
      <c r="I66" s="8">
        <f t="shared" si="5"/>
        <v>-0.71790748585429909</v>
      </c>
      <c r="J66" s="8">
        <f t="shared" si="6"/>
        <v>-0.22854228262283358</v>
      </c>
    </row>
    <row r="67" spans="3:10" ht="15.75" x14ac:dyDescent="0.25">
      <c r="C67" s="8">
        <f t="shared" si="8"/>
        <v>-1.3911207454664078</v>
      </c>
      <c r="D67" s="8">
        <f t="shared" si="0"/>
        <v>-1.180982979086546</v>
      </c>
      <c r="E67" s="8">
        <f t="shared" si="1"/>
        <v>-0.79881739824954801</v>
      </c>
      <c r="F67" s="8">
        <f t="shared" si="2"/>
        <v>0.65766604045784349</v>
      </c>
      <c r="G67" s="8">
        <f t="shared" si="3"/>
        <v>0.68948844808467347</v>
      </c>
      <c r="H67" s="8">
        <f t="shared" si="4"/>
        <v>0.95205480598968961</v>
      </c>
      <c r="I67" s="8">
        <f t="shared" si="5"/>
        <v>-1.5953925907924287</v>
      </c>
      <c r="J67" s="8">
        <f t="shared" si="6"/>
        <v>-1.1951482049806366</v>
      </c>
    </row>
    <row r="68" spans="3:10" ht="15.75" x14ac:dyDescent="0.25">
      <c r="C68" s="8">
        <f t="shared" si="8"/>
        <v>1.0465908412153819</v>
      </c>
      <c r="D68" s="8">
        <f t="shared" si="0"/>
        <v>1.4317941412045181</v>
      </c>
      <c r="E68" s="8">
        <f t="shared" si="1"/>
        <v>1.8227129487897011</v>
      </c>
      <c r="F68" s="8">
        <f t="shared" si="2"/>
        <v>-1.4259510797111765</v>
      </c>
      <c r="G68" s="8">
        <f t="shared" si="3"/>
        <v>1.332587983047371</v>
      </c>
      <c r="H68" s="8">
        <f t="shared" si="4"/>
        <v>1.159532478999745</v>
      </c>
      <c r="I68" s="8">
        <f t="shared" si="5"/>
        <v>0.99678471920512779</v>
      </c>
      <c r="J68" s="8">
        <f t="shared" si="6"/>
        <v>0.61486876727760242</v>
      </c>
    </row>
    <row r="69" spans="3:10" ht="15.75" x14ac:dyDescent="0.25">
      <c r="C69" s="8">
        <f t="shared" si="8"/>
        <v>-0.72290098111716428</v>
      </c>
      <c r="D69" s="8">
        <f t="shared" si="0"/>
        <v>0.19476748826305254</v>
      </c>
      <c r="E69" s="8">
        <f t="shared" si="1"/>
        <v>0.28120212503093855</v>
      </c>
      <c r="F69" s="8">
        <f t="shared" si="2"/>
        <v>-1.2948470811387438</v>
      </c>
      <c r="G69" s="8">
        <f t="shared" si="3"/>
        <v>-0.98257034281834044</v>
      </c>
      <c r="H69" s="8">
        <f t="shared" si="4"/>
        <v>-1.3586441168077821</v>
      </c>
      <c r="I69" s="8">
        <f t="shared" si="5"/>
        <v>-1.5407295842552993</v>
      </c>
      <c r="J69" s="8">
        <f t="shared" si="6"/>
        <v>-1.1240742401013863</v>
      </c>
    </row>
    <row r="70" spans="3:10" ht="15.75" x14ac:dyDescent="0.25">
      <c r="C70" s="8">
        <f t="shared" si="8"/>
        <v>1.0093081934190722</v>
      </c>
      <c r="D70" s="8">
        <f t="shared" si="0"/>
        <v>1.1482757889121329</v>
      </c>
      <c r="E70" s="8">
        <f t="shared" si="1"/>
        <v>1.3428161709050375</v>
      </c>
      <c r="F70" s="8">
        <f t="shared" si="2"/>
        <v>0.23567504505282569</v>
      </c>
      <c r="G70" s="8">
        <f t="shared" si="3"/>
        <v>1.432911510501552</v>
      </c>
      <c r="H70" s="8">
        <f t="shared" si="4"/>
        <v>1.1612056860401487</v>
      </c>
      <c r="I70" s="8">
        <f t="shared" si="5"/>
        <v>0.31781263800709969</v>
      </c>
      <c r="J70" s="8">
        <f t="shared" si="6"/>
        <v>1.1834604863116043</v>
      </c>
    </row>
    <row r="71" spans="3:10" ht="15.75" x14ac:dyDescent="0.25">
      <c r="C71" s="8">
        <f t="shared" si="8"/>
        <v>-0.90644632411438142</v>
      </c>
      <c r="D71" s="8">
        <f t="shared" si="0"/>
        <v>-0.62132453841890478</v>
      </c>
      <c r="E71" s="8">
        <f t="shared" si="1"/>
        <v>-0.42452638789851638</v>
      </c>
      <c r="F71" s="8">
        <f t="shared" si="2"/>
        <v>1.235928319875538</v>
      </c>
      <c r="G71" s="8">
        <f t="shared" si="3"/>
        <v>3.3526922422721893E-2</v>
      </c>
      <c r="H71" s="8">
        <f t="shared" si="4"/>
        <v>-0.96544046231291902</v>
      </c>
      <c r="I71" s="8">
        <f t="shared" si="5"/>
        <v>0.36672164385611017</v>
      </c>
      <c r="J71" s="8">
        <f t="shared" si="6"/>
        <v>0.94654727004743688</v>
      </c>
    </row>
    <row r="72" spans="3:10" ht="15.75" x14ac:dyDescent="0.25">
      <c r="C72" s="8">
        <f t="shared" si="8"/>
        <v>0.69383963514260527</v>
      </c>
      <c r="D72" s="8">
        <f t="shared" si="0"/>
        <v>-0.22230678050394917</v>
      </c>
      <c r="E72" s="8">
        <f t="shared" si="1"/>
        <v>-0.35673866733763182</v>
      </c>
      <c r="F72" s="8">
        <f t="shared" si="2"/>
        <v>0.94738246587460329</v>
      </c>
      <c r="G72" s="8">
        <f t="shared" si="3"/>
        <v>-1.2835409251808829</v>
      </c>
      <c r="H72" s="8">
        <f t="shared" si="4"/>
        <v>-1.0340419509694696</v>
      </c>
      <c r="I72" s="8">
        <f t="shared" si="5"/>
        <v>0.82416469856156127</v>
      </c>
      <c r="J72" s="8">
        <f t="shared" si="6"/>
        <v>0.73806363973496947</v>
      </c>
    </row>
    <row r="73" spans="3:10" ht="15.75" x14ac:dyDescent="0.25">
      <c r="C73" s="8">
        <f t="shared" si="8"/>
        <v>-1.6807782398838911</v>
      </c>
      <c r="D73" s="8">
        <f>(D31-$D$37)/$D$39</f>
        <v>1.4201819368117368</v>
      </c>
      <c r="E73" s="8">
        <f t="shared" si="1"/>
        <v>1.2463089601270159</v>
      </c>
      <c r="F73" s="8">
        <f t="shared" si="2"/>
        <v>-0.9559666562573218</v>
      </c>
      <c r="G73" s="8">
        <f t="shared" si="3"/>
        <v>1.4380563067812535</v>
      </c>
      <c r="H73" s="8">
        <f t="shared" si="4"/>
        <v>-0.38985724041405567</v>
      </c>
      <c r="I73" s="8">
        <f t="shared" si="5"/>
        <v>0.43864665245759621</v>
      </c>
      <c r="J73" s="8">
        <f t="shared" si="6"/>
        <v>0.24054588558021792</v>
      </c>
    </row>
  </sheetData>
  <conditionalFormatting sqref="C44:J73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85" zoomScaleNormal="85" workbookViewId="0">
      <selection activeCell="D1" sqref="D1:D3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1.140625" customWidth="1"/>
    <col min="4" max="4" width="24.42578125" customWidth="1"/>
    <col min="5" max="5" width="15.7109375" bestFit="1" customWidth="1"/>
    <col min="6" max="6" width="26.7109375" customWidth="1"/>
    <col min="7" max="7" width="21.5703125" customWidth="1"/>
    <col min="8" max="8" width="25.85546875" customWidth="1"/>
    <col min="9" max="9" width="23.5703125" customWidth="1"/>
    <col min="10" max="10" width="21.7109375" customWidth="1"/>
    <col min="12" max="12" width="17.85546875" bestFit="1" customWidth="1"/>
    <col min="13" max="13" width="13.5703125" customWidth="1"/>
    <col min="14" max="14" width="13.85546875" customWidth="1"/>
    <col min="15" max="15" width="18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2">
        <v>43678</v>
      </c>
      <c r="C2" s="11">
        <v>2280</v>
      </c>
      <c r="D2" s="11">
        <v>82702</v>
      </c>
      <c r="E2" s="11">
        <v>56930</v>
      </c>
      <c r="F2" s="11">
        <v>7016</v>
      </c>
      <c r="G2" s="11">
        <v>2290</v>
      </c>
      <c r="H2" s="11">
        <v>2159</v>
      </c>
      <c r="I2" s="11">
        <v>1819</v>
      </c>
      <c r="J2" s="11">
        <v>618</v>
      </c>
    </row>
    <row r="3" spans="1:10" x14ac:dyDescent="0.25">
      <c r="A3" s="1" t="s">
        <v>11</v>
      </c>
      <c r="B3" s="2">
        <v>43679</v>
      </c>
      <c r="C3" s="11">
        <v>1757</v>
      </c>
      <c r="D3" s="11">
        <v>121040</v>
      </c>
      <c r="E3" s="11">
        <v>102513</v>
      </c>
      <c r="F3" s="11">
        <v>8110</v>
      </c>
      <c r="G3" s="11">
        <v>2033</v>
      </c>
      <c r="H3" s="11">
        <v>1841</v>
      </c>
      <c r="I3" s="11">
        <v>1219</v>
      </c>
      <c r="J3" s="11">
        <v>511</v>
      </c>
    </row>
    <row r="4" spans="1:10" x14ac:dyDescent="0.25">
      <c r="A4" s="1" t="s">
        <v>11</v>
      </c>
      <c r="B4" s="2">
        <v>43680</v>
      </c>
      <c r="C4" s="11">
        <v>2343</v>
      </c>
      <c r="D4" s="11">
        <v>131711</v>
      </c>
      <c r="E4" s="11">
        <v>110862</v>
      </c>
      <c r="F4" s="11">
        <v>6508</v>
      </c>
      <c r="G4" s="11">
        <v>1737</v>
      </c>
      <c r="H4" s="11">
        <v>1549</v>
      </c>
      <c r="I4" s="11">
        <v>1134</v>
      </c>
      <c r="J4" s="11">
        <v>372</v>
      </c>
    </row>
    <row r="5" spans="1:10" x14ac:dyDescent="0.25">
      <c r="A5" s="1" t="s">
        <v>11</v>
      </c>
      <c r="B5" s="2">
        <v>43681</v>
      </c>
      <c r="C5" s="11">
        <v>1940</v>
      </c>
      <c r="D5" s="11">
        <v>72878</v>
      </c>
      <c r="E5" s="11">
        <v>61235</v>
      </c>
      <c r="F5" s="11">
        <v>3065</v>
      </c>
      <c r="G5" s="11">
        <v>1042</v>
      </c>
      <c r="H5" s="11">
        <v>982</v>
      </c>
      <c r="I5" s="11">
        <v>1183</v>
      </c>
      <c r="J5" s="11">
        <v>340</v>
      </c>
    </row>
    <row r="6" spans="1:10" x14ac:dyDescent="0.25">
      <c r="A6" s="1" t="s">
        <v>11</v>
      </c>
      <c r="B6" s="2">
        <v>43682</v>
      </c>
      <c r="C6" s="11">
        <v>1835</v>
      </c>
      <c r="D6" s="11">
        <v>109559.75862068965</v>
      </c>
      <c r="E6" s="11">
        <v>88844.931034482754</v>
      </c>
      <c r="F6" s="11">
        <v>5320.7931034482763</v>
      </c>
      <c r="G6" s="11">
        <v>2135.0689655172414</v>
      </c>
      <c r="H6" s="11">
        <v>1943.7931034482758</v>
      </c>
      <c r="I6" s="11">
        <v>1300</v>
      </c>
      <c r="J6" s="11">
        <v>522.79310344827582</v>
      </c>
    </row>
    <row r="7" spans="1:10" x14ac:dyDescent="0.25">
      <c r="A7" s="1" t="s">
        <v>11</v>
      </c>
      <c r="B7" s="2">
        <v>43683</v>
      </c>
      <c r="C7" s="11">
        <v>3083</v>
      </c>
      <c r="D7" s="11">
        <v>109076</v>
      </c>
      <c r="E7" s="11">
        <v>87998</v>
      </c>
      <c r="F7" s="11">
        <v>4028</v>
      </c>
      <c r="G7" s="11">
        <v>1709</v>
      </c>
      <c r="H7" s="11">
        <v>1249</v>
      </c>
      <c r="I7" s="11">
        <v>784</v>
      </c>
      <c r="J7" s="11">
        <v>764</v>
      </c>
    </row>
    <row r="8" spans="1:10" x14ac:dyDescent="0.25">
      <c r="A8" s="1" t="s">
        <v>11</v>
      </c>
      <c r="B8" s="2">
        <v>43684</v>
      </c>
      <c r="C8" s="11">
        <v>2544</v>
      </c>
      <c r="D8" s="11">
        <v>142123</v>
      </c>
      <c r="E8" s="11">
        <v>127852</v>
      </c>
      <c r="F8" s="11">
        <v>2640</v>
      </c>
      <c r="G8" s="11">
        <v>1388</v>
      </c>
      <c r="H8" s="11">
        <v>1106</v>
      </c>
      <c r="I8" s="11">
        <v>1166</v>
      </c>
      <c r="J8" s="11">
        <v>499</v>
      </c>
    </row>
    <row r="9" spans="1:10" x14ac:dyDescent="0.25">
      <c r="A9" s="1" t="s">
        <v>11</v>
      </c>
      <c r="B9" s="2">
        <v>43685</v>
      </c>
      <c r="C9" s="11">
        <v>1900</v>
      </c>
      <c r="D9" s="11">
        <v>90939</v>
      </c>
      <c r="E9" s="11">
        <v>65217</v>
      </c>
      <c r="F9" s="11">
        <v>7260</v>
      </c>
      <c r="G9" s="11">
        <v>3047</v>
      </c>
      <c r="H9" s="11">
        <v>2746</v>
      </c>
      <c r="I9" s="11">
        <v>930</v>
      </c>
      <c r="J9" s="11">
        <v>462</v>
      </c>
    </row>
    <row r="10" spans="1:10" x14ac:dyDescent="0.25">
      <c r="A10" s="1" t="s">
        <v>11</v>
      </c>
      <c r="B10" s="2">
        <v>43686</v>
      </c>
      <c r="C10" s="11">
        <v>2813</v>
      </c>
      <c r="D10" s="11">
        <v>121332</v>
      </c>
      <c r="E10" s="11">
        <v>94896</v>
      </c>
      <c r="F10" s="11">
        <v>6198</v>
      </c>
      <c r="G10" s="11">
        <v>2487</v>
      </c>
      <c r="H10" s="11">
        <v>2179</v>
      </c>
      <c r="I10" s="11">
        <v>645</v>
      </c>
      <c r="J10" s="11">
        <v>501</v>
      </c>
    </row>
    <row r="11" spans="1:10" x14ac:dyDescent="0.25">
      <c r="A11" s="1" t="s">
        <v>11</v>
      </c>
      <c r="B11" s="2">
        <v>43687</v>
      </c>
      <c r="C11" s="11">
        <v>2149</v>
      </c>
      <c r="D11" s="11">
        <v>117624</v>
      </c>
      <c r="E11" s="11">
        <v>91257</v>
      </c>
      <c r="F11" s="11">
        <v>2277</v>
      </c>
      <c r="G11" s="11">
        <v>2475</v>
      </c>
      <c r="H11" s="11">
        <v>1984</v>
      </c>
      <c r="I11" s="11">
        <v>1629</v>
      </c>
      <c r="J11" s="11">
        <v>734</v>
      </c>
    </row>
    <row r="12" spans="1:10" x14ac:dyDescent="0.25">
      <c r="A12" s="1" t="s">
        <v>11</v>
      </c>
      <c r="B12" s="2">
        <v>43688</v>
      </c>
      <c r="C12" s="11">
        <v>2490</v>
      </c>
      <c r="D12" s="11">
        <v>115247</v>
      </c>
      <c r="E12" s="11">
        <v>95843</v>
      </c>
      <c r="F12" s="11">
        <v>8137</v>
      </c>
      <c r="G12" s="11">
        <v>2941</v>
      </c>
      <c r="H12" s="11">
        <v>2486</v>
      </c>
      <c r="I12" s="11">
        <v>1887</v>
      </c>
      <c r="J12" s="11">
        <v>475</v>
      </c>
    </row>
    <row r="13" spans="1:10" x14ac:dyDescent="0.25">
      <c r="A13" s="1" t="s">
        <v>11</v>
      </c>
      <c r="B13" s="2">
        <v>43689</v>
      </c>
      <c r="C13" s="11">
        <v>2319</v>
      </c>
      <c r="D13" s="11">
        <v>116639</v>
      </c>
      <c r="E13" s="11">
        <v>100189</v>
      </c>
      <c r="F13" s="11">
        <v>2993</v>
      </c>
      <c r="G13" s="11">
        <v>1397</v>
      </c>
      <c r="H13" s="11">
        <v>1147</v>
      </c>
      <c r="I13" s="11">
        <v>1439</v>
      </c>
      <c r="J13" s="11">
        <v>794</v>
      </c>
    </row>
    <row r="14" spans="1:10" x14ac:dyDescent="0.25">
      <c r="A14" s="1" t="s">
        <v>11</v>
      </c>
      <c r="B14" s="2">
        <v>43690</v>
      </c>
      <c r="C14" s="11">
        <v>2697</v>
      </c>
      <c r="D14" s="11">
        <v>82847</v>
      </c>
      <c r="E14" s="11">
        <v>68214</v>
      </c>
      <c r="F14" s="11">
        <v>6554</v>
      </c>
      <c r="G14" s="11">
        <v>2390</v>
      </c>
      <c r="H14" s="11">
        <v>1975</v>
      </c>
      <c r="I14" s="11">
        <v>1794</v>
      </c>
      <c r="J14" s="11">
        <v>766</v>
      </c>
    </row>
    <row r="15" spans="1:10" x14ac:dyDescent="0.25">
      <c r="A15" s="1" t="s">
        <v>11</v>
      </c>
      <c r="B15" s="2">
        <v>43691</v>
      </c>
      <c r="C15" s="11">
        <v>1875</v>
      </c>
      <c r="D15" s="11">
        <v>145248</v>
      </c>
      <c r="E15" s="11">
        <v>118632</v>
      </c>
      <c r="F15" s="11">
        <v>4521</v>
      </c>
      <c r="G15" s="11">
        <v>1209</v>
      </c>
      <c r="H15" s="11">
        <v>1149</v>
      </c>
      <c r="I15" s="11">
        <v>1339</v>
      </c>
      <c r="J15" s="11">
        <v>788</v>
      </c>
    </row>
    <row r="16" spans="1:10" x14ac:dyDescent="0.25">
      <c r="A16" s="1" t="s">
        <v>11</v>
      </c>
      <c r="B16" s="2">
        <v>43692</v>
      </c>
      <c r="C16" s="11">
        <v>2774</v>
      </c>
      <c r="D16" s="11">
        <v>132845</v>
      </c>
      <c r="E16" s="11">
        <v>102479</v>
      </c>
      <c r="F16" s="11">
        <v>4896</v>
      </c>
      <c r="G16" s="11">
        <v>1179</v>
      </c>
      <c r="H16" s="11">
        <v>1005</v>
      </c>
      <c r="I16" s="11">
        <v>1641</v>
      </c>
      <c r="J16" s="11">
        <v>366</v>
      </c>
    </row>
    <row r="17" spans="1:10" x14ac:dyDescent="0.25">
      <c r="A17" s="1" t="s">
        <v>11</v>
      </c>
      <c r="B17" s="2">
        <v>43693</v>
      </c>
      <c r="C17" s="11">
        <v>2024</v>
      </c>
      <c r="D17" s="11">
        <v>71274</v>
      </c>
      <c r="E17" s="11">
        <v>42859</v>
      </c>
      <c r="F17" s="11">
        <v>5224</v>
      </c>
      <c r="G17" s="11">
        <v>2427</v>
      </c>
      <c r="H17" s="11">
        <v>2158</v>
      </c>
      <c r="I17" s="11">
        <v>1613</v>
      </c>
      <c r="J17" s="11">
        <v>438</v>
      </c>
    </row>
    <row r="18" spans="1:10" x14ac:dyDescent="0.25">
      <c r="A18" s="1" t="s">
        <v>11</v>
      </c>
      <c r="B18" s="2">
        <v>43694</v>
      </c>
      <c r="C18" s="11">
        <v>2177</v>
      </c>
      <c r="D18" s="11">
        <v>119612</v>
      </c>
      <c r="E18" s="11">
        <v>106518</v>
      </c>
      <c r="F18" s="11">
        <v>6628</v>
      </c>
      <c r="G18" s="11">
        <v>1756</v>
      </c>
      <c r="H18" s="11">
        <v>1642</v>
      </c>
      <c r="I18" s="11">
        <v>878</v>
      </c>
      <c r="J18" s="11">
        <v>222</v>
      </c>
    </row>
    <row r="19" spans="1:10" x14ac:dyDescent="0.25">
      <c r="A19" s="1" t="s">
        <v>11</v>
      </c>
      <c r="B19" s="2">
        <v>43695</v>
      </c>
      <c r="C19" s="11">
        <v>1876</v>
      </c>
      <c r="D19" s="11">
        <v>108452</v>
      </c>
      <c r="E19" s="11">
        <v>96518</v>
      </c>
      <c r="F19" s="11">
        <v>7253</v>
      </c>
      <c r="G19" s="11">
        <v>2447</v>
      </c>
      <c r="H19" s="11">
        <v>2115</v>
      </c>
      <c r="I19" s="11">
        <v>1695</v>
      </c>
      <c r="J19" s="11">
        <v>243</v>
      </c>
    </row>
    <row r="20" spans="1:10" x14ac:dyDescent="0.25">
      <c r="A20" s="1" t="s">
        <v>11</v>
      </c>
      <c r="B20" s="2">
        <v>43696</v>
      </c>
      <c r="C20" s="11">
        <v>2596</v>
      </c>
      <c r="D20" s="11">
        <v>107890</v>
      </c>
      <c r="E20" s="11">
        <v>81268</v>
      </c>
      <c r="F20" s="11">
        <v>3706</v>
      </c>
      <c r="G20" s="11">
        <v>2483</v>
      </c>
      <c r="H20" s="11">
        <v>2098</v>
      </c>
      <c r="I20" s="11">
        <v>908</v>
      </c>
      <c r="J20" s="11">
        <v>542</v>
      </c>
    </row>
    <row r="21" spans="1:10" x14ac:dyDescent="0.25">
      <c r="A21" s="1" t="s">
        <v>11</v>
      </c>
      <c r="B21" s="2">
        <v>43697</v>
      </c>
      <c r="C21" s="11">
        <v>2675</v>
      </c>
      <c r="D21" s="11">
        <v>113430</v>
      </c>
      <c r="E21" s="11">
        <v>78625</v>
      </c>
      <c r="F21" s="11">
        <v>2578</v>
      </c>
      <c r="G21" s="11">
        <v>1001</v>
      </c>
      <c r="H21" s="11">
        <v>848</v>
      </c>
      <c r="I21" s="11">
        <v>1709</v>
      </c>
      <c r="J21" s="11">
        <v>299</v>
      </c>
    </row>
    <row r="22" spans="1:10" x14ac:dyDescent="0.25">
      <c r="A22" s="1" t="s">
        <v>11</v>
      </c>
      <c r="B22" s="2">
        <v>43698</v>
      </c>
      <c r="C22" s="11">
        <v>1803</v>
      </c>
      <c r="D22" s="11">
        <v>74654</v>
      </c>
      <c r="E22" s="11">
        <v>59873</v>
      </c>
      <c r="F22" s="11">
        <v>5691</v>
      </c>
      <c r="G22" s="11">
        <v>2711</v>
      </c>
      <c r="H22" s="11">
        <v>2496</v>
      </c>
      <c r="I22" s="11">
        <v>1460</v>
      </c>
      <c r="J22" s="11">
        <v>800</v>
      </c>
    </row>
    <row r="23" spans="1:10" x14ac:dyDescent="0.25">
      <c r="A23" s="1" t="s">
        <v>11</v>
      </c>
      <c r="B23" s="2">
        <v>43699</v>
      </c>
      <c r="C23" s="11">
        <v>2939</v>
      </c>
      <c r="D23" s="11">
        <v>105705</v>
      </c>
      <c r="E23" s="11">
        <v>86218</v>
      </c>
      <c r="F23" s="11">
        <v>6843</v>
      </c>
      <c r="G23" s="11">
        <v>3102</v>
      </c>
      <c r="H23" s="11">
        <v>2988</v>
      </c>
      <c r="I23" s="11">
        <v>819</v>
      </c>
      <c r="J23" s="11">
        <v>387</v>
      </c>
    </row>
    <row r="24" spans="1:10" x14ac:dyDescent="0.25">
      <c r="A24" s="1" t="s">
        <v>11</v>
      </c>
      <c r="B24" s="2">
        <v>43700</v>
      </c>
      <c r="C24" s="11">
        <v>2496</v>
      </c>
      <c r="D24" s="11">
        <v>129880</v>
      </c>
      <c r="E24" s="11">
        <v>109413</v>
      </c>
      <c r="F24" s="11">
        <v>4410</v>
      </c>
      <c r="G24" s="11">
        <v>2896</v>
      </c>
      <c r="H24" s="11">
        <v>2496</v>
      </c>
      <c r="I24" s="11">
        <v>1913</v>
      </c>
      <c r="J24" s="11">
        <v>766</v>
      </c>
    </row>
    <row r="25" spans="1:10" x14ac:dyDescent="0.25">
      <c r="A25" s="1" t="s">
        <v>11</v>
      </c>
      <c r="B25" s="2">
        <v>43701</v>
      </c>
      <c r="C25" s="11">
        <v>1892</v>
      </c>
      <c r="D25" s="11">
        <v>72515</v>
      </c>
      <c r="E25" s="11">
        <v>51987</v>
      </c>
      <c r="F25" s="11">
        <v>4085</v>
      </c>
      <c r="G25" s="11">
        <v>1274</v>
      </c>
      <c r="H25" s="11">
        <v>1149</v>
      </c>
      <c r="I25" s="11">
        <v>1146</v>
      </c>
      <c r="J25" s="11">
        <v>585</v>
      </c>
    </row>
    <row r="26" spans="1:10" x14ac:dyDescent="0.25">
      <c r="A26" s="1" t="s">
        <v>11</v>
      </c>
      <c r="B26" s="2">
        <v>43702</v>
      </c>
      <c r="C26" s="11">
        <v>1962</v>
      </c>
      <c r="D26" s="11">
        <v>117006</v>
      </c>
      <c r="E26" s="11">
        <v>100398</v>
      </c>
      <c r="F26" s="11">
        <v>4234</v>
      </c>
      <c r="G26" s="11">
        <v>2423</v>
      </c>
      <c r="H26" s="11">
        <v>2096</v>
      </c>
      <c r="I26" s="11">
        <v>883</v>
      </c>
      <c r="J26" s="11">
        <v>386</v>
      </c>
    </row>
    <row r="27" spans="1:10" x14ac:dyDescent="0.25">
      <c r="A27" s="1" t="s">
        <v>11</v>
      </c>
      <c r="B27" s="2">
        <v>43703</v>
      </c>
      <c r="C27" s="11">
        <v>2233</v>
      </c>
      <c r="D27" s="11">
        <v>124897</v>
      </c>
      <c r="E27" s="11">
        <v>98432</v>
      </c>
      <c r="F27" s="11">
        <v>5435</v>
      </c>
      <c r="G27" s="11">
        <v>2847</v>
      </c>
      <c r="H27" s="11">
        <v>2421</v>
      </c>
      <c r="I27" s="11">
        <v>1448</v>
      </c>
      <c r="J27" s="11">
        <v>251</v>
      </c>
    </row>
    <row r="28" spans="1:10" x14ac:dyDescent="0.25">
      <c r="A28" s="1" t="s">
        <v>11</v>
      </c>
      <c r="B28" s="2">
        <v>43704</v>
      </c>
      <c r="C28" s="11">
        <v>2061</v>
      </c>
      <c r="D28" s="11">
        <v>104678</v>
      </c>
      <c r="E28" s="11">
        <v>91579</v>
      </c>
      <c r="F28" s="11">
        <v>4941</v>
      </c>
      <c r="G28" s="11">
        <v>3549</v>
      </c>
      <c r="H28" s="11">
        <v>3249</v>
      </c>
      <c r="I28" s="11">
        <v>980</v>
      </c>
      <c r="J28" s="11">
        <v>605</v>
      </c>
    </row>
    <row r="29" spans="1:10" x14ac:dyDescent="0.25">
      <c r="A29" s="1" t="s">
        <v>11</v>
      </c>
      <c r="B29" s="2">
        <v>43705</v>
      </c>
      <c r="C29" s="11">
        <v>2421</v>
      </c>
      <c r="D29" s="11">
        <v>141654</v>
      </c>
      <c r="E29" s="11">
        <v>125874</v>
      </c>
      <c r="F29" s="11">
        <v>6287</v>
      </c>
      <c r="G29" s="11">
        <v>1672</v>
      </c>
      <c r="H29" s="11">
        <v>1589</v>
      </c>
      <c r="I29" s="11">
        <v>1711</v>
      </c>
      <c r="J29" s="11">
        <v>643</v>
      </c>
    </row>
    <row r="30" spans="1:10" x14ac:dyDescent="0.25">
      <c r="A30" s="1" t="s">
        <v>11</v>
      </c>
      <c r="B30" s="2">
        <v>43706</v>
      </c>
      <c r="C30" s="11">
        <v>2375</v>
      </c>
      <c r="D30" s="11">
        <v>92029</v>
      </c>
      <c r="E30" s="11">
        <v>74192</v>
      </c>
      <c r="F30" s="11">
        <v>8127</v>
      </c>
      <c r="G30" s="11">
        <v>2390</v>
      </c>
      <c r="H30" s="11">
        <v>4219</v>
      </c>
      <c r="I30" s="11">
        <v>1486</v>
      </c>
      <c r="J30" s="11">
        <v>334</v>
      </c>
    </row>
    <row r="31" spans="1:10" x14ac:dyDescent="0.25">
      <c r="A31" s="1" t="s">
        <v>11</v>
      </c>
      <c r="B31" s="2">
        <v>43707</v>
      </c>
      <c r="C31" s="11">
        <v>2324</v>
      </c>
      <c r="D31" s="11">
        <v>111306</v>
      </c>
      <c r="E31" s="11">
        <v>88632</v>
      </c>
      <c r="F31" s="11">
        <v>4658</v>
      </c>
      <c r="G31" s="11">
        <v>1615</v>
      </c>
      <c r="H31" s="11">
        <v>1249</v>
      </c>
      <c r="I31" s="11">
        <v>442</v>
      </c>
      <c r="J31" s="11">
        <v>670</v>
      </c>
    </row>
    <row r="33" spans="2:15" x14ac:dyDescent="0.25">
      <c r="B33" t="s">
        <v>12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2:15" x14ac:dyDescent="0.25">
      <c r="B34" t="s">
        <v>13</v>
      </c>
      <c r="C34" s="11">
        <f>MIN(control_group[Spend '[USD']])</f>
        <v>1757</v>
      </c>
      <c r="D34" s="11">
        <f>MIN(control_group['# of Impressions])</f>
        <v>71274</v>
      </c>
      <c r="E34" s="11">
        <f>MIN(control_group[Reach])</f>
        <v>42859</v>
      </c>
      <c r="F34" s="11">
        <f>MIN(control_group['# of Website Clicks])</f>
        <v>2277</v>
      </c>
      <c r="G34" s="11">
        <f>MIN(control_group['# of Searches])</f>
        <v>1001</v>
      </c>
      <c r="H34" s="11">
        <f>MIN(control_group['# of View Content])</f>
        <v>848</v>
      </c>
      <c r="I34" s="11">
        <f>MIN(control_group['# of Add to Cart])</f>
        <v>442</v>
      </c>
      <c r="J34" s="11">
        <f>MIN(control_group['# of Purchase])</f>
        <v>222</v>
      </c>
    </row>
    <row r="35" spans="2:15" x14ac:dyDescent="0.25">
      <c r="B35" t="s">
        <v>14</v>
      </c>
      <c r="C35" s="11">
        <f>MAX(control_group[Spend '[USD']])</f>
        <v>3083</v>
      </c>
      <c r="D35" s="11">
        <f>MAX(control_group['# of Impressions])</f>
        <v>145248</v>
      </c>
      <c r="E35" s="11">
        <f>MAX(control_group[Reach])</f>
        <v>127852</v>
      </c>
      <c r="F35" s="11">
        <f>MAX(control_group['# of Website Clicks])</f>
        <v>8137</v>
      </c>
      <c r="G35" s="11">
        <f>MAX(control_group['# of Searches])</f>
        <v>3549</v>
      </c>
      <c r="H35" s="11">
        <f>MAX(control_group['# of View Content])</f>
        <v>4219</v>
      </c>
      <c r="I35" s="11">
        <f>MAX(control_group['# of Add to Cart])</f>
        <v>1913</v>
      </c>
      <c r="J35" s="11">
        <f>MAX(control_group['# of Purchase])</f>
        <v>800</v>
      </c>
    </row>
    <row r="36" spans="2:15" x14ac:dyDescent="0.25">
      <c r="B36" t="s">
        <v>15</v>
      </c>
      <c r="C36" s="11">
        <f>AVERAGE(control_group[Spend '[USD']])</f>
        <v>2288.4333333333334</v>
      </c>
      <c r="D36" s="11">
        <f>AVERAGE(control_group['# of Impressions])</f>
        <v>109559.75862068965</v>
      </c>
      <c r="E36" s="11">
        <f>AVERAGE(control_group[Reach])</f>
        <v>88844.931034482768</v>
      </c>
      <c r="F36" s="11">
        <f>AVERAGE(control_group['# of Website Clicks])</f>
        <v>5320.7931034482763</v>
      </c>
      <c r="G36" s="11">
        <f>AVERAGE(control_group['# of Searches])</f>
        <v>2135.0689655172414</v>
      </c>
      <c r="H36" s="11">
        <f>AVERAGE(control_group['# of View Content])</f>
        <v>1943.7931034482758</v>
      </c>
      <c r="I36" s="11">
        <f>AVERAGE(control_group['# of Add to Cart])</f>
        <v>1300</v>
      </c>
      <c r="J36" s="11">
        <f>AVERAGE(control_group['# of Purchase])</f>
        <v>522.79310344827582</v>
      </c>
    </row>
    <row r="37" spans="2:15" x14ac:dyDescent="0.25">
      <c r="B37" t="s">
        <v>16</v>
      </c>
      <c r="C37" s="11">
        <f>MEDIAN(control_group[Spend '[USD']])</f>
        <v>2299.5</v>
      </c>
      <c r="D37" s="11">
        <f>MEDIAN(control_group['# of Impressions])</f>
        <v>112368</v>
      </c>
      <c r="E37" s="11">
        <f>MEDIAN(control_group[Reach])</f>
        <v>91418</v>
      </c>
      <c r="F37" s="11">
        <f>MEDIAN(control_group['# of Website Clicks])</f>
        <v>5272.3965517241377</v>
      </c>
      <c r="G37" s="11">
        <f>MEDIAN(control_group['# of Searches])</f>
        <v>2340</v>
      </c>
      <c r="H37" s="11">
        <f>MEDIAN(control_group['# of View Content])</f>
        <v>1979.5</v>
      </c>
      <c r="I37" s="11">
        <f>MEDIAN(control_group['# of Add to Cart])</f>
        <v>1319.5</v>
      </c>
      <c r="J37" s="11">
        <f>MEDIAN(control_group['# of Purchase])</f>
        <v>506</v>
      </c>
    </row>
    <row r="38" spans="2:15" x14ac:dyDescent="0.25">
      <c r="B38" t="s">
        <v>17</v>
      </c>
      <c r="C38" s="11">
        <f>_xlfn.STDEV.S(control_group[Spend '[USD']])</f>
        <v>367.33445094433353</v>
      </c>
      <c r="D38" s="11">
        <f>_xlfn.STDEV.S(control_group['# of Impressions])</f>
        <v>21311.695472375115</v>
      </c>
      <c r="E38" s="11">
        <f>_xlfn.STDEV.S(control_group[Reach])</f>
        <v>21452.627592347097</v>
      </c>
      <c r="F38" s="11">
        <f>_xlfn.STDEV.S(control_group['# of Website Clicks])</f>
        <v>1726.8037322196171</v>
      </c>
      <c r="G38" s="11">
        <f>_xlfn.STDEV.S(control_group['# of Searches])</f>
        <v>687.03826782112617</v>
      </c>
      <c r="H38" s="11">
        <f>_xlfn.STDEV.S(control_group['# of View Content])</f>
        <v>764.02190703879455</v>
      </c>
      <c r="I38" s="11">
        <f>_xlfn.STDEV.S(control_group['# of Add to Cart])</f>
        <v>400.37120706698659</v>
      </c>
      <c r="J38" s="11">
        <f>_xlfn.STDEV.S(control_group['# of Purchase])</f>
        <v>181.81050751288498</v>
      </c>
    </row>
    <row r="39" spans="2:15" x14ac:dyDescent="0.25">
      <c r="B39" t="s">
        <v>18</v>
      </c>
      <c r="C39" s="11">
        <f>_xlfn.VAR.S(control_group[Spend '[USD']])</f>
        <v>134934.59885057498</v>
      </c>
      <c r="D39" s="11">
        <f>_xlfn.VAR.S(control_group['# of Impressions])</f>
        <v>454188363.90725392</v>
      </c>
      <c r="E39" s="11">
        <f>_xlfn.VAR.S(control_group[Reach])</f>
        <v>460215230.61593205</v>
      </c>
      <c r="F39" s="11">
        <f>_xlfn.VAR.S(control_group['# of Website Clicks])</f>
        <v>2981851.1296075992</v>
      </c>
      <c r="G39" s="11">
        <f>_xlfn.VAR.S(control_group['# of Searches])</f>
        <v>472021.5814506535</v>
      </c>
      <c r="H39" s="11">
        <f>_xlfn.VAR.S(control_group['# of View Content])</f>
        <v>583729.47443519637</v>
      </c>
      <c r="I39" s="11">
        <f>_xlfn.VAR.S(control_group['# of Add to Cart])</f>
        <v>160297.10344827586</v>
      </c>
      <c r="J39" s="11">
        <f>_xlfn.VAR.S(control_group['# of Purchase])</f>
        <v>33055.060642092809</v>
      </c>
    </row>
    <row r="41" spans="2:15" x14ac:dyDescent="0.25">
      <c r="C41" t="s">
        <v>19</v>
      </c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t="s">
        <v>25</v>
      </c>
      <c r="J41" t="s">
        <v>26</v>
      </c>
      <c r="L41" t="s">
        <v>30</v>
      </c>
      <c r="M41" t="s">
        <v>27</v>
      </c>
      <c r="N41" t="s">
        <v>28</v>
      </c>
      <c r="O41" t="s">
        <v>29</v>
      </c>
    </row>
    <row r="42" spans="2:15" x14ac:dyDescent="0.25">
      <c r="C42" s="7">
        <f>(C2-$C$36)/$C$38</f>
        <v>-2.2958187863003885E-2</v>
      </c>
      <c r="D42" s="7">
        <f t="shared" ref="D42:D71" si="0">(D2-$D$36)/$D$38</f>
        <v>-1.2602356605321954</v>
      </c>
      <c r="E42" s="7">
        <f t="shared" ref="E42:E71" si="1">(E2-$E$36)/$E$38</f>
        <v>-1.4876933325346096</v>
      </c>
      <c r="F42" s="7">
        <f t="shared" ref="F42:F71" si="2">(F2-$F$36)/$F$38</f>
        <v>0.9817021268379591</v>
      </c>
      <c r="G42" s="7">
        <f t="shared" ref="G42:G71" si="3">(G2-$G$36)/$G$38</f>
        <v>0.22550568394699039</v>
      </c>
      <c r="H42" s="7">
        <f t="shared" ref="H42:H71" si="4">(H2-$H$36)/$H$38</f>
        <v>0.28167634274496878</v>
      </c>
      <c r="I42" s="7">
        <f t="shared" ref="I42:I71" si="5">(I2-$I$36)/$I$38</f>
        <v>1.2962970134692167</v>
      </c>
      <c r="J42" s="7">
        <f t="shared" ref="J42:J71" si="6">(J2-$J$36)/$J$38</f>
        <v>0.52366003403283412</v>
      </c>
      <c r="L42" t="s">
        <v>2</v>
      </c>
      <c r="M42" s="6">
        <f>MIN(Table6[Spend '[USD'] Z-score])</f>
        <v>-1.4467288106714165</v>
      </c>
      <c r="N42" s="6">
        <f>MAX(Table6[Spend '[USD'] Z-score])</f>
        <v>2.1630605695273504</v>
      </c>
      <c r="O42" s="10" t="s">
        <v>31</v>
      </c>
    </row>
    <row r="43" spans="2:15" x14ac:dyDescent="0.25">
      <c r="C43" s="7">
        <f t="shared" ref="C43:C70" si="7">(C3-$C$36)/$C$38</f>
        <v>-1.4467288106714165</v>
      </c>
      <c r="D43" s="7">
        <f t="shared" si="0"/>
        <v>0.53868268689327858</v>
      </c>
      <c r="E43" s="7">
        <f t="shared" si="1"/>
        <v>0.63712796517257919</v>
      </c>
      <c r="F43" s="7">
        <f t="shared" si="2"/>
        <v>1.6152425689782959</v>
      </c>
      <c r="G43" s="7">
        <f t="shared" si="3"/>
        <v>-0.1485637267934769</v>
      </c>
      <c r="H43" s="7">
        <f t="shared" si="4"/>
        <v>-0.13454208904386339</v>
      </c>
      <c r="I43" s="7">
        <f t="shared" si="5"/>
        <v>-0.20231225065704536</v>
      </c>
      <c r="J43" s="7">
        <f t="shared" si="6"/>
        <v>-6.4864806823335189E-2</v>
      </c>
      <c r="L43" t="s">
        <v>3</v>
      </c>
      <c r="M43" s="6">
        <f>MIN(Table6['# of Impressions Z-score])</f>
        <v>-1.7964670464776886</v>
      </c>
      <c r="N43" s="6">
        <f>MAX(Table6['# of Impressions Z-score])</f>
        <v>1.6745848037088631</v>
      </c>
      <c r="O43" s="10" t="s">
        <v>31</v>
      </c>
    </row>
    <row r="44" spans="2:15" x14ac:dyDescent="0.25">
      <c r="C44" s="7">
        <f t="shared" si="7"/>
        <v>0.148547642417933</v>
      </c>
      <c r="D44" s="7">
        <f t="shared" si="0"/>
        <v>1.039393670392085</v>
      </c>
      <c r="E44" s="7">
        <f t="shared" si="1"/>
        <v>1.0263110600666694</v>
      </c>
      <c r="F44" s="7">
        <f t="shared" si="2"/>
        <v>0.68751698551502394</v>
      </c>
      <c r="G44" s="7">
        <f t="shared" si="3"/>
        <v>-0.5793985344945598</v>
      </c>
      <c r="H44" s="7">
        <f t="shared" si="4"/>
        <v>-0.51673008301348289</v>
      </c>
      <c r="I44" s="7">
        <f t="shared" si="5"/>
        <v>-0.41461522974159915</v>
      </c>
      <c r="J44" s="7">
        <f t="shared" si="6"/>
        <v>-0.82939707672060181</v>
      </c>
      <c r="L44" t="s">
        <v>4</v>
      </c>
      <c r="M44" s="6">
        <f>MIN(Table6[Reach Z-score])</f>
        <v>-2.143603660508588</v>
      </c>
      <c r="N44" s="6">
        <f>MAX(Table6[Reach Z-score])</f>
        <v>1.8182886360938098</v>
      </c>
      <c r="O44" s="10" t="s">
        <v>31</v>
      </c>
    </row>
    <row r="45" spans="2:15" x14ac:dyDescent="0.25">
      <c r="C45" s="7">
        <f t="shared" si="7"/>
        <v>-0.94854520842679024</v>
      </c>
      <c r="D45" s="7">
        <f t="shared" si="0"/>
        <v>-1.7212032082683282</v>
      </c>
      <c r="E45" s="7">
        <f t="shared" si="1"/>
        <v>-1.2870186141828237</v>
      </c>
      <c r="F45" s="7">
        <f t="shared" si="2"/>
        <v>-1.3063401829394365</v>
      </c>
      <c r="G45" s="7">
        <f t="shared" si="3"/>
        <v>-1.5909870187927106</v>
      </c>
      <c r="H45" s="7">
        <f t="shared" si="4"/>
        <v>-1.2588554000709289</v>
      </c>
      <c r="I45" s="7">
        <f t="shared" si="5"/>
        <v>-0.29222880650462107</v>
      </c>
      <c r="J45" s="7">
        <f t="shared" si="6"/>
        <v>-1.0054045057616992</v>
      </c>
      <c r="L45" t="s">
        <v>5</v>
      </c>
      <c r="M45" s="6">
        <f>MIN(Table6['# of Website Clicks Z-score])</f>
        <v>-1.7626746147553281</v>
      </c>
      <c r="N45" s="6">
        <f>MAX(Table6['# of Website Clicks Z-score])</f>
        <v>1.6308783934186881</v>
      </c>
      <c r="O45" s="10" t="s">
        <v>31</v>
      </c>
    </row>
    <row r="46" spans="2:15" x14ac:dyDescent="0.25">
      <c r="C46" s="7">
        <f t="shared" si="7"/>
        <v>-1.2343882588950184</v>
      </c>
      <c r="D46" s="7">
        <f>(D6-$D$36)/$D$38</f>
        <v>0</v>
      </c>
      <c r="E46" s="7">
        <f t="shared" si="1"/>
        <v>-6.7832787222568625E-16</v>
      </c>
      <c r="F46" s="7">
        <f t="shared" si="2"/>
        <v>0</v>
      </c>
      <c r="G46" s="7">
        <f t="shared" si="3"/>
        <v>0</v>
      </c>
      <c r="H46" s="7">
        <f t="shared" si="4"/>
        <v>0</v>
      </c>
      <c r="I46" s="7">
        <f t="shared" si="5"/>
        <v>0</v>
      </c>
      <c r="J46" s="7">
        <f t="shared" si="6"/>
        <v>0</v>
      </c>
      <c r="L46" t="s">
        <v>6</v>
      </c>
      <c r="M46" s="6">
        <f>MIN(Table6['# of Searches Z-score])</f>
        <v>-1.6506634617513065</v>
      </c>
      <c r="N46" s="6">
        <f>MAX(Table6['# of Searches Z-score])</f>
        <v>2.0580091396755829</v>
      </c>
      <c r="O46" s="10" t="s">
        <v>31</v>
      </c>
    </row>
    <row r="47" spans="2:15" x14ac:dyDescent="0.25">
      <c r="C47" s="7">
        <f t="shared" si="7"/>
        <v>2.1630605695273504</v>
      </c>
      <c r="D47" s="7">
        <f t="shared" si="0"/>
        <v>-2.2699208578534504E-2</v>
      </c>
      <c r="E47" s="7">
        <f t="shared" si="1"/>
        <v>-3.9479128178447384E-2</v>
      </c>
      <c r="F47" s="7">
        <f t="shared" si="2"/>
        <v>-0.74866244456544706</v>
      </c>
      <c r="G47" s="7">
        <f t="shared" si="3"/>
        <v>-0.62015317846628393</v>
      </c>
      <c r="H47" s="7">
        <f t="shared" si="4"/>
        <v>-0.90938898092747555</v>
      </c>
      <c r="I47" s="7">
        <f t="shared" si="5"/>
        <v>-1.2888039671485851</v>
      </c>
      <c r="J47" s="7">
        <f t="shared" si="6"/>
        <v>1.3266939290328408</v>
      </c>
      <c r="L47" t="s">
        <v>7</v>
      </c>
      <c r="M47" s="6">
        <f>MIN(Table6['# of View Content Z-score])</f>
        <v>-1.4342430411391791</v>
      </c>
      <c r="N47" s="6">
        <f>MAX(Table6['# of View Content Z-score])</f>
        <v>2.9779341084210516</v>
      </c>
      <c r="O47" s="10" t="s">
        <v>31</v>
      </c>
    </row>
    <row r="48" spans="2:15" x14ac:dyDescent="0.25">
      <c r="C48" s="7">
        <f t="shared" si="7"/>
        <v>0.69573291045711261</v>
      </c>
      <c r="D48" s="7">
        <f t="shared" si="0"/>
        <v>1.5279517024593299</v>
      </c>
      <c r="E48" s="7">
        <f t="shared" si="1"/>
        <v>1.8182886360938098</v>
      </c>
      <c r="F48" s="7">
        <f t="shared" si="2"/>
        <v>-1.5524596417233882</v>
      </c>
      <c r="G48" s="7">
        <f t="shared" si="3"/>
        <v>-1.0873760611421204</v>
      </c>
      <c r="H48" s="7">
        <f t="shared" si="4"/>
        <v>-1.0965563889331453</v>
      </c>
      <c r="I48" s="7">
        <f t="shared" si="5"/>
        <v>-0.33468940232153183</v>
      </c>
      <c r="J48" s="7">
        <f t="shared" si="6"/>
        <v>-0.13086759271374671</v>
      </c>
      <c r="L48" t="s">
        <v>8</v>
      </c>
      <c r="M48" s="6">
        <f>MIN(Table6['# of Add to Cart Z-score])</f>
        <v>-2.1430112477005547</v>
      </c>
      <c r="N48" s="6">
        <f>MAX(Table6['# of Add to Cart Z-score])</f>
        <v>1.5310791315156642</v>
      </c>
      <c r="O48" s="10" t="s">
        <v>31</v>
      </c>
    </row>
    <row r="49" spans="3:15" x14ac:dyDescent="0.25">
      <c r="C49" s="7">
        <f t="shared" si="7"/>
        <v>-1.0574377990813533</v>
      </c>
      <c r="D49" s="7">
        <f t="shared" si="0"/>
        <v>-0.87373426693462564</v>
      </c>
      <c r="E49" s="7">
        <f t="shared" si="1"/>
        <v>-1.1014003264994763</v>
      </c>
      <c r="F49" s="7">
        <f t="shared" si="2"/>
        <v>1.1230036514103925</v>
      </c>
      <c r="G49" s="7">
        <f t="shared" si="3"/>
        <v>1.3273365941825301</v>
      </c>
      <c r="H49" s="7">
        <f t="shared" si="4"/>
        <v>1.0499789196633478</v>
      </c>
      <c r="I49" s="7">
        <f t="shared" si="5"/>
        <v>-0.92414237954452816</v>
      </c>
      <c r="J49" s="7">
        <f t="shared" si="6"/>
        <v>-0.3343761825425155</v>
      </c>
      <c r="L49" t="s">
        <v>9</v>
      </c>
      <c r="M49" s="6">
        <f>MIN(Table6['# of Purchase Z-score])</f>
        <v>-1.6544319003507457</v>
      </c>
      <c r="N49" s="6">
        <f>MAX(Table6['# of Purchase Z-score])</f>
        <v>1.5247022867040751</v>
      </c>
      <c r="O49" s="10" t="s">
        <v>31</v>
      </c>
    </row>
    <row r="50" spans="3:15" x14ac:dyDescent="0.25">
      <c r="C50" s="7">
        <f t="shared" si="7"/>
        <v>1.4280355826090494</v>
      </c>
      <c r="D50" s="7">
        <f t="shared" si="0"/>
        <v>0.55238408387403504</v>
      </c>
      <c r="E50" s="7">
        <f t="shared" si="1"/>
        <v>0.28206656454875767</v>
      </c>
      <c r="F50" s="7">
        <f t="shared" si="2"/>
        <v>0.50799455675496508</v>
      </c>
      <c r="G50" s="7">
        <f t="shared" si="3"/>
        <v>0.51224371474804897</v>
      </c>
      <c r="H50" s="7">
        <f t="shared" si="4"/>
        <v>0.30785360260590167</v>
      </c>
      <c r="I50" s="7">
        <f t="shared" si="5"/>
        <v>-1.6359817800045027</v>
      </c>
      <c r="J50" s="7">
        <f t="shared" si="6"/>
        <v>-0.11986712839867811</v>
      </c>
    </row>
    <row r="51" spans="3:15" x14ac:dyDescent="0.25">
      <c r="C51" s="7">
        <f t="shared" si="7"/>
        <v>-0.37958142225669805</v>
      </c>
      <c r="D51" s="7">
        <f t="shared" si="0"/>
        <v>0.37839511125538883</v>
      </c>
      <c r="E51" s="7">
        <f t="shared" si="1"/>
        <v>0.11243699426254439</v>
      </c>
      <c r="F51" s="7">
        <f t="shared" si="2"/>
        <v>-1.7626746147553281</v>
      </c>
      <c r="G51" s="7">
        <f t="shared" si="3"/>
        <v>0.49477743876016722</v>
      </c>
      <c r="H51" s="7">
        <f t="shared" si="4"/>
        <v>5.262531896180643E-2</v>
      </c>
      <c r="I51" s="7">
        <f t="shared" si="5"/>
        <v>0.82173741316256699</v>
      </c>
      <c r="J51" s="7">
        <f t="shared" si="6"/>
        <v>1.161686964306812</v>
      </c>
    </row>
    <row r="52" spans="3:15" x14ac:dyDescent="0.25">
      <c r="C52" s="7">
        <f t="shared" si="7"/>
        <v>0.54872791307345237</v>
      </c>
      <c r="D52" s="7">
        <f t="shared" si="0"/>
        <v>0.26686010912094382</v>
      </c>
      <c r="E52" s="7">
        <f t="shared" si="1"/>
        <v>0.32621034115250702</v>
      </c>
      <c r="F52" s="7">
        <f t="shared" si="2"/>
        <v>1.6308783934186881</v>
      </c>
      <c r="G52" s="7">
        <f t="shared" si="3"/>
        <v>1.1730511562895747</v>
      </c>
      <c r="H52" s="7">
        <f t="shared" si="4"/>
        <v>0.70967454147122078</v>
      </c>
      <c r="I52" s="7">
        <f t="shared" si="5"/>
        <v>1.4661393967368597</v>
      </c>
      <c r="J52" s="7">
        <f t="shared" si="6"/>
        <v>-0.26287316449456971</v>
      </c>
    </row>
    <row r="53" spans="3:15" x14ac:dyDescent="0.25">
      <c r="C53" s="7">
        <f t="shared" si="7"/>
        <v>8.3212088025195141E-2</v>
      </c>
      <c r="D53" s="7">
        <f t="shared" si="0"/>
        <v>0.33217635774153592</v>
      </c>
      <c r="E53" s="7">
        <f t="shared" si="1"/>
        <v>0.52879624729811925</v>
      </c>
      <c r="F53" s="7">
        <f t="shared" si="2"/>
        <v>-1.3480357147804825</v>
      </c>
      <c r="G53" s="7">
        <f t="shared" si="3"/>
        <v>-1.074276354151209</v>
      </c>
      <c r="H53" s="7">
        <f t="shared" si="4"/>
        <v>-1.0428930062182331</v>
      </c>
      <c r="I53" s="7">
        <f t="shared" si="5"/>
        <v>0.34717781285591737</v>
      </c>
      <c r="J53" s="7">
        <f t="shared" si="6"/>
        <v>1.4917008937588696</v>
      </c>
    </row>
    <row r="54" spans="3:15" x14ac:dyDescent="0.25">
      <c r="C54" s="7">
        <f t="shared" si="7"/>
        <v>1.1122470697108164</v>
      </c>
      <c r="D54" s="7">
        <f t="shared" si="0"/>
        <v>-1.2534318846342172</v>
      </c>
      <c r="E54" s="7">
        <f t="shared" si="1"/>
        <v>-0.96169716020440044</v>
      </c>
      <c r="F54" s="7">
        <f t="shared" si="2"/>
        <v>0.71415579752458103</v>
      </c>
      <c r="G54" s="7">
        <f t="shared" si="3"/>
        <v>0.37105798384600486</v>
      </c>
      <c r="H54" s="7">
        <f t="shared" si="4"/>
        <v>4.0845552024386653E-2</v>
      </c>
      <c r="I54" s="7">
        <f t="shared" si="5"/>
        <v>1.2338549607972891</v>
      </c>
      <c r="J54" s="7">
        <f t="shared" si="6"/>
        <v>1.3376943933479093</v>
      </c>
    </row>
    <row r="55" spans="3:15" x14ac:dyDescent="0.25">
      <c r="C55" s="7">
        <f t="shared" si="7"/>
        <v>-1.1254956682404553</v>
      </c>
      <c r="D55" s="7">
        <f t="shared" si="0"/>
        <v>1.6745848037088631</v>
      </c>
      <c r="E55" s="7">
        <f t="shared" si="1"/>
        <v>1.3885044541650144</v>
      </c>
      <c r="F55" s="7">
        <f t="shared" si="2"/>
        <v>-0.46316387237606316</v>
      </c>
      <c r="G55" s="7">
        <f t="shared" si="3"/>
        <v>-1.3479146779613564</v>
      </c>
      <c r="H55" s="7">
        <f t="shared" si="4"/>
        <v>-1.0402752802321398</v>
      </c>
      <c r="I55" s="7">
        <f t="shared" si="5"/>
        <v>9.740960216820703E-2</v>
      </c>
      <c r="J55" s="7">
        <f t="shared" si="6"/>
        <v>1.4586995008136638</v>
      </c>
    </row>
    <row r="56" spans="3:15" x14ac:dyDescent="0.25">
      <c r="C56" s="7">
        <f t="shared" si="7"/>
        <v>1.3218653067208503</v>
      </c>
      <c r="D56" s="7">
        <f t="shared" si="0"/>
        <v>1.0926038901735156</v>
      </c>
      <c r="E56" s="7">
        <f t="shared" si="1"/>
        <v>0.63554307773379615</v>
      </c>
      <c r="F56" s="7">
        <f t="shared" si="2"/>
        <v>-0.24599964403728225</v>
      </c>
      <c r="G56" s="7">
        <f t="shared" si="3"/>
        <v>-1.3915803679310608</v>
      </c>
      <c r="H56" s="7">
        <f t="shared" si="4"/>
        <v>-1.2287515512308562</v>
      </c>
      <c r="I56" s="7">
        <f t="shared" si="5"/>
        <v>0.8517095984450922</v>
      </c>
      <c r="J56" s="7">
        <f t="shared" si="6"/>
        <v>-0.86239846966580758</v>
      </c>
    </row>
    <row r="57" spans="3:15" x14ac:dyDescent="0.25">
      <c r="C57" s="7">
        <f t="shared" si="7"/>
        <v>-0.71987076805220773</v>
      </c>
      <c r="D57" s="7">
        <f t="shared" si="0"/>
        <v>-1.7964670464776886</v>
      </c>
      <c r="E57" s="7">
        <f t="shared" si="1"/>
        <v>-2.143603660508588</v>
      </c>
      <c r="F57" s="7">
        <f t="shared" si="2"/>
        <v>-5.6053332316961892E-2</v>
      </c>
      <c r="G57" s="7">
        <f t="shared" si="3"/>
        <v>0.42491233480864021</v>
      </c>
      <c r="H57" s="7">
        <f t="shared" si="4"/>
        <v>0.28036747975192217</v>
      </c>
      <c r="I57" s="7">
        <f t="shared" si="5"/>
        <v>0.7817744994525333</v>
      </c>
      <c r="J57" s="7">
        <f t="shared" si="6"/>
        <v>-0.4663817543233385</v>
      </c>
    </row>
    <row r="58" spans="3:15" x14ac:dyDescent="0.25">
      <c r="C58" s="7">
        <f t="shared" si="7"/>
        <v>-0.30335660879850385</v>
      </c>
      <c r="D58" s="7">
        <f t="shared" si="0"/>
        <v>0.47167722494629188</v>
      </c>
      <c r="E58" s="7">
        <f t="shared" si="1"/>
        <v>0.82381838259392681</v>
      </c>
      <c r="F58" s="7">
        <f t="shared" si="2"/>
        <v>0.75700953858343378</v>
      </c>
      <c r="G58" s="7">
        <f t="shared" si="3"/>
        <v>-0.55174359751374702</v>
      </c>
      <c r="H58" s="7">
        <f t="shared" si="4"/>
        <v>-0.39500582466014517</v>
      </c>
      <c r="I58" s="7">
        <f t="shared" si="5"/>
        <v>-1.0540218491021376</v>
      </c>
      <c r="J58" s="7">
        <f t="shared" si="6"/>
        <v>-1.6544319003507457</v>
      </c>
    </row>
    <row r="59" spans="3:15" x14ac:dyDescent="0.25">
      <c r="C59" s="7">
        <f t="shared" si="7"/>
        <v>-1.1227733534740911</v>
      </c>
      <c r="D59" s="7">
        <f t="shared" si="0"/>
        <v>-5.197890623604131E-2</v>
      </c>
      <c r="E59" s="7">
        <f t="shared" si="1"/>
        <v>0.35767501824599257</v>
      </c>
      <c r="F59" s="7">
        <f t="shared" si="2"/>
        <v>1.1189499191480685</v>
      </c>
      <c r="G59" s="7">
        <f t="shared" si="3"/>
        <v>0.45402279478844315</v>
      </c>
      <c r="H59" s="7">
        <f t="shared" si="4"/>
        <v>0.22408637105091656</v>
      </c>
      <c r="I59" s="7">
        <f t="shared" si="5"/>
        <v>0.98658443221645575</v>
      </c>
      <c r="J59" s="7">
        <f t="shared" si="6"/>
        <v>-1.5389270250425255</v>
      </c>
    </row>
    <row r="60" spans="3:15" x14ac:dyDescent="0.25">
      <c r="C60" s="7">
        <f t="shared" si="7"/>
        <v>0.83729327830804456</v>
      </c>
      <c r="D60" s="7">
        <f t="shared" si="0"/>
        <v>-7.8349403164757372E-2</v>
      </c>
      <c r="E60" s="7">
        <f t="shared" si="1"/>
        <v>-0.35319361238460711</v>
      </c>
      <c r="F60" s="7">
        <f t="shared" si="2"/>
        <v>-0.93513412863234702</v>
      </c>
      <c r="G60" s="7">
        <f t="shared" si="3"/>
        <v>0.50642162275208835</v>
      </c>
      <c r="H60" s="7">
        <f t="shared" si="4"/>
        <v>0.20183570016912364</v>
      </c>
      <c r="I60" s="7">
        <f t="shared" si="5"/>
        <v>-0.97909138589582445</v>
      </c>
      <c r="J60" s="7">
        <f t="shared" si="6"/>
        <v>0.10564239006022787</v>
      </c>
    </row>
    <row r="61" spans="3:15" x14ac:dyDescent="0.25">
      <c r="C61" s="7">
        <f t="shared" si="7"/>
        <v>1.0523561448508068</v>
      </c>
      <c r="D61" s="7">
        <f t="shared" si="0"/>
        <v>0.1816017587304152</v>
      </c>
      <c r="E61" s="7">
        <f t="shared" si="1"/>
        <v>-0.47639530358176613</v>
      </c>
      <c r="F61" s="7">
        <f t="shared" si="2"/>
        <v>-1.5883641274753999</v>
      </c>
      <c r="G61" s="7">
        <f t="shared" si="3"/>
        <v>-1.6506634617513065</v>
      </c>
      <c r="H61" s="7">
        <f t="shared" si="4"/>
        <v>-1.4342430411391791</v>
      </c>
      <c r="I61" s="7">
        <f t="shared" si="5"/>
        <v>1.0215519817127352</v>
      </c>
      <c r="J61" s="7">
        <f t="shared" si="6"/>
        <v>-1.2309140242206051</v>
      </c>
    </row>
    <row r="62" spans="3:15" x14ac:dyDescent="0.25">
      <c r="C62" s="7">
        <f t="shared" si="7"/>
        <v>-1.3215023314186689</v>
      </c>
      <c r="D62" s="7">
        <f t="shared" si="0"/>
        <v>-1.6378686841661934</v>
      </c>
      <c r="E62" s="7">
        <f t="shared" si="1"/>
        <v>-1.3505073404070125</v>
      </c>
      <c r="F62" s="7">
        <f t="shared" si="2"/>
        <v>0.21438852004093326</v>
      </c>
      <c r="G62" s="7">
        <f t="shared" si="3"/>
        <v>0.83828086652184142</v>
      </c>
      <c r="H62" s="7">
        <f t="shared" si="4"/>
        <v>0.72276317140168722</v>
      </c>
      <c r="I62" s="7">
        <f t="shared" si="5"/>
        <v>0.39962913710033648</v>
      </c>
      <c r="J62" s="7">
        <f t="shared" si="6"/>
        <v>1.5247022867040751</v>
      </c>
    </row>
    <row r="63" spans="3:15" x14ac:dyDescent="0.25">
      <c r="C63" s="7">
        <f t="shared" si="7"/>
        <v>1.7710472431709232</v>
      </c>
      <c r="D63" s="7">
        <f t="shared" si="0"/>
        <v>-0.18087526755843103</v>
      </c>
      <c r="E63" s="7">
        <f t="shared" si="1"/>
        <v>-0.12245264703237968</v>
      </c>
      <c r="F63" s="7">
        <f t="shared" si="2"/>
        <v>0.88151702949766819</v>
      </c>
      <c r="G63" s="7">
        <f t="shared" si="3"/>
        <v>1.4073903591269881</v>
      </c>
      <c r="H63" s="7">
        <f t="shared" si="4"/>
        <v>1.3667237639806351</v>
      </c>
      <c r="I63" s="7">
        <f t="shared" si="5"/>
        <v>-1.2013850934078867</v>
      </c>
      <c r="J63" s="7">
        <f t="shared" si="6"/>
        <v>-0.7468935943575874</v>
      </c>
    </row>
    <row r="64" spans="3:15" x14ac:dyDescent="0.25">
      <c r="C64" s="7">
        <f t="shared" si="7"/>
        <v>0.56506180167163689</v>
      </c>
      <c r="D64" s="7">
        <f t="shared" si="0"/>
        <v>0.95347840370795833</v>
      </c>
      <c r="E64" s="7">
        <f t="shared" si="1"/>
        <v>0.95876688657265374</v>
      </c>
      <c r="F64" s="7">
        <f t="shared" si="2"/>
        <v>-0.52744448396434229</v>
      </c>
      <c r="G64" s="7">
        <f t="shared" si="3"/>
        <v>1.1075526213350182</v>
      </c>
      <c r="H64" s="7">
        <f t="shared" si="4"/>
        <v>0.72276317140168722</v>
      </c>
      <c r="I64" s="7">
        <f t="shared" si="5"/>
        <v>1.5310791315156642</v>
      </c>
      <c r="J64" s="7">
        <f t="shared" si="6"/>
        <v>1.3376943933479093</v>
      </c>
    </row>
    <row r="65" spans="3:10" x14ac:dyDescent="0.25">
      <c r="C65" s="7">
        <f t="shared" si="7"/>
        <v>-1.079216317212266</v>
      </c>
      <c r="D65" s="7">
        <f t="shared" si="0"/>
        <v>-1.738236109309474</v>
      </c>
      <c r="E65" s="7">
        <f t="shared" si="1"/>
        <v>-1.7181079975317934</v>
      </c>
      <c r="F65" s="7">
        <f t="shared" si="2"/>
        <v>-0.71565348185795241</v>
      </c>
      <c r="G65" s="7">
        <f t="shared" si="3"/>
        <v>-1.2533056830269969</v>
      </c>
      <c r="H65" s="7">
        <f t="shared" si="4"/>
        <v>-1.0402752802321398</v>
      </c>
      <c r="I65" s="7">
        <f t="shared" si="5"/>
        <v>-0.38464304445907388</v>
      </c>
      <c r="J65" s="7">
        <f t="shared" si="6"/>
        <v>0.34215237283420241</v>
      </c>
    </row>
    <row r="66" spans="3:10" x14ac:dyDescent="0.25">
      <c r="C66" s="7">
        <f t="shared" si="7"/>
        <v>-0.88865428356678056</v>
      </c>
      <c r="D66" s="7">
        <f t="shared" si="0"/>
        <v>0.34939694915228114</v>
      </c>
      <c r="E66" s="7">
        <f t="shared" si="1"/>
        <v>0.53853864361299109</v>
      </c>
      <c r="F66" s="7">
        <f t="shared" si="2"/>
        <v>-0.62936689513134347</v>
      </c>
      <c r="G66" s="7">
        <f t="shared" si="3"/>
        <v>0.41909024281267965</v>
      </c>
      <c r="H66" s="7">
        <f t="shared" si="4"/>
        <v>0.19921797418303036</v>
      </c>
      <c r="I66" s="7">
        <f t="shared" si="5"/>
        <v>-1.0415334385677519</v>
      </c>
      <c r="J66" s="7">
        <f t="shared" si="6"/>
        <v>-0.75239382651512166</v>
      </c>
    </row>
    <row r="67" spans="3:10" x14ac:dyDescent="0.25">
      <c r="C67" s="7">
        <f t="shared" si="7"/>
        <v>-0.15090698188211552</v>
      </c>
      <c r="D67" s="7">
        <f t="shared" si="0"/>
        <v>0.71966312577950253</v>
      </c>
      <c r="E67" s="7">
        <f t="shared" si="1"/>
        <v>0.44689485818218722</v>
      </c>
      <c r="F67" s="7">
        <f t="shared" si="2"/>
        <v>6.6137740161658826E-2</v>
      </c>
      <c r="G67" s="7">
        <f t="shared" si="3"/>
        <v>1.0362319943845011</v>
      </c>
      <c r="H67" s="7">
        <f t="shared" si="4"/>
        <v>0.624598446923189</v>
      </c>
      <c r="I67" s="7">
        <f t="shared" si="5"/>
        <v>0.36965695181781127</v>
      </c>
      <c r="J67" s="7">
        <f t="shared" si="6"/>
        <v>-1.494925167782251</v>
      </c>
    </row>
    <row r="68" spans="3:10" x14ac:dyDescent="0.25">
      <c r="C68" s="7">
        <f t="shared" si="7"/>
        <v>-0.61914512169673686</v>
      </c>
      <c r="D68" s="7">
        <f t="shared" si="0"/>
        <v>-0.22906476995307765</v>
      </c>
      <c r="E68" s="7">
        <f t="shared" si="1"/>
        <v>0.12744681059454788</v>
      </c>
      <c r="F68" s="7">
        <f t="shared" si="2"/>
        <v>-0.21993993663662853</v>
      </c>
      <c r="G68" s="7">
        <f t="shared" si="3"/>
        <v>2.0580091396755829</v>
      </c>
      <c r="H68" s="7">
        <f t="shared" si="4"/>
        <v>1.7083370051658087</v>
      </c>
      <c r="I68" s="7">
        <f t="shared" si="5"/>
        <v>-0.79925827420067297</v>
      </c>
      <c r="J68" s="7">
        <f t="shared" si="6"/>
        <v>0.45215701598488828</v>
      </c>
    </row>
    <row r="69" spans="3:10" x14ac:dyDescent="0.25">
      <c r="C69" s="7">
        <f t="shared" si="7"/>
        <v>0.36088819419433105</v>
      </c>
      <c r="D69" s="7">
        <f t="shared" si="0"/>
        <v>1.5059450066237998</v>
      </c>
      <c r="E69" s="7">
        <f t="shared" si="1"/>
        <v>1.7260854786257884</v>
      </c>
      <c r="F69" s="7">
        <f t="shared" si="2"/>
        <v>0.55953486694736898</v>
      </c>
      <c r="G69" s="7">
        <f t="shared" si="3"/>
        <v>-0.67400752942891928</v>
      </c>
      <c r="H69" s="7">
        <f t="shared" si="4"/>
        <v>-0.46437556329161722</v>
      </c>
      <c r="I69" s="7">
        <f t="shared" si="5"/>
        <v>1.0265473459264893</v>
      </c>
      <c r="J69" s="7">
        <f t="shared" si="6"/>
        <v>0.66116583797119133</v>
      </c>
    </row>
    <row r="70" spans="3:10" x14ac:dyDescent="0.25">
      <c r="C70" s="7">
        <f t="shared" si="7"/>
        <v>0.23566171494158347</v>
      </c>
      <c r="D70" s="7">
        <f t="shared" si="0"/>
        <v>-0.8225886412187885</v>
      </c>
      <c r="E70" s="7">
        <f t="shared" si="1"/>
        <v>-0.68303665699720539</v>
      </c>
      <c r="F70" s="7">
        <f t="shared" si="2"/>
        <v>1.6250873473296539</v>
      </c>
      <c r="G70" s="7">
        <f t="shared" si="3"/>
        <v>0.37105798384600486</v>
      </c>
      <c r="H70" s="7">
        <f t="shared" si="4"/>
        <v>2.9779341084210516</v>
      </c>
      <c r="I70" s="7">
        <f t="shared" si="5"/>
        <v>0.4645688718791412</v>
      </c>
      <c r="J70" s="7">
        <f t="shared" si="6"/>
        <v>-1.0384058987069049</v>
      </c>
    </row>
    <row r="71" spans="3:10" x14ac:dyDescent="0.25">
      <c r="C71" s="7">
        <f>(C31-$C$36)/$C$38</f>
        <v>9.6823661857015519E-2</v>
      </c>
      <c r="D71" s="7">
        <f t="shared" si="0"/>
        <v>8.193817247313244E-2</v>
      </c>
      <c r="E71" s="7">
        <f t="shared" si="1"/>
        <v>-9.9256388787883551E-3</v>
      </c>
      <c r="F71" s="7">
        <f t="shared" si="2"/>
        <v>-0.3838265409562952</v>
      </c>
      <c r="G71" s="7">
        <f t="shared" si="3"/>
        <v>-0.75697234037135752</v>
      </c>
      <c r="H71" s="7">
        <f t="shared" si="4"/>
        <v>-0.90938898092747555</v>
      </c>
      <c r="I71" s="7">
        <f t="shared" si="5"/>
        <v>-2.1430112477005547</v>
      </c>
      <c r="J71" s="7">
        <f t="shared" si="6"/>
        <v>0.80967210622461727</v>
      </c>
    </row>
  </sheetData>
  <conditionalFormatting sqref="C42:J71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workbookViewId="0">
      <selection activeCell="E30" sqref="E30"/>
    </sheetView>
  </sheetViews>
  <sheetFormatPr defaultRowHeight="15" x14ac:dyDescent="0.25"/>
  <cols>
    <col min="1" max="1" width="18" bestFit="1" customWidth="1"/>
    <col min="2" max="2" width="17.140625" customWidth="1"/>
    <col min="3" max="3" width="20" customWidth="1"/>
    <col min="4" max="4" width="24.85546875" customWidth="1"/>
    <col min="5" max="5" width="21.85546875" customWidth="1"/>
    <col min="6" max="6" width="17.85546875" customWidth="1"/>
  </cols>
  <sheetData>
    <row r="3" spans="1:9" x14ac:dyDescent="0.25"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16" t="s">
        <v>32</v>
      </c>
      <c r="B4" s="3" t="s">
        <v>33</v>
      </c>
      <c r="C4" s="3" t="s">
        <v>34</v>
      </c>
      <c r="D4" s="3" t="s">
        <v>35</v>
      </c>
      <c r="E4" s="16" t="s">
        <v>36</v>
      </c>
      <c r="F4" s="11"/>
      <c r="G4" s="11"/>
      <c r="H4" s="11"/>
      <c r="I4" s="11"/>
    </row>
    <row r="5" spans="1:9" x14ac:dyDescent="0.25">
      <c r="A5" s="13" t="s">
        <v>2</v>
      </c>
      <c r="B5" s="11">
        <f>_xlfn.VAR.S(test_group[Spend '[USD']])</f>
        <v>121583.09885057498</v>
      </c>
      <c r="C5" s="11">
        <f>_xlfn.VAR.S(control_group[Spend '[USD']])</f>
        <v>134934.59885057498</v>
      </c>
      <c r="D5" s="17">
        <f>Table17[[#This Row],[Control Var]]/Table17[[#This Row],[Test Var]]</f>
        <v>1.109813782723279</v>
      </c>
      <c r="E5" s="11" t="str">
        <f>IF(Table17[[#This Row],[Ratio (larger/smaller)]]&lt;2,"equal var","unequal var")</f>
        <v>equal var</v>
      </c>
      <c r="F5" s="11"/>
      <c r="G5" s="11"/>
      <c r="H5" s="11"/>
      <c r="I5" s="11"/>
    </row>
    <row r="6" spans="1:9" x14ac:dyDescent="0.25">
      <c r="A6" s="13" t="s">
        <v>3</v>
      </c>
      <c r="B6" s="11">
        <f>_xlfn.VAR.S(test_group['# of Impressions])</f>
        <v>1031782887.4758617</v>
      </c>
      <c r="C6" s="11">
        <f>_xlfn.VAR.S(control_group['# of Impressions])</f>
        <v>454188363.90725392</v>
      </c>
      <c r="D6" s="6">
        <f>Table17[[#This Row],[Test Var]]/Table17[[#This Row],[Control Var]]</f>
        <v>2.2717070041154854</v>
      </c>
      <c r="E6" s="11" t="str">
        <f>IF(Table17[[#This Row],[Ratio (larger/smaller)]]&lt;2,"equal var","unequal var")</f>
        <v>unequal var</v>
      </c>
      <c r="F6" s="11"/>
      <c r="G6" s="11"/>
      <c r="H6" s="11"/>
      <c r="I6" s="11"/>
    </row>
    <row r="7" spans="1:9" x14ac:dyDescent="0.25">
      <c r="A7" s="13" t="s">
        <v>4</v>
      </c>
      <c r="B7" s="11">
        <f>_xlfn.VAR.S(test_group[Reach])</f>
        <v>829196701.1505748</v>
      </c>
      <c r="C7" s="11">
        <f>_xlfn.VAR.S(control_group[Reach])</f>
        <v>460215230.61593205</v>
      </c>
      <c r="D7" s="6">
        <f>Table17[[#This Row],[Test Var]]/Table17[[#This Row],[Control Var]]</f>
        <v>1.8017584946956535</v>
      </c>
      <c r="E7" s="11" t="str">
        <f>IF(Table17[[#This Row],[Ratio (larger/smaller)]]&lt;2,"equal var","unequal var")</f>
        <v>equal var</v>
      </c>
      <c r="F7" s="11"/>
      <c r="G7" s="11"/>
      <c r="H7" s="11"/>
      <c r="I7" s="11"/>
    </row>
    <row r="8" spans="1:9" x14ac:dyDescent="0.25">
      <c r="A8" s="13" t="s">
        <v>5</v>
      </c>
      <c r="B8" s="11">
        <f>_xlfn.VAR.S(test_group['# of Website Clicks])</f>
        <v>2919202.0919540259</v>
      </c>
      <c r="C8" s="11">
        <f>_xlfn.VAR.S(control_group['# of Website Clicks])</f>
        <v>2981851.1296075992</v>
      </c>
      <c r="D8" s="6">
        <f>Table17[[#This Row],[Control Var]]/Table17[[#This Row],[Test Var]]</f>
        <v>1.0214610142361327</v>
      </c>
      <c r="E8" s="11" t="str">
        <f>IF(Table17[[#This Row],[Ratio (larger/smaller)]]&lt;2,"equal var","unequal var")</f>
        <v>equal var</v>
      </c>
      <c r="F8" s="11"/>
      <c r="G8" s="11"/>
      <c r="H8" s="11"/>
      <c r="I8" s="11"/>
    </row>
    <row r="9" spans="1:9" x14ac:dyDescent="0.25">
      <c r="A9" s="13" t="s">
        <v>6</v>
      </c>
      <c r="B9" s="11">
        <f>_xlfn.VAR.S(test_group['# of Searches])</f>
        <v>151120.58505747133</v>
      </c>
      <c r="C9" s="11">
        <f>_xlfn.VAR.S(control_group['# of Searches])</f>
        <v>472021.5814506535</v>
      </c>
      <c r="D9" s="6">
        <f>Table17[[#This Row],[Control Var]]/Table17[[#This Row],[Test Var]]</f>
        <v>3.1234764031064541</v>
      </c>
      <c r="E9" s="11" t="str">
        <f>IF(Table17[[#This Row],[Ratio (larger/smaller)]]&lt;2,"equal var","unequal var")</f>
        <v>unequal var</v>
      </c>
    </row>
    <row r="10" spans="1:9" x14ac:dyDescent="0.25">
      <c r="A10" s="13" t="s">
        <v>7</v>
      </c>
      <c r="B10" s="11">
        <f>_xlfn.VAR.S(test_group['# of View Content])</f>
        <v>357191.10344827588</v>
      </c>
      <c r="C10" s="11">
        <f>_xlfn.VAR.S(control_group['# of View Content])</f>
        <v>583729.47443519637</v>
      </c>
      <c r="D10" s="6">
        <f>Table17[[#This Row],[Control Var]]/Table17[[#This Row],[Test Var]]</f>
        <v>1.6342217619642507</v>
      </c>
      <c r="E10" s="11" t="str">
        <f>IF(Table17[[#This Row],[Ratio (larger/smaller)]]&lt;2,"equal var","unequal var")</f>
        <v>equal var</v>
      </c>
    </row>
    <row r="11" spans="1:9" x14ac:dyDescent="0.25">
      <c r="A11" s="13" t="s">
        <v>8</v>
      </c>
      <c r="B11" s="11">
        <f>_xlfn.VAR.S(test_group['# of Add to Cart])</f>
        <v>120814.80919540224</v>
      </c>
      <c r="C11" s="11">
        <f>_xlfn.VAR.S(control_group['# of Add to Cart])</f>
        <v>160297.10344827586</v>
      </c>
      <c r="D11" s="6">
        <f>Table17[[#This Row],[Control Var]]/Table17[[#This Row],[Test Var]]</f>
        <v>1.3268001209108078</v>
      </c>
      <c r="E11" s="11" t="str">
        <f>IF(Table17[[#This Row],[Ratio (larger/smaller)]]&lt;2,"equal var","unequal var")</f>
        <v>equal var</v>
      </c>
    </row>
    <row r="12" spans="1:9" x14ac:dyDescent="0.25">
      <c r="A12" s="14" t="s">
        <v>9</v>
      </c>
      <c r="B12" s="11">
        <f>_xlfn.VAR.S(test_group['# of Purchase])</f>
        <v>44541.150574712628</v>
      </c>
      <c r="C12" s="11">
        <f>_xlfn.VAR.S(control_group['# of Purchase])</f>
        <v>33055.060642092809</v>
      </c>
      <c r="D12" s="6">
        <f>Table17[[#This Row],[Test Var]]/Table17[[#This Row],[Control Var]]</f>
        <v>1.3474835534863083</v>
      </c>
      <c r="E12" s="11" t="str">
        <f>IF(Table17[[#This Row],[Ratio (larger/smaller)]]&lt;2,"equal var","unequal var")</f>
        <v>equal var</v>
      </c>
    </row>
    <row r="15" spans="1:9" x14ac:dyDescent="0.25">
      <c r="G15" s="4"/>
    </row>
    <row r="16" spans="1:9" x14ac:dyDescent="0.25">
      <c r="G16" s="5"/>
    </row>
    <row r="18" spans="1:6" x14ac:dyDescent="0.25">
      <c r="A18" t="s">
        <v>32</v>
      </c>
      <c r="B18" t="s">
        <v>37</v>
      </c>
      <c r="C18" t="s">
        <v>38</v>
      </c>
      <c r="D18" t="s">
        <v>39</v>
      </c>
      <c r="E18" s="4" t="s">
        <v>40</v>
      </c>
      <c r="F18" s="4" t="s">
        <v>41</v>
      </c>
    </row>
    <row r="19" spans="1:6" x14ac:dyDescent="0.25">
      <c r="A19" s="16" t="s">
        <v>2</v>
      </c>
      <c r="B19" s="11">
        <f>AVERAGE(test_group[Spend '[USD']])</f>
        <v>2563.0666666666666</v>
      </c>
      <c r="C19" s="11">
        <f>AVERAGE(control_group[Spend '[USD']])</f>
        <v>2288.4333333333334</v>
      </c>
      <c r="D19" s="18">
        <f>_xlfn.T.TEST(test_group[Spend '[USD']], control_group[Spend '[USD']],2,2)</f>
        <v>4.3262512071132473E-3</v>
      </c>
      <c r="E19" s="3" t="str">
        <f>IF(Table18[[#This Row],[P-Value]]&lt;0.05,"YES","NO")</f>
        <v>YES</v>
      </c>
      <c r="F19" s="15" t="str">
        <f>IF(Table18[[#This Row],[Avg. Test Group]]&gt;Table18[[#This Row],[Avg. Control Group]],"TEST","CONTROL")</f>
        <v>TEST</v>
      </c>
    </row>
    <row r="20" spans="1:6" x14ac:dyDescent="0.25">
      <c r="A20" s="16" t="s">
        <v>3</v>
      </c>
      <c r="B20" s="11">
        <f>AVERAGE(test_group['# of Impressions])</f>
        <v>74584.800000000003</v>
      </c>
      <c r="C20" s="11">
        <f>AVERAGE(control_group['# of Impressions])</f>
        <v>109559.75862068965</v>
      </c>
      <c r="D20" s="18">
        <f>_xlfn.T.TEST(test_group['# of Impressions], control_group['# of Impressions],2,3)</f>
        <v>8.1363606203524271E-6</v>
      </c>
      <c r="E20" s="3" t="str">
        <f>IF(Table18[[#This Row],[P-Value]]&lt;0.05,"YES","NO")</f>
        <v>YES</v>
      </c>
      <c r="F20" s="15" t="str">
        <f>IF(Table18[[#This Row],[Avg. Test Group]]&gt;Table18[[#This Row],[Avg. Control Group]],"TEST","CONTROL")</f>
        <v>CONTROL</v>
      </c>
    </row>
    <row r="21" spans="1:6" x14ac:dyDescent="0.25">
      <c r="A21" s="16" t="s">
        <v>4</v>
      </c>
      <c r="B21" s="11">
        <f>AVERAGE(test_group[Reach])</f>
        <v>53491.566666666666</v>
      </c>
      <c r="C21" s="11">
        <f>AVERAGE(control_group[Reach])</f>
        <v>88844.931034482768</v>
      </c>
      <c r="D21" s="18">
        <f>_xlfn.T.TEST(test_group[Reach], control_group[Reach], 2,2)</f>
        <v>1.3332074556983145E-6</v>
      </c>
      <c r="E21" s="3" t="str">
        <f>IF(Table18[[#This Row],[P-Value]]&lt;0.05,"YES","NO")</f>
        <v>YES</v>
      </c>
      <c r="F21" s="15" t="str">
        <f>IF(Table18[[#This Row],[Avg. Test Group]]&gt;Table18[[#This Row],[Avg. Control Group]],"TEST","CONTROL")</f>
        <v>CONTROL</v>
      </c>
    </row>
    <row r="22" spans="1:6" x14ac:dyDescent="0.25">
      <c r="A22" s="16" t="s">
        <v>5</v>
      </c>
      <c r="B22" s="11">
        <f>AVERAGE(test_group['# of Website Clicks])</f>
        <v>6032.333333333333</v>
      </c>
      <c r="C22" s="11">
        <f>AVERAGE(control_group['# of Website Clicks])</f>
        <v>5320.7931034482763</v>
      </c>
      <c r="D22" s="18">
        <f>_xlfn.T.TEST(test_group['# of Website Clicks],control_group['# of Website Clicks],2,2)</f>
        <v>0.11407207153213246</v>
      </c>
      <c r="E22" s="3" t="str">
        <f>IF(Table18[[#This Row],[P-Value]]&lt;0.05,"YES","NO")</f>
        <v>NO</v>
      </c>
      <c r="F22" s="15" t="str">
        <f>IF(Table18[[#This Row],[Avg. Test Group]]&gt;Table18[[#This Row],[Avg. Control Group]],"TEST","CONTROL")</f>
        <v>TEST</v>
      </c>
    </row>
    <row r="23" spans="1:6" x14ac:dyDescent="0.25">
      <c r="A23" s="16" t="s">
        <v>6</v>
      </c>
      <c r="B23" s="11">
        <f>AVERAGE(test_group['# of Searches])</f>
        <v>2418.9666666666667</v>
      </c>
      <c r="C23" s="11">
        <f>AVERAGE(control_group['# of Searches])</f>
        <v>2135.0689655172414</v>
      </c>
      <c r="D23" s="18">
        <f>_xlfn.T.TEST(test_group['# of Searches],control_group['# of Searches],2,3)</f>
        <v>5.4916926234963921E-2</v>
      </c>
      <c r="E23" s="3" t="str">
        <f>IF(Table18[[#This Row],[P-Value]]&lt;0.05,"YES","NO")</f>
        <v>NO</v>
      </c>
      <c r="F23" s="15" t="str">
        <f>IF(Table18[[#This Row],[Avg. Test Group]]&gt;Table18[[#This Row],[Avg. Control Group]],"TEST","CONTROL")</f>
        <v>TEST</v>
      </c>
    </row>
    <row r="24" spans="1:6" x14ac:dyDescent="0.25">
      <c r="A24" s="16" t="s">
        <v>7</v>
      </c>
      <c r="B24" s="11">
        <f>AVERAGE(test_group['# of View Content])</f>
        <v>1858</v>
      </c>
      <c r="C24" s="11">
        <f>AVERAGE(control_group['# of View Content])</f>
        <v>1943.7931034482758</v>
      </c>
      <c r="D24" s="18">
        <f>_xlfn.T.TEST(test_group['# of View Content],control_group['# of View Content],2,2)</f>
        <v>0.62990079536603438</v>
      </c>
      <c r="E24" s="3" t="str">
        <f>IF(Table18[[#This Row],[P-Value]]&lt;0.05,"YES","NO")</f>
        <v>NO</v>
      </c>
      <c r="F24" s="15" t="str">
        <f>IF(Table18[[#This Row],[Avg. Test Group]]&gt;Table18[[#This Row],[Avg. Control Group]],"TEST","CONTROL")</f>
        <v>CONTROL</v>
      </c>
    </row>
    <row r="25" spans="1:6" x14ac:dyDescent="0.25">
      <c r="A25" s="16" t="s">
        <v>8</v>
      </c>
      <c r="B25" s="11">
        <f>AVERAGE(test_group['# of Add to Cart])</f>
        <v>881.5333333333333</v>
      </c>
      <c r="C25" s="11">
        <f>AVERAGE(control_group['# of Add to Cart])</f>
        <v>1300</v>
      </c>
      <c r="D25" s="18">
        <f>_xlfn.T.TEST(test_group['# of Add to Cart],control_group['# of Add to Cart],2,2)</f>
        <v>6.1244887182258239E-5</v>
      </c>
      <c r="E25" s="3" t="str">
        <f>IF(Table18[[#This Row],[P-Value]]&lt;0.05,"YES","NO")</f>
        <v>YES</v>
      </c>
      <c r="F25" s="15" t="str">
        <f>IF(Table18[[#This Row],[Avg. Test Group]]&gt;Table18[[#This Row],[Avg. Control Group]],"TEST","CONTROL")</f>
        <v>CONTROL</v>
      </c>
    </row>
    <row r="26" spans="1:6" x14ac:dyDescent="0.25">
      <c r="A26" s="16" t="s">
        <v>9</v>
      </c>
      <c r="B26" s="11">
        <f>AVERAGE(test_group['# of Purchase])</f>
        <v>521.23333333333335</v>
      </c>
      <c r="C26" s="11">
        <f>AVERAGE(control_group['# of Purchase])</f>
        <v>522.79310344827582</v>
      </c>
      <c r="D26" s="18">
        <f>_xlfn.T.TEST(test_group['# of Purchase], control_group['# of Purchase], 2,2)</f>
        <v>0.97563873097022391</v>
      </c>
      <c r="E26" s="3" t="str">
        <f>IF(Table18[[#This Row],[P-Value]]&lt;0.05,"YES","NO")</f>
        <v>NO</v>
      </c>
      <c r="F26" s="15" t="str">
        <f>IF(Table18[[#This Row],[Avg. Test Group]]&gt;Table18[[#This Row],[Avg. Control Group]],"TEST","CONTROL")</f>
        <v>CONTROL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0 A h I W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Q C E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I W / 1 9 T I / b A Q A A F g c A A B M A H A B G b 3 J t d W x h c y 9 T Z W N 0 a W 9 u M S 5 t I K I Y A C i g F A A A A A A A A A A A A A A A A A A A A A A A A A A A A O 1 T T W / a Q B C 9 I / E f R p s L S A 5 S 1 K q H V h y Q Q 1 v U q o p q 2 h w w s g Z 7 g r e s d 6 3 d R R A h / n v G Y J U 4 w U 0 P P f Q Q L k Y z b + e 9 + X i O U i + N h u j 4 v f r Q 7 X Q 7 L k d L G X h y P l l a s y 5 h C I p 8 t w P 8 i 8 z a p s S R 8 T Y l N b g 1 d r U w Z t X 7 K B U N Q q M 9 a e 9 6 Y v w + v k a P I 4 3 q 3 k k X J z f W / G I S F 5 f 8 J 7 l 6 E x d o V + S l X i Y p F i X K p U 7 w c p F U r F U Q 6 5 e J 1 A l V V P G G q a p M x n X j k 7 j B V r m t 6 A e g 1 0 o F 4 O 2 a + s F R 6 w m U R D m R Z 9 V H + b v Z x F M x F C e A C L 5 I n Q 3 F A S f m + 1 m l f l 7 X u R C s v j C e h / K Z M C P r B J e a 4 o J b r j N 1 v P e U M o B Z j R g p F a W o 0 L p h p X H e / 1 0 8 z F E v u f b 0 v q R T 4 a l F 7 e 6 M L U K j 1 o W u k q 5 3 R k m w 2 4 m w n i B 8 w 4 I E D 4 H B 3 P 3 W 7 w P Y C W 7 l e T A q S W c w + x F d z z k 3 0 f 7 d 2 0 H F c U h e g L m D S V F a c o 7 P w j 1 H f C d M 8 5 a H t 7 R w 0 h O E S q a r M 2 8 P o I j Q p j m 1 p X 9 K 2 k B 9 T i 2 Q U c Y 3 a i B E 2 4 a 4 4 V 3 n 6 K i Z 3 p + f P G y k z + G r 4 R 2 9 v I X G y p i v O W S + U K Y J Q K C 9 H H 8 S / W 5 H 6 h c p H 1 s v 5 c a t U f + t + x r 6 / m D A B q 7 F g w 3 M v 7 L h G e J X J 7 4 6 8 S + d + A B Q S w E C L Q A U A A I A C A D Q C E h b 0 d 1 W j K Y A A A D 4 A A A A E g A A A A A A A A A A A A A A A A A A A A A A Q 2 9 u Z m l n L 1 B h Y 2 t h Z 2 U u e G 1 s U E s B A i 0 A F A A C A A g A 0 A h I W w / K 6 a u k A A A A 6 Q A A A B M A A A A A A A A A A A A A A A A A 8 g A A A F t D b 2 5 0 Z W 5 0 X 1 R 5 c G V z X S 5 4 b W x Q S w E C L Q A U A A I A C A D Q C E h b / X 1 M j 9 s B A A A W B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g A A A A A A A K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l c 3 R f Z 3 J v d X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I z O j A 1 O j E 2 L j Q 3 O T U 1 O T B a I i A v P j x F b n R y e S B U e X B l P S J G a W x s Q 2 9 s d W 1 u V H l w Z X M i I F Z h b H V l P S J z Q m d r R E F 3 T U R B d 0 1 E Q X c 9 P S I g L z 4 8 R W 5 0 c n k g V H l w Z T 0 i R m l s b E N v b H V t b k 5 h b W V z I i B W Y W x 1 Z T 0 i c 1 s m c X V v d D t D Y W 1 w Y W l n b i B O Y W 1 l J n F 1 b 3 Q 7 L C Z x d W 9 0 O 0 R h d G U m c X V v d D s s J n F 1 b 3 Q 7 U 3 B l b m Q g W 1 V T R F 0 m c X V v d D s s J n F 1 b 3 Q 7 I y B v Z i B J b X B y Z X N z a W 9 u c y Z x d W 9 0 O y w m c X V v d D t S Z W F j a C Z x d W 9 0 O y w m c X V v d D s j I G 9 m I F d l Y n N p d G U g Q 2 x p Y 2 t z J n F 1 b 3 Q 7 L C Z x d W 9 0 O y M g b 2 Y g U 2 V h c m N o Z X M m c X V v d D s s J n F 1 b 3 Q 7 I y B v Z i B W a W V 3 I E N v b n R l b n Q m c X V v d D s s J n F 1 b 3 Q 7 I y B v Z i B B Z G Q g d G 8 g Q 2 F y d C Z x d W 9 0 O y w m c X V v d D s j I G 9 m I F B 1 c m N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3 J v d X A v Q 2 h h b m d l Z C B U e X B l L n t D Y W 1 w Y W l n b i B O Y W 1 l L D B 9 J n F 1 b 3 Q 7 L C Z x d W 9 0 O 1 N l Y 3 R p b 2 4 x L 3 R l c 3 R f Z 3 J v d X A v Q 2 h h b m d l Z C B U e X B l I H d p d G g g T G 9 j Y W x l L n t E Y X R l L D F 9 J n F 1 b 3 Q 7 L C Z x d W 9 0 O 1 N l Y 3 R p b 2 4 x L 3 R l c 3 R f Z 3 J v d X A v Q 2 h h b m d l Z C B U e X B l L n t T c G V u Z C B b V V N E X S w y f S Z x d W 9 0 O y w m c X V v d D t T Z W N 0 a W 9 u M S 9 0 Z X N 0 X 2 d y b 3 V w L 0 N o Y W 5 n Z W Q g V H l w Z S 5 7 I y B v Z i B J b X B y Z X N z a W 9 u c y w z f S Z x d W 9 0 O y w m c X V v d D t T Z W N 0 a W 9 u M S 9 0 Z X N 0 X 2 d y b 3 V w L 0 N o Y W 5 n Z W Q g V H l w Z S 5 7 U m V h Y 2 g s N H 0 m c X V v d D s s J n F 1 b 3 Q 7 U 2 V j d G l v b j E v d G V z d F 9 n c m 9 1 c C 9 D a G F u Z 2 V k I F R 5 c G U u e y M g b 2 Y g V 2 V i c 2 l 0 Z S B D b G l j a 3 M s N X 0 m c X V v d D s s J n F 1 b 3 Q 7 U 2 V j d G l v b j E v d G V z d F 9 n c m 9 1 c C 9 D a G F u Z 2 V k I F R 5 c G U u e y M g b 2 Y g U 2 V h c m N o Z X M s N n 0 m c X V v d D s s J n F 1 b 3 Q 7 U 2 V j d G l v b j E v d G V z d F 9 n c m 9 1 c C 9 D a G F u Z 2 V k I F R 5 c G U u e y M g b 2 Y g V m l l d y B D b 2 5 0 Z W 5 0 L D d 9 J n F 1 b 3 Q 7 L C Z x d W 9 0 O 1 N l Y 3 R p b 2 4 x L 3 R l c 3 R f Z 3 J v d X A v Q 2 h h b m d l Z C B U e X B l L n s j I G 9 m I E F k Z C B 0 b y B D Y X J 0 L D h 9 J n F 1 b 3 Q 7 L C Z x d W 9 0 O 1 N l Y 3 R p b 2 4 x L 3 R l c 3 R f Z 3 J v d X A v Q 2 h h b m d l Z C B U e X B l L n s j I G 9 m I F B 1 c m N o Y X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X 2 d y b 3 V w L 0 N o Y W 5 n Z W Q g V H l w Z S 5 7 Q 2 F t c G F p Z 2 4 g T m F t Z S w w f S Z x d W 9 0 O y w m c X V v d D t T Z W N 0 a W 9 u M S 9 0 Z X N 0 X 2 d y b 3 V w L 0 N o Y W 5 n Z W Q g V H l w Z S B 3 a X R o I E x v Y 2 F s Z S 5 7 R G F 0 Z S w x f S Z x d W 9 0 O y w m c X V v d D t T Z W N 0 a W 9 u M S 9 0 Z X N 0 X 2 d y b 3 V w L 0 N o Y W 5 n Z W Q g V H l w Z S 5 7 U 3 B l b m Q g W 1 V T R F 0 s M n 0 m c X V v d D s s J n F 1 b 3 Q 7 U 2 V j d G l v b j E v d G V z d F 9 n c m 9 1 c C 9 D a G F u Z 2 V k I F R 5 c G U u e y M g b 2 Y g S W 1 w c m V z c 2 l v b n M s M 3 0 m c X V v d D s s J n F 1 b 3 Q 7 U 2 V j d G l v b j E v d G V z d F 9 n c m 9 1 c C 9 D a G F u Z 2 V k I F R 5 c G U u e 1 J l Y W N o L D R 9 J n F 1 b 3 Q 7 L C Z x d W 9 0 O 1 N l Y 3 R p b 2 4 x L 3 R l c 3 R f Z 3 J v d X A v Q 2 h h b m d l Z C B U e X B l L n s j I G 9 m I F d l Y n N p d G U g Q 2 x p Y 2 t z L D V 9 J n F 1 b 3 Q 7 L C Z x d W 9 0 O 1 N l Y 3 R p b 2 4 x L 3 R l c 3 R f Z 3 J v d X A v Q 2 h h b m d l Z C B U e X B l L n s j I G 9 m I F N l Y X J j a G V z L D Z 9 J n F 1 b 3 Q 7 L C Z x d W 9 0 O 1 N l Y 3 R p b 2 4 x L 3 R l c 3 R f Z 3 J v d X A v Q 2 h h b m d l Z C B U e X B l L n s j I G 9 m I F Z p Z X c g Q 2 9 u d G V u d C w 3 f S Z x d W 9 0 O y w m c X V v d D t T Z W N 0 a W 9 u M S 9 0 Z X N 0 X 2 d y b 3 V w L 0 N o Y W 5 n Z W Q g V H l w Z S 5 7 I y B v Z i B B Z G Q g d G 8 g Q 2 F y d C w 4 f S Z x d W 9 0 O y w m c X V v d D t T Z W N 0 a W 9 u M S 9 0 Z X N 0 X 2 d y b 3 V w L 0 N o Y W 5 n Z W Q g V H l w Z S 5 7 I y B v Z i B Q d X J j a G F z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3 R l c 3 R f Z 3 J v d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u d H J v b F 9 n c m 9 1 c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j M 6 M D Y 6 M z M u N j k 1 N z Y 0 N 1 o i I C 8 + P E V u d H J 5 I F R 5 c G U 9 I k Z p b G x D b 2 x 1 b W 5 U e X B l c y I g V m F s d W U 9 I n N C Z 2 t E Q X d N R E F 3 T U R B d z 0 9 I i A v P j x F b n R y e S B U e X B l P S J G a W x s Q 2 9 s d W 1 u T m F t Z X M i I F Z h b H V l P S J z W y Z x d W 9 0 O 0 N h b X B h a W d u I E 5 h b W U m c X V v d D s s J n F 1 b 3 Q 7 R G F 0 Z S Z x d W 9 0 O y w m c X V v d D t T c G V u Z C B b V V N E X S Z x d W 9 0 O y w m c X V v d D s j I G 9 m I E l t c H J l c 3 N p b 2 5 z J n F 1 b 3 Q 7 L C Z x d W 9 0 O 1 J l Y W N o J n F 1 b 3 Q 7 L C Z x d W 9 0 O y M g b 2 Y g V 2 V i c 2 l 0 Z S B D b G l j a 3 M m c X V v d D s s J n F 1 b 3 Q 7 I y B v Z i B T Z W F y Y 2 h l c y Z x d W 9 0 O y w m c X V v d D s j I G 9 m I F Z p Z X c g Q 2 9 u d G V u d C Z x d W 9 0 O y w m c X V v d D s j I G 9 m I E F k Z C B 0 b y B D Y X J 0 J n F 1 b 3 Q 7 L C Z x d W 9 0 O y M g b 2 Y g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F 9 n c m 9 1 c C 9 D a G F u Z 2 V k I F R 5 c G U u e 0 N h b X B h a W d u I E 5 h b W U s M H 0 m c X V v d D s s J n F 1 b 3 Q 7 U 2 V j d G l v b j E v Y 2 9 u d H J v b F 9 n c m 9 1 c C 9 D a G F u Z 2 V k I F R 5 c G U g d 2 l 0 a C B M b 2 N h b G U u e 0 R h d G U s M X 0 m c X V v d D s s J n F 1 b 3 Q 7 U 2 V j d G l v b j E v Y 2 9 u d H J v b F 9 n c m 9 1 c C 9 D a G F u Z 2 V k I F R 5 c G U u e 1 N w Z W 5 k I F t V U 0 R d L D J 9 J n F 1 b 3 Q 7 L C Z x d W 9 0 O 1 N l Y 3 R p b 2 4 x L 2 N v b n R y b 2 x f Z 3 J v d X A v Q 2 h h b m d l Z C B U e X B l L n s j I G 9 m I E l t c H J l c 3 N p b 2 5 z L D N 9 J n F 1 b 3 Q 7 L C Z x d W 9 0 O 1 N l Y 3 R p b 2 4 x L 2 N v b n R y b 2 x f Z 3 J v d X A v Q 2 h h b m d l Z C B U e X B l L n t S Z W F j a C w 0 f S Z x d W 9 0 O y w m c X V v d D t T Z W N 0 a W 9 u M S 9 j b 2 5 0 c m 9 s X 2 d y b 3 V w L 0 N o Y W 5 n Z W Q g V H l w Z S 5 7 I y B v Z i B X Z W J z a X R l I E N s a W N r c y w 1 f S Z x d W 9 0 O y w m c X V v d D t T Z W N 0 a W 9 u M S 9 j b 2 5 0 c m 9 s X 2 d y b 3 V w L 0 N o Y W 5 n Z W Q g V H l w Z S 5 7 I y B v Z i B T Z W F y Y 2 h l c y w 2 f S Z x d W 9 0 O y w m c X V v d D t T Z W N 0 a W 9 u M S 9 j b 2 5 0 c m 9 s X 2 d y b 3 V w L 0 N o Y W 5 n Z W Q g V H l w Z S 5 7 I y B v Z i B W a W V 3 I E N v b n R l b n Q s N 3 0 m c X V v d D s s J n F 1 b 3 Q 7 U 2 V j d G l v b j E v Y 2 9 u d H J v b F 9 n c m 9 1 c C 9 D a G F u Z 2 V k I F R 5 c G U u e y M g b 2 Y g Q W R k I H R v I E N h c n Q s O H 0 m c X V v d D s s J n F 1 b 3 Q 7 U 2 V j d G l v b j E v Y 2 9 u d H J v b F 9 n c m 9 1 c C 9 D a G F u Z 2 V k I F R 5 c G U u e y M g b 2 Y g U H V y Y 2 h h c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n R y b 2 x f Z 3 J v d X A v Q 2 h h b m d l Z C B U e X B l L n t D Y W 1 w Y W l n b i B O Y W 1 l L D B 9 J n F 1 b 3 Q 7 L C Z x d W 9 0 O 1 N l Y 3 R p b 2 4 x L 2 N v b n R y b 2 x f Z 3 J v d X A v Q 2 h h b m d l Z C B U e X B l I H d p d G g g T G 9 j Y W x l L n t E Y X R l L D F 9 J n F 1 b 3 Q 7 L C Z x d W 9 0 O 1 N l Y 3 R p b 2 4 x L 2 N v b n R y b 2 x f Z 3 J v d X A v Q 2 h h b m d l Z C B U e X B l L n t T c G V u Z C B b V V N E X S w y f S Z x d W 9 0 O y w m c X V v d D t T Z W N 0 a W 9 u M S 9 j b 2 5 0 c m 9 s X 2 d y b 3 V w L 0 N o Y W 5 n Z W Q g V H l w Z S 5 7 I y B v Z i B J b X B y Z X N z a W 9 u c y w z f S Z x d W 9 0 O y w m c X V v d D t T Z W N 0 a W 9 u M S 9 j b 2 5 0 c m 9 s X 2 d y b 3 V w L 0 N o Y W 5 n Z W Q g V H l w Z S 5 7 U m V h Y 2 g s N H 0 m c X V v d D s s J n F 1 b 3 Q 7 U 2 V j d G l v b j E v Y 2 9 u d H J v b F 9 n c m 9 1 c C 9 D a G F u Z 2 V k I F R 5 c G U u e y M g b 2 Y g V 2 V i c 2 l 0 Z S B D b G l j a 3 M s N X 0 m c X V v d D s s J n F 1 b 3 Q 7 U 2 V j d G l v b j E v Y 2 9 u d H J v b F 9 n c m 9 1 c C 9 D a G F u Z 2 V k I F R 5 c G U u e y M g b 2 Y g U 2 V h c m N o Z X M s N n 0 m c X V v d D s s J n F 1 b 3 Q 7 U 2 V j d G l v b j E v Y 2 9 u d H J v b F 9 n c m 9 1 c C 9 D a G F u Z 2 V k I F R 5 c G U u e y M g b 2 Y g V m l l d y B D b 2 5 0 Z W 5 0 L D d 9 J n F 1 b 3 Q 7 L C Z x d W 9 0 O 1 N l Y 3 R p b 2 4 x L 2 N v b n R y b 2 x f Z 3 J v d X A v Q 2 h h b m d l Z C B U e X B l L n s j I G 9 m I E F k Z C B 0 b y B D Y X J 0 L D h 9 J n F 1 b 3 Q 7 L C Z x d W 9 0 O 1 N l Y 3 R p b 2 4 x L 2 N v b n R y b 2 x f Z 3 J v d X A v Q 2 h h b m d l Z C B U e X B l L n s j I G 9 m I F B 1 c m N o Y X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Y 2 9 u d H J v b F 9 n c m 9 1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T t g b h L G 1 I t A D I k p D Q N P Y A A A A A A g A A A A A A E G Y A A A A B A A A g A A A A 2 o t M T r 8 / g l j e H V 5 e A w 6 u 4 C 7 f g w u 9 0 x b c h E j B b E o t e h E A A A A A D o A A A A A C A A A g A A A A Q 1 / r D 7 h D U g o 7 a m 7 q w e l B 3 o E U F 1 v v t 5 R B c 4 / 4 H F 4 P v b l Q A A A A P j 8 I H l U a j b t q Y O H F U Y C J I a F P 7 O y f X a M K z 6 s O X u j a o 1 x 8 1 t L d h i 1 Z i q 2 u B C 5 N X g r o W f s Q Z + L w E P 3 9 u i 3 H 1 C 2 X k K f h 1 e x Y Z N Q t N K i Q E O V q 3 F N A A A A A V h R p 3 y n w r b C Q / X R 6 y p V V z 3 H a J z p w O l S 9 D K Z d / i U Y M k E O 3 g v n 5 n X / s 7 Q 9 + t r t + 2 O x u x v z d F u p 0 n r V P J I d 4 0 6 f i g = = < / D a t a M a s h u p > 
</file>

<file path=customXml/itemProps1.xml><?xml version="1.0" encoding="utf-8"?>
<ds:datastoreItem xmlns:ds="http://schemas.openxmlformats.org/officeDocument/2006/customXml" ds:itemID="{802A2208-4A7F-417D-89E6-67FA64E83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test_group</vt:lpstr>
      <vt:lpstr>control_group</vt:lpstr>
      <vt:lpstr>ab_testing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2025-10-11T00:01:23Z</dcterms:modified>
</cp:coreProperties>
</file>