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dkinskaia.nd\Desktop\Для парсинга нарядов\"/>
    </mc:Choice>
  </mc:AlternateContent>
  <bookViews>
    <workbookView xWindow="0" yWindow="0" windowWidth="28800" windowHeight="12300"/>
  </bookViews>
  <sheets>
    <sheet name="SQLT0698" sheetId="1" r:id="rId1"/>
  </sheets>
  <calcPr calcId="162913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B2" i="1"/>
  <c r="D2" i="1"/>
  <c r="E2" i="1"/>
  <c r="F2" i="1"/>
  <c r="G2" i="1"/>
  <c r="H2" i="1"/>
  <c r="M2" i="1"/>
  <c r="N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M2" i="1"/>
  <c r="B3" i="1"/>
  <c r="D3" i="1"/>
  <c r="E3" i="1"/>
  <c r="F3" i="1"/>
  <c r="G3" i="1"/>
  <c r="H3" i="1"/>
  <c r="M3" i="1"/>
  <c r="N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B4" i="1"/>
  <c r="D4" i="1"/>
  <c r="E4" i="1"/>
  <c r="F4" i="1"/>
  <c r="G4" i="1"/>
  <c r="H4" i="1"/>
  <c r="M4" i="1"/>
  <c r="N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M4" i="1"/>
  <c r="B5" i="1"/>
  <c r="D5" i="1"/>
  <c r="E5" i="1"/>
  <c r="F5" i="1"/>
  <c r="G5" i="1"/>
  <c r="H5" i="1"/>
  <c r="M5" i="1"/>
  <c r="N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B6" i="1"/>
  <c r="D6" i="1"/>
  <c r="E6" i="1"/>
  <c r="F6" i="1"/>
  <c r="G6" i="1"/>
  <c r="H6" i="1"/>
  <c r="M6" i="1"/>
  <c r="N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B7" i="1"/>
  <c r="D7" i="1"/>
  <c r="E7" i="1"/>
  <c r="F7" i="1"/>
  <c r="G7" i="1"/>
  <c r="H7" i="1"/>
  <c r="M7" i="1"/>
  <c r="N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M7" i="1"/>
  <c r="B8" i="1"/>
  <c r="D8" i="1"/>
  <c r="E8" i="1"/>
  <c r="F8" i="1"/>
  <c r="G8" i="1"/>
  <c r="H8" i="1"/>
  <c r="M8" i="1"/>
  <c r="N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M8" i="1"/>
  <c r="B9" i="1"/>
  <c r="D9" i="1"/>
  <c r="E9" i="1"/>
  <c r="F9" i="1"/>
  <c r="G9" i="1"/>
  <c r="H9" i="1"/>
  <c r="M9" i="1"/>
  <c r="N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B10" i="1"/>
  <c r="D10" i="1"/>
  <c r="E10" i="1"/>
  <c r="F10" i="1"/>
  <c r="G10" i="1"/>
  <c r="H10" i="1"/>
  <c r="M10" i="1"/>
  <c r="N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B11" i="1"/>
  <c r="D11" i="1"/>
  <c r="E11" i="1"/>
  <c r="F11" i="1"/>
  <c r="G11" i="1"/>
  <c r="H11" i="1"/>
  <c r="M11" i="1"/>
  <c r="N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B12" i="1"/>
  <c r="D12" i="1"/>
  <c r="E12" i="1"/>
  <c r="F12" i="1"/>
  <c r="G12" i="1"/>
  <c r="H12" i="1"/>
  <c r="M12" i="1"/>
  <c r="N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B13" i="1"/>
  <c r="D13" i="1"/>
  <c r="E13" i="1"/>
  <c r="F13" i="1"/>
  <c r="G13" i="1"/>
  <c r="H13" i="1"/>
  <c r="M13" i="1"/>
  <c r="N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B14" i="1"/>
  <c r="D14" i="1"/>
  <c r="E14" i="1"/>
  <c r="F14" i="1"/>
  <c r="G14" i="1"/>
  <c r="H14" i="1"/>
  <c r="M14" i="1"/>
  <c r="N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B15" i="1"/>
  <c r="D15" i="1"/>
  <c r="E15" i="1"/>
  <c r="F15" i="1"/>
  <c r="G15" i="1"/>
  <c r="H15" i="1"/>
  <c r="M15" i="1"/>
  <c r="N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B16" i="1"/>
  <c r="D16" i="1"/>
  <c r="E16" i="1"/>
  <c r="F16" i="1"/>
  <c r="G16" i="1"/>
  <c r="H16" i="1"/>
  <c r="M16" i="1"/>
  <c r="N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B17" i="1"/>
  <c r="D17" i="1"/>
  <c r="E17" i="1"/>
  <c r="F17" i="1"/>
  <c r="G17" i="1"/>
  <c r="H17" i="1"/>
  <c r="M17" i="1"/>
  <c r="N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B18" i="1"/>
  <c r="D18" i="1"/>
  <c r="E18" i="1"/>
  <c r="F18" i="1"/>
  <c r="G18" i="1"/>
  <c r="H18" i="1"/>
  <c r="M18" i="1"/>
  <c r="N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B19" i="1"/>
  <c r="D19" i="1"/>
  <c r="E19" i="1"/>
  <c r="F19" i="1"/>
  <c r="G19" i="1"/>
  <c r="H19" i="1"/>
  <c r="M19" i="1"/>
  <c r="N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B20" i="1"/>
  <c r="D20" i="1"/>
  <c r="E20" i="1"/>
  <c r="F20" i="1"/>
  <c r="G20" i="1"/>
  <c r="H20" i="1"/>
  <c r="M20" i="1"/>
  <c r="N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B21" i="1"/>
  <c r="D21" i="1"/>
  <c r="E21" i="1"/>
  <c r="F21" i="1"/>
  <c r="G21" i="1"/>
  <c r="H21" i="1"/>
  <c r="M21" i="1"/>
  <c r="N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B22" i="1"/>
  <c r="D22" i="1"/>
  <c r="E22" i="1"/>
  <c r="F22" i="1"/>
  <c r="G22" i="1"/>
  <c r="H22" i="1"/>
  <c r="M22" i="1"/>
  <c r="N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B23" i="1"/>
  <c r="D23" i="1"/>
  <c r="E23" i="1"/>
  <c r="F23" i="1"/>
  <c r="G23" i="1"/>
  <c r="H23" i="1"/>
  <c r="M23" i="1"/>
  <c r="N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B24" i="1"/>
  <c r="D24" i="1"/>
  <c r="E24" i="1"/>
  <c r="F24" i="1"/>
  <c r="G24" i="1"/>
  <c r="H24" i="1"/>
  <c r="M24" i="1"/>
  <c r="N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M24" i="1"/>
  <c r="B25" i="1"/>
  <c r="D25" i="1"/>
  <c r="E25" i="1"/>
  <c r="F25" i="1"/>
  <c r="G25" i="1"/>
  <c r="H25" i="1"/>
  <c r="M25" i="1"/>
  <c r="N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B26" i="1"/>
  <c r="D26" i="1"/>
  <c r="E26" i="1"/>
  <c r="F26" i="1"/>
  <c r="G26" i="1"/>
  <c r="H26" i="1"/>
  <c r="M26" i="1"/>
  <c r="N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M26" i="1"/>
  <c r="B27" i="1"/>
  <c r="D27" i="1"/>
  <c r="E27" i="1"/>
  <c r="F27" i="1"/>
  <c r="G27" i="1"/>
  <c r="H27" i="1"/>
  <c r="M27" i="1"/>
  <c r="N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M27" i="1"/>
  <c r="B28" i="1"/>
  <c r="D28" i="1"/>
  <c r="E28" i="1"/>
  <c r="F28" i="1"/>
  <c r="G28" i="1"/>
  <c r="H28" i="1"/>
  <c r="M28" i="1"/>
  <c r="N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M28" i="1"/>
  <c r="B29" i="1"/>
  <c r="D29" i="1"/>
  <c r="E29" i="1"/>
  <c r="F29" i="1"/>
  <c r="G29" i="1"/>
  <c r="H29" i="1"/>
  <c r="M29" i="1"/>
  <c r="N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B30" i="1"/>
  <c r="D30" i="1"/>
  <c r="E30" i="1"/>
  <c r="F30" i="1"/>
  <c r="G30" i="1"/>
  <c r="H30" i="1"/>
  <c r="M30" i="1"/>
  <c r="N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B31" i="1"/>
  <c r="D31" i="1"/>
  <c r="E31" i="1"/>
  <c r="F31" i="1"/>
  <c r="G31" i="1"/>
  <c r="H31" i="1"/>
  <c r="M31" i="1"/>
  <c r="N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B32" i="1"/>
  <c r="D32" i="1"/>
  <c r="E32" i="1"/>
  <c r="F32" i="1"/>
  <c r="G32" i="1"/>
  <c r="H32" i="1"/>
  <c r="M32" i="1"/>
  <c r="N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B33" i="1"/>
  <c r="D33" i="1"/>
  <c r="E33" i="1"/>
  <c r="F33" i="1"/>
  <c r="G33" i="1"/>
  <c r="H33" i="1"/>
  <c r="M33" i="1"/>
  <c r="N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M33" i="1"/>
  <c r="B34" i="1"/>
  <c r="D34" i="1"/>
  <c r="E34" i="1"/>
  <c r="F34" i="1"/>
  <c r="G34" i="1"/>
  <c r="H34" i="1"/>
  <c r="M34" i="1"/>
  <c r="N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B35" i="1"/>
  <c r="D35" i="1"/>
  <c r="E35" i="1"/>
  <c r="F35" i="1"/>
  <c r="G35" i="1"/>
  <c r="H35" i="1"/>
  <c r="M35" i="1"/>
  <c r="N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B36" i="1"/>
  <c r="D36" i="1"/>
  <c r="E36" i="1"/>
  <c r="F36" i="1"/>
  <c r="G36" i="1"/>
  <c r="H36" i="1"/>
  <c r="M36" i="1"/>
  <c r="N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B37" i="1"/>
  <c r="D37" i="1"/>
  <c r="E37" i="1"/>
  <c r="F37" i="1"/>
  <c r="G37" i="1"/>
  <c r="H37" i="1"/>
  <c r="M37" i="1"/>
  <c r="N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B38" i="1"/>
  <c r="D38" i="1"/>
  <c r="E38" i="1"/>
  <c r="F38" i="1"/>
  <c r="G38" i="1"/>
  <c r="H38" i="1"/>
  <c r="M38" i="1"/>
  <c r="N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B39" i="1"/>
  <c r="D39" i="1"/>
  <c r="E39" i="1"/>
  <c r="F39" i="1"/>
  <c r="G39" i="1"/>
  <c r="H39" i="1"/>
  <c r="M39" i="1"/>
  <c r="N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B40" i="1"/>
  <c r="D40" i="1"/>
  <c r="E40" i="1"/>
  <c r="F40" i="1"/>
  <c r="G40" i="1"/>
  <c r="H40" i="1"/>
  <c r="M40" i="1"/>
  <c r="N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B41" i="1"/>
  <c r="D41" i="1"/>
  <c r="E41" i="1"/>
  <c r="F41" i="1"/>
  <c r="G41" i="1"/>
  <c r="H41" i="1"/>
  <c r="M41" i="1"/>
  <c r="N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B42" i="1"/>
  <c r="D42" i="1"/>
  <c r="E42" i="1"/>
  <c r="F42" i="1"/>
  <c r="G42" i="1"/>
  <c r="H42" i="1"/>
  <c r="M42" i="1"/>
  <c r="N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B43" i="1"/>
  <c r="D43" i="1"/>
  <c r="E43" i="1"/>
  <c r="F43" i="1"/>
  <c r="G43" i="1"/>
  <c r="H43" i="1"/>
  <c r="M43" i="1"/>
  <c r="N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B44" i="1"/>
  <c r="D44" i="1"/>
  <c r="E44" i="1"/>
  <c r="F44" i="1"/>
  <c r="G44" i="1"/>
  <c r="H44" i="1"/>
  <c r="M44" i="1"/>
  <c r="N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B45" i="1"/>
  <c r="D45" i="1"/>
  <c r="E45" i="1"/>
  <c r="F45" i="1"/>
  <c r="G45" i="1"/>
  <c r="H45" i="1"/>
  <c r="M45" i="1"/>
  <c r="N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M45" i="1"/>
  <c r="B46" i="1"/>
  <c r="D46" i="1"/>
  <c r="E46" i="1"/>
  <c r="F46" i="1"/>
  <c r="G46" i="1"/>
  <c r="H46" i="1"/>
  <c r="M46" i="1"/>
  <c r="N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B47" i="1"/>
  <c r="D47" i="1"/>
  <c r="E47" i="1"/>
  <c r="F47" i="1"/>
  <c r="G47" i="1"/>
  <c r="H47" i="1"/>
  <c r="M47" i="1"/>
  <c r="N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B48" i="1"/>
  <c r="D48" i="1"/>
  <c r="E48" i="1"/>
  <c r="F48" i="1"/>
  <c r="G48" i="1"/>
  <c r="H48" i="1"/>
  <c r="M48" i="1"/>
  <c r="N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B49" i="1"/>
  <c r="D49" i="1"/>
  <c r="E49" i="1"/>
  <c r="F49" i="1"/>
  <c r="G49" i="1"/>
  <c r="H49" i="1"/>
  <c r="M49" i="1"/>
  <c r="N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B50" i="1"/>
  <c r="D50" i="1"/>
  <c r="E50" i="1"/>
  <c r="F50" i="1"/>
  <c r="G50" i="1"/>
  <c r="H50" i="1"/>
  <c r="M50" i="1"/>
  <c r="N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B51" i="1"/>
  <c r="D51" i="1"/>
  <c r="E51" i="1"/>
  <c r="F51" i="1"/>
  <c r="G51" i="1"/>
  <c r="H51" i="1"/>
  <c r="M51" i="1"/>
  <c r="N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B52" i="1"/>
  <c r="D52" i="1"/>
  <c r="E52" i="1"/>
  <c r="F52" i="1"/>
  <c r="G52" i="1"/>
  <c r="H52" i="1"/>
  <c r="M52" i="1"/>
  <c r="N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B53" i="1"/>
  <c r="D53" i="1"/>
  <c r="E53" i="1"/>
  <c r="F53" i="1"/>
  <c r="G53" i="1"/>
  <c r="H53" i="1"/>
  <c r="M53" i="1"/>
  <c r="N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B54" i="1"/>
  <c r="D54" i="1"/>
  <c r="E54" i="1"/>
  <c r="F54" i="1"/>
  <c r="G54" i="1"/>
  <c r="H54" i="1"/>
  <c r="M54" i="1"/>
  <c r="N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B55" i="1"/>
  <c r="D55" i="1"/>
  <c r="E55" i="1"/>
  <c r="F55" i="1"/>
  <c r="G55" i="1"/>
  <c r="H55" i="1"/>
  <c r="M55" i="1"/>
  <c r="N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M55" i="1"/>
  <c r="B56" i="1"/>
  <c r="D56" i="1"/>
  <c r="E56" i="1"/>
  <c r="F56" i="1"/>
  <c r="G56" i="1"/>
  <c r="H56" i="1"/>
  <c r="M56" i="1"/>
  <c r="N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M56" i="1"/>
  <c r="B57" i="1"/>
  <c r="D57" i="1"/>
  <c r="E57" i="1"/>
  <c r="F57" i="1"/>
  <c r="G57" i="1"/>
  <c r="H57" i="1"/>
  <c r="M57" i="1"/>
  <c r="N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M57" i="1"/>
  <c r="B58" i="1"/>
  <c r="D58" i="1"/>
  <c r="E58" i="1"/>
  <c r="F58" i="1"/>
  <c r="G58" i="1"/>
  <c r="H58" i="1"/>
  <c r="M58" i="1"/>
  <c r="N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B59" i="1"/>
  <c r="D59" i="1"/>
  <c r="E59" i="1"/>
  <c r="F59" i="1"/>
  <c r="G59" i="1"/>
  <c r="H59" i="1"/>
  <c r="M59" i="1"/>
  <c r="N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B60" i="1"/>
  <c r="D60" i="1"/>
  <c r="E60" i="1"/>
  <c r="F60" i="1"/>
  <c r="G60" i="1"/>
  <c r="H60" i="1"/>
  <c r="M60" i="1"/>
  <c r="N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B61" i="1"/>
  <c r="D61" i="1"/>
  <c r="E61" i="1"/>
  <c r="F61" i="1"/>
  <c r="G61" i="1"/>
  <c r="H61" i="1"/>
  <c r="M61" i="1"/>
  <c r="N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B62" i="1"/>
  <c r="D62" i="1"/>
  <c r="E62" i="1"/>
  <c r="F62" i="1"/>
  <c r="G62" i="1"/>
  <c r="H62" i="1"/>
  <c r="M62" i="1"/>
  <c r="N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M62" i="1"/>
  <c r="B63" i="1"/>
  <c r="D63" i="1"/>
  <c r="E63" i="1"/>
  <c r="F63" i="1"/>
  <c r="G63" i="1"/>
  <c r="H63" i="1"/>
  <c r="M63" i="1"/>
  <c r="N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M63" i="1"/>
  <c r="B64" i="1"/>
  <c r="D64" i="1"/>
  <c r="E64" i="1"/>
  <c r="F64" i="1"/>
  <c r="G64" i="1"/>
  <c r="H64" i="1"/>
  <c r="M64" i="1"/>
  <c r="N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B65" i="1"/>
  <c r="D65" i="1"/>
  <c r="E65" i="1"/>
  <c r="F65" i="1"/>
  <c r="G65" i="1"/>
  <c r="H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M65" i="1"/>
  <c r="B66" i="1"/>
  <c r="D66" i="1"/>
  <c r="E66" i="1"/>
  <c r="F66" i="1"/>
  <c r="G66" i="1"/>
  <c r="H66" i="1"/>
  <c r="M66" i="1"/>
  <c r="N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B67" i="1"/>
  <c r="D67" i="1"/>
  <c r="E67" i="1"/>
  <c r="F67" i="1"/>
  <c r="G67" i="1"/>
  <c r="H67" i="1"/>
  <c r="M67" i="1"/>
  <c r="N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B68" i="1"/>
  <c r="D68" i="1"/>
  <c r="E68" i="1"/>
  <c r="F68" i="1"/>
  <c r="G68" i="1"/>
  <c r="H68" i="1"/>
  <c r="M68" i="1"/>
  <c r="N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B69" i="1"/>
  <c r="D69" i="1"/>
  <c r="E69" i="1"/>
  <c r="F69" i="1"/>
  <c r="G69" i="1"/>
  <c r="H69" i="1"/>
  <c r="M69" i="1"/>
  <c r="N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B70" i="1"/>
  <c r="D70" i="1"/>
  <c r="E70" i="1"/>
  <c r="F70" i="1"/>
  <c r="G70" i="1"/>
  <c r="H70" i="1"/>
  <c r="M70" i="1"/>
  <c r="N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B71" i="1"/>
  <c r="D71" i="1"/>
  <c r="E71" i="1"/>
  <c r="F71" i="1"/>
  <c r="G71" i="1"/>
  <c r="H71" i="1"/>
  <c r="M71" i="1"/>
  <c r="N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M71" i="1"/>
  <c r="B72" i="1"/>
  <c r="D72" i="1"/>
  <c r="E72" i="1"/>
  <c r="F72" i="1"/>
  <c r="G72" i="1"/>
  <c r="H72" i="1"/>
  <c r="M72" i="1"/>
  <c r="N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M72" i="1"/>
  <c r="B73" i="1"/>
  <c r="D73" i="1"/>
  <c r="E73" i="1"/>
  <c r="F73" i="1"/>
  <c r="G73" i="1"/>
  <c r="H73" i="1"/>
  <c r="M73" i="1"/>
  <c r="N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M73" i="1"/>
  <c r="B74" i="1"/>
  <c r="D74" i="1"/>
  <c r="E74" i="1"/>
  <c r="F74" i="1"/>
  <c r="G74" i="1"/>
  <c r="H74" i="1"/>
  <c r="M74" i="1"/>
  <c r="N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B75" i="1"/>
  <c r="D75" i="1"/>
  <c r="E75" i="1"/>
  <c r="F75" i="1"/>
  <c r="G75" i="1"/>
  <c r="H75" i="1"/>
  <c r="M75" i="1"/>
  <c r="N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B76" i="1"/>
  <c r="D76" i="1"/>
  <c r="E76" i="1"/>
  <c r="F76" i="1"/>
  <c r="G76" i="1"/>
  <c r="H76" i="1"/>
  <c r="M76" i="1"/>
  <c r="N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B77" i="1"/>
  <c r="D77" i="1"/>
  <c r="E77" i="1"/>
  <c r="F77" i="1"/>
  <c r="G77" i="1"/>
  <c r="H77" i="1"/>
  <c r="M77" i="1"/>
  <c r="N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M77" i="1"/>
  <c r="B78" i="1"/>
  <c r="D78" i="1"/>
  <c r="E78" i="1"/>
  <c r="F78" i="1"/>
  <c r="G78" i="1"/>
  <c r="H78" i="1"/>
  <c r="M78" i="1"/>
  <c r="N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M78" i="1"/>
  <c r="B79" i="1"/>
  <c r="D79" i="1"/>
  <c r="E79" i="1"/>
  <c r="F79" i="1"/>
  <c r="G79" i="1"/>
  <c r="H79" i="1"/>
  <c r="M79" i="1"/>
  <c r="N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M79" i="1"/>
  <c r="B80" i="1"/>
  <c r="D80" i="1"/>
  <c r="E80" i="1"/>
  <c r="F80" i="1"/>
  <c r="G80" i="1"/>
  <c r="H80" i="1"/>
  <c r="M80" i="1"/>
  <c r="N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B81" i="1"/>
  <c r="D81" i="1"/>
  <c r="E81" i="1"/>
  <c r="F81" i="1"/>
  <c r="G81" i="1"/>
  <c r="H81" i="1"/>
  <c r="M81" i="1"/>
  <c r="N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B82" i="1"/>
  <c r="D82" i="1"/>
  <c r="E82" i="1"/>
  <c r="F82" i="1"/>
  <c r="G82" i="1"/>
  <c r="H82" i="1"/>
  <c r="M82" i="1"/>
  <c r="N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B83" i="1"/>
  <c r="D83" i="1"/>
  <c r="E83" i="1"/>
  <c r="F83" i="1"/>
  <c r="G83" i="1"/>
  <c r="H83" i="1"/>
  <c r="M83" i="1"/>
  <c r="N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B84" i="1"/>
  <c r="D84" i="1"/>
  <c r="E84" i="1"/>
  <c r="F84" i="1"/>
  <c r="G84" i="1"/>
  <c r="H84" i="1"/>
  <c r="M84" i="1"/>
  <c r="N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B85" i="1"/>
  <c r="D85" i="1"/>
  <c r="E85" i="1"/>
  <c r="F85" i="1"/>
  <c r="G85" i="1"/>
  <c r="H85" i="1"/>
  <c r="M85" i="1"/>
  <c r="N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M85" i="1"/>
  <c r="B86" i="1"/>
  <c r="D86" i="1"/>
  <c r="E86" i="1"/>
  <c r="F86" i="1"/>
  <c r="G86" i="1"/>
  <c r="H86" i="1"/>
  <c r="M86" i="1"/>
  <c r="N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M86" i="1"/>
  <c r="B87" i="1"/>
  <c r="D87" i="1"/>
  <c r="E87" i="1"/>
  <c r="F87" i="1"/>
  <c r="G87" i="1"/>
  <c r="H87" i="1"/>
  <c r="M87" i="1"/>
  <c r="N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M87" i="1"/>
  <c r="B88" i="1"/>
  <c r="D88" i="1"/>
  <c r="E88" i="1"/>
  <c r="F88" i="1"/>
  <c r="G88" i="1"/>
  <c r="H88" i="1"/>
  <c r="M88" i="1"/>
  <c r="N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M88" i="1"/>
  <c r="B89" i="1"/>
  <c r="D89" i="1"/>
  <c r="E89" i="1"/>
  <c r="F89" i="1"/>
  <c r="G89" i="1"/>
  <c r="H89" i="1"/>
  <c r="M89" i="1"/>
  <c r="N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B90" i="1"/>
  <c r="D90" i="1"/>
  <c r="E90" i="1"/>
  <c r="F90" i="1"/>
  <c r="G90" i="1"/>
  <c r="H90" i="1"/>
  <c r="M90" i="1"/>
  <c r="N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B91" i="1"/>
  <c r="D91" i="1"/>
  <c r="E91" i="1"/>
  <c r="F91" i="1"/>
  <c r="G91" i="1"/>
  <c r="H91" i="1"/>
  <c r="M91" i="1"/>
  <c r="N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B92" i="1"/>
  <c r="D92" i="1"/>
  <c r="E92" i="1"/>
  <c r="F92" i="1"/>
  <c r="G92" i="1"/>
  <c r="H92" i="1"/>
  <c r="M92" i="1"/>
  <c r="N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M92" i="1"/>
  <c r="B93" i="1"/>
  <c r="D93" i="1"/>
  <c r="E93" i="1"/>
  <c r="F93" i="1"/>
  <c r="G93" i="1"/>
  <c r="H93" i="1"/>
  <c r="M93" i="1"/>
  <c r="N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B94" i="1"/>
  <c r="D94" i="1"/>
  <c r="E94" i="1"/>
  <c r="F94" i="1"/>
  <c r="G94" i="1"/>
  <c r="H94" i="1"/>
  <c r="M94" i="1"/>
  <c r="N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B95" i="1"/>
  <c r="D95" i="1"/>
  <c r="E95" i="1"/>
  <c r="F95" i="1"/>
  <c r="G95" i="1"/>
  <c r="H95" i="1"/>
  <c r="M95" i="1"/>
  <c r="N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B96" i="1"/>
  <c r="D96" i="1"/>
  <c r="E96" i="1"/>
  <c r="F96" i="1"/>
  <c r="G96" i="1"/>
  <c r="H96" i="1"/>
  <c r="M96" i="1"/>
  <c r="N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B97" i="1"/>
  <c r="D97" i="1"/>
  <c r="E97" i="1"/>
  <c r="F97" i="1"/>
  <c r="G97" i="1"/>
  <c r="H97" i="1"/>
  <c r="M97" i="1"/>
  <c r="N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B98" i="1"/>
  <c r="D98" i="1"/>
  <c r="E98" i="1"/>
  <c r="F98" i="1"/>
  <c r="G98" i="1"/>
  <c r="H98" i="1"/>
  <c r="M98" i="1"/>
  <c r="N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B99" i="1"/>
  <c r="D99" i="1"/>
  <c r="E99" i="1"/>
  <c r="F99" i="1"/>
  <c r="G99" i="1"/>
  <c r="H99" i="1"/>
  <c r="M99" i="1"/>
  <c r="N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B100" i="1"/>
  <c r="D100" i="1"/>
  <c r="E100" i="1"/>
  <c r="F100" i="1"/>
  <c r="G100" i="1"/>
  <c r="H100" i="1"/>
  <c r="M100" i="1"/>
  <c r="N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B101" i="1"/>
  <c r="D101" i="1"/>
  <c r="E101" i="1"/>
  <c r="F101" i="1"/>
  <c r="G101" i="1"/>
  <c r="H101" i="1"/>
  <c r="M101" i="1"/>
  <c r="N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B102" i="1"/>
  <c r="D102" i="1"/>
  <c r="E102" i="1"/>
  <c r="F102" i="1"/>
  <c r="G102" i="1"/>
  <c r="H102" i="1"/>
  <c r="M102" i="1"/>
  <c r="N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B103" i="1"/>
  <c r="D103" i="1"/>
  <c r="E103" i="1"/>
  <c r="F103" i="1"/>
  <c r="G103" i="1"/>
  <c r="H103" i="1"/>
  <c r="M103" i="1"/>
  <c r="N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B104" i="1"/>
  <c r="D104" i="1"/>
  <c r="E104" i="1"/>
  <c r="F104" i="1"/>
  <c r="G104" i="1"/>
  <c r="H104" i="1"/>
  <c r="M104" i="1"/>
  <c r="N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B105" i="1"/>
  <c r="D105" i="1"/>
  <c r="E105" i="1"/>
  <c r="F105" i="1"/>
  <c r="G105" i="1"/>
  <c r="H105" i="1"/>
  <c r="M105" i="1"/>
  <c r="N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B106" i="1"/>
  <c r="D106" i="1"/>
  <c r="E106" i="1"/>
  <c r="F106" i="1"/>
  <c r="G106" i="1"/>
  <c r="H106" i="1"/>
  <c r="M106" i="1"/>
  <c r="N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B107" i="1"/>
  <c r="D107" i="1"/>
  <c r="E107" i="1"/>
  <c r="F107" i="1"/>
  <c r="G107" i="1"/>
  <c r="H107" i="1"/>
  <c r="M107" i="1"/>
  <c r="N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M107" i="1"/>
  <c r="B108" i="1"/>
  <c r="D108" i="1"/>
  <c r="E108" i="1"/>
  <c r="F108" i="1"/>
  <c r="G108" i="1"/>
  <c r="H108" i="1"/>
  <c r="M108" i="1"/>
  <c r="N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B109" i="1"/>
  <c r="D109" i="1"/>
  <c r="E109" i="1"/>
  <c r="F109" i="1"/>
  <c r="G109" i="1"/>
  <c r="H109" i="1"/>
  <c r="M109" i="1"/>
  <c r="N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B110" i="1"/>
  <c r="D110" i="1"/>
  <c r="E110" i="1"/>
  <c r="F110" i="1"/>
  <c r="G110" i="1"/>
  <c r="H110" i="1"/>
  <c r="M110" i="1"/>
  <c r="N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B111" i="1"/>
  <c r="D111" i="1"/>
  <c r="E111" i="1"/>
  <c r="F111" i="1"/>
  <c r="G111" i="1"/>
  <c r="H111" i="1"/>
  <c r="M111" i="1"/>
  <c r="N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B112" i="1"/>
  <c r="D112" i="1"/>
  <c r="E112" i="1"/>
  <c r="F112" i="1"/>
  <c r="G112" i="1"/>
  <c r="H112" i="1"/>
  <c r="M112" i="1"/>
  <c r="N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B113" i="1"/>
  <c r="D113" i="1"/>
  <c r="E113" i="1"/>
  <c r="F113" i="1"/>
  <c r="G113" i="1"/>
  <c r="H113" i="1"/>
  <c r="M113" i="1"/>
  <c r="N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B114" i="1"/>
  <c r="D114" i="1"/>
  <c r="E114" i="1"/>
  <c r="F114" i="1"/>
  <c r="G114" i="1"/>
  <c r="H114" i="1"/>
  <c r="M114" i="1"/>
  <c r="N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B115" i="1"/>
  <c r="D115" i="1"/>
  <c r="E115" i="1"/>
  <c r="F115" i="1"/>
  <c r="G115" i="1"/>
  <c r="H115" i="1"/>
  <c r="M115" i="1"/>
  <c r="N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B116" i="1"/>
  <c r="D116" i="1"/>
  <c r="E116" i="1"/>
  <c r="F116" i="1"/>
  <c r="G116" i="1"/>
  <c r="H116" i="1"/>
  <c r="M116" i="1"/>
  <c r="N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B117" i="1"/>
  <c r="D117" i="1"/>
  <c r="E117" i="1"/>
  <c r="F117" i="1"/>
  <c r="G117" i="1"/>
  <c r="H117" i="1"/>
  <c r="M117" i="1"/>
  <c r="N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M117" i="1"/>
  <c r="B118" i="1"/>
  <c r="D118" i="1"/>
  <c r="E118" i="1"/>
  <c r="F118" i="1"/>
  <c r="G118" i="1"/>
  <c r="H118" i="1"/>
  <c r="M118" i="1"/>
  <c r="N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M118" i="1"/>
  <c r="B119" i="1"/>
  <c r="D119" i="1"/>
  <c r="E119" i="1"/>
  <c r="F119" i="1"/>
  <c r="G119" i="1"/>
  <c r="H119" i="1"/>
  <c r="M119" i="1"/>
  <c r="N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B120" i="1"/>
  <c r="D120" i="1"/>
  <c r="E120" i="1"/>
  <c r="F120" i="1"/>
  <c r="G120" i="1"/>
  <c r="H120" i="1"/>
  <c r="M120" i="1"/>
  <c r="N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B121" i="1"/>
  <c r="D121" i="1"/>
  <c r="E121" i="1"/>
  <c r="F121" i="1"/>
  <c r="G121" i="1"/>
  <c r="H121" i="1"/>
  <c r="M121" i="1"/>
  <c r="N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M121" i="1"/>
  <c r="B122" i="1"/>
  <c r="D122" i="1"/>
  <c r="E122" i="1"/>
  <c r="F122" i="1"/>
  <c r="G122" i="1"/>
  <c r="H122" i="1"/>
  <c r="M122" i="1"/>
  <c r="N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B123" i="1"/>
  <c r="D123" i="1"/>
  <c r="E123" i="1"/>
  <c r="F123" i="1"/>
  <c r="G123" i="1"/>
  <c r="H123" i="1"/>
  <c r="M123" i="1"/>
  <c r="N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B124" i="1"/>
  <c r="D124" i="1"/>
  <c r="E124" i="1"/>
  <c r="F124" i="1"/>
  <c r="G124" i="1"/>
  <c r="H124" i="1"/>
  <c r="M124" i="1"/>
  <c r="N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B125" i="1"/>
  <c r="D125" i="1"/>
  <c r="E125" i="1"/>
  <c r="F125" i="1"/>
  <c r="G125" i="1"/>
  <c r="H125" i="1"/>
  <c r="M125" i="1"/>
  <c r="N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B126" i="1"/>
  <c r="D126" i="1"/>
  <c r="E126" i="1"/>
  <c r="F126" i="1"/>
  <c r="G126" i="1"/>
  <c r="H126" i="1"/>
  <c r="M126" i="1"/>
  <c r="N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B127" i="1"/>
  <c r="D127" i="1"/>
  <c r="E127" i="1"/>
  <c r="F127" i="1"/>
  <c r="G127" i="1"/>
  <c r="H127" i="1"/>
  <c r="M127" i="1"/>
  <c r="N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M127" i="1"/>
  <c r="B128" i="1"/>
  <c r="D128" i="1"/>
  <c r="E128" i="1"/>
  <c r="F128" i="1"/>
  <c r="G128" i="1"/>
  <c r="H128" i="1"/>
  <c r="M128" i="1"/>
  <c r="N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B129" i="1"/>
  <c r="D129" i="1"/>
  <c r="E129" i="1"/>
  <c r="F129" i="1"/>
  <c r="G129" i="1"/>
  <c r="H129" i="1"/>
  <c r="M129" i="1"/>
  <c r="N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M129" i="1"/>
  <c r="B130" i="1"/>
  <c r="D130" i="1"/>
  <c r="E130" i="1"/>
  <c r="F130" i="1"/>
  <c r="G130" i="1"/>
  <c r="H130" i="1"/>
  <c r="M130" i="1"/>
  <c r="N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M130" i="1"/>
  <c r="B131" i="1"/>
  <c r="D131" i="1"/>
  <c r="E131" i="1"/>
  <c r="F131" i="1"/>
  <c r="G131" i="1"/>
  <c r="H131" i="1"/>
  <c r="M131" i="1"/>
  <c r="N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M131" i="1"/>
  <c r="B132" i="1"/>
  <c r="D132" i="1"/>
  <c r="E132" i="1"/>
  <c r="F132" i="1"/>
  <c r="G132" i="1"/>
  <c r="H132" i="1"/>
  <c r="M132" i="1"/>
  <c r="N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B133" i="1"/>
  <c r="D133" i="1"/>
  <c r="E133" i="1"/>
  <c r="F133" i="1"/>
  <c r="G133" i="1"/>
  <c r="H133" i="1"/>
  <c r="M133" i="1"/>
  <c r="N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M133" i="1"/>
  <c r="B134" i="1"/>
  <c r="D134" i="1"/>
  <c r="E134" i="1"/>
  <c r="F134" i="1"/>
  <c r="G134" i="1"/>
  <c r="H134" i="1"/>
  <c r="M134" i="1"/>
  <c r="N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B135" i="1"/>
  <c r="D135" i="1"/>
  <c r="E135" i="1"/>
  <c r="F135" i="1"/>
  <c r="G135" i="1"/>
  <c r="H135" i="1"/>
  <c r="M135" i="1"/>
  <c r="N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B136" i="1"/>
  <c r="D136" i="1"/>
  <c r="E136" i="1"/>
  <c r="F136" i="1"/>
  <c r="G136" i="1"/>
  <c r="H136" i="1"/>
  <c r="M136" i="1"/>
  <c r="N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B137" i="1"/>
  <c r="D137" i="1"/>
  <c r="E137" i="1"/>
  <c r="F137" i="1"/>
  <c r="G137" i="1"/>
  <c r="H137" i="1"/>
  <c r="M137" i="1"/>
  <c r="N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M137" i="1"/>
  <c r="B138" i="1"/>
  <c r="D138" i="1"/>
  <c r="E138" i="1"/>
  <c r="F138" i="1"/>
  <c r="G138" i="1"/>
  <c r="H138" i="1"/>
  <c r="M138" i="1"/>
  <c r="N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B139" i="1"/>
  <c r="D139" i="1"/>
  <c r="E139" i="1"/>
  <c r="F139" i="1"/>
  <c r="G139" i="1"/>
  <c r="H139" i="1"/>
  <c r="M139" i="1"/>
  <c r="N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B140" i="1"/>
  <c r="D140" i="1"/>
  <c r="E140" i="1"/>
  <c r="F140" i="1"/>
  <c r="G140" i="1"/>
  <c r="H140" i="1"/>
  <c r="M140" i="1"/>
  <c r="N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B141" i="1"/>
  <c r="D141" i="1"/>
  <c r="E141" i="1"/>
  <c r="F141" i="1"/>
  <c r="G141" i="1"/>
  <c r="H141" i="1"/>
  <c r="M141" i="1"/>
  <c r="N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M141" i="1"/>
  <c r="B142" i="1"/>
  <c r="D142" i="1"/>
  <c r="E142" i="1"/>
  <c r="F142" i="1"/>
  <c r="G142" i="1"/>
  <c r="H142" i="1"/>
  <c r="M142" i="1"/>
  <c r="N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B143" i="1"/>
  <c r="D143" i="1"/>
  <c r="E143" i="1"/>
  <c r="F143" i="1"/>
  <c r="G143" i="1"/>
  <c r="H143" i="1"/>
  <c r="M143" i="1"/>
  <c r="N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M143" i="1"/>
  <c r="B144" i="1"/>
  <c r="D144" i="1"/>
  <c r="E144" i="1"/>
  <c r="F144" i="1"/>
  <c r="G144" i="1"/>
  <c r="H144" i="1"/>
  <c r="M144" i="1"/>
  <c r="N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B145" i="1"/>
  <c r="D145" i="1"/>
  <c r="E145" i="1"/>
  <c r="F145" i="1"/>
  <c r="G145" i="1"/>
  <c r="H145" i="1"/>
  <c r="M145" i="1"/>
  <c r="N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B146" i="1"/>
  <c r="D146" i="1"/>
  <c r="E146" i="1"/>
  <c r="F146" i="1"/>
  <c r="G146" i="1"/>
  <c r="H146" i="1"/>
  <c r="M146" i="1"/>
  <c r="N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B147" i="1"/>
  <c r="D147" i="1"/>
  <c r="E147" i="1"/>
  <c r="F147" i="1"/>
  <c r="G147" i="1"/>
  <c r="H147" i="1"/>
  <c r="M147" i="1"/>
  <c r="N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M147" i="1"/>
  <c r="B148" i="1"/>
  <c r="D148" i="1"/>
  <c r="E148" i="1"/>
  <c r="F148" i="1"/>
  <c r="G148" i="1"/>
  <c r="H148" i="1"/>
  <c r="M148" i="1"/>
  <c r="N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M148" i="1"/>
  <c r="B149" i="1"/>
  <c r="D149" i="1"/>
  <c r="E149" i="1"/>
  <c r="F149" i="1"/>
  <c r="G149" i="1"/>
  <c r="H149" i="1"/>
  <c r="M149" i="1"/>
  <c r="N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M149" i="1"/>
  <c r="B150" i="1"/>
  <c r="D150" i="1"/>
  <c r="E150" i="1"/>
  <c r="F150" i="1"/>
  <c r="G150" i="1"/>
  <c r="H150" i="1"/>
  <c r="M150" i="1"/>
  <c r="N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M150" i="1"/>
  <c r="B151" i="1"/>
  <c r="D151" i="1"/>
  <c r="E151" i="1"/>
  <c r="F151" i="1"/>
  <c r="G151" i="1"/>
  <c r="H151" i="1"/>
  <c r="M151" i="1"/>
  <c r="N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M151" i="1"/>
  <c r="B152" i="1"/>
  <c r="D152" i="1"/>
  <c r="E152" i="1"/>
  <c r="F152" i="1"/>
  <c r="G152" i="1"/>
  <c r="H152" i="1"/>
  <c r="M152" i="1"/>
  <c r="N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M152" i="1"/>
  <c r="B153" i="1"/>
  <c r="D153" i="1"/>
  <c r="E153" i="1"/>
  <c r="F153" i="1"/>
  <c r="G153" i="1"/>
  <c r="H153" i="1"/>
  <c r="M153" i="1"/>
  <c r="N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M153" i="1"/>
  <c r="B154" i="1"/>
  <c r="D154" i="1"/>
  <c r="E154" i="1"/>
  <c r="F154" i="1"/>
  <c r="G154" i="1"/>
  <c r="H154" i="1"/>
  <c r="M154" i="1"/>
  <c r="N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B155" i="1"/>
  <c r="D155" i="1"/>
  <c r="E155" i="1"/>
  <c r="F155" i="1"/>
  <c r="G155" i="1"/>
  <c r="H155" i="1"/>
  <c r="M155" i="1"/>
  <c r="N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B156" i="1"/>
  <c r="D156" i="1"/>
  <c r="E156" i="1"/>
  <c r="F156" i="1"/>
  <c r="G156" i="1"/>
  <c r="H156" i="1"/>
  <c r="M156" i="1"/>
  <c r="N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B157" i="1"/>
  <c r="D157" i="1"/>
  <c r="E157" i="1"/>
  <c r="F157" i="1"/>
  <c r="G157" i="1"/>
  <c r="H157" i="1"/>
  <c r="M157" i="1"/>
  <c r="N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B158" i="1"/>
  <c r="D158" i="1"/>
  <c r="E158" i="1"/>
  <c r="F158" i="1"/>
  <c r="G158" i="1"/>
  <c r="H158" i="1"/>
  <c r="M158" i="1"/>
  <c r="N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B159" i="1"/>
  <c r="D159" i="1"/>
  <c r="E159" i="1"/>
  <c r="F159" i="1"/>
  <c r="G159" i="1"/>
  <c r="H159" i="1"/>
  <c r="M159" i="1"/>
  <c r="N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M159" i="1"/>
  <c r="B160" i="1"/>
  <c r="D160" i="1"/>
  <c r="E160" i="1"/>
  <c r="F160" i="1"/>
  <c r="G160" i="1"/>
  <c r="H160" i="1"/>
  <c r="M160" i="1"/>
  <c r="N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B161" i="1"/>
  <c r="D161" i="1"/>
  <c r="E161" i="1"/>
  <c r="F161" i="1"/>
  <c r="G161" i="1"/>
  <c r="H161" i="1"/>
  <c r="M161" i="1"/>
  <c r="N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B162" i="1"/>
  <c r="D162" i="1"/>
  <c r="E162" i="1"/>
  <c r="F162" i="1"/>
  <c r="G162" i="1"/>
  <c r="H162" i="1"/>
  <c r="M162" i="1"/>
  <c r="N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B163" i="1"/>
  <c r="D163" i="1"/>
  <c r="E163" i="1"/>
  <c r="F163" i="1"/>
  <c r="G163" i="1"/>
  <c r="H163" i="1"/>
  <c r="M163" i="1"/>
  <c r="N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B164" i="1"/>
  <c r="D164" i="1"/>
  <c r="E164" i="1"/>
  <c r="F164" i="1"/>
  <c r="G164" i="1"/>
  <c r="H164" i="1"/>
  <c r="M164" i="1"/>
  <c r="N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B165" i="1"/>
  <c r="D165" i="1"/>
  <c r="E165" i="1"/>
  <c r="F165" i="1"/>
  <c r="G165" i="1"/>
  <c r="H165" i="1"/>
  <c r="M165" i="1"/>
  <c r="N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M165" i="1"/>
  <c r="B166" i="1"/>
  <c r="D166" i="1"/>
  <c r="E166" i="1"/>
  <c r="F166" i="1"/>
  <c r="G166" i="1"/>
  <c r="H166" i="1"/>
  <c r="M166" i="1"/>
  <c r="N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M166" i="1"/>
  <c r="B167" i="1"/>
  <c r="D167" i="1"/>
  <c r="E167" i="1"/>
  <c r="F167" i="1"/>
  <c r="G167" i="1"/>
  <c r="H167" i="1"/>
  <c r="M167" i="1"/>
  <c r="N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M167" i="1"/>
  <c r="B168" i="1"/>
  <c r="D168" i="1"/>
  <c r="E168" i="1"/>
  <c r="F168" i="1"/>
  <c r="G168" i="1"/>
  <c r="H168" i="1"/>
  <c r="M168" i="1"/>
  <c r="N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B169" i="1"/>
  <c r="D169" i="1"/>
  <c r="E169" i="1"/>
  <c r="F169" i="1"/>
  <c r="G169" i="1"/>
  <c r="H169" i="1"/>
  <c r="M169" i="1"/>
  <c r="N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B170" i="1"/>
  <c r="D170" i="1"/>
  <c r="E170" i="1"/>
  <c r="F170" i="1"/>
  <c r="G170" i="1"/>
  <c r="H170" i="1"/>
  <c r="M170" i="1"/>
  <c r="N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B171" i="1"/>
  <c r="D171" i="1"/>
  <c r="E171" i="1"/>
  <c r="F171" i="1"/>
  <c r="G171" i="1"/>
  <c r="H171" i="1"/>
  <c r="M171" i="1"/>
  <c r="N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B172" i="1"/>
  <c r="D172" i="1"/>
  <c r="E172" i="1"/>
  <c r="F172" i="1"/>
  <c r="G172" i="1"/>
  <c r="H172" i="1"/>
  <c r="M172" i="1"/>
  <c r="N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B173" i="1"/>
  <c r="D173" i="1"/>
  <c r="E173" i="1"/>
  <c r="F173" i="1"/>
  <c r="G173" i="1"/>
  <c r="H173" i="1"/>
  <c r="M173" i="1"/>
  <c r="N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B174" i="1"/>
  <c r="D174" i="1"/>
  <c r="E174" i="1"/>
  <c r="F174" i="1"/>
  <c r="G174" i="1"/>
  <c r="H174" i="1"/>
  <c r="M174" i="1"/>
  <c r="N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B175" i="1"/>
  <c r="D175" i="1"/>
  <c r="E175" i="1"/>
  <c r="F175" i="1"/>
  <c r="G175" i="1"/>
  <c r="H175" i="1"/>
  <c r="M175" i="1"/>
  <c r="N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B176" i="1"/>
  <c r="D176" i="1"/>
  <c r="E176" i="1"/>
  <c r="F176" i="1"/>
  <c r="G176" i="1"/>
  <c r="H176" i="1"/>
  <c r="M176" i="1"/>
  <c r="N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B177" i="1"/>
  <c r="D177" i="1"/>
  <c r="E177" i="1"/>
  <c r="F177" i="1"/>
  <c r="G177" i="1"/>
  <c r="H177" i="1"/>
  <c r="M177" i="1"/>
  <c r="N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B178" i="1"/>
  <c r="D178" i="1"/>
  <c r="E178" i="1"/>
  <c r="F178" i="1"/>
  <c r="G178" i="1"/>
  <c r="H178" i="1"/>
  <c r="M178" i="1"/>
  <c r="N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B179" i="1"/>
  <c r="D179" i="1"/>
  <c r="E179" i="1"/>
  <c r="F179" i="1"/>
  <c r="G179" i="1"/>
  <c r="H179" i="1"/>
  <c r="M179" i="1"/>
  <c r="N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B180" i="1"/>
  <c r="D180" i="1"/>
  <c r="E180" i="1"/>
  <c r="F180" i="1"/>
  <c r="G180" i="1"/>
  <c r="H180" i="1"/>
  <c r="M180" i="1"/>
  <c r="N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B181" i="1"/>
  <c r="D181" i="1"/>
  <c r="E181" i="1"/>
  <c r="F181" i="1"/>
  <c r="G181" i="1"/>
  <c r="H181" i="1"/>
  <c r="M181" i="1"/>
  <c r="N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M181" i="1"/>
  <c r="B182" i="1"/>
  <c r="D182" i="1"/>
  <c r="E182" i="1"/>
  <c r="F182" i="1"/>
  <c r="G182" i="1"/>
  <c r="H182" i="1"/>
  <c r="M182" i="1"/>
  <c r="N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B183" i="1"/>
  <c r="D183" i="1"/>
  <c r="E183" i="1"/>
  <c r="F183" i="1"/>
  <c r="G183" i="1"/>
  <c r="H183" i="1"/>
  <c r="M183" i="1"/>
  <c r="N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B184" i="1"/>
  <c r="D184" i="1"/>
  <c r="E184" i="1"/>
  <c r="F184" i="1"/>
  <c r="G184" i="1"/>
  <c r="H184" i="1"/>
  <c r="M184" i="1"/>
  <c r="N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B185" i="1"/>
  <c r="D185" i="1"/>
  <c r="E185" i="1"/>
  <c r="F185" i="1"/>
  <c r="G185" i="1"/>
  <c r="H185" i="1"/>
  <c r="M185" i="1"/>
  <c r="N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B186" i="1"/>
  <c r="D186" i="1"/>
  <c r="E186" i="1"/>
  <c r="F186" i="1"/>
  <c r="G186" i="1"/>
  <c r="H186" i="1"/>
  <c r="M186" i="1"/>
  <c r="N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B187" i="1"/>
  <c r="D187" i="1"/>
  <c r="E187" i="1"/>
  <c r="F187" i="1"/>
  <c r="G187" i="1"/>
  <c r="H187" i="1"/>
  <c r="M187" i="1"/>
  <c r="N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B188" i="1"/>
  <c r="D188" i="1"/>
  <c r="E188" i="1"/>
  <c r="F188" i="1"/>
  <c r="G188" i="1"/>
  <c r="H188" i="1"/>
  <c r="M188" i="1"/>
  <c r="N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B189" i="1"/>
  <c r="D189" i="1"/>
  <c r="E189" i="1"/>
  <c r="F189" i="1"/>
  <c r="G189" i="1"/>
  <c r="H189" i="1"/>
  <c r="M189" i="1"/>
  <c r="N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M189" i="1"/>
  <c r="B190" i="1"/>
  <c r="D190" i="1"/>
  <c r="E190" i="1"/>
  <c r="F190" i="1"/>
  <c r="G190" i="1"/>
  <c r="H190" i="1"/>
  <c r="M190" i="1"/>
  <c r="N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B191" i="1"/>
  <c r="D191" i="1"/>
  <c r="E191" i="1"/>
  <c r="F191" i="1"/>
  <c r="G191" i="1"/>
  <c r="H191" i="1"/>
  <c r="M191" i="1"/>
  <c r="N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B192" i="1"/>
  <c r="D192" i="1"/>
  <c r="E192" i="1"/>
  <c r="F192" i="1"/>
  <c r="G192" i="1"/>
  <c r="H192" i="1"/>
  <c r="M192" i="1"/>
  <c r="N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B193" i="1"/>
  <c r="D193" i="1"/>
  <c r="E193" i="1"/>
  <c r="F193" i="1"/>
  <c r="G193" i="1"/>
  <c r="H193" i="1"/>
  <c r="M193" i="1"/>
  <c r="N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B194" i="1"/>
  <c r="D194" i="1"/>
  <c r="E194" i="1"/>
  <c r="F194" i="1"/>
  <c r="G194" i="1"/>
  <c r="H194" i="1"/>
  <c r="M194" i="1"/>
  <c r="N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B195" i="1"/>
  <c r="D195" i="1"/>
  <c r="E195" i="1"/>
  <c r="F195" i="1"/>
  <c r="G195" i="1"/>
  <c r="H195" i="1"/>
  <c r="M195" i="1"/>
  <c r="N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B196" i="1"/>
  <c r="D196" i="1"/>
  <c r="E196" i="1"/>
  <c r="F196" i="1"/>
  <c r="G196" i="1"/>
  <c r="H196" i="1"/>
  <c r="M196" i="1"/>
  <c r="N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B197" i="1"/>
  <c r="D197" i="1"/>
  <c r="E197" i="1"/>
  <c r="F197" i="1"/>
  <c r="G197" i="1"/>
  <c r="H197" i="1"/>
  <c r="M197" i="1"/>
  <c r="N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B198" i="1"/>
  <c r="D198" i="1"/>
  <c r="E198" i="1"/>
  <c r="F198" i="1"/>
  <c r="G198" i="1"/>
  <c r="H198" i="1"/>
  <c r="M198" i="1"/>
  <c r="N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B199" i="1"/>
  <c r="D199" i="1"/>
  <c r="E199" i="1"/>
  <c r="F199" i="1"/>
  <c r="G199" i="1"/>
  <c r="H199" i="1"/>
  <c r="M199" i="1"/>
  <c r="N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B200" i="1"/>
  <c r="D200" i="1"/>
  <c r="E200" i="1"/>
  <c r="F200" i="1"/>
  <c r="G200" i="1"/>
  <c r="H200" i="1"/>
  <c r="M200" i="1"/>
  <c r="N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B201" i="1"/>
  <c r="D201" i="1"/>
  <c r="E201" i="1"/>
  <c r="F201" i="1"/>
  <c r="G201" i="1"/>
  <c r="H201" i="1"/>
  <c r="M201" i="1"/>
  <c r="N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B202" i="1"/>
  <c r="D202" i="1"/>
  <c r="E202" i="1"/>
  <c r="F202" i="1"/>
  <c r="G202" i="1"/>
  <c r="H202" i="1"/>
  <c r="M202" i="1"/>
  <c r="N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B203" i="1"/>
  <c r="D203" i="1"/>
  <c r="E203" i="1"/>
  <c r="F203" i="1"/>
  <c r="G203" i="1"/>
  <c r="H203" i="1"/>
  <c r="M203" i="1"/>
  <c r="N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B204" i="1"/>
  <c r="D204" i="1"/>
  <c r="E204" i="1"/>
  <c r="F204" i="1"/>
  <c r="G204" i="1"/>
  <c r="H204" i="1"/>
  <c r="M204" i="1"/>
  <c r="N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B205" i="1"/>
  <c r="D205" i="1"/>
  <c r="E205" i="1"/>
  <c r="F205" i="1"/>
  <c r="G205" i="1"/>
  <c r="H205" i="1"/>
  <c r="M205" i="1"/>
  <c r="N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B206" i="1"/>
  <c r="D206" i="1"/>
  <c r="E206" i="1"/>
  <c r="F206" i="1"/>
  <c r="G206" i="1"/>
  <c r="H206" i="1"/>
  <c r="M206" i="1"/>
  <c r="N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B207" i="1"/>
  <c r="D207" i="1"/>
  <c r="E207" i="1"/>
  <c r="F207" i="1"/>
  <c r="G207" i="1"/>
  <c r="H207" i="1"/>
  <c r="M207" i="1"/>
  <c r="N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B208" i="1"/>
  <c r="D208" i="1"/>
  <c r="E208" i="1"/>
  <c r="F208" i="1"/>
  <c r="G208" i="1"/>
  <c r="H208" i="1"/>
  <c r="M208" i="1"/>
  <c r="N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B209" i="1"/>
  <c r="D209" i="1"/>
  <c r="E209" i="1"/>
  <c r="F209" i="1"/>
  <c r="G209" i="1"/>
  <c r="H209" i="1"/>
  <c r="M209" i="1"/>
  <c r="N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M209" i="1"/>
  <c r="B210" i="1"/>
  <c r="D210" i="1"/>
  <c r="E210" i="1"/>
  <c r="F210" i="1"/>
  <c r="G210" i="1"/>
  <c r="H210" i="1"/>
  <c r="M210" i="1"/>
  <c r="N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B211" i="1"/>
  <c r="D211" i="1"/>
  <c r="E211" i="1"/>
  <c r="F211" i="1"/>
  <c r="G211" i="1"/>
  <c r="H211" i="1"/>
  <c r="M211" i="1"/>
  <c r="N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B212" i="1"/>
  <c r="D212" i="1"/>
  <c r="E212" i="1"/>
  <c r="F212" i="1"/>
  <c r="G212" i="1"/>
  <c r="H212" i="1"/>
  <c r="M212" i="1"/>
  <c r="N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M212" i="1"/>
  <c r="B213" i="1"/>
  <c r="D213" i="1"/>
  <c r="E213" i="1"/>
  <c r="F213" i="1"/>
  <c r="G213" i="1"/>
  <c r="H213" i="1"/>
  <c r="M213" i="1"/>
  <c r="N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M213" i="1"/>
  <c r="B214" i="1"/>
  <c r="D214" i="1"/>
  <c r="E214" i="1"/>
  <c r="F214" i="1"/>
  <c r="G214" i="1"/>
  <c r="H214" i="1"/>
  <c r="M214" i="1"/>
  <c r="N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M214" i="1"/>
  <c r="B215" i="1"/>
  <c r="D215" i="1"/>
  <c r="E215" i="1"/>
  <c r="F215" i="1"/>
  <c r="G215" i="1"/>
  <c r="H215" i="1"/>
  <c r="M215" i="1"/>
  <c r="N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M215" i="1"/>
  <c r="B216" i="1"/>
  <c r="D216" i="1"/>
  <c r="E216" i="1"/>
  <c r="F216" i="1"/>
  <c r="G216" i="1"/>
  <c r="H216" i="1"/>
  <c r="M216" i="1"/>
  <c r="N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B217" i="1"/>
  <c r="D217" i="1"/>
  <c r="E217" i="1"/>
  <c r="F217" i="1"/>
  <c r="G217" i="1"/>
  <c r="H217" i="1"/>
  <c r="M217" i="1"/>
  <c r="N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B218" i="1"/>
  <c r="D218" i="1"/>
  <c r="E218" i="1"/>
  <c r="F218" i="1"/>
  <c r="G218" i="1"/>
  <c r="H218" i="1"/>
  <c r="M218" i="1"/>
  <c r="N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B219" i="1"/>
  <c r="D219" i="1"/>
  <c r="E219" i="1"/>
  <c r="F219" i="1"/>
  <c r="G219" i="1"/>
  <c r="H219" i="1"/>
  <c r="M219" i="1"/>
  <c r="N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B220" i="1"/>
  <c r="D220" i="1"/>
  <c r="E220" i="1"/>
  <c r="F220" i="1"/>
  <c r="G220" i="1"/>
  <c r="H220" i="1"/>
  <c r="M220" i="1"/>
  <c r="N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M220" i="1"/>
  <c r="B221" i="1"/>
  <c r="D221" i="1"/>
  <c r="E221" i="1"/>
  <c r="F221" i="1"/>
  <c r="G221" i="1"/>
  <c r="H221" i="1"/>
  <c r="M221" i="1"/>
  <c r="N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B222" i="1"/>
  <c r="D222" i="1"/>
  <c r="E222" i="1"/>
  <c r="F222" i="1"/>
  <c r="G222" i="1"/>
  <c r="H222" i="1"/>
  <c r="M222" i="1"/>
  <c r="N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B223" i="1"/>
  <c r="D223" i="1"/>
  <c r="E223" i="1"/>
  <c r="F223" i="1"/>
  <c r="G223" i="1"/>
  <c r="H223" i="1"/>
  <c r="M223" i="1"/>
  <c r="N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B224" i="1"/>
  <c r="D224" i="1"/>
  <c r="E224" i="1"/>
  <c r="F224" i="1"/>
  <c r="G224" i="1"/>
  <c r="H224" i="1"/>
  <c r="M224" i="1"/>
  <c r="N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B225" i="1"/>
  <c r="D225" i="1"/>
  <c r="E225" i="1"/>
  <c r="F225" i="1"/>
  <c r="G225" i="1"/>
  <c r="H225" i="1"/>
  <c r="M225" i="1"/>
  <c r="N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B226" i="1"/>
  <c r="D226" i="1"/>
  <c r="E226" i="1"/>
  <c r="F226" i="1"/>
  <c r="G226" i="1"/>
  <c r="H226" i="1"/>
  <c r="M226" i="1"/>
  <c r="N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B227" i="1"/>
  <c r="D227" i="1"/>
  <c r="E227" i="1"/>
  <c r="F227" i="1"/>
  <c r="G227" i="1"/>
  <c r="H227" i="1"/>
  <c r="M227" i="1"/>
  <c r="N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M227" i="1"/>
  <c r="B228" i="1"/>
  <c r="D228" i="1"/>
  <c r="E228" i="1"/>
  <c r="F228" i="1"/>
  <c r="G228" i="1"/>
  <c r="H228" i="1"/>
  <c r="M228" i="1"/>
  <c r="N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B229" i="1"/>
  <c r="D229" i="1"/>
  <c r="E229" i="1"/>
  <c r="F229" i="1"/>
  <c r="G229" i="1"/>
  <c r="H229" i="1"/>
  <c r="M229" i="1"/>
  <c r="N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M229" i="1"/>
  <c r="B230" i="1"/>
  <c r="D230" i="1"/>
  <c r="E230" i="1"/>
  <c r="F230" i="1"/>
  <c r="G230" i="1"/>
  <c r="H230" i="1"/>
  <c r="M230" i="1"/>
  <c r="N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B231" i="1"/>
  <c r="D231" i="1"/>
  <c r="E231" i="1"/>
  <c r="F231" i="1"/>
  <c r="G231" i="1"/>
  <c r="H231" i="1"/>
  <c r="M231" i="1"/>
  <c r="N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B232" i="1"/>
  <c r="D232" i="1"/>
  <c r="E232" i="1"/>
  <c r="F232" i="1"/>
  <c r="G232" i="1"/>
  <c r="H232" i="1"/>
  <c r="M232" i="1"/>
  <c r="N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B233" i="1"/>
  <c r="D233" i="1"/>
  <c r="E233" i="1"/>
  <c r="F233" i="1"/>
  <c r="G233" i="1"/>
  <c r="H233" i="1"/>
  <c r="M233" i="1"/>
  <c r="N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M233" i="1"/>
  <c r="B234" i="1"/>
  <c r="D234" i="1"/>
  <c r="E234" i="1"/>
  <c r="F234" i="1"/>
  <c r="G234" i="1"/>
  <c r="H234" i="1"/>
  <c r="M234" i="1"/>
  <c r="N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B235" i="1"/>
  <c r="D235" i="1"/>
  <c r="E235" i="1"/>
  <c r="F235" i="1"/>
  <c r="G235" i="1"/>
  <c r="H235" i="1"/>
  <c r="M235" i="1"/>
  <c r="N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M235" i="1"/>
  <c r="B236" i="1"/>
  <c r="D236" i="1"/>
  <c r="E236" i="1"/>
  <c r="F236" i="1"/>
  <c r="G236" i="1"/>
  <c r="H236" i="1"/>
  <c r="M236" i="1"/>
  <c r="N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B237" i="1"/>
  <c r="D237" i="1"/>
  <c r="E237" i="1"/>
  <c r="F237" i="1"/>
  <c r="G237" i="1"/>
  <c r="H237" i="1"/>
  <c r="M237" i="1"/>
  <c r="N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B238" i="1"/>
  <c r="D238" i="1"/>
  <c r="E238" i="1"/>
  <c r="F238" i="1"/>
  <c r="G238" i="1"/>
  <c r="H238" i="1"/>
  <c r="M238" i="1"/>
  <c r="N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B239" i="1"/>
  <c r="D239" i="1"/>
  <c r="E239" i="1"/>
  <c r="F239" i="1"/>
  <c r="G239" i="1"/>
  <c r="H239" i="1"/>
  <c r="M239" i="1"/>
  <c r="N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B240" i="1"/>
  <c r="D240" i="1"/>
  <c r="E240" i="1"/>
  <c r="F240" i="1"/>
  <c r="G240" i="1"/>
  <c r="H240" i="1"/>
  <c r="M240" i="1"/>
  <c r="N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B241" i="1"/>
  <c r="D241" i="1"/>
  <c r="E241" i="1"/>
  <c r="F241" i="1"/>
  <c r="G241" i="1"/>
  <c r="H241" i="1"/>
  <c r="M241" i="1"/>
  <c r="N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B242" i="1"/>
  <c r="D242" i="1"/>
  <c r="E242" i="1"/>
  <c r="F242" i="1"/>
  <c r="G242" i="1"/>
  <c r="H242" i="1"/>
  <c r="M242" i="1"/>
  <c r="N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B243" i="1"/>
  <c r="D243" i="1"/>
  <c r="E243" i="1"/>
  <c r="F243" i="1"/>
  <c r="G243" i="1"/>
  <c r="H243" i="1"/>
  <c r="M243" i="1"/>
  <c r="N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B244" i="1"/>
  <c r="D244" i="1"/>
  <c r="E244" i="1"/>
  <c r="F244" i="1"/>
  <c r="G244" i="1"/>
  <c r="H244" i="1"/>
  <c r="M244" i="1"/>
  <c r="N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B245" i="1"/>
  <c r="D245" i="1"/>
  <c r="E245" i="1"/>
  <c r="F245" i="1"/>
  <c r="G245" i="1"/>
  <c r="H245" i="1"/>
  <c r="M245" i="1"/>
  <c r="N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B246" i="1"/>
  <c r="D246" i="1"/>
  <c r="E246" i="1"/>
  <c r="F246" i="1"/>
  <c r="G246" i="1"/>
  <c r="H246" i="1"/>
  <c r="M246" i="1"/>
  <c r="N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B247" i="1"/>
  <c r="D247" i="1"/>
  <c r="E247" i="1"/>
  <c r="F247" i="1"/>
  <c r="G247" i="1"/>
  <c r="H247" i="1"/>
  <c r="M247" i="1"/>
  <c r="N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B248" i="1"/>
  <c r="D248" i="1"/>
  <c r="E248" i="1"/>
  <c r="F248" i="1"/>
  <c r="G248" i="1"/>
  <c r="H248" i="1"/>
  <c r="M248" i="1"/>
  <c r="N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B249" i="1"/>
  <c r="D249" i="1"/>
  <c r="E249" i="1"/>
  <c r="F249" i="1"/>
  <c r="G249" i="1"/>
  <c r="H249" i="1"/>
  <c r="M249" i="1"/>
  <c r="N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B250" i="1"/>
  <c r="D250" i="1"/>
  <c r="E250" i="1"/>
  <c r="F250" i="1"/>
  <c r="G250" i="1"/>
  <c r="H250" i="1"/>
  <c r="M250" i="1"/>
  <c r="N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M250" i="1"/>
  <c r="B251" i="1"/>
  <c r="D251" i="1"/>
  <c r="E251" i="1"/>
  <c r="F251" i="1"/>
  <c r="G251" i="1"/>
  <c r="H251" i="1"/>
  <c r="M251" i="1"/>
  <c r="N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M251" i="1"/>
  <c r="B252" i="1"/>
  <c r="D252" i="1"/>
  <c r="E252" i="1"/>
  <c r="F252" i="1"/>
  <c r="G252" i="1"/>
  <c r="H252" i="1"/>
  <c r="M252" i="1"/>
  <c r="N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M252" i="1"/>
  <c r="B253" i="1"/>
  <c r="D253" i="1"/>
  <c r="E253" i="1"/>
  <c r="F253" i="1"/>
  <c r="G253" i="1"/>
  <c r="H253" i="1"/>
  <c r="M253" i="1"/>
  <c r="N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B254" i="1"/>
  <c r="D254" i="1"/>
  <c r="E254" i="1"/>
  <c r="F254" i="1"/>
  <c r="G254" i="1"/>
  <c r="H254" i="1"/>
  <c r="M254" i="1"/>
  <c r="N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B255" i="1"/>
  <c r="D255" i="1"/>
  <c r="E255" i="1"/>
  <c r="F255" i="1"/>
  <c r="G255" i="1"/>
  <c r="H255" i="1"/>
  <c r="M255" i="1"/>
  <c r="N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M255" i="1"/>
  <c r="B256" i="1"/>
  <c r="D256" i="1"/>
  <c r="E256" i="1"/>
  <c r="F256" i="1"/>
  <c r="G256" i="1"/>
  <c r="H256" i="1"/>
  <c r="M256" i="1"/>
  <c r="N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M256" i="1"/>
  <c r="B257" i="1"/>
  <c r="D257" i="1"/>
  <c r="E257" i="1"/>
  <c r="F257" i="1"/>
  <c r="G257" i="1"/>
  <c r="H257" i="1"/>
  <c r="M257" i="1"/>
  <c r="N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B258" i="1"/>
  <c r="D258" i="1"/>
  <c r="E258" i="1"/>
  <c r="F258" i="1"/>
  <c r="G258" i="1"/>
  <c r="H258" i="1"/>
  <c r="M258" i="1"/>
  <c r="N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B259" i="1"/>
  <c r="D259" i="1"/>
  <c r="E259" i="1"/>
  <c r="F259" i="1"/>
  <c r="G259" i="1"/>
  <c r="H259" i="1"/>
  <c r="M259" i="1"/>
  <c r="N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B260" i="1"/>
  <c r="D260" i="1"/>
  <c r="E260" i="1"/>
  <c r="F260" i="1"/>
  <c r="G260" i="1"/>
  <c r="H260" i="1"/>
  <c r="M260" i="1"/>
  <c r="N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B261" i="1"/>
  <c r="D261" i="1"/>
  <c r="E261" i="1"/>
  <c r="F261" i="1"/>
  <c r="G261" i="1"/>
  <c r="H261" i="1"/>
  <c r="M261" i="1"/>
  <c r="N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B262" i="1"/>
  <c r="D262" i="1"/>
  <c r="E262" i="1"/>
  <c r="F262" i="1"/>
  <c r="G262" i="1"/>
  <c r="H262" i="1"/>
  <c r="M262" i="1"/>
  <c r="N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B263" i="1"/>
  <c r="D263" i="1"/>
  <c r="E263" i="1"/>
  <c r="F263" i="1"/>
  <c r="G263" i="1"/>
  <c r="H263" i="1"/>
  <c r="M263" i="1"/>
  <c r="N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B264" i="1"/>
  <c r="D264" i="1"/>
  <c r="E264" i="1"/>
  <c r="F264" i="1"/>
  <c r="G264" i="1"/>
  <c r="H264" i="1"/>
  <c r="M264" i="1"/>
  <c r="N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B265" i="1"/>
  <c r="D265" i="1"/>
  <c r="E265" i="1"/>
  <c r="F265" i="1"/>
  <c r="G265" i="1"/>
  <c r="H265" i="1"/>
  <c r="M265" i="1"/>
  <c r="N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B266" i="1"/>
  <c r="D266" i="1"/>
  <c r="E266" i="1"/>
  <c r="F266" i="1"/>
  <c r="G266" i="1"/>
  <c r="H266" i="1"/>
  <c r="M266" i="1"/>
  <c r="N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B267" i="1"/>
  <c r="D267" i="1"/>
  <c r="E267" i="1"/>
  <c r="F267" i="1"/>
  <c r="G267" i="1"/>
  <c r="H267" i="1"/>
  <c r="M267" i="1"/>
  <c r="N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B268" i="1"/>
  <c r="D268" i="1"/>
  <c r="E268" i="1"/>
  <c r="F268" i="1"/>
  <c r="G268" i="1"/>
  <c r="H268" i="1"/>
  <c r="M268" i="1"/>
  <c r="N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B269" i="1"/>
  <c r="D269" i="1"/>
  <c r="E269" i="1"/>
  <c r="F269" i="1"/>
  <c r="G269" i="1"/>
  <c r="H269" i="1"/>
  <c r="M269" i="1"/>
  <c r="N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B270" i="1"/>
  <c r="D270" i="1"/>
  <c r="E270" i="1"/>
  <c r="F270" i="1"/>
  <c r="G270" i="1"/>
  <c r="H270" i="1"/>
  <c r="M270" i="1"/>
  <c r="N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B271" i="1"/>
  <c r="D271" i="1"/>
  <c r="E271" i="1"/>
  <c r="F271" i="1"/>
  <c r="G271" i="1"/>
  <c r="H271" i="1"/>
  <c r="M271" i="1"/>
  <c r="N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B272" i="1"/>
  <c r="D272" i="1"/>
  <c r="E272" i="1"/>
  <c r="F272" i="1"/>
  <c r="G272" i="1"/>
  <c r="H272" i="1"/>
  <c r="M272" i="1"/>
  <c r="N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M272" i="1"/>
  <c r="B273" i="1"/>
  <c r="D273" i="1"/>
  <c r="E273" i="1"/>
  <c r="F273" i="1"/>
  <c r="G273" i="1"/>
  <c r="H273" i="1"/>
  <c r="M273" i="1"/>
  <c r="N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B274" i="1"/>
  <c r="D274" i="1"/>
  <c r="E274" i="1"/>
  <c r="F274" i="1"/>
  <c r="G274" i="1"/>
  <c r="H274" i="1"/>
  <c r="M274" i="1"/>
  <c r="N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B275" i="1"/>
  <c r="D275" i="1"/>
  <c r="E275" i="1"/>
  <c r="F275" i="1"/>
  <c r="G275" i="1"/>
  <c r="H275" i="1"/>
  <c r="M275" i="1"/>
  <c r="N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B276" i="1"/>
  <c r="D276" i="1"/>
  <c r="E276" i="1"/>
  <c r="F276" i="1"/>
  <c r="G276" i="1"/>
  <c r="H276" i="1"/>
  <c r="M276" i="1"/>
  <c r="N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B277" i="1"/>
  <c r="D277" i="1"/>
  <c r="E277" i="1"/>
  <c r="F277" i="1"/>
  <c r="G277" i="1"/>
  <c r="H277" i="1"/>
  <c r="M277" i="1"/>
  <c r="N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B278" i="1"/>
  <c r="D278" i="1"/>
  <c r="E278" i="1"/>
  <c r="F278" i="1"/>
  <c r="G278" i="1"/>
  <c r="H278" i="1"/>
  <c r="M278" i="1"/>
  <c r="N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B279" i="1"/>
  <c r="D279" i="1"/>
  <c r="E279" i="1"/>
  <c r="F279" i="1"/>
  <c r="G279" i="1"/>
  <c r="H279" i="1"/>
  <c r="M279" i="1"/>
  <c r="N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B280" i="1"/>
  <c r="D280" i="1"/>
  <c r="E280" i="1"/>
  <c r="F280" i="1"/>
  <c r="G280" i="1"/>
  <c r="H280" i="1"/>
  <c r="M280" i="1"/>
  <c r="N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M280" i="1"/>
  <c r="B281" i="1"/>
  <c r="D281" i="1"/>
  <c r="E281" i="1"/>
  <c r="F281" i="1"/>
  <c r="G281" i="1"/>
  <c r="H281" i="1"/>
  <c r="M281" i="1"/>
  <c r="N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M281" i="1"/>
  <c r="B282" i="1"/>
  <c r="D282" i="1"/>
  <c r="E282" i="1"/>
  <c r="F282" i="1"/>
  <c r="G282" i="1"/>
  <c r="H282" i="1"/>
  <c r="M282" i="1"/>
  <c r="N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B283" i="1"/>
  <c r="D283" i="1"/>
  <c r="E283" i="1"/>
  <c r="F283" i="1"/>
  <c r="G283" i="1"/>
  <c r="H283" i="1"/>
  <c r="M283" i="1"/>
  <c r="N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B284" i="1"/>
  <c r="D284" i="1"/>
  <c r="E284" i="1"/>
  <c r="F284" i="1"/>
  <c r="G284" i="1"/>
  <c r="H284" i="1"/>
  <c r="M284" i="1"/>
  <c r="N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B285" i="1"/>
  <c r="D285" i="1"/>
  <c r="E285" i="1"/>
  <c r="F285" i="1"/>
  <c r="G285" i="1"/>
  <c r="H285" i="1"/>
  <c r="M285" i="1"/>
  <c r="N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B286" i="1"/>
  <c r="D286" i="1"/>
  <c r="E286" i="1"/>
  <c r="F286" i="1"/>
  <c r="G286" i="1"/>
  <c r="H286" i="1"/>
  <c r="M286" i="1"/>
  <c r="N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B287" i="1"/>
  <c r="D287" i="1"/>
  <c r="E287" i="1"/>
  <c r="F287" i="1"/>
  <c r="G287" i="1"/>
  <c r="H287" i="1"/>
  <c r="M287" i="1"/>
  <c r="N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B288" i="1"/>
  <c r="D288" i="1"/>
  <c r="E288" i="1"/>
  <c r="F288" i="1"/>
  <c r="G288" i="1"/>
  <c r="H288" i="1"/>
  <c r="M288" i="1"/>
  <c r="N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B289" i="1"/>
  <c r="D289" i="1"/>
  <c r="E289" i="1"/>
  <c r="F289" i="1"/>
  <c r="G289" i="1"/>
  <c r="H289" i="1"/>
  <c r="M289" i="1"/>
  <c r="N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B290" i="1"/>
  <c r="D290" i="1"/>
  <c r="E290" i="1"/>
  <c r="F290" i="1"/>
  <c r="G290" i="1"/>
  <c r="H290" i="1"/>
  <c r="M290" i="1"/>
  <c r="N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B291" i="1"/>
  <c r="D291" i="1"/>
  <c r="E291" i="1"/>
  <c r="F291" i="1"/>
  <c r="G291" i="1"/>
  <c r="H291" i="1"/>
  <c r="M291" i="1"/>
  <c r="N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M291" i="1"/>
  <c r="B292" i="1"/>
  <c r="D292" i="1"/>
  <c r="E292" i="1"/>
  <c r="F292" i="1"/>
  <c r="G292" i="1"/>
  <c r="H292" i="1"/>
  <c r="M292" i="1"/>
  <c r="N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B293" i="1"/>
  <c r="D293" i="1"/>
  <c r="E293" i="1"/>
  <c r="F293" i="1"/>
  <c r="G293" i="1"/>
  <c r="H293" i="1"/>
  <c r="M293" i="1"/>
  <c r="N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B294" i="1"/>
  <c r="D294" i="1"/>
  <c r="E294" i="1"/>
  <c r="F294" i="1"/>
  <c r="G294" i="1"/>
  <c r="H294" i="1"/>
  <c r="M294" i="1"/>
  <c r="N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B295" i="1"/>
  <c r="D295" i="1"/>
  <c r="E295" i="1"/>
  <c r="F295" i="1"/>
  <c r="G295" i="1"/>
  <c r="H295" i="1"/>
  <c r="M295" i="1"/>
  <c r="N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M295" i="1"/>
  <c r="B296" i="1"/>
  <c r="D296" i="1"/>
  <c r="E296" i="1"/>
  <c r="F296" i="1"/>
  <c r="G296" i="1"/>
  <c r="H296" i="1"/>
  <c r="M296" i="1"/>
  <c r="N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B297" i="1"/>
  <c r="D297" i="1"/>
  <c r="E297" i="1"/>
  <c r="F297" i="1"/>
  <c r="G297" i="1"/>
  <c r="H297" i="1"/>
  <c r="M297" i="1"/>
  <c r="N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B298" i="1"/>
  <c r="D298" i="1"/>
  <c r="E298" i="1"/>
  <c r="F298" i="1"/>
  <c r="G298" i="1"/>
  <c r="H298" i="1"/>
  <c r="M298" i="1"/>
  <c r="N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M298" i="1"/>
  <c r="B299" i="1"/>
  <c r="D299" i="1"/>
  <c r="E299" i="1"/>
  <c r="F299" i="1"/>
  <c r="G299" i="1"/>
  <c r="H299" i="1"/>
  <c r="M299" i="1"/>
  <c r="N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M299" i="1"/>
  <c r="B300" i="1"/>
  <c r="D300" i="1"/>
  <c r="E300" i="1"/>
  <c r="F300" i="1"/>
  <c r="G300" i="1"/>
  <c r="H300" i="1"/>
  <c r="M300" i="1"/>
  <c r="N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B301" i="1"/>
  <c r="D301" i="1"/>
  <c r="E301" i="1"/>
  <c r="F301" i="1"/>
  <c r="G301" i="1"/>
  <c r="H301" i="1"/>
  <c r="M301" i="1"/>
  <c r="N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B302" i="1"/>
  <c r="D302" i="1"/>
  <c r="E302" i="1"/>
  <c r="F302" i="1"/>
  <c r="G302" i="1"/>
  <c r="H302" i="1"/>
  <c r="M302" i="1"/>
  <c r="N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B303" i="1"/>
  <c r="D303" i="1"/>
  <c r="E303" i="1"/>
  <c r="F303" i="1"/>
  <c r="G303" i="1"/>
  <c r="H303" i="1"/>
  <c r="M303" i="1"/>
  <c r="N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B304" i="1"/>
  <c r="D304" i="1"/>
  <c r="E304" i="1"/>
  <c r="F304" i="1"/>
  <c r="G304" i="1"/>
  <c r="H304" i="1"/>
  <c r="M304" i="1"/>
  <c r="N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B305" i="1"/>
  <c r="D305" i="1"/>
  <c r="E305" i="1"/>
  <c r="F305" i="1"/>
  <c r="G305" i="1"/>
  <c r="H305" i="1"/>
  <c r="M305" i="1"/>
  <c r="N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B306" i="1"/>
  <c r="D306" i="1"/>
  <c r="E306" i="1"/>
  <c r="F306" i="1"/>
  <c r="G306" i="1"/>
  <c r="H306" i="1"/>
  <c r="M306" i="1"/>
  <c r="N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B307" i="1"/>
  <c r="D307" i="1"/>
  <c r="E307" i="1"/>
  <c r="F307" i="1"/>
  <c r="G307" i="1"/>
  <c r="H307" i="1"/>
  <c r="M307" i="1"/>
  <c r="N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M307" i="1"/>
  <c r="B308" i="1"/>
  <c r="D308" i="1"/>
  <c r="E308" i="1"/>
  <c r="F308" i="1"/>
  <c r="G308" i="1"/>
  <c r="H308" i="1"/>
  <c r="M308" i="1"/>
  <c r="N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M308" i="1"/>
  <c r="B309" i="1"/>
  <c r="D309" i="1"/>
  <c r="E309" i="1"/>
  <c r="F309" i="1"/>
  <c r="G309" i="1"/>
  <c r="H309" i="1"/>
  <c r="M309" i="1"/>
  <c r="N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M309" i="1"/>
  <c r="B310" i="1"/>
  <c r="D310" i="1"/>
  <c r="E310" i="1"/>
  <c r="F310" i="1"/>
  <c r="G310" i="1"/>
  <c r="H310" i="1"/>
  <c r="M310" i="1"/>
  <c r="N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M310" i="1"/>
  <c r="B311" i="1"/>
  <c r="D311" i="1"/>
  <c r="E311" i="1"/>
  <c r="F311" i="1"/>
  <c r="G311" i="1"/>
  <c r="H311" i="1"/>
  <c r="M311" i="1"/>
  <c r="N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M311" i="1"/>
  <c r="B312" i="1"/>
  <c r="D312" i="1"/>
  <c r="E312" i="1"/>
  <c r="F312" i="1"/>
  <c r="G312" i="1"/>
  <c r="H312" i="1"/>
  <c r="M312" i="1"/>
  <c r="N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M312" i="1"/>
  <c r="B313" i="1"/>
  <c r="D313" i="1"/>
  <c r="E313" i="1"/>
  <c r="F313" i="1"/>
  <c r="G313" i="1"/>
  <c r="H313" i="1"/>
  <c r="M313" i="1"/>
  <c r="N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M313" i="1"/>
  <c r="B314" i="1"/>
  <c r="D314" i="1"/>
  <c r="E314" i="1"/>
  <c r="F314" i="1"/>
  <c r="G314" i="1"/>
  <c r="H314" i="1"/>
  <c r="M314" i="1"/>
  <c r="N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M314" i="1"/>
  <c r="B315" i="1"/>
  <c r="D315" i="1"/>
  <c r="E315" i="1"/>
  <c r="F315" i="1"/>
  <c r="G315" i="1"/>
  <c r="H315" i="1"/>
  <c r="M315" i="1"/>
  <c r="N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M315" i="1"/>
  <c r="B316" i="1"/>
  <c r="D316" i="1"/>
  <c r="E316" i="1"/>
  <c r="F316" i="1"/>
  <c r="G316" i="1"/>
  <c r="H316" i="1"/>
  <c r="M316" i="1"/>
  <c r="N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B317" i="1"/>
  <c r="D317" i="1"/>
  <c r="E317" i="1"/>
  <c r="F317" i="1"/>
  <c r="G317" i="1"/>
  <c r="H317" i="1"/>
  <c r="M317" i="1"/>
  <c r="N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M317" i="1"/>
  <c r="B318" i="1"/>
  <c r="D318" i="1"/>
  <c r="E318" i="1"/>
  <c r="F318" i="1"/>
  <c r="G318" i="1"/>
  <c r="H318" i="1"/>
  <c r="M318" i="1"/>
  <c r="N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M318" i="1"/>
  <c r="B319" i="1"/>
  <c r="D319" i="1"/>
  <c r="E319" i="1"/>
  <c r="F319" i="1"/>
  <c r="G319" i="1"/>
  <c r="H319" i="1"/>
  <c r="M319" i="1"/>
  <c r="N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M319" i="1"/>
  <c r="B320" i="1"/>
  <c r="D320" i="1"/>
  <c r="E320" i="1"/>
  <c r="F320" i="1"/>
  <c r="G320" i="1"/>
  <c r="H320" i="1"/>
  <c r="M320" i="1"/>
  <c r="N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B321" i="1"/>
  <c r="D321" i="1"/>
  <c r="E321" i="1"/>
  <c r="F321" i="1"/>
  <c r="G321" i="1"/>
  <c r="H321" i="1"/>
  <c r="M321" i="1"/>
  <c r="N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B322" i="1"/>
  <c r="D322" i="1"/>
  <c r="E322" i="1"/>
  <c r="F322" i="1"/>
  <c r="G322" i="1"/>
  <c r="H322" i="1"/>
  <c r="M322" i="1"/>
  <c r="N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B323" i="1"/>
  <c r="D323" i="1"/>
  <c r="E323" i="1"/>
  <c r="F323" i="1"/>
  <c r="G323" i="1"/>
  <c r="H323" i="1"/>
  <c r="M323" i="1"/>
  <c r="N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B324" i="1"/>
  <c r="D324" i="1"/>
  <c r="E324" i="1"/>
  <c r="F324" i="1"/>
  <c r="G324" i="1"/>
  <c r="H324" i="1"/>
  <c r="M324" i="1"/>
  <c r="N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B325" i="1"/>
  <c r="D325" i="1"/>
  <c r="E325" i="1"/>
  <c r="F325" i="1"/>
  <c r="G325" i="1"/>
  <c r="H325" i="1"/>
  <c r="M325" i="1"/>
  <c r="N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B326" i="1"/>
  <c r="D326" i="1"/>
  <c r="E326" i="1"/>
  <c r="F326" i="1"/>
  <c r="G326" i="1"/>
  <c r="H326" i="1"/>
  <c r="M326" i="1"/>
  <c r="N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B327" i="1"/>
  <c r="D327" i="1"/>
  <c r="E327" i="1"/>
  <c r="F327" i="1"/>
  <c r="G327" i="1"/>
  <c r="H327" i="1"/>
  <c r="M327" i="1"/>
  <c r="N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B328" i="1"/>
  <c r="D328" i="1"/>
  <c r="E328" i="1"/>
  <c r="F328" i="1"/>
  <c r="G328" i="1"/>
  <c r="H328" i="1"/>
  <c r="M328" i="1"/>
  <c r="N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B329" i="1"/>
  <c r="D329" i="1"/>
  <c r="E329" i="1"/>
  <c r="F329" i="1"/>
  <c r="G329" i="1"/>
  <c r="H329" i="1"/>
  <c r="M329" i="1"/>
  <c r="N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B330" i="1"/>
  <c r="D330" i="1"/>
  <c r="E330" i="1"/>
  <c r="F330" i="1"/>
  <c r="G330" i="1"/>
  <c r="H330" i="1"/>
  <c r="M330" i="1"/>
  <c r="N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B331" i="1"/>
  <c r="D331" i="1"/>
  <c r="E331" i="1"/>
  <c r="F331" i="1"/>
  <c r="G331" i="1"/>
  <c r="H331" i="1"/>
  <c r="M331" i="1"/>
  <c r="N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B332" i="1"/>
  <c r="D332" i="1"/>
  <c r="E332" i="1"/>
  <c r="F332" i="1"/>
  <c r="G332" i="1"/>
  <c r="H332" i="1"/>
  <c r="M332" i="1"/>
  <c r="N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B333" i="1"/>
  <c r="D333" i="1"/>
  <c r="E333" i="1"/>
  <c r="F333" i="1"/>
  <c r="G333" i="1"/>
  <c r="H333" i="1"/>
  <c r="M333" i="1"/>
  <c r="N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B334" i="1"/>
  <c r="D334" i="1"/>
  <c r="E334" i="1"/>
  <c r="F334" i="1"/>
  <c r="G334" i="1"/>
  <c r="H334" i="1"/>
  <c r="M334" i="1"/>
  <c r="N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B335" i="1"/>
  <c r="D335" i="1"/>
  <c r="E335" i="1"/>
  <c r="F335" i="1"/>
  <c r="G335" i="1"/>
  <c r="H335" i="1"/>
  <c r="M335" i="1"/>
  <c r="N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B336" i="1"/>
  <c r="D336" i="1"/>
  <c r="E336" i="1"/>
  <c r="F336" i="1"/>
  <c r="G336" i="1"/>
  <c r="H336" i="1"/>
  <c r="M336" i="1"/>
  <c r="N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B337" i="1"/>
  <c r="D337" i="1"/>
  <c r="E337" i="1"/>
  <c r="F337" i="1"/>
  <c r="G337" i="1"/>
  <c r="H337" i="1"/>
  <c r="M337" i="1"/>
  <c r="N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B338" i="1"/>
  <c r="D338" i="1"/>
  <c r="E338" i="1"/>
  <c r="F338" i="1"/>
  <c r="G338" i="1"/>
  <c r="H338" i="1"/>
  <c r="M338" i="1"/>
  <c r="N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B339" i="1"/>
  <c r="D339" i="1"/>
  <c r="E339" i="1"/>
  <c r="F339" i="1"/>
  <c r="G339" i="1"/>
  <c r="H339" i="1"/>
  <c r="M339" i="1"/>
  <c r="N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B340" i="1"/>
  <c r="D340" i="1"/>
  <c r="E340" i="1"/>
  <c r="F340" i="1"/>
  <c r="G340" i="1"/>
  <c r="H340" i="1"/>
  <c r="M340" i="1"/>
  <c r="N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B341" i="1"/>
  <c r="D341" i="1"/>
  <c r="E341" i="1"/>
  <c r="F341" i="1"/>
  <c r="G341" i="1"/>
  <c r="H341" i="1"/>
  <c r="M341" i="1"/>
  <c r="N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B342" i="1"/>
  <c r="D342" i="1"/>
  <c r="E342" i="1"/>
  <c r="F342" i="1"/>
  <c r="G342" i="1"/>
  <c r="H342" i="1"/>
  <c r="M342" i="1"/>
  <c r="N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B343" i="1"/>
  <c r="D343" i="1"/>
  <c r="E343" i="1"/>
  <c r="F343" i="1"/>
  <c r="G343" i="1"/>
  <c r="H343" i="1"/>
  <c r="M343" i="1"/>
  <c r="N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B344" i="1"/>
  <c r="D344" i="1"/>
  <c r="E344" i="1"/>
  <c r="F344" i="1"/>
  <c r="G344" i="1"/>
  <c r="H344" i="1"/>
  <c r="M344" i="1"/>
  <c r="N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B345" i="1"/>
  <c r="D345" i="1"/>
  <c r="E345" i="1"/>
  <c r="F345" i="1"/>
  <c r="G345" i="1"/>
  <c r="H345" i="1"/>
  <c r="M345" i="1"/>
  <c r="N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B346" i="1"/>
  <c r="D346" i="1"/>
  <c r="E346" i="1"/>
  <c r="F346" i="1"/>
  <c r="G346" i="1"/>
  <c r="H346" i="1"/>
  <c r="M346" i="1"/>
  <c r="N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B347" i="1"/>
  <c r="D347" i="1"/>
  <c r="E347" i="1"/>
  <c r="F347" i="1"/>
  <c r="G347" i="1"/>
  <c r="H347" i="1"/>
  <c r="M347" i="1"/>
  <c r="N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B348" i="1"/>
  <c r="D348" i="1"/>
  <c r="E348" i="1"/>
  <c r="F348" i="1"/>
  <c r="G348" i="1"/>
  <c r="H348" i="1"/>
  <c r="M348" i="1"/>
  <c r="N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B349" i="1"/>
  <c r="D349" i="1"/>
  <c r="E349" i="1"/>
  <c r="F349" i="1"/>
  <c r="G349" i="1"/>
  <c r="H349" i="1"/>
  <c r="M349" i="1"/>
  <c r="N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B350" i="1"/>
  <c r="D350" i="1"/>
  <c r="E350" i="1"/>
  <c r="F350" i="1"/>
  <c r="G350" i="1"/>
  <c r="H350" i="1"/>
  <c r="M350" i="1"/>
  <c r="N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B351" i="1"/>
  <c r="D351" i="1"/>
  <c r="E351" i="1"/>
  <c r="F351" i="1"/>
  <c r="G351" i="1"/>
  <c r="H351" i="1"/>
  <c r="M351" i="1"/>
  <c r="N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B352" i="1"/>
  <c r="D352" i="1"/>
  <c r="E352" i="1"/>
  <c r="F352" i="1"/>
  <c r="G352" i="1"/>
  <c r="H352" i="1"/>
  <c r="M352" i="1"/>
  <c r="N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B353" i="1"/>
  <c r="D353" i="1"/>
  <c r="E353" i="1"/>
  <c r="F353" i="1"/>
  <c r="G353" i="1"/>
  <c r="H353" i="1"/>
  <c r="M353" i="1"/>
  <c r="N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B354" i="1"/>
  <c r="D354" i="1"/>
  <c r="E354" i="1"/>
  <c r="F354" i="1"/>
  <c r="G354" i="1"/>
  <c r="H354" i="1"/>
  <c r="M354" i="1"/>
  <c r="N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B355" i="1"/>
  <c r="D355" i="1"/>
  <c r="E355" i="1"/>
  <c r="F355" i="1"/>
  <c r="G355" i="1"/>
  <c r="H355" i="1"/>
  <c r="M355" i="1"/>
  <c r="N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B356" i="1"/>
  <c r="D356" i="1"/>
  <c r="E356" i="1"/>
  <c r="F356" i="1"/>
  <c r="G356" i="1"/>
  <c r="H356" i="1"/>
  <c r="M356" i="1"/>
  <c r="N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B357" i="1"/>
  <c r="D357" i="1"/>
  <c r="E357" i="1"/>
  <c r="F357" i="1"/>
  <c r="G357" i="1"/>
  <c r="H357" i="1"/>
  <c r="M357" i="1"/>
  <c r="N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B358" i="1"/>
  <c r="D358" i="1"/>
  <c r="E358" i="1"/>
  <c r="F358" i="1"/>
  <c r="G358" i="1"/>
  <c r="H358" i="1"/>
  <c r="M358" i="1"/>
  <c r="N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B359" i="1"/>
  <c r="D359" i="1"/>
  <c r="E359" i="1"/>
  <c r="F359" i="1"/>
  <c r="G359" i="1"/>
  <c r="H359" i="1"/>
  <c r="M359" i="1"/>
  <c r="N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B360" i="1"/>
  <c r="D360" i="1"/>
  <c r="E360" i="1"/>
  <c r="F360" i="1"/>
  <c r="G360" i="1"/>
  <c r="H360" i="1"/>
  <c r="M360" i="1"/>
  <c r="N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B361" i="1"/>
  <c r="D361" i="1"/>
  <c r="E361" i="1"/>
  <c r="F361" i="1"/>
  <c r="G361" i="1"/>
  <c r="H361" i="1"/>
  <c r="M361" i="1"/>
  <c r="N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B362" i="1"/>
  <c r="D362" i="1"/>
  <c r="E362" i="1"/>
  <c r="F362" i="1"/>
  <c r="G362" i="1"/>
  <c r="H362" i="1"/>
  <c r="M362" i="1"/>
  <c r="N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B363" i="1"/>
  <c r="D363" i="1"/>
  <c r="E363" i="1"/>
  <c r="F363" i="1"/>
  <c r="G363" i="1"/>
  <c r="H363" i="1"/>
  <c r="M363" i="1"/>
  <c r="N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B364" i="1"/>
  <c r="D364" i="1"/>
  <c r="E364" i="1"/>
  <c r="F364" i="1"/>
  <c r="G364" i="1"/>
  <c r="H364" i="1"/>
  <c r="M364" i="1"/>
  <c r="N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B365" i="1"/>
  <c r="D365" i="1"/>
  <c r="E365" i="1"/>
  <c r="F365" i="1"/>
  <c r="G365" i="1"/>
  <c r="H365" i="1"/>
  <c r="M365" i="1"/>
  <c r="N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B366" i="1"/>
  <c r="D366" i="1"/>
  <c r="E366" i="1"/>
  <c r="F366" i="1"/>
  <c r="G366" i="1"/>
  <c r="H366" i="1"/>
  <c r="M366" i="1"/>
  <c r="N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B367" i="1"/>
  <c r="D367" i="1"/>
  <c r="E367" i="1"/>
  <c r="F367" i="1"/>
  <c r="G367" i="1"/>
  <c r="H367" i="1"/>
  <c r="M367" i="1"/>
  <c r="N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B368" i="1"/>
  <c r="D368" i="1"/>
  <c r="E368" i="1"/>
  <c r="F368" i="1"/>
  <c r="G368" i="1"/>
  <c r="H368" i="1"/>
  <c r="M368" i="1"/>
  <c r="N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B369" i="1"/>
  <c r="D369" i="1"/>
  <c r="E369" i="1"/>
  <c r="F369" i="1"/>
  <c r="G369" i="1"/>
  <c r="H369" i="1"/>
  <c r="M369" i="1"/>
  <c r="N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B370" i="1"/>
  <c r="D370" i="1"/>
  <c r="E370" i="1"/>
  <c r="F370" i="1"/>
  <c r="G370" i="1"/>
  <c r="H370" i="1"/>
  <c r="M370" i="1"/>
  <c r="N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B371" i="1"/>
  <c r="D371" i="1"/>
  <c r="E371" i="1"/>
  <c r="F371" i="1"/>
  <c r="G371" i="1"/>
  <c r="H371" i="1"/>
  <c r="M371" i="1"/>
  <c r="N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B372" i="1"/>
  <c r="D372" i="1"/>
  <c r="E372" i="1"/>
  <c r="F372" i="1"/>
  <c r="G372" i="1"/>
  <c r="H372" i="1"/>
  <c r="M372" i="1"/>
  <c r="N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B373" i="1"/>
  <c r="D373" i="1"/>
  <c r="E373" i="1"/>
  <c r="F373" i="1"/>
  <c r="G373" i="1"/>
  <c r="H373" i="1"/>
  <c r="M373" i="1"/>
  <c r="N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B374" i="1"/>
  <c r="D374" i="1"/>
  <c r="E374" i="1"/>
  <c r="F374" i="1"/>
  <c r="G374" i="1"/>
  <c r="H374" i="1"/>
  <c r="M374" i="1"/>
  <c r="N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B375" i="1"/>
  <c r="D375" i="1"/>
  <c r="E375" i="1"/>
  <c r="F375" i="1"/>
  <c r="G375" i="1"/>
  <c r="H375" i="1"/>
  <c r="M375" i="1"/>
  <c r="N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B376" i="1"/>
  <c r="D376" i="1"/>
  <c r="E376" i="1"/>
  <c r="F376" i="1"/>
  <c r="G376" i="1"/>
  <c r="H376" i="1"/>
  <c r="M376" i="1"/>
  <c r="N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B377" i="1"/>
  <c r="D377" i="1"/>
  <c r="E377" i="1"/>
  <c r="F377" i="1"/>
  <c r="G377" i="1"/>
  <c r="H377" i="1"/>
  <c r="M377" i="1"/>
  <c r="N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B378" i="1"/>
  <c r="D378" i="1"/>
  <c r="E378" i="1"/>
  <c r="F378" i="1"/>
  <c r="G378" i="1"/>
  <c r="H378" i="1"/>
  <c r="M378" i="1"/>
  <c r="N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B379" i="1"/>
  <c r="D379" i="1"/>
  <c r="E379" i="1"/>
  <c r="F379" i="1"/>
  <c r="G379" i="1"/>
  <c r="H379" i="1"/>
  <c r="M379" i="1"/>
  <c r="N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B380" i="1"/>
  <c r="D380" i="1"/>
  <c r="E380" i="1"/>
  <c r="F380" i="1"/>
  <c r="G380" i="1"/>
  <c r="H380" i="1"/>
  <c r="M380" i="1"/>
  <c r="N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B381" i="1"/>
  <c r="D381" i="1"/>
  <c r="E381" i="1"/>
  <c r="F381" i="1"/>
  <c r="G381" i="1"/>
  <c r="H381" i="1"/>
  <c r="M381" i="1"/>
  <c r="N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B382" i="1"/>
  <c r="D382" i="1"/>
  <c r="E382" i="1"/>
  <c r="F382" i="1"/>
  <c r="G382" i="1"/>
  <c r="H382" i="1"/>
  <c r="M382" i="1"/>
  <c r="N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B383" i="1"/>
  <c r="D383" i="1"/>
  <c r="E383" i="1"/>
  <c r="F383" i="1"/>
  <c r="G383" i="1"/>
  <c r="H383" i="1"/>
  <c r="M383" i="1"/>
  <c r="N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B384" i="1"/>
  <c r="D384" i="1"/>
  <c r="E384" i="1"/>
  <c r="F384" i="1"/>
  <c r="G384" i="1"/>
  <c r="H384" i="1"/>
  <c r="M384" i="1"/>
  <c r="N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B385" i="1"/>
  <c r="D385" i="1"/>
  <c r="E385" i="1"/>
  <c r="F385" i="1"/>
  <c r="G385" i="1"/>
  <c r="H385" i="1"/>
  <c r="M385" i="1"/>
  <c r="N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B386" i="1"/>
  <c r="D386" i="1"/>
  <c r="E386" i="1"/>
  <c r="F386" i="1"/>
  <c r="G386" i="1"/>
  <c r="H386" i="1"/>
  <c r="M386" i="1"/>
  <c r="N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B387" i="1"/>
  <c r="D387" i="1"/>
  <c r="E387" i="1"/>
  <c r="F387" i="1"/>
  <c r="G387" i="1"/>
  <c r="H387" i="1"/>
  <c r="M387" i="1"/>
  <c r="N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B388" i="1"/>
  <c r="D388" i="1"/>
  <c r="E388" i="1"/>
  <c r="F388" i="1"/>
  <c r="G388" i="1"/>
  <c r="H388" i="1"/>
  <c r="M388" i="1"/>
  <c r="N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B389" i="1"/>
  <c r="D389" i="1"/>
  <c r="E389" i="1"/>
  <c r="F389" i="1"/>
  <c r="G389" i="1"/>
  <c r="H389" i="1"/>
  <c r="M389" i="1"/>
  <c r="N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B390" i="1"/>
  <c r="D390" i="1"/>
  <c r="E390" i="1"/>
  <c r="F390" i="1"/>
  <c r="G390" i="1"/>
  <c r="H390" i="1"/>
  <c r="M390" i="1"/>
  <c r="N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B391" i="1"/>
  <c r="D391" i="1"/>
  <c r="E391" i="1"/>
  <c r="F391" i="1"/>
  <c r="G391" i="1"/>
  <c r="H391" i="1"/>
  <c r="M391" i="1"/>
  <c r="N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B392" i="1"/>
  <c r="D392" i="1"/>
  <c r="E392" i="1"/>
  <c r="F392" i="1"/>
  <c r="G392" i="1"/>
  <c r="H392" i="1"/>
  <c r="M392" i="1"/>
  <c r="N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B393" i="1"/>
  <c r="D393" i="1"/>
  <c r="E393" i="1"/>
  <c r="F393" i="1"/>
  <c r="G393" i="1"/>
  <c r="H393" i="1"/>
  <c r="M393" i="1"/>
  <c r="N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B394" i="1"/>
  <c r="D394" i="1"/>
  <c r="E394" i="1"/>
  <c r="F394" i="1"/>
  <c r="G394" i="1"/>
  <c r="H394" i="1"/>
  <c r="M394" i="1"/>
  <c r="N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B395" i="1"/>
  <c r="D395" i="1"/>
  <c r="E395" i="1"/>
  <c r="F395" i="1"/>
  <c r="G395" i="1"/>
  <c r="H395" i="1"/>
  <c r="M395" i="1"/>
  <c r="N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B396" i="1"/>
  <c r="D396" i="1"/>
  <c r="E396" i="1"/>
  <c r="F396" i="1"/>
  <c r="G396" i="1"/>
  <c r="H396" i="1"/>
  <c r="M396" i="1"/>
  <c r="N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B397" i="1"/>
  <c r="D397" i="1"/>
  <c r="E397" i="1"/>
  <c r="F397" i="1"/>
  <c r="G397" i="1"/>
  <c r="H397" i="1"/>
  <c r="M397" i="1"/>
  <c r="N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B398" i="1"/>
  <c r="D398" i="1"/>
  <c r="E398" i="1"/>
  <c r="F398" i="1"/>
  <c r="G398" i="1"/>
  <c r="H398" i="1"/>
  <c r="M398" i="1"/>
  <c r="N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B399" i="1"/>
  <c r="D399" i="1"/>
  <c r="E399" i="1"/>
  <c r="F399" i="1"/>
  <c r="G399" i="1"/>
  <c r="H399" i="1"/>
  <c r="M399" i="1"/>
  <c r="N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B400" i="1"/>
  <c r="D400" i="1"/>
  <c r="E400" i="1"/>
  <c r="F400" i="1"/>
  <c r="G400" i="1"/>
  <c r="H400" i="1"/>
  <c r="M400" i="1"/>
  <c r="N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B401" i="1"/>
  <c r="D401" i="1"/>
  <c r="E401" i="1"/>
  <c r="F401" i="1"/>
  <c r="G401" i="1"/>
  <c r="H401" i="1"/>
  <c r="M401" i="1"/>
  <c r="N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B402" i="1"/>
  <c r="D402" i="1"/>
  <c r="E402" i="1"/>
  <c r="F402" i="1"/>
  <c r="G402" i="1"/>
  <c r="H402" i="1"/>
  <c r="M402" i="1"/>
  <c r="N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B403" i="1"/>
  <c r="D403" i="1"/>
  <c r="E403" i="1"/>
  <c r="F403" i="1"/>
  <c r="G403" i="1"/>
  <c r="H403" i="1"/>
  <c r="M403" i="1"/>
  <c r="N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B404" i="1"/>
  <c r="D404" i="1"/>
  <c r="E404" i="1"/>
  <c r="F404" i="1"/>
  <c r="G404" i="1"/>
  <c r="H404" i="1"/>
  <c r="M404" i="1"/>
  <c r="N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B405" i="1"/>
  <c r="D405" i="1"/>
  <c r="E405" i="1"/>
  <c r="F405" i="1"/>
  <c r="G405" i="1"/>
  <c r="H405" i="1"/>
  <c r="M405" i="1"/>
  <c r="N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B406" i="1"/>
  <c r="D406" i="1"/>
  <c r="E406" i="1"/>
  <c r="F406" i="1"/>
  <c r="G406" i="1"/>
  <c r="H406" i="1"/>
  <c r="M406" i="1"/>
  <c r="N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B407" i="1"/>
  <c r="D407" i="1"/>
  <c r="E407" i="1"/>
  <c r="F407" i="1"/>
  <c r="G407" i="1"/>
  <c r="H407" i="1"/>
  <c r="M407" i="1"/>
  <c r="N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B408" i="1"/>
  <c r="D408" i="1"/>
  <c r="E408" i="1"/>
  <c r="F408" i="1"/>
  <c r="G408" i="1"/>
  <c r="H408" i="1"/>
  <c r="M408" i="1"/>
  <c r="N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B409" i="1"/>
  <c r="D409" i="1"/>
  <c r="E409" i="1"/>
  <c r="F409" i="1"/>
  <c r="G409" i="1"/>
  <c r="H409" i="1"/>
  <c r="M409" i="1"/>
  <c r="N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B410" i="1"/>
  <c r="D410" i="1"/>
  <c r="E410" i="1"/>
  <c r="F410" i="1"/>
  <c r="G410" i="1"/>
  <c r="H410" i="1"/>
  <c r="M410" i="1"/>
  <c r="N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B411" i="1"/>
  <c r="D411" i="1"/>
  <c r="E411" i="1"/>
  <c r="F411" i="1"/>
  <c r="G411" i="1"/>
  <c r="H411" i="1"/>
  <c r="M411" i="1"/>
  <c r="N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B412" i="1"/>
  <c r="D412" i="1"/>
  <c r="E412" i="1"/>
  <c r="F412" i="1"/>
  <c r="G412" i="1"/>
  <c r="H412" i="1"/>
  <c r="M412" i="1"/>
  <c r="N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B413" i="1"/>
  <c r="D413" i="1"/>
  <c r="E413" i="1"/>
  <c r="F413" i="1"/>
  <c r="G413" i="1"/>
  <c r="H413" i="1"/>
  <c r="M413" i="1"/>
  <c r="N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B414" i="1"/>
  <c r="D414" i="1"/>
  <c r="E414" i="1"/>
  <c r="F414" i="1"/>
  <c r="G414" i="1"/>
  <c r="H414" i="1"/>
  <c r="M414" i="1"/>
  <c r="N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B415" i="1"/>
  <c r="D415" i="1"/>
  <c r="E415" i="1"/>
  <c r="F415" i="1"/>
  <c r="G415" i="1"/>
  <c r="H415" i="1"/>
  <c r="M415" i="1"/>
  <c r="N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B416" i="1"/>
  <c r="D416" i="1"/>
  <c r="E416" i="1"/>
  <c r="F416" i="1"/>
  <c r="G416" i="1"/>
  <c r="H416" i="1"/>
  <c r="M416" i="1"/>
  <c r="N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B417" i="1"/>
  <c r="D417" i="1"/>
  <c r="E417" i="1"/>
  <c r="F417" i="1"/>
  <c r="G417" i="1"/>
  <c r="H417" i="1"/>
  <c r="M417" i="1"/>
  <c r="N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B418" i="1"/>
  <c r="D418" i="1"/>
  <c r="E418" i="1"/>
  <c r="F418" i="1"/>
  <c r="G418" i="1"/>
  <c r="H418" i="1"/>
  <c r="M418" i="1"/>
  <c r="N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B419" i="1"/>
  <c r="D419" i="1"/>
  <c r="E419" i="1"/>
  <c r="F419" i="1"/>
  <c r="G419" i="1"/>
  <c r="H419" i="1"/>
  <c r="M419" i="1"/>
  <c r="N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B420" i="1"/>
  <c r="D420" i="1"/>
  <c r="E420" i="1"/>
  <c r="F420" i="1"/>
  <c r="G420" i="1"/>
  <c r="H420" i="1"/>
  <c r="M420" i="1"/>
  <c r="N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B421" i="1"/>
  <c r="D421" i="1"/>
  <c r="E421" i="1"/>
  <c r="F421" i="1"/>
  <c r="G421" i="1"/>
  <c r="H421" i="1"/>
  <c r="M421" i="1"/>
  <c r="N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B422" i="1"/>
  <c r="D422" i="1"/>
  <c r="E422" i="1"/>
  <c r="F422" i="1"/>
  <c r="G422" i="1"/>
  <c r="H422" i="1"/>
  <c r="M422" i="1"/>
  <c r="N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B423" i="1"/>
  <c r="D423" i="1"/>
  <c r="E423" i="1"/>
  <c r="F423" i="1"/>
  <c r="G423" i="1"/>
  <c r="H423" i="1"/>
  <c r="M423" i="1"/>
  <c r="N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B424" i="1"/>
  <c r="D424" i="1"/>
  <c r="E424" i="1"/>
  <c r="F424" i="1"/>
  <c r="G424" i="1"/>
  <c r="H424" i="1"/>
  <c r="M424" i="1"/>
  <c r="N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B425" i="1"/>
  <c r="D425" i="1"/>
  <c r="E425" i="1"/>
  <c r="F425" i="1"/>
  <c r="G425" i="1"/>
  <c r="H425" i="1"/>
  <c r="M425" i="1"/>
  <c r="N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B426" i="1"/>
  <c r="D426" i="1"/>
  <c r="E426" i="1"/>
  <c r="F426" i="1"/>
  <c r="G426" i="1"/>
  <c r="H426" i="1"/>
  <c r="M426" i="1"/>
  <c r="N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B427" i="1"/>
  <c r="D427" i="1"/>
  <c r="E427" i="1"/>
  <c r="F427" i="1"/>
  <c r="G427" i="1"/>
  <c r="H427" i="1"/>
  <c r="M427" i="1"/>
  <c r="N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B428" i="1"/>
  <c r="D428" i="1"/>
  <c r="E428" i="1"/>
  <c r="F428" i="1"/>
  <c r="G428" i="1"/>
  <c r="H428" i="1"/>
  <c r="M428" i="1"/>
  <c r="N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B429" i="1"/>
  <c r="D429" i="1"/>
  <c r="E429" i="1"/>
  <c r="F429" i="1"/>
  <c r="G429" i="1"/>
  <c r="H429" i="1"/>
  <c r="M429" i="1"/>
  <c r="N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B430" i="1"/>
  <c r="D430" i="1"/>
  <c r="E430" i="1"/>
  <c r="F430" i="1"/>
  <c r="G430" i="1"/>
  <c r="H430" i="1"/>
  <c r="M430" i="1"/>
  <c r="N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B431" i="1"/>
  <c r="D431" i="1"/>
  <c r="E431" i="1"/>
  <c r="F431" i="1"/>
  <c r="G431" i="1"/>
  <c r="H431" i="1"/>
  <c r="M431" i="1"/>
  <c r="N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B432" i="1"/>
  <c r="D432" i="1"/>
  <c r="E432" i="1"/>
  <c r="F432" i="1"/>
  <c r="G432" i="1"/>
  <c r="H432" i="1"/>
  <c r="M432" i="1"/>
  <c r="N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B433" i="1"/>
  <c r="D433" i="1"/>
  <c r="E433" i="1"/>
  <c r="F433" i="1"/>
  <c r="G433" i="1"/>
  <c r="H433" i="1"/>
  <c r="M433" i="1"/>
  <c r="N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B434" i="1"/>
  <c r="D434" i="1"/>
  <c r="E434" i="1"/>
  <c r="F434" i="1"/>
  <c r="G434" i="1"/>
  <c r="H434" i="1"/>
  <c r="M434" i="1"/>
  <c r="N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B435" i="1"/>
  <c r="D435" i="1"/>
  <c r="E435" i="1"/>
  <c r="F435" i="1"/>
  <c r="G435" i="1"/>
  <c r="H435" i="1"/>
  <c r="M435" i="1"/>
  <c r="N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B436" i="1"/>
  <c r="D436" i="1"/>
  <c r="E436" i="1"/>
  <c r="F436" i="1"/>
  <c r="G436" i="1"/>
  <c r="H436" i="1"/>
  <c r="M436" i="1"/>
  <c r="N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B437" i="1"/>
  <c r="D437" i="1"/>
  <c r="E437" i="1"/>
  <c r="F437" i="1"/>
  <c r="G437" i="1"/>
  <c r="H437" i="1"/>
  <c r="M437" i="1"/>
  <c r="N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B438" i="1"/>
  <c r="D438" i="1"/>
  <c r="E438" i="1"/>
  <c r="F438" i="1"/>
  <c r="G438" i="1"/>
  <c r="H438" i="1"/>
  <c r="M438" i="1"/>
  <c r="N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B439" i="1"/>
  <c r="D439" i="1"/>
  <c r="E439" i="1"/>
  <c r="F439" i="1"/>
  <c r="G439" i="1"/>
  <c r="H439" i="1"/>
  <c r="M439" i="1"/>
  <c r="N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B440" i="1"/>
  <c r="D440" i="1"/>
  <c r="E440" i="1"/>
  <c r="F440" i="1"/>
  <c r="G440" i="1"/>
  <c r="H440" i="1"/>
  <c r="M440" i="1"/>
  <c r="N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B441" i="1"/>
  <c r="D441" i="1"/>
  <c r="E441" i="1"/>
  <c r="F441" i="1"/>
  <c r="G441" i="1"/>
  <c r="H441" i="1"/>
  <c r="M441" i="1"/>
  <c r="N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B442" i="1"/>
  <c r="D442" i="1"/>
  <c r="E442" i="1"/>
  <c r="F442" i="1"/>
  <c r="G442" i="1"/>
  <c r="H442" i="1"/>
  <c r="M442" i="1"/>
  <c r="N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B443" i="1"/>
  <c r="D443" i="1"/>
  <c r="E443" i="1"/>
  <c r="F443" i="1"/>
  <c r="G443" i="1"/>
  <c r="H443" i="1"/>
  <c r="M443" i="1"/>
  <c r="N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B444" i="1"/>
  <c r="D444" i="1"/>
  <c r="E444" i="1"/>
  <c r="F444" i="1"/>
  <c r="G444" i="1"/>
  <c r="H444" i="1"/>
  <c r="M444" i="1"/>
  <c r="N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B445" i="1"/>
  <c r="D445" i="1"/>
  <c r="E445" i="1"/>
  <c r="F445" i="1"/>
  <c r="G445" i="1"/>
  <c r="H445" i="1"/>
  <c r="M445" i="1"/>
  <c r="N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B446" i="1"/>
  <c r="D446" i="1"/>
  <c r="E446" i="1"/>
  <c r="F446" i="1"/>
  <c r="G446" i="1"/>
  <c r="H446" i="1"/>
  <c r="M446" i="1"/>
  <c r="N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B447" i="1"/>
  <c r="D447" i="1"/>
  <c r="E447" i="1"/>
  <c r="F447" i="1"/>
  <c r="G447" i="1"/>
  <c r="H447" i="1"/>
  <c r="M447" i="1"/>
  <c r="N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B448" i="1"/>
  <c r="D448" i="1"/>
  <c r="E448" i="1"/>
  <c r="F448" i="1"/>
  <c r="G448" i="1"/>
  <c r="H448" i="1"/>
  <c r="M448" i="1"/>
  <c r="N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B449" i="1"/>
  <c r="D449" i="1"/>
  <c r="E449" i="1"/>
  <c r="F449" i="1"/>
  <c r="G449" i="1"/>
  <c r="H449" i="1"/>
  <c r="M449" i="1"/>
  <c r="N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B450" i="1"/>
  <c r="D450" i="1"/>
  <c r="E450" i="1"/>
  <c r="F450" i="1"/>
  <c r="G450" i="1"/>
  <c r="H450" i="1"/>
  <c r="M450" i="1"/>
  <c r="N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</calcChain>
</file>

<file path=xl/sharedStrings.xml><?xml version="1.0" encoding="utf-8"?>
<sst xmlns="http://schemas.openxmlformats.org/spreadsheetml/2006/main" count="86" uniqueCount="86">
  <si>
    <t>="51.723473 36.187967, 51.723513 36.187769, 51.723619 36.187677, 51.723768 36.187549, 51.723898 36.187441, 51.724058 36.187291, 51.724214 36.187157, 51.724327 36.187044, 51.72427 36.186905, 51.724463 36.186733, 51.724689 36.186476, 51.724875 36.186368, 51</t>
  </si>
  <si>
    <t>="51.714564 36.166762, 51.714669 36.167078, 51.714792 36.167491, 51.714902 36.167856, 51.715025 36.168221, 51.715161 36.168639, 51.715307 36.169074, 51.71545 36.169487, 51.71561 36.169959, 51.715776 36.170474, 51.715892 36.170822, 51.716018 36.171214, 51.</t>
  </si>
  <si>
    <t>="51.720535 36.184931, 51.720638 36.185269, 51.720758 36.185644, 51.720881 36.186009, 51.72098 36.186368, 51.7212 36.186224, 51.721449 36.186009, 51.721682 36.185843, 51.721947 36.185644, 51.722207 36.18544, 51.722499 36.18521, 51.722738 36.185027, 51.722</t>
  </si>
  <si>
    <t>="51.723469 36.175248, 51.72334 36.174899, 51.723177 36.174406, 51.723021 36.173977, 51.722891 36.173612, 51.722785 36.173279, 51.722639 36.172909, 51.722519 36.17256, 51.722419 36.172303, 51.722306 36.171965, 51.72218 36.171659, 51.722057 36.171319, 51.7</t>
  </si>
  <si>
    <t>="51.743127 36.141656, 51.743569 36.141618, 51.743669 36.141956, 51.743739 36.142209, 51.743805 36.142434, 51.743888 36.142691, 51.743782 36.143024, 51.743626 36.143158, 51.743456 36.143292, 51.743287 36.143426, 51.743121 36.143566, 51.742931 36.143727, 5</t>
  </si>
  <si>
    <t>="51.738384 36.143609, 51.738168 36.143035, 51.737876 36.14267, 51.737514 36.142965, 51.737155 36.142611, 51.736766 36.142777, 51.736617 36.14304, 51.736195 36.143222, 51.735975 36.143222, 51.73564 36.143367, 51.735507 36.143292, 51.735424 36.14356, 51.73</t>
  </si>
  <si>
    <t>="51.729701 36.146795, 51.729663 36.146532, 51.729602 36.146322, 51.729557 36.146097, 51.729498 36.145854, 51.729505 36.145802, 51.729497 36.145762, 51.729488 36.14573, 51.729473 36.1457, 51.729463 36.145655, 51.729453 36.145612, 51.729443 36.145563, 51.7</t>
  </si>
  <si>
    <t>="51.734549 36.139089, 51.734719 36.13898, 51.734889 36.138816, 51.735091 36.138624, 51.735353 36.138384, 51.735475 36.138304, 51.735597 36.138176, 51.735758 36.138059, 51.735906 36.137902, 51.736073 36.137792, 51.736242 36.137627, 51.736428 36.137518, 51</t>
  </si>
  <si>
    <t>="51.7425 36.139492, 51.742563 36.139884, 51.743166 36.141637, 51.743516 36.141412, 51.743589 36.141662, 51.743702 36.141994, 51.743791 36.14233, 51.743915 36.142707, 51.743813 36.142945, 51.743492 36.142715, 51.743331 36.142911, 51.743145 36.143059, 51.7</t>
  </si>
  <si>
    <t>="51.741141 36.141184, 51.740889 36.141871, 51.740988 36.142225, 51.741038 36.142589, 51.741088 36.142954, 51.741141 36.143335, 51.741141 36.143695, 51.740915 36.143877, 51.740676 36.144081, 51.74048 36.144263, 51.740251 36.144478, 51.740234 36.144384, 51</t>
  </si>
  <si>
    <t>="51.742825 36.139349, 51.742713 36.139, 51.742525 36.138443, 51.742437 36.138164, 51.742301 36.13774, 51.742212 36.137467, 51.742098 36.137147, 51.742013 36.136896, 51.741916 36.136595, 51.741739 36.13603, 51.741711 36.135938, 51.741532 36.135404, 51.741</t>
  </si>
  <si>
    <t>="51.737939 36.136125, 51.73773 36.136302, 51.737494 36.136206, 51.737431 36.135997, 51.737324 36.135889, 51.73726 36.135691, 51.737165 36.135567, 51.737097 36.135385, 51.736992 36.13524, 51.736927 36.135047, 51.736809 36.134945, 51.736743 36.13476, 51.73</t>
  </si>
  <si>
    <t>="51.731829 36.130458, 51.731642 36.130541, 51.731457 36.130355, 51.731207 36.130363, 51.731035 36.130782, 51.731072 36.130866, 51.730892 36.131233, 51.730929 36.131335, 51.73077 36.131722, 51.730619 36.132136, 51.73048 36.132597, 51.730296 36.133034, 51.</t>
  </si>
  <si>
    <t>="51.755236 36.137128, 51.755229 36.137693, 51.755131 36.138204, 51.755146 36.13872, 51.755252 36.13923, 51.755372 36.139766, 51.755488 36.140308, 51.755596 36.14083, 51.755712 36.141377, 51.755827 36.141939, 51.755945 36.142479, 51.756024 36.143074, 51.7</t>
  </si>
  <si>
    <t>="51.756566 36.150035, 51.756682 36.150569, 51.756806 36.151075, 51.756923 36.15158, 51.757052 36.152149, 51.757156 36.152664, 51.757264 36.153186, 51.757381 36.153705, 51.757511 36.154213, 51.757661 36.154718, 51.757816 36.155209, 51.757984 36.155728, 51</t>
  </si>
  <si>
    <t>="51.758112 36.18705, 51.758285 36.186991, 51.758218 36.186706, 51.758424 36.186567, 51.75864 36.186422, 51.758866 36.186272, 51.759085 36.186379, 51.759171 36.186111, 51.759374 36.185972, 51.759546 36.185848, 51.759457 36.185612, 51.759414 36.185306, 51.</t>
  </si>
  <si>
    <t>="51.764664 36.177745, 51.764653 36.177689, 51.764633 36.177474, 51.764533 36.177228, 51.764512 36.17701, 51.76443 36.176788, 51.764414 36.176573, 51.764321 36.176305, 51.764296 36.17609, 51.764208 36.175833, 51.76418 36.175621, 51.764078 36.175371, 51.76</t>
  </si>
  <si>
    <t>="51.764825 36.177925, 51.764784 36.177743, 51.764866 36.177714, 51.76513 36.177785, 51.765323 36.177659, 51.765539 36.177523, 51.765987 36.177308, 51.766223 36.177181, 51.766426 36.177093, 51.766655 36.176986, 51.766854 36.176906, 51.766947 36.176573, 51</t>
  </si>
  <si>
    <t>="51.770569 36.174757, 51.770778 36.174679, 51.770897 36.17498, 51.770974 36.175361, 51.771053 36.175693, 51.771106 36.176053, 51.771193 36.176417, 51.771302 36.176814, 51.771375 36.177185, 51.77193 36.176938, 51.772511 36.176621, 51.773115 36.176246, 51.</t>
  </si>
  <si>
    <t>="51.723499 36.188117, 51.723473 36.187967, 51.723513 36.187769, 51.723449 36.187693, 51.723572 36.18757, 51.723476 36.187238, 51.72337 36.186883, 51.723273 36.186551, 51.72317 36.186208, 51.723071 36.18587, 51.722974 36.185532, 51.722871 36.185178, 51.72</t>
  </si>
  <si>
    <t>="51.7212 36.186159, 51.721 36.186309, 51.720891 36.185966, 51.720788 36.185634, 51.720678 36.18529, 51.720575 36.184958, 51.720465 36.18463, 51.720359 36.184303, 51.720249 36.183976, 51.720136 36.183633, 51.720033 36.183305, 51.71992 36.182957, 51.719807</t>
  </si>
  <si>
    <t>="51.705116 36.168875, 51.705034 36.168644, 51.705003 36.168505, 51.705041 36.168183, 51.705073 36.167808, 51.705094 36.167435, 51.705126 36.167067, 51.705159 36.166703, 51.705176 36.166324, 51.705216 36.165925, 51.705274 36.165551, 51.705359 36.165068, 5</t>
  </si>
  <si>
    <t>="51.72337 36.188139, 51.723376 36.18771, 51.723486 36.187608, 51.72338 36.187275, 51.723287 36.186959, 51.72319 36.186631, 51.723094 36.186304, 51.723004 36.18595, 51.722904 36.185607, 51.722801 36.185253, 51.722728 36.18499, 51.722522 36.185151, 51.7223</t>
  </si>
  <si>
    <t>="51.720476 36.181311, 51.720668 36.181127, 51.72076 36.181039, 51.720871 36.18094, 51.721045 36.18076, 51.721298 36.18054, 51.721482 36.180371, 51.72155 36.180314, 51.721678 36.180178, 51.721766 36.180094, 51.721884 36.179979, 51.722029 36.179853, 51.722</t>
  </si>
  <si>
    <t>="51.723398 36.188197, 51.723522 36.187754, 51.723657 36.187627, 51.723782 36.187495, 51.723889 36.187394, 51.723983 36.187314, 51.724011 36.187295, 51.72413 36.187167, 51.724215 36.187077, 51.724294 36.186991, 51.724306 36.186847, 51.724475 36.18665, 51.</t>
  </si>
  <si>
    <t>="51.677384 36.146292, 51.677087 36.146123, 51.67676 36.145922, 51.676436 36.14571, 51.676103 36.145496, 51.675763 36.145284, 51.67542 36.145073, 51.675097 36.144879, 51.674766 36.144664, 51.674421 36.144442, 51.67409 36.144223, 51.673741 36.143986, 51.67</t>
  </si>
  <si>
    <t>="51.758082 36.187034, 51.758032 36.18676, 51.758162 36.186551, 51.758069 36.186208, 51.757982 36.185848, 51.757886 36.185483, 51.75779 36.185129, 51.757697 36.184743, 51.757594 36.1844, 51.757491 36.184056, 51.757391 36.183686, 51.757295 36.183321, 51.75</t>
  </si>
  <si>
    <t>="51.669534 36.132, 51.669102 36.133556, 51.6691 36.134003, 51.669019 36.134328, 51.668943 36.134674, 51.668842 36.135015, 51.668676 36.135648, 51.668361 36.135634, 51.668271 36.135961, 51.668181 36.136267, 51.668085 36.136589, 51.668073 36.136857, 51.668</t>
  </si>
  <si>
    <t>="51.675167 36.140355, 51.674964 36.140097, 51.674824 36.139773, 51.674791 36.139494, 51.674881 36.139162, 51.67496 36.138818, 51.675063 36.138365, 51.674737 36.13814, 51.674457 36.137844, 51.674467 36.137206, 51.674457 36.136659, 51.674394 36.136058, 51.</t>
  </si>
  <si>
    <t>="51.673077 36.138298, 51.673014 36.138652, 51.672954 36.138754, 51.672934 36.139011, 51.672894 36.139129, 51.672848 36.139376, 51.672775 36.139505, 51.672745 36.139789, 51.672655 36.140122, 51.672576 36.140472, 51.672494 36.140822, 51.672412 36.141189, 5</t>
  </si>
  <si>
    <t>="51.673116 36.138199, 51.672965 36.137932, 51.672687 36.137719, 51.672462 36.13755, 51.672257 36.137417, 51.672024 36.137262, 51.671792 36.137117, 51.671558 36.136964, 51.671355 36.136797, 51.67112 36.136675, 51.670898 36.136526, 51.670691 36.136365, 51.</t>
  </si>
  <si>
    <t>="51.754257 36.188433, 51.754624 36.188495, 51.754584 36.188066, 51.754479 36.187814, 51.754468 36.187646, 51.754413 36.187423, 51.754393 36.187201, 51.754353 36.187031, 51.754321 36.186748, 51.75429 36.186639, 51.754252 36.186289, 51.754189 36.185879, 51</t>
  </si>
  <si>
    <t>="51.669192 36.133052, 51.669069 36.133529, 51.669125 36.133915, 51.669035 36.134253, 51.668949 36.134613, 51.668866 36.134951, 51.668705 36.135124, 51.668352 36.13489, 51.668004 36.134655, 51.667661 36.134449, 51.667324 36.134224, 51.666987 36.13399, 51.</t>
  </si>
  <si>
    <t>="51.663467 36.132064, 51.663011 36.131799, 51.662731 36.131622, 51.662409 36.131414, 51.662076 36.131204, 51.662 36.130672, 51.661913 36.130106, 51.661828 36.129541, 51.66175 36.129004, 51.661677 36.128476, 51.661631 36.127996, 51.661582 36.127505, 51.66</t>
  </si>
  <si>
    <t>="51.66458 36.119587, 51.665004 36.119375, 51.665201 36.119057, 51.665393 36.11878, 51.665652 36.118372, 51.665898 36.117991, 51.666099 36.117661, 51.666305 36.117221, 51.666462 36.116757, 51.666585 36.116283, 51.666705 36.115837, 51.666794 36.115333, 51.</t>
  </si>
  <si>
    <t>="51.666567 36.106154, 51.666609 36.105847, 51.666679 36.10539, 51.666768 36.104809, 51.666848 36.104262, 51.666898 36.103828, 51.666971 36.103385, 51.667054 36.102838, 51.667134 36.102285, 51.667213 36.1018, 51.667298 36.101261, 51.667378 36.100776, 51.6</t>
  </si>
  <si>
    <t>="51.667754 36.090914, 51.668004 36.090658, 51.668013 36.090274, 51.668018 36.089876, 51.668032 36.089421, 51.668042 36.089036, 51.668047 36.088629, 51.668059 36.088208, 51.668066 36.087813, 51.668079 36.087379, 51.668084 36.086974, 51.668093 36.086595, 5</t>
  </si>
  <si>
    <t>="51.66856 36.078249, 51.668866 36.078243, 51.669208 36.07805, 51.669637 36.078694, 51.669661 36.079558, 51.67016 36.079558, 51.670346 36.079112, 51.670666 36.079107, 51.670722 36.079434, 51.670725 36.07982, 51.670729 36.080201, 51.670725 36.080571, 51.67</t>
  </si>
  <si>
    <t>="51.670729 36.082594, 51.670782 36.082953, 51.670832 36.083313, 51.670875 36.083688, 51.670922 36.084058, 51.670965 36.084428, 51.671015 36.084804, 51.671065 36.085185, 51.671118 36.08555, 51.671171 36.085909, 51.671231 36.086252, 51.671294 36.086617, 51</t>
  </si>
  <si>
    <t>="51.667877 36.096525, 51.667861 36.09689, 51.667844 36.097276, 51.667824 36.097679, 51.667804 36.098065, 51.667768 36.098446, 51.667711 36.098832, 51.667655 36.099202, 51.667608 36.099583, 51.667551 36.099937, 51.667488 36.100307, 51.667435 36.100688, 51</t>
  </si>
  <si>
    <t>="51.66657 36.108136, 51.666573 36.108456, 51.666583 36.108837, 51.666597 36.109207, 51.666616 36.109582, 51.666633 36.109942, 51.666656 36.110333, 51.666676 36.110714, 51.66669 36.111095, 51.66671 36.111487, 51.66673 36.111862, 51.666746 36.112259, 51.66</t>
  </si>
  <si>
    <t>="51.665382 36.118957, 51.665108 36.119335, 51.664876 36.119708, 51.664697 36.11997, 51.664524 36.120244, 51.664371 36.120491, 51.664188 36.12077, 51.664008 36.121022, 51.663818 36.121295, 51.663652 36.121542, 51.663475 36.121821, 51.663316 36.122084, 51.</t>
  </si>
  <si>
    <t>="51.663 36.131834, 51.663495 36.132146, 51.663886 36.1324, 51.664229 36.132628, 51.664587 36.132845, 51.664951 36.133062, 51.665316 36.133274, 51.665675 36.133478, 51.665994 36.133741, 51.666207 36.133789, 51.66651 36.134014, 51.666688 36.133797, 51.6669</t>
  </si>
  <si>
    <t>="51.750044 36.193939, 51.750041 36.193925, 51.750086 36.194313, 51.750145 36.194681, 51.750202 36.195086, 51.750265 36.19552, 51.750325 36.195922, 51.750394 36.196352, 51.750459 36.196767, 51.750527 36.197183, 51.750597 36.197607, 51.750657 36.197985, 51</t>
  </si>
  <si>
    <t>="51.755285 36.214973, 51.755498 36.215288, 51.755716 36.215619, 51.755893 36.215935, 51.756075 36.216191, 51.756338 36.216499, 51.756485 36.21681, 51.756726 36.216938, 51.756931 36.217009, 51.757122 36.217117, 51.757313 36.217222, 51.757449 36.217364, 51</t>
  </si>
  <si>
    <t>="51.75827 36.218125, 51.758282 36.218195, 51.758559 36.218351, 51.758801 36.218507, 51.759077 36.218697, 51.759301 36.218845, 51.759558 36.219019, 51.759794 36.219169, 51.760303 36.219502, 51.760639 36.219727, 51.760968 36.219937, 51.761257 36.220135, 51</t>
  </si>
  <si>
    <t>="51.67347 36.157527, 51.673507 36.15714, 51.673537 36.157044, 51.673611 36.156583, 51.673685 36.156135, 51.673746 36.155708, 51.673813 36.155359, 51.673902 36.154995, 51.673671 36.154875, 51.673468 36.154789, 51.673177 36.154684, 51.672885 36.154563, 51.</t>
  </si>
  <si>
    <t>="51.665099 36.139096, 51.665096 36.139094, 51.665009 36.138348, 51.665096 36.137994, 51.665179 36.137645, 51.665269 36.137308, 51.665365 36.136953, 51.665448 36.136605, 51.665538 36.136267, 51.665631 36.135913, 51.665721 36.135537, 51.665824 36.135108, 5</t>
  </si>
  <si>
    <t>="51.669415 36.132504, 51.669381 36.132671, 51.669355 36.133003, 51.669265 36.133357, 51.669178 36.133701, 51.669092 36.134049, 51.669002 36.134398, 51.668922 36.134741, 51.668829 36.135101, 51.668683 36.135101, 51.66855 36.135573, 51.668327 36.135423, 51</t>
  </si>
  <si>
    <t>="51.658771 36.134814, 51.658569 36.13457, 51.658364 36.134385, 51.65813 36.134226, 51.657838 36.134017, 51.657541 36.133827, 51.657229 36.133609, 51.656907 36.133395, 51.656584 36.133164, 51.656231 36.132939, 51.655915 36.13273, 51.655598 36.132538, 51.6</t>
  </si>
  <si>
    <t>="51.753951 36.212809, 51.753752 36.212793, 51.753656 36.213147, 51.753573 36.213506, 51.75348 36.21385, 51.753393 36.214209, 51.753307 36.214574, 51.753233 36.214996, 51.753605 36.215774, 51.753049 36.215656, 51.752952 36.216001, 51.752852 36.216376, 51.</t>
  </si>
  <si>
    <t>="51.746826 36.243821, 51.746856 36.243454, 51.746886 36.2431, 51.746922 36.242719, 51.74695 36.242325, 51.746986 36.241929, 51.74702 36.24156, 51.747022 36.241223, 51.747069 36.240853, 51.747116 36.240461, 51.747151 36.240107, 51.747196 36.239728, 51.747</t>
  </si>
  <si>
    <t>="51.74005 36.149292, 51.739809 36.149462, 51.739623 36.14961, 51.739401 36.1498, 51.739193 36.150033, 51.738982 36.150141, 51.738766 36.150358, 51.738578 36.150503, 51.738351 36.150675, 51.738146 36.150918, 51.737951 36.151034, 51.737715 36.151243, 51.73</t>
  </si>
  <si>
    <t>="51.751781 36.139508, 51.752007 36.139336, 51.752233 36.13918, 51.752462 36.139025, 51.752674 36.138864, 51.752893 36.138708, 51.753113 36.138547, 51.753335 36.138386, 51.753554 36.13822, 51.75378 36.138059, 51.753993 36.137904, 51.754212 36.137764, 51.7</t>
  </si>
  <si>
    <t>="51.754883 36.138617, 51.755108 36.138456, 51.755175 36.138864, 51.755251 36.139202, 51.755331 36.139551, 51.755411 36.139931, 51.755477 36.140259, 51.75556 36.140634, 51.755643 36.14101, 51.755719 36.141364, 51.755789 36.141728, 51.755866 36.142099, 51.</t>
  </si>
  <si>
    <t>="51.75594 36.142448, 51.755942 36.142458, 51.756002 36.142817, 51.756048 36.143182, 51.756088 36.143552, 51.756121 36.143917, 51.756161 36.144293, 51.756204 36.144684, 51.756244 36.14506, 51.756274 36.145392, 51.756294 36.145752, 51.756307 36.146149, 51.</t>
  </si>
  <si>
    <t>="51.747576 36.142356, 51.747364 36.142496, 51.74713 36.14261, 51.746937 36.142799, 51.74671 36.142917, 51.746492 36.14311, 51.74632 36.143222, 51.74607 36.143421, 51.745843 36.143566, 51.745632 36.143791, 51.745394 36.143925, 51.745222 36.144138, 51.7450</t>
  </si>
  <si>
    <t>="51.751405 36.241436, 51.751291 36.240984, 51.751145 36.240576, 51.751015 36.240131, 51.750567 36.239846, 51.750325 36.23997, 51.750122 36.240109, 51.74989 36.240297, 51.749677 36.240399, 51.749475 36.240587, 51.749254 36.240664, 51.749159 36.240271, 51.</t>
  </si>
  <si>
    <t>="51.66795 36.078466, 51.667895 36.078093, 51.667835 36.077728, 51.667769 36.077358, 51.667692 36.076983, 51.667612 36.076607, 51.667532 36.076253, 51.667442 36.075899, 51.667556 36.075572, 51.667591 36.075534, 51.667881 36.075253, 51.668184 36.074968, 51</t>
  </si>
  <si>
    <t>="51.668609 36.073423, 51.668851 36.073256, 51.668849 36.073076, 51.668693 36.072666, 51.668525 36.072235, 51.668431 36.07199, 51.668357 36.071797, 51.668189 36.07135, 51.668031 36.070924, 51.667874 36.07051, 51.667739 36.070131, 51.667611 36.069769, 51.6</t>
  </si>
  <si>
    <t>="51.666047 36.065792, 51.665922 36.065452, 51.66576 36.065005, 51.665624 36.064632, 51.66553 36.064378, 51.66554 36.064041, 51.665803 36.063939, 51.666058 36.063875, 51.666292 36.063802, 51.66653 36.063722, 51.66677 36.063639, 51.667023 36.06355, 51.6672</t>
  </si>
  <si>
    <t>="51.668807 36.065331, 51.668763 36.065896, 51.66888 36.066259, 51.66901 36.066649, 51.669101 36.066909, 51.669158 36.067072, 51.669293 36.067458, 51.669448 36.067914, 51.669598 36.068349, 51.669665 36.068542, 51.669771 36.068829, 51.66993 36.069295, 51.6</t>
  </si>
  <si>
    <t>="51.723478 36.188211, 51.723553 36.187889, 51.723641 36.187765, 51.723667 36.187719, 51.723777 36.187636, 51.723893 36.187502, 51.723956 36.187447, 51.724009 36.187392, 51.724133 36.187252, 51.724215 36.187158, 51.724343 36.187119, 51.724346 36.186964, 5</t>
  </si>
  <si>
    <t>="51.753216 36.182314, 51.753516 36.181994, 51.753839 36.181671, 51.75414 36.181363, 51.754434 36.18106, 51.754766 36.180722, 51.755084 36.180405, 51.755405 36.180088, 51.755714 36.179805, 51.756126 36.179416, 51.756203 36.179637, 51.756271 36.179874, 51.</t>
  </si>
  <si>
    <t>="51.7608 36.162493, 51.761016 36.162827, 51.761195 36.163256, 51.761384 36.163739, 51.761487 36.164248, 51.761636 36.164715, 51.761719 36.165246, 51.761839 36.165745, 51.761949 36.166276, 51.762038 36.166807, 51.762164 36.167279, 51.762267 36.167794, 51.</t>
  </si>
  <si>
    <t>="51.7119 36.186348, 51.711896 36.186336, 51.711738 36.185982, 51.711598 36.185607, 51.711455 36.185215, 51.711309 36.184872, 51.711133 36.184496, 51.710963 36.184158, 51.710774 36.183842, 51.710575 36.183545, 51.710345 36.183338, 51.710112 36.183128, 51.</t>
  </si>
  <si>
    <t>="51.723333 36.188039, 51.723151 36.188114, 51.722953 36.188262, 51.722898 36.188072, 51.722594 36.188351, 51.722353 36.188581, 51.722062 36.188811, 51.721851 36.18926, 51.721788 36.188938, 51.721612 36.188691, 51.721611 36.188689, 51.721333 36.188541, 51</t>
  </si>
  <si>
    <t>="51.757963 36.187235, 51.757981 36.187316, 51.758199 36.187191, 51.758193 36.187163, 51.758223 36.18714, 51.758304 36.187353, 51.757987 36.187501, 51.757602 36.187726, 51.755478 36.188881, 51.754876 36.189171, 51.754936 36.189385, 51.754945 36.189393, 51</t>
  </si>
  <si>
    <t>="51.759932 36.186903, 51.760196 36.186739, 51.760418 36.186607, 51.760655 36.186505, 51.760908 36.186377, 51.761183 36.186205, 51.761436 36.186098, 51.761685 36.185958, 51.761938 36.185825, 51.762216 36.185642, 51.762485 36.185507, 51.762714 36.185395, 5</t>
  </si>
  <si>
    <t>="51.768396 36.183955, 51.768548 36.184255, 51.768669 36.184545, 51.768779 36.184872, 51.768907 36.185192, 51.76895 36.185564, 51.768973 36.185969, 51.768963 36.186359, 51.768999 36.186649, 51.769033 36.187158, 51.769047 36.187657, 51.769048 36.187908, 51</t>
  </si>
  <si>
    <t>="51.726568 36.14694, 51.726535 36.146932, 51.72651 36.146914, 51.726493 36.146901, 51.726475 36.146887, 51.726459 36.146873, 51.726441 36.146856, 51.726423 36.14684, 51.726403 36.14682, 51.725847 36.146801, 51.725744 36.14665, 51.725152 36.146618, 51.724</t>
  </si>
  <si>
    <t>="51.706043 36.16299, 51.705814 36.162449, 51.705897 36.162094, 51.705932 36.161982, 51.705993 36.161773, 51.70604 36.161561, 51.706083 36.161392, 51.706166 36.161022, 51.706249 36.160682, 51.706331 36.160428, 51.706439 36.160002, 51.706542 36.159654, 51.</t>
  </si>
  <si>
    <t>="51.74246 36.139488, 51.742527 36.139901, 51.742209 36.139868, 51.742031 36.139314, 51.742046 36.139193, 51.742011 36.139091, 51.742244 36.138886, 51.742104 36.138463, 51.741911 36.137906, 51.741745 36.13739, 51.741553 36.136969, 51.741521 36.136865, 51.</t>
  </si>
  <si>
    <t>="51.738391 36.136749, 51.737986 36.136432, 51.737939 36.136309, 51.737869 36.136112, 51.737691 36.136145, 51.737582 36.136297, 51.737274 36.136582, 51.737229 36.136644, 51.737181 36.136831, 51.737029 36.13695, 51.736851 36.137124, 51.736671 36.13725, 51.</t>
  </si>
  <si>
    <t>="51.717345 36.200716, 51.717467 36.200853, 51.717725 36.201149, 51.717982 36.20141, 51.718235 36.20169, 51.718496 36.201981, 51.718765 36.202261, 51.718999 36.202529, 51.719171 36.202722, 51.719374 36.203068, 51.719542 36.203501, 51.719691 36.203944, 51.</t>
  </si>
  <si>
    <t>="51.728384 36.222063, 51.728702 36.222227, 51.728978 36.222516, 51.729237 36.222777, 51.729497 36.223032, 51.729764 36.223271, 51.730051 36.223513, 51.730358 36.223711, 51.73066 36.223875, 51.730962 36.224032, 51.731272 36.224165, 51.731565 36.224287, 51</t>
  </si>
  <si>
    <t>="51.735402 36.22539, 51.735639 36.22547, 51.735962 36.225565, 51.736265 36.225647, 51.736571 36.225728, 51.7369 36.225833, 51.737201 36.225918, 51.737528 36.226035, 51.737816 36.226232, 51.738096 36.22607, 51.738382 36.226225, 51.738683 36.226369, 51.738</t>
  </si>
  <si>
    <t>="51.746906 36.224057, 51.747108 36.22388, 51.747379 36.223619, 51.747633 36.223345, 51.7479 36.223025, 51.748094 36.222792, 51.748305 36.222538, 51.748449 36.22239, 51.74857 36.222187, 51.74878 36.221592, 51.748989 36.221207, 51.749185 36.220847, 51.7494</t>
  </si>
  <si>
    <t>="51.721705 36.190588, 51.721529 36.190966, 51.721353 36.191351, 51.721178 36.191738, 51.720995 36.192148, 51.720824 36.192552, 51.720651 36.192975, 51.72047 36.193395, 51.720295 36.193812, 51.720107 36.19422, 51.719926 36.194598, 51.719748 36.194998, 51.</t>
  </si>
  <si>
    <t>="51.74204 36.258558, 51.74191 36.258531, 51.741624 36.258458, 51.741355 36.258397, 51.741177 36.258776, 51.741124 36.259269, 51.741056 36.259851, 51.740981 36.260433, 51.740923 36.260849, 51.740859 36.261345, 51.740799 36.261793, 51.740726 36.262297, 51.</t>
  </si>
  <si>
    <t>="51.738837 36.269545, 51.738836 36.269726, 51.738715 36.270278, 51.738507 36.271003, 51.73863 36.271166, 51.738278 36.272545, 51.73863 36.272856, 51.738537 36.273225, 51.738444 36.273596, 51.738354 36.273968, 51.73828 36.274275, 51.737803 36.274379, 51.7</t>
  </si>
  <si>
    <t>="51.738837 36.269545, 51.738752 36.269487, 51.738605 36.269552, 51.738315 36.269375, 51.738093 36.269236, 51.737884 36.269124, 51.737685 36.268994, 51.737463 36.268849, 51.737197 36.268688, 51.73697 36.268542, 51.736771 36.268413, 51.736512 36.268246, 51</t>
  </si>
  <si>
    <t>="51.663241 36.136914, 51.663199 36.137132, 51.663121 36.136959, 51.662905 36.136568, 51.662607 36.136533, 51.662517 36.13686, 51.662294 36.137005, 51.66207 36.136949, 51.661866 36.136809, 51.661655 36.136672, 51.661411 36.136503, 51.661151 36.136337, 51.</t>
  </si>
  <si>
    <t>="51.740217 36.144376, 51.740299 36.144618, 51.740443 36.144952, 51.740166 36.145223, 51.739879 36.145403, 51.739649 36.145658, 51.739276 36.145912, 51.739112 36.145943, 51.739296 36.146584, 51.739129 36.146988, 51.739107 36.147418, 51.739227 36.147844, 5</t>
  </si>
  <si>
    <t>="51.729542 36.17575, 51.729552 36.175771, 51.729555 36.175777, 51.729557 36.175762, 51.729631 36.175993, 51.729764 36.176359, 51.729912 36.176751, 51.730062 36.177171, 51.730228 36.177602, 51.730337 36.178003, 51.730505 36.178347, 51.730598 36.178601, 51</t>
  </si>
  <si>
    <t>="51.732289 36.184926, 51.732278 36.185104, 51.732345 36.185199, 51.73262 36.185199, 51.73289 36.185206, 51.733167 36.185202, 51.733396 36.185201, 51.733379 36.185609, 51.733359 36.18604, 51.733331 36.186484, 51.733302 36.186892, 51.733287 36.187338, 51.7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</si>
</sst>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0"/>
  <sheetViews>
    <sheetView tabSelected="1" workbookViewId="0"/>
  </sheetViews>
  <sheetFormatPr defaultRowHeight="15" x14ac:dyDescent="0.25"/>
  <cols>
    <col min="4" max="4" width="20.7109375" customWidth="1"/>
    <col min="5" max="5" width="15.85546875" customWidth="1"/>
    <col min="6" max="6" width="54.7109375" customWidth="1"/>
    <col min="9" max="9" width="13.28515625" customWidth="1"/>
    <col min="10" max="10" width="12" customWidth="1"/>
    <col min="11" max="11" width="12.7109375" customWidth="1"/>
    <col min="13" max="13" width="15.42578125" customWidth="1"/>
    <col min="14" max="14" width="18.85546875" customWidth="1"/>
    <col min="19" max="19" width="6" customWidth="1"/>
    <col min="21" max="21" width="23.85546875" customWidth="1"/>
    <col min="27" max="27" width="0.5703125" customWidth="1"/>
    <col min="28" max="28" width="9.140625" hidden="1" customWidth="1"/>
    <col min="29" max="29" width="15.5703125" customWidth="1"/>
  </cols>
  <sheetData>
    <row r="1" spans="1:39" x14ac:dyDescent="0.25">
      <c r="A1" s="1" t="str">
        <f>"city_id"</f>
        <v>city_id</v>
      </c>
      <c r="B1" s="2" t="str">
        <f>"city_name"</f>
        <v>city_name</v>
      </c>
      <c r="C1" s="1" t="str">
        <f>"eqm_id"</f>
        <v>eqm_id</v>
      </c>
      <c r="D1" s="2" t="str">
        <f>"cab_type"</f>
        <v>cab_type</v>
      </c>
      <c r="E1" t="str">
        <f>"cab_name"</f>
        <v>cab_name</v>
      </c>
      <c r="F1" s="2" t="str">
        <f>"cab_mark"</f>
        <v>cab_mark</v>
      </c>
      <c r="G1" t="str">
        <f>"remark"</f>
        <v>remark</v>
      </c>
      <c r="H1" t="str">
        <f>"main_project"</f>
        <v>main_project</v>
      </c>
      <c r="I1" s="2" t="str">
        <f>"trace_length"</f>
        <v>trace_length</v>
      </c>
      <c r="J1" t="str">
        <f>"cab_length"</f>
        <v>cab_length</v>
      </c>
      <c r="K1" t="str">
        <f>"slack_loops"</f>
        <v>slack_loops</v>
      </c>
      <c r="L1" t="str">
        <f>"optical_length"</f>
        <v>optical_length</v>
      </c>
      <c r="M1" s="2" t="str">
        <f>"install_type"</f>
        <v>install_type</v>
      </c>
      <c r="N1" t="str">
        <f>"create_date"</f>
        <v>create_date</v>
      </c>
      <c r="O1" t="str">
        <f>"f_cnt_all"</f>
        <v>f_cnt_all</v>
      </c>
      <c r="P1" t="str">
        <f>"f_cnt_used"</f>
        <v>f_cnt_used</v>
      </c>
      <c r="Q1" t="str">
        <f>"address_a"</f>
        <v>address_a</v>
      </c>
      <c r="R1" t="str">
        <f>"address_b"</f>
        <v>address_b</v>
      </c>
      <c r="S1" t="str">
        <f>"data_ustanovki"</f>
        <v>data_ustanovki</v>
      </c>
      <c r="T1" t="str">
        <f>"label_str"</f>
        <v>label_str</v>
      </c>
      <c r="U1" s="2" t="str">
        <f>"fol_type_name"</f>
        <v>fol_type_name</v>
      </c>
      <c r="V1" t="str">
        <f>"arenda_volokon"</f>
        <v>arenda_volokon</v>
      </c>
      <c r="W1" t="str">
        <f>"pokupka_volokon"</f>
        <v>pokupka_volokon</v>
      </c>
      <c r="X1" t="str">
        <f>"prodazha_volokon"</f>
        <v>prodazha_volokon</v>
      </c>
      <c r="Y1" t="str">
        <f>"peredacha_v_arendu_volokon"</f>
        <v>peredacha_v_arendu_volokon</v>
      </c>
      <c r="Z1" t="str">
        <f>"legalnost_prokladki"</f>
        <v>legalnost_prokladki</v>
      </c>
      <c r="AA1" t="str">
        <f>"kontragent_po_arende_kanal"</f>
        <v>kontragent_po_arende_kanal</v>
      </c>
      <c r="AB1" t="str">
        <f>"smp_volokna"</f>
        <v>smp_volokna</v>
      </c>
      <c r="AC1" s="2" t="str">
        <f>"naimenovanie"</f>
        <v>naimenovanie</v>
      </c>
      <c r="AD1" t="str">
        <f>"data_izgotovleniya"</f>
        <v>data_izgotovleniya</v>
      </c>
      <c r="AE1" t="str">
        <f>"installiruyuschaya_organiz"</f>
        <v>installiruyuschaya_organiz</v>
      </c>
      <c r="AF1" t="str">
        <f>"crs_a"</f>
        <v>crs_a</v>
      </c>
      <c r="AG1" t="str">
        <f>"crs_b"</f>
        <v>crs_b</v>
      </c>
      <c r="AH1" s="3" t="str">
        <f>"nachalo_kabelya"</f>
        <v>nachalo_kabelya</v>
      </c>
      <c r="AI1" t="str">
        <f>"konec_kabelya"</f>
        <v>konec_kabelya</v>
      </c>
      <c r="AJ1" t="str">
        <f>"obekt_os_1s"</f>
        <v>obekt_os_1s</v>
      </c>
      <c r="AK1" t="str">
        <f>"uchastok_no_ekspl"</f>
        <v>uchastok_no_ekspl</v>
      </c>
      <c r="AL1" s="1" t="str">
        <f>"coords"</f>
        <v>coords</v>
      </c>
      <c r="AM1" s="1" t="str">
        <f>"eo_sap_code"</f>
        <v>eo_sap_code</v>
      </c>
    </row>
    <row r="2" spans="1:39" x14ac:dyDescent="0.25">
      <c r="A2">
        <v>907</v>
      </c>
      <c r="B2" t="str">
        <f t="shared" ref="B2:B65" si="0">"Курск"</f>
        <v>Курск</v>
      </c>
      <c r="C2">
        <v>781411</v>
      </c>
      <c r="D2" t="str">
        <f t="shared" ref="D2:D65" si="1">"Оптический кабель"</f>
        <v>Оптический кабель</v>
      </c>
      <c r="E2" t="str">
        <f>"[46/738] МОК1.1.1 Курск, Добролюбова, 22 а п. 1 - М 1.1.1"</f>
        <v>[46/738] МОК1.1.1 Курск, Добролюбова, 22 а п. 1 - М 1.1.1</v>
      </c>
      <c r="F2" t="str">
        <f>"ДПТа-П-128А 8(9) 7кН (Вол:Кр,Жел,Зел,...,Лайм,Нат)"</f>
        <v>ДПТа-П-128А 8(9) 7кН (Вол:Кр,Жел,Зел,...,Лайм,Нат)</v>
      </c>
      <c r="G2" t="str">
        <f>""</f>
        <v/>
      </c>
      <c r="H2" t="str">
        <f t="shared" ref="H2:H7" si="2">"МС 1.1"</f>
        <v>МС 1.1</v>
      </c>
      <c r="I2">
        <v>1176</v>
      </c>
      <c r="J2">
        <v>1410</v>
      </c>
      <c r="K2">
        <v>200</v>
      </c>
      <c r="L2">
        <v>1415</v>
      </c>
      <c r="M2" t="str">
        <f>"Опоры"</f>
        <v>Опоры</v>
      </c>
      <c r="N2" t="str">
        <f>"28.12.20111"</f>
        <v>28.12.20111</v>
      </c>
      <c r="O2">
        <v>128</v>
      </c>
      <c r="P2">
        <v>128</v>
      </c>
      <c r="Q2" t="str">
        <f>"Курск, Добролюбова, 22 а"</f>
        <v>Курск, Добролюбова, 22 а</v>
      </c>
      <c r="R2" t="str">
        <f>""</f>
        <v/>
      </c>
      <c r="S2" t="str">
        <f>""</f>
        <v/>
      </c>
      <c r="T2" t="str">
        <f>"46/738"</f>
        <v>46/738</v>
      </c>
      <c r="U2" t="str">
        <f t="shared" ref="U2:U14" si="3">"Магистральная ВОЛС"</f>
        <v>Магистральная ВОЛС</v>
      </c>
      <c r="V2" t="str">
        <f t="shared" ref="V2:Z11" si="4">"Нет"</f>
        <v>Нет</v>
      </c>
      <c r="W2" t="str">
        <f t="shared" si="4"/>
        <v>Нет</v>
      </c>
      <c r="X2" t="str">
        <f t="shared" si="4"/>
        <v>Нет</v>
      </c>
      <c r="Y2" t="str">
        <f t="shared" si="4"/>
        <v>Нет</v>
      </c>
      <c r="Z2" t="str">
        <f t="shared" si="4"/>
        <v>Нет</v>
      </c>
      <c r="AA2" t="str">
        <f>""</f>
        <v/>
      </c>
      <c r="AB2" t="str">
        <f t="shared" ref="AB2:AB65" si="5">"Нет"</f>
        <v>Нет</v>
      </c>
      <c r="AC2" t="str">
        <f>"МС 1.1"</f>
        <v>МС 1.1</v>
      </c>
      <c r="AD2" t="str">
        <f>"21.10.2012"</f>
        <v>21.10.2012</v>
      </c>
      <c r="AE2" t="str">
        <f>"ООО ""Элпэк"""</f>
        <v>ООО "Элпэк"</v>
      </c>
      <c r="AF2" t="str">
        <f>"[266061] МОК1.1.1 Курск, Добролюбова, 22 а п. 1"</f>
        <v>[266061] МОК1.1.1 Курск, Добролюбова, 22 а п. 1</v>
      </c>
      <c r="AG2" t="str">
        <f>"[266671] М 1.1.1"</f>
        <v>[266671] М 1.1.1</v>
      </c>
      <c r="AH2" t="str">
        <f>"Добролюбова, 22а"</f>
        <v>Добролюбова, 22а</v>
      </c>
      <c r="AI2" t="str">
        <f>"М 1.1.1"</f>
        <v>М 1.1.1</v>
      </c>
      <c r="AJ2" t="str">
        <f>""</f>
        <v/>
      </c>
      <c r="AK2" t="str">
        <f t="shared" ref="AK2:AK10" si="6">"Нет"</f>
        <v>Нет</v>
      </c>
      <c r="AL2" t="s">
        <v>0</v>
      </c>
      <c r="AM2" t="str">
        <f>"20000008040053"</f>
        <v>20000008040053</v>
      </c>
    </row>
    <row r="3" spans="1:39" x14ac:dyDescent="0.25">
      <c r="A3">
        <v>907</v>
      </c>
      <c r="B3" t="str">
        <f t="shared" si="0"/>
        <v>Курск</v>
      </c>
      <c r="C3">
        <v>792223</v>
      </c>
      <c r="D3" t="str">
        <f t="shared" si="1"/>
        <v>Оптический кабель</v>
      </c>
      <c r="E3" t="str">
        <f>"[46/741] М 1.1.1 - ГОК1.1.2.1 Курск, Дзержинского, 86  п. 3"</f>
        <v>[46/741] М 1.1.1 - ГОК1.1.2.1 Курск, Дзержинского, 86  п. 3</v>
      </c>
      <c r="F3" t="str">
        <f>"ДПТс-П-16А 2(6) 7кН (Мод:Кр,Нат)(Вол:Кр,Жел,Зел,..,Ор,Фиол)"</f>
        <v>ДПТс-П-16А 2(6) 7кН (Мод:Кр,Нат)(Вол:Кр,Жел,Зел,..,Ор,Фиол)</v>
      </c>
      <c r="G3" t="str">
        <f>""</f>
        <v/>
      </c>
      <c r="H3" t="str">
        <f t="shared" si="2"/>
        <v>МС 1.1</v>
      </c>
      <c r="I3">
        <v>238</v>
      </c>
      <c r="J3">
        <v>363</v>
      </c>
      <c r="K3">
        <v>123</v>
      </c>
      <c r="L3">
        <v>364</v>
      </c>
      <c r="M3" t="str">
        <f>"Опоры"</f>
        <v>Опоры</v>
      </c>
      <c r="N3" t="str">
        <f>"07.02.20122"</f>
        <v>07.02.20122</v>
      </c>
      <c r="O3">
        <v>10</v>
      </c>
      <c r="P3">
        <v>10</v>
      </c>
      <c r="Q3" t="str">
        <f>""</f>
        <v/>
      </c>
      <c r="R3" t="str">
        <f>"Курск, Дзержинского, 86"</f>
        <v>Курск, Дзержинского, 86</v>
      </c>
      <c r="S3" t="str">
        <f>""</f>
        <v/>
      </c>
      <c r="T3" t="str">
        <f>"46/741"</f>
        <v>46/741</v>
      </c>
      <c r="U3" t="str">
        <f t="shared" si="3"/>
        <v>Магистральная ВОЛС</v>
      </c>
      <c r="V3" t="str">
        <f t="shared" si="4"/>
        <v>Нет</v>
      </c>
      <c r="W3" t="str">
        <f t="shared" si="4"/>
        <v>Нет</v>
      </c>
      <c r="X3" t="str">
        <f t="shared" si="4"/>
        <v>Нет</v>
      </c>
      <c r="Y3" t="str">
        <f t="shared" si="4"/>
        <v>Нет</v>
      </c>
      <c r="Z3" t="str">
        <f t="shared" si="4"/>
        <v>Нет</v>
      </c>
      <c r="AA3" t="str">
        <f>""</f>
        <v/>
      </c>
      <c r="AB3" t="str">
        <f t="shared" si="5"/>
        <v>Нет</v>
      </c>
      <c r="AC3" t="str">
        <f>"МС 1.1 (М 1.1.1 - Дзержинского, 86)"</f>
        <v>МС 1.1 (М 1.1.1 - Дзержинского, 86)</v>
      </c>
      <c r="AD3" t="str">
        <f>"02.09.2011"</f>
        <v>02.09.2011</v>
      </c>
      <c r="AE3" t="str">
        <f>"ООО ""Элпэк"""</f>
        <v>ООО "Элпэк"</v>
      </c>
      <c r="AF3" t="str">
        <f>"[266671] М 1.1.1"</f>
        <v>[266671] М 1.1.1</v>
      </c>
      <c r="AG3" t="str">
        <f>"[266637] ГОК1.1.2.1 Курск, Дзержинского, 86  п. 3"</f>
        <v>[266637] ГОК1.1.2.1 Курск, Дзержинского, 86  п. 3</v>
      </c>
      <c r="AH3" t="str">
        <f>"М 1.1.1"</f>
        <v>М 1.1.1</v>
      </c>
      <c r="AI3" t="str">
        <f>"Дзержинского, 86"</f>
        <v>Дзержинского, 86</v>
      </c>
      <c r="AJ3" t="str">
        <f>""</f>
        <v/>
      </c>
      <c r="AK3" t="str">
        <f t="shared" si="6"/>
        <v>Нет</v>
      </c>
      <c r="AL3" t="str">
        <f>"51.723469 36.175248, 51.72334 36.174899, 51.72321 36.174529, 51.723177 36.174406, 51.723061 36.174105, 51.723021 36.173977, 51.722891 36.173612, 51.722785 36.173279, 51.722708 36.173156, 51.722639 36.172909, 51.722406 36.172829, 51.722293 36.172518"</f>
        <v>51.723469 36.175248, 51.72334 36.174899, 51.72321 36.174529, 51.723177 36.174406, 51.723061 36.174105, 51.723021 36.173977, 51.722891 36.173612, 51.722785 36.173279, 51.722708 36.173156, 51.722639 36.172909, 51.722406 36.172829, 51.722293 36.172518</v>
      </c>
      <c r="AM3" t="str">
        <f>"20000008024537"</f>
        <v>20000008024537</v>
      </c>
    </row>
    <row r="4" spans="1:39" x14ac:dyDescent="0.25">
      <c r="A4">
        <v>907</v>
      </c>
      <c r="B4" t="str">
        <f t="shared" si="0"/>
        <v>Курск</v>
      </c>
      <c r="C4">
        <v>795371</v>
      </c>
      <c r="D4" t="str">
        <f t="shared" si="1"/>
        <v>Оптический кабель</v>
      </c>
      <c r="E4" t="str">
        <f>"[46/796] М 1.1.8 - М 1.1.9"</f>
        <v>[46/796] М 1.1.8 - М 1.1.9</v>
      </c>
      <c r="F4" t="str">
        <f>"ДПТа-П-128А 8(9) 7кН (Вол:Кр,Жел,Зел,...,Лайм,Нат)"</f>
        <v>ДПТа-П-128А 8(9) 7кН (Вол:Кр,Жел,Зел,...,Лайм,Нат)</v>
      </c>
      <c r="G4" t="str">
        <f>""</f>
        <v/>
      </c>
      <c r="H4" t="str">
        <f t="shared" si="2"/>
        <v>МС 1.1</v>
      </c>
      <c r="I4">
        <v>1417</v>
      </c>
      <c r="J4">
        <v>1500</v>
      </c>
      <c r="K4">
        <v>52</v>
      </c>
      <c r="L4">
        <v>1513</v>
      </c>
      <c r="M4" t="str">
        <f>"Опоры"</f>
        <v>Опоры</v>
      </c>
      <c r="N4" t="str">
        <f>"20.03.20122"</f>
        <v>20.03.20122</v>
      </c>
      <c r="O4">
        <v>128</v>
      </c>
      <c r="P4">
        <v>128</v>
      </c>
      <c r="Q4" t="str">
        <f>""</f>
        <v/>
      </c>
      <c r="R4" t="str">
        <f>""</f>
        <v/>
      </c>
      <c r="S4" t="str">
        <f>""</f>
        <v/>
      </c>
      <c r="T4" t="str">
        <f>"46/796"</f>
        <v>46/796</v>
      </c>
      <c r="U4" t="str">
        <f t="shared" si="3"/>
        <v>Магистральная ВОЛС</v>
      </c>
      <c r="V4" t="str">
        <f t="shared" si="4"/>
        <v>Нет</v>
      </c>
      <c r="W4" t="str">
        <f t="shared" si="4"/>
        <v>Нет</v>
      </c>
      <c r="X4" t="str">
        <f t="shared" si="4"/>
        <v>Нет</v>
      </c>
      <c r="Y4" t="str">
        <f t="shared" si="4"/>
        <v>Нет</v>
      </c>
      <c r="Z4" t="str">
        <f t="shared" si="4"/>
        <v>Нет</v>
      </c>
      <c r="AA4" t="str">
        <f>""</f>
        <v/>
      </c>
      <c r="AB4" t="str">
        <f t="shared" si="5"/>
        <v>Нет</v>
      </c>
      <c r="AC4" t="str">
        <f>"М 1.1.8 - М 1.1.9"</f>
        <v>М 1.1.8 - М 1.1.9</v>
      </c>
      <c r="AD4" t="str">
        <f>"21.10.2011"</f>
        <v>21.10.2011</v>
      </c>
      <c r="AE4" t="str">
        <f>""</f>
        <v/>
      </c>
      <c r="AF4" t="str">
        <f>"[266668] М 1.1.8"</f>
        <v>[266668] М 1.1.8</v>
      </c>
      <c r="AG4" t="str">
        <f>"[266665] М 1.1.9"</f>
        <v>[266665] М 1.1.9</v>
      </c>
      <c r="AH4" t="str">
        <f>"М 1.1.8"</f>
        <v>М 1.1.8</v>
      </c>
      <c r="AI4" t="str">
        <f>"М 1.1.9"</f>
        <v>М 1.1.9</v>
      </c>
      <c r="AJ4" t="str">
        <f>""</f>
        <v/>
      </c>
      <c r="AK4" t="str">
        <f t="shared" si="6"/>
        <v>Нет</v>
      </c>
      <c r="AL4" t="s">
        <v>1</v>
      </c>
      <c r="AM4" t="str">
        <f>"20000008025417"</f>
        <v>20000008025417</v>
      </c>
    </row>
    <row r="5" spans="1:39" x14ac:dyDescent="0.25">
      <c r="A5">
        <v>907</v>
      </c>
      <c r="B5" t="str">
        <f t="shared" si="0"/>
        <v>Курск</v>
      </c>
      <c r="C5">
        <v>795481</v>
      </c>
      <c r="D5" t="str">
        <f t="shared" si="1"/>
        <v>Оптический кабель</v>
      </c>
      <c r="E5" t="str">
        <f>"[46/798] М 1.1.5 - ГОК1.1.3.1 Курск, Дзержинского, 65 /2 п. 4"</f>
        <v>[46/798] М 1.1.5 - ГОК1.1.3.1 Курск, Дзержинского, 65 /2 п. 4</v>
      </c>
      <c r="F5" t="str">
        <f>"ДПТс-П-16А 2(6) 7кН (Мод:Кр,Нат)(Вол:Кр,Жел,Зел,..,Ор,Фиол)"</f>
        <v>ДПТс-П-16А 2(6) 7кН (Мод:Кр,Нат)(Вол:Кр,Жел,Зел,..,Ор,Фиол)</v>
      </c>
      <c r="G5" t="str">
        <f>""</f>
        <v/>
      </c>
      <c r="H5" t="str">
        <f t="shared" si="2"/>
        <v>МС 1.1</v>
      </c>
      <c r="I5">
        <v>56</v>
      </c>
      <c r="J5">
        <v>70</v>
      </c>
      <c r="K5">
        <v>14</v>
      </c>
      <c r="L5">
        <v>71</v>
      </c>
      <c r="M5" t="str">
        <f>""</f>
        <v/>
      </c>
      <c r="N5" t="str">
        <f>"20.03.20122"</f>
        <v>20.03.20122</v>
      </c>
      <c r="O5">
        <v>10</v>
      </c>
      <c r="P5">
        <v>10</v>
      </c>
      <c r="Q5" t="str">
        <f>""</f>
        <v/>
      </c>
      <c r="R5" t="str">
        <f>"Курск, Дзержинского, 65 /2"</f>
        <v>Курск, Дзержинского, 65 /2</v>
      </c>
      <c r="S5" t="str">
        <f>""</f>
        <v/>
      </c>
      <c r="T5" t="str">
        <f>"46/798"</f>
        <v>46/798</v>
      </c>
      <c r="U5" t="str">
        <f t="shared" si="3"/>
        <v>Магистральная ВОЛС</v>
      </c>
      <c r="V5" t="str">
        <f t="shared" si="4"/>
        <v>Нет</v>
      </c>
      <c r="W5" t="str">
        <f t="shared" si="4"/>
        <v>Нет</v>
      </c>
      <c r="X5" t="str">
        <f t="shared" si="4"/>
        <v>Нет</v>
      </c>
      <c r="Y5" t="str">
        <f t="shared" si="4"/>
        <v>Нет</v>
      </c>
      <c r="Z5" t="str">
        <f t="shared" si="4"/>
        <v>Нет</v>
      </c>
      <c r="AA5" t="str">
        <f>""</f>
        <v/>
      </c>
      <c r="AB5" t="str">
        <f t="shared" si="5"/>
        <v>Нет</v>
      </c>
      <c r="AC5" t="str">
        <f>"М 1.1.5 - ППК 1.1.3"</f>
        <v>М 1.1.5 - ППК 1.1.3</v>
      </c>
      <c r="AD5" t="str">
        <f>"02.10.2011"</f>
        <v>02.10.2011</v>
      </c>
      <c r="AE5" t="str">
        <f t="shared" ref="AE5:AE14" si="7">"ООО ""Элпек"""</f>
        <v>ООО "Элпек"</v>
      </c>
      <c r="AF5" t="str">
        <f>"[266674] М 1.1.5"</f>
        <v>[266674] М 1.1.5</v>
      </c>
      <c r="AG5" t="str">
        <f>"[266661] ГОК1.1.3.1 Курск, Дзержинского, 65 /2 п. 4"</f>
        <v>[266661] ГОК1.1.3.1 Курск, Дзержинского, 65 /2 п. 4</v>
      </c>
      <c r="AH5" t="str">
        <f>"М 1.1.5"</f>
        <v>М 1.1.5</v>
      </c>
      <c r="AI5" t="str">
        <f>"ППК 1.1.3"</f>
        <v>ППК 1.1.3</v>
      </c>
      <c r="AJ5" t="str">
        <f>""</f>
        <v/>
      </c>
      <c r="AK5" t="str">
        <f t="shared" si="6"/>
        <v>Нет</v>
      </c>
      <c r="AL5" t="str">
        <f>"51.723885 36.174164, 51.72341 36.173912"</f>
        <v>51.723885 36.174164, 51.72341 36.173912</v>
      </c>
      <c r="AM5" t="str">
        <f>"20000008047946"</f>
        <v>20000008047946</v>
      </c>
    </row>
    <row r="6" spans="1:39" x14ac:dyDescent="0.25">
      <c r="A6">
        <v>907</v>
      </c>
      <c r="B6" t="str">
        <f t="shared" si="0"/>
        <v>Курск</v>
      </c>
      <c r="C6">
        <v>795591</v>
      </c>
      <c r="D6" t="str">
        <f t="shared" si="1"/>
        <v>Оптический кабель</v>
      </c>
      <c r="E6" t="str">
        <f>"[46/799] М 1.1.6 - ГОК1.1.4.1 Курск, Чехова, 2  п. 2"</f>
        <v>[46/799] М 1.1.6 - ГОК1.1.4.1 Курск, Чехова, 2  п. 2</v>
      </c>
      <c r="F6" t="str">
        <f>"ДПТс-П-16А 2(6) 7кН (Мод:Кр,Нат)(Вол:Кр,Жел,Зел,..,Ор,Фиол)"</f>
        <v>ДПТс-П-16А 2(6) 7кН (Мод:Кр,Нат)(Вол:Кр,Жел,Зел,..,Ор,Фиол)</v>
      </c>
      <c r="G6" t="str">
        <f>""</f>
        <v/>
      </c>
      <c r="H6" t="str">
        <f t="shared" si="2"/>
        <v>МС 1.1</v>
      </c>
      <c r="I6">
        <v>18</v>
      </c>
      <c r="J6">
        <v>70</v>
      </c>
      <c r="K6">
        <v>52</v>
      </c>
      <c r="L6">
        <v>70</v>
      </c>
      <c r="M6" t="str">
        <f>""</f>
        <v/>
      </c>
      <c r="N6" t="str">
        <f>"20.03.20122"</f>
        <v>20.03.20122</v>
      </c>
      <c r="O6">
        <v>10</v>
      </c>
      <c r="P6">
        <v>10</v>
      </c>
      <c r="Q6" t="str">
        <f>""</f>
        <v/>
      </c>
      <c r="R6" t="str">
        <f>"Курск, Чехова, 2"</f>
        <v>Курск, Чехова, 2</v>
      </c>
      <c r="S6" t="str">
        <f>""</f>
        <v/>
      </c>
      <c r="T6" t="str">
        <f>"46/799"</f>
        <v>46/799</v>
      </c>
      <c r="U6" t="str">
        <f t="shared" si="3"/>
        <v>Магистральная ВОЛС</v>
      </c>
      <c r="V6" t="str">
        <f t="shared" si="4"/>
        <v>Нет</v>
      </c>
      <c r="W6" t="str">
        <f t="shared" si="4"/>
        <v>Нет</v>
      </c>
      <c r="X6" t="str">
        <f t="shared" si="4"/>
        <v>Нет</v>
      </c>
      <c r="Y6" t="str">
        <f t="shared" si="4"/>
        <v>Нет</v>
      </c>
      <c r="Z6" t="str">
        <f t="shared" si="4"/>
        <v>Нет</v>
      </c>
      <c r="AA6" t="str">
        <f>""</f>
        <v/>
      </c>
      <c r="AB6" t="str">
        <f t="shared" si="5"/>
        <v>Нет</v>
      </c>
      <c r="AC6" t="str">
        <f>"М 1.1.6 - ППК 1.1.4"</f>
        <v>М 1.1.6 - ППК 1.1.4</v>
      </c>
      <c r="AD6" t="str">
        <f>"02.10.2011"</f>
        <v>02.10.2011</v>
      </c>
      <c r="AE6" t="str">
        <f t="shared" si="7"/>
        <v>ООО "Элпек"</v>
      </c>
      <c r="AF6" t="str">
        <f>"[266689] М 1.1.6"</f>
        <v>[266689] М 1.1.6</v>
      </c>
      <c r="AG6" t="str">
        <f>"[266657] ГОК1.1.4.1 Курск, Чехова, 2  п. 2"</f>
        <v>[266657] ГОК1.1.4.1 Курск, Чехова, 2  п. 2</v>
      </c>
      <c r="AH6" t="str">
        <f>"М 1.1.6"</f>
        <v>М 1.1.6</v>
      </c>
      <c r="AI6" t="str">
        <f>"ППК 1.1.4"</f>
        <v>ППК 1.1.4</v>
      </c>
      <c r="AJ6" t="str">
        <f>""</f>
        <v/>
      </c>
      <c r="AK6" t="str">
        <f t="shared" si="6"/>
        <v>Нет</v>
      </c>
      <c r="AL6" t="str">
        <f>"51.723194 36.172078, 51.723346 36.172013"</f>
        <v>51.723194 36.172078, 51.723346 36.172013</v>
      </c>
      <c r="AM6" t="str">
        <f>"20000008030158"</f>
        <v>20000008030158</v>
      </c>
    </row>
    <row r="7" spans="1:39" x14ac:dyDescent="0.25">
      <c r="A7">
        <v>907</v>
      </c>
      <c r="B7" t="str">
        <f t="shared" si="0"/>
        <v>Курск</v>
      </c>
      <c r="C7">
        <v>796359</v>
      </c>
      <c r="D7" t="str">
        <f t="shared" si="1"/>
        <v>Оптический кабель</v>
      </c>
      <c r="E7" t="str">
        <f>"[46/804] М 1.1.9 - МОК1.1.2 Курск, Добролюбова, 22 а п. 1"</f>
        <v>[46/804] М 1.1.9 - МОК1.1.2 Курск, Добролюбова, 22 а п. 1</v>
      </c>
      <c r="F7" t="str">
        <f>"ДПТа-П-128А 8(9) 7кН (Вол:Кр,Жел,Зел,...,Лайм,Нат)"</f>
        <v>ДПТа-П-128А 8(9) 7кН (Вол:Кр,Жел,Зел,...,Лайм,Нат)</v>
      </c>
      <c r="G7" t="str">
        <f>""</f>
        <v/>
      </c>
      <c r="H7" t="str">
        <f t="shared" si="2"/>
        <v>МС 1.1</v>
      </c>
      <c r="I7">
        <v>562</v>
      </c>
      <c r="J7">
        <v>902</v>
      </c>
      <c r="K7">
        <v>339</v>
      </c>
      <c r="L7">
        <v>903</v>
      </c>
      <c r="M7" t="str">
        <f>"Опоры"</f>
        <v>Опоры</v>
      </c>
      <c r="N7" t="str">
        <f>"22.03.20122"</f>
        <v>22.03.20122</v>
      </c>
      <c r="O7">
        <v>128</v>
      </c>
      <c r="P7">
        <v>128</v>
      </c>
      <c r="Q7" t="str">
        <f>""</f>
        <v/>
      </c>
      <c r="R7" t="str">
        <f>"Курск, Добролюбова, 22 а"</f>
        <v>Курск, Добролюбова, 22 а</v>
      </c>
      <c r="S7" t="str">
        <f>""</f>
        <v/>
      </c>
      <c r="T7" t="str">
        <f>"46/804"</f>
        <v>46/804</v>
      </c>
      <c r="U7" t="str">
        <f t="shared" si="3"/>
        <v>Магистральная ВОЛС</v>
      </c>
      <c r="V7" t="str">
        <f t="shared" si="4"/>
        <v>Нет</v>
      </c>
      <c r="W7" t="str">
        <f t="shared" si="4"/>
        <v>Нет</v>
      </c>
      <c r="X7" t="str">
        <f t="shared" si="4"/>
        <v>Нет</v>
      </c>
      <c r="Y7" t="str">
        <f t="shared" si="4"/>
        <v>Нет</v>
      </c>
      <c r="Z7" t="str">
        <f t="shared" si="4"/>
        <v>Нет</v>
      </c>
      <c r="AA7" t="str">
        <f>""</f>
        <v/>
      </c>
      <c r="AB7" t="str">
        <f t="shared" si="5"/>
        <v>Нет</v>
      </c>
      <c r="AC7" t="str">
        <f>"М 1.1.9 - ЦГС"</f>
        <v>М 1.1.9 - ЦГС</v>
      </c>
      <c r="AD7" t="str">
        <f>"02.10.2011"</f>
        <v>02.10.2011</v>
      </c>
      <c r="AE7" t="str">
        <f t="shared" si="7"/>
        <v>ООО "Элпек"</v>
      </c>
      <c r="AF7" t="str">
        <f>"[266665] М 1.1.9"</f>
        <v>[266665] М 1.1.9</v>
      </c>
      <c r="AG7" t="str">
        <f>"[379233] МОК1.1.2 Курск, Добролюбова, 22 а п. 1"</f>
        <v>[379233] МОК1.1.2 Курск, Добролюбова, 22 а п. 1</v>
      </c>
      <c r="AH7" t="str">
        <f>"М 1.1.9"</f>
        <v>М 1.1.9</v>
      </c>
      <c r="AI7" t="str">
        <f>"ЦГС"</f>
        <v>ЦГС</v>
      </c>
      <c r="AJ7" t="str">
        <f>""</f>
        <v/>
      </c>
      <c r="AK7" t="str">
        <f t="shared" si="6"/>
        <v>Нет</v>
      </c>
      <c r="AL7" t="s">
        <v>2</v>
      </c>
      <c r="AM7" t="str">
        <f>"20000008017077"</f>
        <v>20000008017077</v>
      </c>
    </row>
    <row r="8" spans="1:39" x14ac:dyDescent="0.25">
      <c r="A8">
        <v>907</v>
      </c>
      <c r="B8" t="str">
        <f t="shared" si="0"/>
        <v>Курск</v>
      </c>
      <c r="C8">
        <v>796551</v>
      </c>
      <c r="D8" t="str">
        <f t="shared" si="1"/>
        <v>Оптический кабель</v>
      </c>
      <c r="E8" t="str">
        <f>"[46/805] М 1.1.1 - М 1.2.1"</f>
        <v>[46/805] М 1.1.1 - М 1.2.1</v>
      </c>
      <c r="F8" t="str">
        <f>"ДПТа-П-64А 6(6) 7кН (Кр,Жел,Зел,..,8-Фиол,9-Бел,..,Бир,Роз)"</f>
        <v>ДПТа-П-64А 6(6) 7кН (Кр,Жел,Зел,..,8-Фиол,9-Бел,..,Бир,Роз)</v>
      </c>
      <c r="G8" t="str">
        <f>""</f>
        <v/>
      </c>
      <c r="H8" t="str">
        <f t="shared" ref="H8:H14" si="8">"МС 1.2"</f>
        <v>МС 1.2</v>
      </c>
      <c r="I8">
        <v>1528</v>
      </c>
      <c r="J8">
        <v>1715</v>
      </c>
      <c r="K8">
        <v>160</v>
      </c>
      <c r="L8">
        <v>1733</v>
      </c>
      <c r="M8" t="str">
        <f>"Опоры"</f>
        <v>Опоры</v>
      </c>
      <c r="N8" t="str">
        <f>"22.03.20122"</f>
        <v>22.03.20122</v>
      </c>
      <c r="O8">
        <v>64</v>
      </c>
      <c r="P8">
        <v>64</v>
      </c>
      <c r="Q8" t="str">
        <f>""</f>
        <v/>
      </c>
      <c r="R8" t="str">
        <f>""</f>
        <v/>
      </c>
      <c r="S8" t="str">
        <f>""</f>
        <v/>
      </c>
      <c r="T8" t="str">
        <f>"46/805"</f>
        <v>46/805</v>
      </c>
      <c r="U8" t="str">
        <f t="shared" si="3"/>
        <v>Магистральная ВОЛС</v>
      </c>
      <c r="V8" t="str">
        <f t="shared" si="4"/>
        <v>Нет</v>
      </c>
      <c r="W8" t="str">
        <f t="shared" si="4"/>
        <v>Нет</v>
      </c>
      <c r="X8" t="str">
        <f t="shared" si="4"/>
        <v>Нет</v>
      </c>
      <c r="Y8" t="str">
        <f t="shared" si="4"/>
        <v>Нет</v>
      </c>
      <c r="Z8" t="str">
        <f t="shared" si="4"/>
        <v>Нет</v>
      </c>
      <c r="AA8" t="str">
        <f>""</f>
        <v/>
      </c>
      <c r="AB8" t="str">
        <f t="shared" si="5"/>
        <v>Нет</v>
      </c>
      <c r="AC8" t="str">
        <f>"М 1.1.1 - М 1.2.1"</f>
        <v>М 1.1.1 - М 1.2.1</v>
      </c>
      <c r="AD8" t="str">
        <f>"08.11.2011"</f>
        <v>08.11.2011</v>
      </c>
      <c r="AE8" t="str">
        <f t="shared" si="7"/>
        <v>ООО "Элпек"</v>
      </c>
      <c r="AF8" t="str">
        <f>"[266671] М 1.1.1"</f>
        <v>[266671] М 1.1.1</v>
      </c>
      <c r="AG8" t="str">
        <f>"[266749] М 1.2.1"</f>
        <v>[266749] М 1.2.1</v>
      </c>
      <c r="AH8" t="str">
        <f>"М 1.1.1"</f>
        <v>М 1.1.1</v>
      </c>
      <c r="AI8" t="str">
        <f>"М 1.2.1"</f>
        <v>М 1.2.1</v>
      </c>
      <c r="AJ8" t="str">
        <f>""</f>
        <v/>
      </c>
      <c r="AK8" t="str">
        <f t="shared" si="6"/>
        <v>Нет</v>
      </c>
      <c r="AL8" t="s">
        <v>3</v>
      </c>
      <c r="AM8" t="str">
        <f>"20000008040513"</f>
        <v>20000008040513</v>
      </c>
    </row>
    <row r="9" spans="1:39" x14ac:dyDescent="0.25">
      <c r="A9">
        <v>907</v>
      </c>
      <c r="B9" t="str">
        <f t="shared" si="0"/>
        <v>Курск</v>
      </c>
      <c r="C9">
        <v>796731</v>
      </c>
      <c r="D9" t="str">
        <f t="shared" si="1"/>
        <v>Оптический кабель</v>
      </c>
      <c r="E9" t="str">
        <f>"[46/808] М 1.2.2 - ГОК1.2.2.1 Курск, Энгельса, 105  п. 2"</f>
        <v>[46/808] М 1.2.2 - ГОК1.2.2.1 Курск, Энгельса, 105  п. 2</v>
      </c>
      <c r="F9" t="str">
        <f>"ДПТс-П-16А 2(6) 7кН (Мод:Кр,Нат)(Вол:Кр,Жел,Зел,..,Ор,Фиол)"</f>
        <v>ДПТс-П-16А 2(6) 7кН (Мод:Кр,Нат)(Вол:Кр,Жел,Зел,..,Ор,Фиол)</v>
      </c>
      <c r="G9" t="str">
        <f>""</f>
        <v/>
      </c>
      <c r="H9" t="str">
        <f t="shared" si="8"/>
        <v>МС 1.2</v>
      </c>
      <c r="I9">
        <v>17</v>
      </c>
      <c r="J9">
        <v>69</v>
      </c>
      <c r="K9">
        <v>51</v>
      </c>
      <c r="L9">
        <v>70</v>
      </c>
      <c r="M9" t="str">
        <f>""</f>
        <v/>
      </c>
      <c r="N9" t="str">
        <f>"22.03.20122"</f>
        <v>22.03.20122</v>
      </c>
      <c r="O9">
        <v>10</v>
      </c>
      <c r="P9">
        <v>10</v>
      </c>
      <c r="Q9" t="str">
        <f>""</f>
        <v/>
      </c>
      <c r="R9" t="str">
        <f>"Курск, Энгельса, 105"</f>
        <v>Курск, Энгельса, 105</v>
      </c>
      <c r="S9" t="str">
        <f>""</f>
        <v/>
      </c>
      <c r="T9" t="str">
        <f>"46/808"</f>
        <v>46/808</v>
      </c>
      <c r="U9" t="str">
        <f t="shared" si="3"/>
        <v>Магистральная ВОЛС</v>
      </c>
      <c r="V9" t="str">
        <f t="shared" si="4"/>
        <v>Нет</v>
      </c>
      <c r="W9" t="str">
        <f t="shared" si="4"/>
        <v>Нет</v>
      </c>
      <c r="X9" t="str">
        <f t="shared" si="4"/>
        <v>Нет</v>
      </c>
      <c r="Y9" t="str">
        <f t="shared" si="4"/>
        <v>Нет</v>
      </c>
      <c r="Z9" t="str">
        <f t="shared" si="4"/>
        <v>Нет</v>
      </c>
      <c r="AA9" t="str">
        <f>""</f>
        <v/>
      </c>
      <c r="AB9" t="str">
        <f t="shared" si="5"/>
        <v>Нет</v>
      </c>
      <c r="AC9" t="str">
        <f>"М 1.2.2 - ППК 1.2.2"</f>
        <v>М 1.2.2 - ППК 1.2.2</v>
      </c>
      <c r="AD9" t="str">
        <f t="shared" ref="AD9:AD14" si="9">"02.09.2011"</f>
        <v>02.09.2011</v>
      </c>
      <c r="AE9" t="str">
        <f t="shared" si="7"/>
        <v>ООО "Элпек"</v>
      </c>
      <c r="AF9" t="str">
        <f>"[266746] М 1.2.2"</f>
        <v>[266746] М 1.2.2</v>
      </c>
      <c r="AG9" t="str">
        <f>"[266720] ГОК1.2.2.1 Курск, Энгельса, 105  п. 2"</f>
        <v>[266720] ГОК1.2.2.1 Курск, Энгельса, 105  п. 2</v>
      </c>
      <c r="AH9" t="str">
        <f>"М 1.2.2"</f>
        <v>М 1.2.2</v>
      </c>
      <c r="AI9" t="str">
        <f>"ППК 1.2.2"</f>
        <v>ППК 1.2.2</v>
      </c>
      <c r="AJ9" t="str">
        <f>""</f>
        <v/>
      </c>
      <c r="AK9" t="str">
        <f t="shared" si="6"/>
        <v>Нет</v>
      </c>
      <c r="AL9" t="str">
        <f>"51.707057 36.164401, 51.706921 36.164289"</f>
        <v>51.707057 36.164401, 51.706921 36.164289</v>
      </c>
      <c r="AM9" t="str">
        <f>"20000008035579"</f>
        <v>20000008035579</v>
      </c>
    </row>
    <row r="10" spans="1:39" x14ac:dyDescent="0.25">
      <c r="A10">
        <v>907</v>
      </c>
      <c r="B10" t="str">
        <f t="shared" si="0"/>
        <v>Курск</v>
      </c>
      <c r="C10">
        <v>796751</v>
      </c>
      <c r="D10" t="str">
        <f t="shared" si="1"/>
        <v>Оптический кабель</v>
      </c>
      <c r="E10" t="str">
        <f>"[46/809] М 1.2.2 - М 1.2.7"</f>
        <v>[46/809] М 1.2.2 - М 1.2.7</v>
      </c>
      <c r="F10" t="str">
        <f>"ДПТа-П-64А 6(6) 7кН (Кр,Жел,Зел,..,8-Фиол,9-Бел,..,Бир,Роз)"</f>
        <v>ДПТа-П-64А 6(6) 7кН (Кр,Жел,Зел,..,8-Фиол,9-Бел,..,Бир,Роз)</v>
      </c>
      <c r="G10" t="str">
        <f>""</f>
        <v/>
      </c>
      <c r="H10" t="str">
        <f t="shared" si="8"/>
        <v>МС 1.2</v>
      </c>
      <c r="I10">
        <v>198</v>
      </c>
      <c r="J10">
        <v>245.16</v>
      </c>
      <c r="K10">
        <v>49</v>
      </c>
      <c r="L10">
        <v>247.71</v>
      </c>
      <c r="M10" t="str">
        <f>"Опоры"</f>
        <v>Опоры</v>
      </c>
      <c r="N10" t="str">
        <f>"22.03.20122"</f>
        <v>22.03.20122</v>
      </c>
      <c r="O10">
        <v>64</v>
      </c>
      <c r="P10">
        <v>64</v>
      </c>
      <c r="Q10" t="str">
        <f>""</f>
        <v/>
      </c>
      <c r="R10" t="str">
        <f>""</f>
        <v/>
      </c>
      <c r="S10" t="str">
        <f>""</f>
        <v/>
      </c>
      <c r="T10" t="str">
        <f>"46/809"</f>
        <v>46/809</v>
      </c>
      <c r="U10" t="str">
        <f t="shared" si="3"/>
        <v>Магистральная ВОЛС</v>
      </c>
      <c r="V10" t="str">
        <f t="shared" si="4"/>
        <v>Нет</v>
      </c>
      <c r="W10" t="str">
        <f t="shared" si="4"/>
        <v>Нет</v>
      </c>
      <c r="X10" t="str">
        <f t="shared" si="4"/>
        <v>Нет</v>
      </c>
      <c r="Y10" t="str">
        <f t="shared" si="4"/>
        <v>Нет</v>
      </c>
      <c r="Z10" t="str">
        <f t="shared" si="4"/>
        <v>Нет</v>
      </c>
      <c r="AA10" t="str">
        <f>""</f>
        <v/>
      </c>
      <c r="AB10" t="str">
        <f t="shared" si="5"/>
        <v>Нет</v>
      </c>
      <c r="AC10" t="str">
        <f>"М 1.2.2 - М 1.2.4"</f>
        <v>М 1.2.2 - М 1.2.4</v>
      </c>
      <c r="AD10" t="str">
        <f t="shared" si="9"/>
        <v>02.09.2011</v>
      </c>
      <c r="AE10" t="str">
        <f t="shared" si="7"/>
        <v>ООО "Элпек"</v>
      </c>
      <c r="AF10" t="str">
        <f>"[266746] М 1.2.2"</f>
        <v>[266746] М 1.2.2</v>
      </c>
      <c r="AG10" t="str">
        <f>"[552766] М 1.2.7"</f>
        <v>[552766] М 1.2.7</v>
      </c>
      <c r="AH10" t="str">
        <f>"М 1.2.2"</f>
        <v>М 1.2.2</v>
      </c>
      <c r="AI10" t="str">
        <f>"М 1.2.4"</f>
        <v>М 1.2.4</v>
      </c>
      <c r="AJ10" t="str">
        <f>""</f>
        <v/>
      </c>
      <c r="AK10" t="str">
        <f t="shared" si="6"/>
        <v>Нет</v>
      </c>
      <c r="AL10" t="str">
        <f>"51.707044 36.164509, 51.706378 36.164247, 51.705951 36.163947, 51.7059 36.163558, 51.706044 36.162991"</f>
        <v>51.707044 36.164509, 51.706378 36.164247, 51.705951 36.163947, 51.7059 36.163558, 51.706044 36.162991</v>
      </c>
      <c r="AM10" t="str">
        <f>"20000007993431"</f>
        <v>20000007993431</v>
      </c>
    </row>
    <row r="11" spans="1:39" x14ac:dyDescent="0.25">
      <c r="A11">
        <v>907</v>
      </c>
      <c r="B11" t="str">
        <f t="shared" si="0"/>
        <v>Курск</v>
      </c>
      <c r="C11">
        <v>797331</v>
      </c>
      <c r="D11" t="str">
        <f t="shared" si="1"/>
        <v>Оптический кабель</v>
      </c>
      <c r="E11" t="str">
        <f>"[46/814] М 1.2.6 - "</f>
        <v xml:space="preserve">[46/814] М 1.2.6 - </v>
      </c>
      <c r="F11" t="str">
        <f>"ДПТс-П-16А 2(6) 7кН (Мод:Кр,Нат)(Вол:Кр,Жел,Зел,..,Ор,Фиол)"</f>
        <v>ДПТс-П-16А 2(6) 7кН (Мод:Кр,Нат)(Вол:Кр,Жел,Зел,..,Ор,Фиол)</v>
      </c>
      <c r="G11" t="str">
        <f>"Кабель не эксплуатируеться. Дом отказной"</f>
        <v>Кабель не эксплуатируеться. Дом отказной</v>
      </c>
      <c r="H11" t="str">
        <f t="shared" si="8"/>
        <v>МС 1.2</v>
      </c>
      <c r="I11">
        <v>22</v>
      </c>
      <c r="J11">
        <v>40</v>
      </c>
      <c r="K11">
        <v>17</v>
      </c>
      <c r="L11">
        <v>41</v>
      </c>
      <c r="M11" t="str">
        <f>""</f>
        <v/>
      </c>
      <c r="N11" t="str">
        <f>"23.03.20122"</f>
        <v>23.03.20122</v>
      </c>
      <c r="O11">
        <v>10</v>
      </c>
      <c r="P11">
        <v>10</v>
      </c>
      <c r="Q11" t="str">
        <f>""</f>
        <v/>
      </c>
      <c r="R11" t="str">
        <f>""</f>
        <v/>
      </c>
      <c r="S11" t="str">
        <f>""</f>
        <v/>
      </c>
      <c r="T11" t="str">
        <f>"46/814"</f>
        <v>46/814</v>
      </c>
      <c r="U11" t="str">
        <f t="shared" si="3"/>
        <v>Магистральная ВОЛС</v>
      </c>
      <c r="V11" t="str">
        <f t="shared" si="4"/>
        <v>Нет</v>
      </c>
      <c r="W11" t="str">
        <f t="shared" si="4"/>
        <v>Нет</v>
      </c>
      <c r="X11" t="str">
        <f t="shared" si="4"/>
        <v>Нет</v>
      </c>
      <c r="Y11" t="str">
        <f t="shared" si="4"/>
        <v>Нет</v>
      </c>
      <c r="Z11" t="str">
        <f t="shared" si="4"/>
        <v>Нет</v>
      </c>
      <c r="AA11" t="str">
        <f>""</f>
        <v/>
      </c>
      <c r="AB11" t="str">
        <f t="shared" si="5"/>
        <v>Нет</v>
      </c>
      <c r="AC11" t="str">
        <f>"М 1.2.6 - ППК 1.2.6"</f>
        <v>М 1.2.6 - ППК 1.2.6</v>
      </c>
      <c r="AD11" t="str">
        <f t="shared" si="9"/>
        <v>02.09.2011</v>
      </c>
      <c r="AE11" t="str">
        <f t="shared" si="7"/>
        <v>ООО "Элпек"</v>
      </c>
      <c r="AF11" t="str">
        <f>"[266737] М 1.2.6"</f>
        <v>[266737] М 1.2.6</v>
      </c>
      <c r="AG11" t="str">
        <f>""</f>
        <v/>
      </c>
      <c r="AH11" t="str">
        <f>"М 1.2.6"</f>
        <v>М 1.2.6</v>
      </c>
      <c r="AI11" t="str">
        <f>"ППК 1.2.6"</f>
        <v>ППК 1.2.6</v>
      </c>
      <c r="AJ11" t="str">
        <f>""</f>
        <v/>
      </c>
      <c r="AK11" t="str">
        <f>"Да"</f>
        <v>Да</v>
      </c>
      <c r="AL11" t="str">
        <f>"51.705193 36.15009, 51.705389 36.150026"</f>
        <v>51.705193 36.15009, 51.705389 36.150026</v>
      </c>
      <c r="AM11" t="str">
        <f>""</f>
        <v/>
      </c>
    </row>
    <row r="12" spans="1:39" x14ac:dyDescent="0.25">
      <c r="A12">
        <v>907</v>
      </c>
      <c r="B12" t="str">
        <f t="shared" si="0"/>
        <v>Курск</v>
      </c>
      <c r="C12">
        <v>797371</v>
      </c>
      <c r="D12" t="str">
        <f t="shared" si="1"/>
        <v>Оптический кабель</v>
      </c>
      <c r="E12" t="str">
        <f>"[46/815] М 1.2.6 - М 1.2.7"</f>
        <v>[46/815] М 1.2.6 - М 1.2.7</v>
      </c>
      <c r="F12" t="str">
        <f>"ДПТа-П-64А 6(6) 7кН (Кр,Жел,Зел,..,8-Фиол,9-Бел,..,Бир,Роз)"</f>
        <v>ДПТа-П-64А 6(6) 7кН (Кр,Жел,Зел,..,8-Фиол,9-Бел,..,Бир,Роз)</v>
      </c>
      <c r="G12" t="str">
        <f>""</f>
        <v/>
      </c>
      <c r="H12" t="str">
        <f t="shared" si="8"/>
        <v>МС 1.2</v>
      </c>
      <c r="I12">
        <v>187</v>
      </c>
      <c r="J12">
        <v>381</v>
      </c>
      <c r="K12">
        <v>194</v>
      </c>
      <c r="L12">
        <v>381</v>
      </c>
      <c r="M12" t="str">
        <f>"Опоры"</f>
        <v>Опоры</v>
      </c>
      <c r="N12" t="str">
        <f>"23.03.20122"</f>
        <v>23.03.20122</v>
      </c>
      <c r="O12">
        <v>64</v>
      </c>
      <c r="P12">
        <v>64</v>
      </c>
      <c r="Q12" t="str">
        <f>""</f>
        <v/>
      </c>
      <c r="R12" t="str">
        <f>""</f>
        <v/>
      </c>
      <c r="S12" t="str">
        <f>""</f>
        <v/>
      </c>
      <c r="T12" t="str">
        <f>"46/815"</f>
        <v>46/815</v>
      </c>
      <c r="U12" t="str">
        <f t="shared" si="3"/>
        <v>Магистральная ВОЛС</v>
      </c>
      <c r="V12" t="str">
        <f t="shared" ref="V12:Z21" si="10">"Нет"</f>
        <v>Нет</v>
      </c>
      <c r="W12" t="str">
        <f t="shared" si="10"/>
        <v>Нет</v>
      </c>
      <c r="X12" t="str">
        <f t="shared" si="10"/>
        <v>Нет</v>
      </c>
      <c r="Y12" t="str">
        <f t="shared" si="10"/>
        <v>Нет</v>
      </c>
      <c r="Z12" t="str">
        <f t="shared" si="10"/>
        <v>Нет</v>
      </c>
      <c r="AA12" t="str">
        <f>""</f>
        <v/>
      </c>
      <c r="AB12" t="str">
        <f t="shared" si="5"/>
        <v>Нет</v>
      </c>
      <c r="AC12" t="str">
        <f>"М 1.2.6 - М 1.2.7"</f>
        <v>М 1.2.6 - М 1.2.7</v>
      </c>
      <c r="AD12" t="str">
        <f t="shared" si="9"/>
        <v>02.09.2011</v>
      </c>
      <c r="AE12" t="str">
        <f t="shared" si="7"/>
        <v>ООО "Элпек"</v>
      </c>
      <c r="AF12" t="str">
        <f>"[266737] М 1.2.6"</f>
        <v>[266737] М 1.2.6</v>
      </c>
      <c r="AG12" t="str">
        <f>"[266734] М 1.2.7"</f>
        <v>[266734] М 1.2.7</v>
      </c>
      <c r="AH12" t="str">
        <f>"М 1.2.6"</f>
        <v>М 1.2.6</v>
      </c>
      <c r="AI12" t="str">
        <f>"М 1.2.7"</f>
        <v>М 1.2.7</v>
      </c>
      <c r="AJ12" t="str">
        <f>""</f>
        <v/>
      </c>
      <c r="AK12" t="str">
        <f t="shared" ref="AK12:AK75" si="11">"Нет"</f>
        <v>Нет</v>
      </c>
      <c r="AL12" t="str">
        <f>"51.705167 36.15008, 51.705179 36.150099, 51.705039 36.150572, 51.70493 36.151038, 51.70481 36.151478, 51.70466 36.152031, 51.704531 36.152578"</f>
        <v>51.705167 36.15008, 51.705179 36.150099, 51.705039 36.150572, 51.70493 36.151038, 51.70481 36.151478, 51.70466 36.152031, 51.704531 36.152578</v>
      </c>
      <c r="AM12" t="str">
        <f>"20000007993433"</f>
        <v>20000007993433</v>
      </c>
    </row>
    <row r="13" spans="1:39" x14ac:dyDescent="0.25">
      <c r="A13">
        <v>907</v>
      </c>
      <c r="B13" t="str">
        <f t="shared" si="0"/>
        <v>Курск</v>
      </c>
      <c r="C13">
        <v>797461</v>
      </c>
      <c r="D13" t="str">
        <f t="shared" si="1"/>
        <v>Оптический кабель</v>
      </c>
      <c r="E13" t="str">
        <f>"[46/816] М 1.2.7 - ГОК1.2.7.1 Курск, Ольшанского, 13  п. 2"</f>
        <v>[46/816] М 1.2.7 - ГОК1.2.7.1 Курск, Ольшанского, 13  п. 2</v>
      </c>
      <c r="F13" t="str">
        <f>"ДПТс-П-16А 2(6) 7кН (Мод:Кр,Нат)(Вол:Кр,Жел,Зел,..,Ор,Фиол)"</f>
        <v>ДПТс-П-16А 2(6) 7кН (Мод:Кр,Нат)(Вол:Кр,Жел,Зел,..,Ор,Фиол)</v>
      </c>
      <c r="G13" t="str">
        <f>""</f>
        <v/>
      </c>
      <c r="H13" t="str">
        <f t="shared" si="8"/>
        <v>МС 1.2</v>
      </c>
      <c r="I13">
        <v>84</v>
      </c>
      <c r="J13">
        <v>90</v>
      </c>
      <c r="K13">
        <v>0</v>
      </c>
      <c r="L13">
        <v>90</v>
      </c>
      <c r="M13" t="str">
        <f>"Опоры"</f>
        <v>Опоры</v>
      </c>
      <c r="N13" t="str">
        <f>"23.03.20122"</f>
        <v>23.03.20122</v>
      </c>
      <c r="O13">
        <v>10</v>
      </c>
      <c r="P13">
        <v>10</v>
      </c>
      <c r="Q13" t="str">
        <f>""</f>
        <v/>
      </c>
      <c r="R13" t="str">
        <f>"Курск, Ольшанского, 13"</f>
        <v>Курск, Ольшанского, 13</v>
      </c>
      <c r="S13" t="str">
        <f>""</f>
        <v/>
      </c>
      <c r="T13" t="str">
        <f>"46/816"</f>
        <v>46/816</v>
      </c>
      <c r="U13" t="str">
        <f t="shared" si="3"/>
        <v>Магистральная ВОЛС</v>
      </c>
      <c r="V13" t="str">
        <f t="shared" si="10"/>
        <v>Нет</v>
      </c>
      <c r="W13" t="str">
        <f t="shared" si="10"/>
        <v>Нет</v>
      </c>
      <c r="X13" t="str">
        <f t="shared" si="10"/>
        <v>Нет</v>
      </c>
      <c r="Y13" t="str">
        <f t="shared" si="10"/>
        <v>Нет</v>
      </c>
      <c r="Z13" t="str">
        <f t="shared" si="10"/>
        <v>Нет</v>
      </c>
      <c r="AA13" t="str">
        <f>""</f>
        <v/>
      </c>
      <c r="AB13" t="str">
        <f t="shared" si="5"/>
        <v>Нет</v>
      </c>
      <c r="AC13" t="str">
        <f>"М 1.2.7 - ППК 1.2.7"</f>
        <v>М 1.2.7 - ППК 1.2.7</v>
      </c>
      <c r="AD13" t="str">
        <f t="shared" si="9"/>
        <v>02.09.2011</v>
      </c>
      <c r="AE13" t="str">
        <f t="shared" si="7"/>
        <v>ООО "Элпек"</v>
      </c>
      <c r="AF13" t="str">
        <f>"[266734] М 1.2.7"</f>
        <v>[266734] М 1.2.7</v>
      </c>
      <c r="AG13" t="str">
        <f>"[266708] ГОК1.2.7.1 Курск, Ольшанского, 13  п. 2"</f>
        <v>[266708] ГОК1.2.7.1 Курск, Ольшанского, 13  п. 2</v>
      </c>
      <c r="AH13" t="str">
        <f>"М 1.2.7"</f>
        <v>М 1.2.7</v>
      </c>
      <c r="AI13" t="str">
        <f>"ППК 1.2.7"</f>
        <v>ППК 1.2.7</v>
      </c>
      <c r="AJ13" t="str">
        <f>""</f>
        <v/>
      </c>
      <c r="AK13" t="str">
        <f t="shared" si="11"/>
        <v>Нет</v>
      </c>
      <c r="AL13" t="str">
        <f>"51.704531 36.152578, 51.70466 36.152031, 51.70472 36.151988, 51.704837 36.152111, 51.704943 36.151854"</f>
        <v>51.704531 36.152578, 51.70466 36.152031, 51.70472 36.151988, 51.704837 36.152111, 51.704943 36.151854</v>
      </c>
      <c r="AM13" t="str">
        <f>"20000008004397"</f>
        <v>20000008004397</v>
      </c>
    </row>
    <row r="14" spans="1:39" x14ac:dyDescent="0.25">
      <c r="A14">
        <v>907</v>
      </c>
      <c r="B14" t="str">
        <f t="shared" si="0"/>
        <v>Курск</v>
      </c>
      <c r="C14">
        <v>797787</v>
      </c>
      <c r="D14" t="str">
        <f t="shared" si="1"/>
        <v>Оптический кабель</v>
      </c>
      <c r="E14" t="str">
        <f>"[46/820] М 1.2.3 - ГОК1.2.3.1 Курск, Литовская, 16  п. 2"</f>
        <v>[46/820] М 1.2.3 - ГОК1.2.3.1 Курск, Литовская, 16  п. 2</v>
      </c>
      <c r="F14" t="str">
        <f>"ДПТс-П-16А 2(6) 7кН (Мод:Кр,Нат)(Вол:Кр,Жел,Зел,..,Ор,Фиол)"</f>
        <v>ДПТс-П-16А 2(6) 7кН (Мод:Кр,Нат)(Вол:Кр,Жел,Зел,..,Ор,Фиол)</v>
      </c>
      <c r="G14" t="str">
        <f>""</f>
        <v/>
      </c>
      <c r="H14" t="str">
        <f t="shared" si="8"/>
        <v>МС 1.2</v>
      </c>
      <c r="I14">
        <v>216</v>
      </c>
      <c r="J14">
        <v>331</v>
      </c>
      <c r="K14">
        <v>115</v>
      </c>
      <c r="L14">
        <v>335</v>
      </c>
      <c r="M14" t="str">
        <f>"Опоры"</f>
        <v>Опоры</v>
      </c>
      <c r="N14" t="str">
        <f>"26.03.20122"</f>
        <v>26.03.20122</v>
      </c>
      <c r="O14">
        <v>10</v>
      </c>
      <c r="P14">
        <v>10</v>
      </c>
      <c r="Q14" t="str">
        <f>""</f>
        <v/>
      </c>
      <c r="R14" t="str">
        <f>"Курск, Литовская, 16"</f>
        <v>Курск, Литовская, 16</v>
      </c>
      <c r="S14" t="str">
        <f>""</f>
        <v/>
      </c>
      <c r="T14" t="str">
        <f>"46/820"</f>
        <v>46/820</v>
      </c>
      <c r="U14" t="str">
        <f t="shared" si="3"/>
        <v>Магистральная ВОЛС</v>
      </c>
      <c r="V14" t="str">
        <f t="shared" si="10"/>
        <v>Нет</v>
      </c>
      <c r="W14" t="str">
        <f t="shared" si="10"/>
        <v>Нет</v>
      </c>
      <c r="X14" t="str">
        <f t="shared" si="10"/>
        <v>Нет</v>
      </c>
      <c r="Y14" t="str">
        <f t="shared" si="10"/>
        <v>Нет</v>
      </c>
      <c r="Z14" t="str">
        <f t="shared" si="10"/>
        <v>Нет</v>
      </c>
      <c r="AA14" t="str">
        <f>""</f>
        <v/>
      </c>
      <c r="AB14" t="str">
        <f t="shared" si="5"/>
        <v>Нет</v>
      </c>
      <c r="AC14" t="str">
        <f>"М 1.2.3 - ППК 1.2.3"</f>
        <v>М 1.2.3 - ППК 1.2.3</v>
      </c>
      <c r="AD14" t="str">
        <f t="shared" si="9"/>
        <v>02.09.2011</v>
      </c>
      <c r="AE14" t="str">
        <f t="shared" si="7"/>
        <v>ООО "Элпек"</v>
      </c>
      <c r="AF14" t="str">
        <f>"[266728] М 1.2.3"</f>
        <v>[266728] М 1.2.3</v>
      </c>
      <c r="AG14" t="str">
        <f>"[266700] ГОК1.2.3.1 Курск, Литовская, 16  п. 2"</f>
        <v>[266700] ГОК1.2.3.1 Курск, Литовская, 16  п. 2</v>
      </c>
      <c r="AH14" t="str">
        <f>"М 1.2.3"</f>
        <v>М 1.2.3</v>
      </c>
      <c r="AI14" t="str">
        <f>"ППК 1.2.3"</f>
        <v>ППК 1.2.3</v>
      </c>
      <c r="AJ14" t="str">
        <f>""</f>
        <v/>
      </c>
      <c r="AK14" t="str">
        <f t="shared" si="11"/>
        <v>Нет</v>
      </c>
      <c r="AL14" t="str">
        <f>"51.705049 36.168489, 51.704707 36.16843, 51.704747 36.167604, 51.70479 36.166922, 51.704388 36.166713, 51.704384 36.166332"</f>
        <v>51.705049 36.168489, 51.704707 36.16843, 51.704747 36.167604, 51.70479 36.166922, 51.704388 36.166713, 51.704384 36.166332</v>
      </c>
      <c r="AM14" t="str">
        <f>"20000008039575"</f>
        <v>20000008039575</v>
      </c>
    </row>
    <row r="15" spans="1:39" x14ac:dyDescent="0.25">
      <c r="A15">
        <v>907</v>
      </c>
      <c r="B15" t="str">
        <f t="shared" si="0"/>
        <v>Курск</v>
      </c>
      <c r="C15">
        <v>798394</v>
      </c>
      <c r="D15" t="str">
        <f t="shared" si="1"/>
        <v>Оптический кабель</v>
      </c>
      <c r="E15" t="str">
        <f>"[46/829] Т 1.15 - Т 1.1"</f>
        <v>[46/829] Т 1.15 - Т 1.1</v>
      </c>
      <c r="F15" t="str">
        <f>"ДПТа-П-64А 6(6) 7кН (Кр,Жел,Зел,..,8-Фиол,9-Бел,..,Бир,Роз)"</f>
        <v>ДПТа-П-64А 6(6) 7кН (Кр,Жел,Зел,..,8-Фиол,9-Бел,..,Бир,Роз)</v>
      </c>
      <c r="G15" t="str">
        <f>""</f>
        <v/>
      </c>
      <c r="H15" t="str">
        <f>"ТС"</f>
        <v>ТС</v>
      </c>
      <c r="I15">
        <v>168</v>
      </c>
      <c r="J15">
        <v>815</v>
      </c>
      <c r="K15">
        <v>1</v>
      </c>
      <c r="M15" t="str">
        <f>"Опоры"</f>
        <v>Опоры</v>
      </c>
      <c r="N15" t="str">
        <f>"02.04.20122"</f>
        <v>02.04.20122</v>
      </c>
      <c r="O15">
        <v>64</v>
      </c>
      <c r="P15">
        <v>64</v>
      </c>
      <c r="Q15" t="str">
        <f>""</f>
        <v/>
      </c>
      <c r="R15" t="str">
        <f>""</f>
        <v/>
      </c>
      <c r="S15" t="str">
        <f>""</f>
        <v/>
      </c>
      <c r="T15" t="str">
        <f>"46/829"</f>
        <v>46/829</v>
      </c>
      <c r="U15" t="str">
        <f>"Транспортная ВОЛС"</f>
        <v>Транспортная ВОЛС</v>
      </c>
      <c r="V15" t="str">
        <f t="shared" si="10"/>
        <v>Нет</v>
      </c>
      <c r="W15" t="str">
        <f t="shared" si="10"/>
        <v>Нет</v>
      </c>
      <c r="X15" t="str">
        <f t="shared" si="10"/>
        <v>Нет</v>
      </c>
      <c r="Y15" t="str">
        <f t="shared" si="10"/>
        <v>Нет</v>
      </c>
      <c r="Z15" t="str">
        <f t="shared" si="10"/>
        <v>Нет</v>
      </c>
      <c r="AA15" t="str">
        <f>""</f>
        <v/>
      </c>
      <c r="AB15" t="str">
        <f t="shared" si="5"/>
        <v>Нет</v>
      </c>
      <c r="AC15" t="str">
        <f>"ЦГС - Т 1.6"</f>
        <v>ЦГС - Т 1.6</v>
      </c>
      <c r="AD15" t="str">
        <f>"29.08.2011"</f>
        <v>29.08.2011</v>
      </c>
      <c r="AE15" t="str">
        <f>"ООО ""Спецстроймонтаж 36"""</f>
        <v>ООО "Спецстроймонтаж 36"</v>
      </c>
      <c r="AF15" t="str">
        <f>"[864627] Т 1.15"</f>
        <v>[864627] Т 1.15</v>
      </c>
      <c r="AG15" t="str">
        <f>"[299845] Т 1.1"</f>
        <v>[299845] Т 1.1</v>
      </c>
      <c r="AH15" t="str">
        <f>"ЦГС"</f>
        <v>ЦГС</v>
      </c>
      <c r="AI15" t="str">
        <f>"Т 1.6"</f>
        <v>Т 1.6</v>
      </c>
      <c r="AJ15" t="str">
        <f>""</f>
        <v/>
      </c>
      <c r="AK15" t="str">
        <f t="shared" si="11"/>
        <v>Нет</v>
      </c>
      <c r="AL15" t="str">
        <f>"51.726017 36.182178, 51.725848 36.181727, 51.72565 36.181174, 51.725453 36.180643, 51.725381 36.180112"</f>
        <v>51.726017 36.182178, 51.725848 36.181727, 51.72565 36.181174, 51.725453 36.180643, 51.725381 36.180112</v>
      </c>
      <c r="AM15" t="str">
        <f>"20000008018760"</f>
        <v>20000008018760</v>
      </c>
    </row>
    <row r="16" spans="1:39" x14ac:dyDescent="0.25">
      <c r="A16">
        <v>907</v>
      </c>
      <c r="B16" t="str">
        <f t="shared" si="0"/>
        <v>Курск</v>
      </c>
      <c r="C16">
        <v>800308</v>
      </c>
      <c r="D16" t="str">
        <f t="shared" si="1"/>
        <v>Оптический кабель</v>
      </c>
      <c r="E16" t="str">
        <f>"[46/887] М 2.1.2 - ГОК2.1.2.1 Курск, Дружбы Пр-Кт, 7  п. 9"</f>
        <v>[46/887] М 2.1.2 - ГОК2.1.2.1 Курск, Дружбы Пр-Кт, 7  п. 9</v>
      </c>
      <c r="F16" t="str">
        <f t="shared" ref="F16:F22" si="12">"ДПТс-П-16А 2(6) 7кН (Мод:Кр,Нат)(Вол:Кр,Жел,Зел,..,Ор,Фиол)"</f>
        <v>ДПТс-П-16А 2(6) 7кН (Мод:Кр,Нат)(Вол:Кр,Жел,Зел,..,Ор,Фиол)</v>
      </c>
      <c r="G16" t="str">
        <f>""</f>
        <v/>
      </c>
      <c r="H16" t="str">
        <f t="shared" ref="H16:H22" si="13">"МС 2.1"</f>
        <v>МС 2.1</v>
      </c>
      <c r="I16">
        <v>35</v>
      </c>
      <c r="J16">
        <v>110</v>
      </c>
      <c r="K16">
        <v>75</v>
      </c>
      <c r="L16">
        <v>112</v>
      </c>
      <c r="M16" t="str">
        <f>""</f>
        <v/>
      </c>
      <c r="N16" t="str">
        <f t="shared" ref="N16:N22" si="14">"09.04.20122"</f>
        <v>09.04.20122</v>
      </c>
      <c r="O16">
        <v>10</v>
      </c>
      <c r="P16">
        <v>10</v>
      </c>
      <c r="Q16" t="str">
        <f>""</f>
        <v/>
      </c>
      <c r="R16" t="str">
        <f>"Курск, Дружбы Пр-Кт, 7"</f>
        <v>Курск, Дружбы Пр-Кт, 7</v>
      </c>
      <c r="S16" t="str">
        <f>""</f>
        <v/>
      </c>
      <c r="T16" t="str">
        <f>"46/887"</f>
        <v>46/887</v>
      </c>
      <c r="U16" t="str">
        <f t="shared" ref="U16:U61" si="15">"Магистральная ВОЛС"</f>
        <v>Магистральная ВОЛС</v>
      </c>
      <c r="V16" t="str">
        <f t="shared" si="10"/>
        <v>Нет</v>
      </c>
      <c r="W16" t="str">
        <f t="shared" si="10"/>
        <v>Нет</v>
      </c>
      <c r="X16" t="str">
        <f t="shared" si="10"/>
        <v>Нет</v>
      </c>
      <c r="Y16" t="str">
        <f t="shared" si="10"/>
        <v>Нет</v>
      </c>
      <c r="Z16" t="str">
        <f t="shared" si="10"/>
        <v>Нет</v>
      </c>
      <c r="AA16" t="str">
        <f>""</f>
        <v/>
      </c>
      <c r="AB16" t="str">
        <f t="shared" si="5"/>
        <v>Нет</v>
      </c>
      <c r="AC16" t="str">
        <f>"М 2.1.2 - ППК 2.1.2"</f>
        <v>М 2.1.2 - ППК 2.1.2</v>
      </c>
      <c r="AD16" t="str">
        <f t="shared" ref="AD16:AD22" si="16">"28.08.2011"</f>
        <v>28.08.2011</v>
      </c>
      <c r="AE16" t="str">
        <f>""</f>
        <v/>
      </c>
      <c r="AF16" t="str">
        <f>"[268683] М 2.1.2"</f>
        <v>[268683] М 2.1.2</v>
      </c>
      <c r="AG16" t="str">
        <f>"[268661] ГОК2.1.2.1 Курск, Дружбы Пр-Кт, 7  п. 9"</f>
        <v>[268661] ГОК2.1.2.1 Курск, Дружбы Пр-Кт, 7  п. 9</v>
      </c>
      <c r="AH16" t="str">
        <f>"М 2.1.2"</f>
        <v>М 2.1.2</v>
      </c>
      <c r="AI16" t="str">
        <f>"ППК 2.1.2"</f>
        <v>ППК 2.1.2</v>
      </c>
      <c r="AJ16" t="str">
        <f>""</f>
        <v/>
      </c>
      <c r="AK16" t="str">
        <f t="shared" si="11"/>
        <v>Нет</v>
      </c>
      <c r="AL16" t="str">
        <f>"51.742277 36.136367, 51.742443 36.136796"</f>
        <v>51.742277 36.136367, 51.742443 36.136796</v>
      </c>
      <c r="AM16" t="str">
        <f>"20000008044496"</f>
        <v>20000008044496</v>
      </c>
    </row>
    <row r="17" spans="1:39" x14ac:dyDescent="0.25">
      <c r="A17">
        <v>907</v>
      </c>
      <c r="B17" t="str">
        <f t="shared" si="0"/>
        <v>Курск</v>
      </c>
      <c r="C17">
        <v>800333</v>
      </c>
      <c r="D17" t="str">
        <f t="shared" si="1"/>
        <v>Оптический кабель</v>
      </c>
      <c r="E17" t="str">
        <f>"[46/890] М 2.1.3 - ГОК2.1.3.1 Курск, Дружбы Пр-Кт, 11 /2 п. 10"</f>
        <v>[46/890] М 2.1.3 - ГОК2.1.3.1 Курск, Дружбы Пр-Кт, 11 /2 п. 10</v>
      </c>
      <c r="F17" t="str">
        <f t="shared" si="12"/>
        <v>ДПТс-П-16А 2(6) 7кН (Мод:Кр,Нат)(Вол:Кр,Жел,Зел,..,Ор,Фиол)</v>
      </c>
      <c r="G17" t="str">
        <f>""</f>
        <v/>
      </c>
      <c r="H17" t="str">
        <f t="shared" si="13"/>
        <v>МС 2.1</v>
      </c>
      <c r="I17">
        <v>22</v>
      </c>
      <c r="J17">
        <v>70</v>
      </c>
      <c r="K17">
        <v>48</v>
      </c>
      <c r="L17">
        <v>70</v>
      </c>
      <c r="M17" t="str">
        <f>""</f>
        <v/>
      </c>
      <c r="N17" t="str">
        <f t="shared" si="14"/>
        <v>09.04.20122</v>
      </c>
      <c r="O17">
        <v>10</v>
      </c>
      <c r="P17">
        <v>10</v>
      </c>
      <c r="Q17" t="str">
        <f>""</f>
        <v/>
      </c>
      <c r="R17" t="str">
        <f>"Курск, Дружбы Пр-Кт, 11 /2"</f>
        <v>Курск, Дружбы Пр-Кт, 11 /2</v>
      </c>
      <c r="S17" t="str">
        <f>""</f>
        <v/>
      </c>
      <c r="T17" t="str">
        <f>"46/890"</f>
        <v>46/890</v>
      </c>
      <c r="U17" t="str">
        <f t="shared" si="15"/>
        <v>Магистральная ВОЛС</v>
      </c>
      <c r="V17" t="str">
        <f t="shared" si="10"/>
        <v>Нет</v>
      </c>
      <c r="W17" t="str">
        <f t="shared" si="10"/>
        <v>Нет</v>
      </c>
      <c r="X17" t="str">
        <f t="shared" si="10"/>
        <v>Нет</v>
      </c>
      <c r="Y17" t="str">
        <f t="shared" si="10"/>
        <v>Нет</v>
      </c>
      <c r="Z17" t="str">
        <f t="shared" si="10"/>
        <v>Нет</v>
      </c>
      <c r="AA17" t="str">
        <f>""</f>
        <v/>
      </c>
      <c r="AB17" t="str">
        <f t="shared" si="5"/>
        <v>Нет</v>
      </c>
      <c r="AC17" t="str">
        <f>"М 2.1.3 - ППК 2.1.3"</f>
        <v>М 2.1.3 - ППК 2.1.3</v>
      </c>
      <c r="AD17" t="str">
        <f t="shared" si="16"/>
        <v>28.08.2011</v>
      </c>
      <c r="AE17" t="str">
        <f>""</f>
        <v/>
      </c>
      <c r="AF17" t="str">
        <f>"[268680] М 2.1.3"</f>
        <v>[268680] М 2.1.3</v>
      </c>
      <c r="AG17" t="str">
        <f>"[268657] ГОК2.1.3.1 Курск, Дружбы Пр-Кт, 11 /2 п. 10"</f>
        <v>[268657] ГОК2.1.3.1 Курск, Дружбы Пр-Кт, 11 /2 п. 10</v>
      </c>
      <c r="AH17" t="str">
        <f>"М 2.1.3"</f>
        <v>М 2.1.3</v>
      </c>
      <c r="AI17" t="str">
        <f>"ППК 2.1.3"</f>
        <v>ППК 2.1.3</v>
      </c>
      <c r="AJ17" t="str">
        <f>""</f>
        <v/>
      </c>
      <c r="AK17" t="str">
        <f t="shared" si="11"/>
        <v>Нет</v>
      </c>
      <c r="AL17" t="str">
        <f>"51.740012 36.129441, 51.740085 36.129146"</f>
        <v>51.740012 36.129441, 51.740085 36.129146</v>
      </c>
      <c r="AM17" t="str">
        <f>"20000008015715"</f>
        <v>20000008015715</v>
      </c>
    </row>
    <row r="18" spans="1:39" x14ac:dyDescent="0.25">
      <c r="A18">
        <v>907</v>
      </c>
      <c r="B18" t="str">
        <f t="shared" si="0"/>
        <v>Курск</v>
      </c>
      <c r="C18">
        <v>800336</v>
      </c>
      <c r="D18" t="str">
        <f t="shared" si="1"/>
        <v>Оптический кабель</v>
      </c>
      <c r="E18" t="str">
        <f>"[46/891] М 2.1.4 - ГОК2.1.4.1 Курск, Дружбы Пр-Кт, 15  п. 2"</f>
        <v>[46/891] М 2.1.4 - ГОК2.1.4.1 Курск, Дружбы Пр-Кт, 15  п. 2</v>
      </c>
      <c r="F18" t="str">
        <f t="shared" si="12"/>
        <v>ДПТс-П-16А 2(6) 7кН (Мод:Кр,Нат)(Вол:Кр,Жел,Зел,..,Ор,Фиол)</v>
      </c>
      <c r="G18" t="str">
        <f>""</f>
        <v/>
      </c>
      <c r="H18" t="str">
        <f t="shared" si="13"/>
        <v>МС 2.1</v>
      </c>
      <c r="I18">
        <v>26</v>
      </c>
      <c r="J18">
        <v>70</v>
      </c>
      <c r="K18">
        <v>40</v>
      </c>
      <c r="L18">
        <v>70</v>
      </c>
      <c r="M18" t="str">
        <f>""</f>
        <v/>
      </c>
      <c r="N18" t="str">
        <f t="shared" si="14"/>
        <v>09.04.20122</v>
      </c>
      <c r="O18">
        <v>10</v>
      </c>
      <c r="P18">
        <v>10</v>
      </c>
      <c r="Q18" t="str">
        <f>""</f>
        <v/>
      </c>
      <c r="R18" t="str">
        <f>"Курск, Дружбы Пр-Кт, 15"</f>
        <v>Курск, Дружбы Пр-Кт, 15</v>
      </c>
      <c r="S18" t="str">
        <f>""</f>
        <v/>
      </c>
      <c r="T18" t="str">
        <f>"46/891"</f>
        <v>46/891</v>
      </c>
      <c r="U18" t="str">
        <f t="shared" si="15"/>
        <v>Магистральная ВОЛС</v>
      </c>
      <c r="V18" t="str">
        <f t="shared" si="10"/>
        <v>Нет</v>
      </c>
      <c r="W18" t="str">
        <f t="shared" si="10"/>
        <v>Нет</v>
      </c>
      <c r="X18" t="str">
        <f t="shared" si="10"/>
        <v>Нет</v>
      </c>
      <c r="Y18" t="str">
        <f t="shared" si="10"/>
        <v>Нет</v>
      </c>
      <c r="Z18" t="str">
        <f t="shared" si="10"/>
        <v>Нет</v>
      </c>
      <c r="AA18" t="str">
        <f>""</f>
        <v/>
      </c>
      <c r="AB18" t="str">
        <f t="shared" si="5"/>
        <v>Нет</v>
      </c>
      <c r="AC18" t="str">
        <f>"М 2.1.4 - ППК 2.1.4"</f>
        <v>М 2.1.4 - ППК 2.1.4</v>
      </c>
      <c r="AD18" t="str">
        <f t="shared" si="16"/>
        <v>28.08.2011</v>
      </c>
      <c r="AE18" t="str">
        <f>""</f>
        <v/>
      </c>
      <c r="AF18" t="str">
        <f>"[268677] М 2.1.4"</f>
        <v>[268677] М 2.1.4</v>
      </c>
      <c r="AG18" t="str">
        <f>"[268653] ГОК2.1.4.1 Курск, Дружбы Пр-Кт, 15  п. 2"</f>
        <v>[268653] ГОК2.1.4.1 Курск, Дружбы Пр-Кт, 15  п. 2</v>
      </c>
      <c r="AH18" t="str">
        <f>"М 2.1.4"</f>
        <v>М 2.1.4</v>
      </c>
      <c r="AI18" t="str">
        <f>"ППК 2.1.4"</f>
        <v>ППК 2.1.4</v>
      </c>
      <c r="AJ18" t="str">
        <f>""</f>
        <v/>
      </c>
      <c r="AK18" t="str">
        <f t="shared" si="11"/>
        <v>Нет</v>
      </c>
      <c r="AL18" t="str">
        <f>"51.739846 36.126566, 51.739773 36.126201"</f>
        <v>51.739846 36.126566, 51.739773 36.126201</v>
      </c>
      <c r="AM18" t="str">
        <f>"20000008035570"</f>
        <v>20000008035570</v>
      </c>
    </row>
    <row r="19" spans="1:39" x14ac:dyDescent="0.25">
      <c r="A19">
        <v>907</v>
      </c>
      <c r="B19" t="str">
        <f t="shared" si="0"/>
        <v>Курск</v>
      </c>
      <c r="C19">
        <v>800366</v>
      </c>
      <c r="D19" t="str">
        <f t="shared" si="1"/>
        <v>Оптический кабель</v>
      </c>
      <c r="E19" t="str">
        <f>"[46/895] М 2.1.5 - ГОК2.1.5.1 Курск, Орловская, 30  п. 1"</f>
        <v>[46/895] М 2.1.5 - ГОК2.1.5.1 Курск, Орловская, 30  п. 1</v>
      </c>
      <c r="F19" t="str">
        <f t="shared" si="12"/>
        <v>ДПТс-П-16А 2(6) 7кН (Мод:Кр,Нат)(Вол:Кр,Жел,Зел,..,Ор,Фиол)</v>
      </c>
      <c r="G19" t="str">
        <f>""</f>
        <v/>
      </c>
      <c r="H19" t="str">
        <f t="shared" si="13"/>
        <v>МС 2.1</v>
      </c>
      <c r="I19">
        <v>14</v>
      </c>
      <c r="J19">
        <v>70</v>
      </c>
      <c r="K19">
        <v>54</v>
      </c>
      <c r="L19">
        <v>70</v>
      </c>
      <c r="M19" t="str">
        <f>""</f>
        <v/>
      </c>
      <c r="N19" t="str">
        <f t="shared" si="14"/>
        <v>09.04.20122</v>
      </c>
      <c r="O19">
        <v>10</v>
      </c>
      <c r="P19">
        <v>10</v>
      </c>
      <c r="Q19" t="str">
        <f>""</f>
        <v/>
      </c>
      <c r="R19" t="str">
        <f>"Курск, Орловская, 30"</f>
        <v>Курск, Орловская, 30</v>
      </c>
      <c r="S19" t="str">
        <f>""</f>
        <v/>
      </c>
      <c r="T19" t="str">
        <f>"46/895"</f>
        <v>46/895</v>
      </c>
      <c r="U19" t="str">
        <f t="shared" si="15"/>
        <v>Магистральная ВОЛС</v>
      </c>
      <c r="V19" t="str">
        <f t="shared" si="10"/>
        <v>Нет</v>
      </c>
      <c r="W19" t="str">
        <f t="shared" si="10"/>
        <v>Нет</v>
      </c>
      <c r="X19" t="str">
        <f t="shared" si="10"/>
        <v>Нет</v>
      </c>
      <c r="Y19" t="str">
        <f t="shared" si="10"/>
        <v>Нет</v>
      </c>
      <c r="Z19" t="str">
        <f t="shared" si="10"/>
        <v>Нет</v>
      </c>
      <c r="AA19" t="str">
        <f>""</f>
        <v/>
      </c>
      <c r="AB19" t="str">
        <f t="shared" si="5"/>
        <v>Нет</v>
      </c>
      <c r="AC19" t="str">
        <f>"М 2.1.5 - ППК 2.1.5"</f>
        <v>М 2.1.5 - ППК 2.1.5</v>
      </c>
      <c r="AD19" t="str">
        <f t="shared" si="16"/>
        <v>28.08.2011</v>
      </c>
      <c r="AE19" t="str">
        <f>""</f>
        <v/>
      </c>
      <c r="AF19" t="str">
        <f>"[268671] М 2.1.5"</f>
        <v>[268671] М 2.1.5</v>
      </c>
      <c r="AG19" t="str">
        <f>"[268649] ГОК2.1.5.1 Курск, Орловская, 30  п. 1"</f>
        <v>[268649] ГОК2.1.5.1 Курск, Орловская, 30  п. 1</v>
      </c>
      <c r="AH19" t="str">
        <f>"М 2.1.5"</f>
        <v>М 2.1.5</v>
      </c>
      <c r="AI19" t="str">
        <f>"ППК 2.1.5"</f>
        <v>ППК 2.1.5</v>
      </c>
      <c r="AJ19" t="str">
        <f>""</f>
        <v/>
      </c>
      <c r="AK19" t="str">
        <f t="shared" si="11"/>
        <v>Нет</v>
      </c>
      <c r="AL19" t="str">
        <f>"51.742975 36.123245, 51.742895 36.123396"</f>
        <v>51.742975 36.123245, 51.742895 36.123396</v>
      </c>
      <c r="AM19" t="str">
        <f>"20000008024527"</f>
        <v>20000008024527</v>
      </c>
    </row>
    <row r="20" spans="1:39" x14ac:dyDescent="0.25">
      <c r="A20">
        <v>907</v>
      </c>
      <c r="B20" t="str">
        <f t="shared" si="0"/>
        <v>Курск</v>
      </c>
      <c r="C20">
        <v>800374</v>
      </c>
      <c r="D20" t="str">
        <f t="shared" si="1"/>
        <v>Оптический кабель</v>
      </c>
      <c r="E20" t="str">
        <f>"[46/897] М 2.1.6 - ГОК2.1.6.1 Курск, Орловская, 24  п. 2"</f>
        <v>[46/897] М 2.1.6 - ГОК2.1.6.1 Курск, Орловская, 24  п. 2</v>
      </c>
      <c r="F20" t="str">
        <f t="shared" si="12"/>
        <v>ДПТс-П-16А 2(6) 7кН (Мод:Кр,Нат)(Вол:Кр,Жел,Зел,..,Ор,Фиол)</v>
      </c>
      <c r="G20" t="str">
        <f>""</f>
        <v/>
      </c>
      <c r="H20" t="str">
        <f t="shared" si="13"/>
        <v>МС 2.1</v>
      </c>
      <c r="I20">
        <v>21</v>
      </c>
      <c r="J20">
        <v>70</v>
      </c>
      <c r="K20">
        <v>48</v>
      </c>
      <c r="L20">
        <v>70</v>
      </c>
      <c r="M20" t="str">
        <f>""</f>
        <v/>
      </c>
      <c r="N20" t="str">
        <f t="shared" si="14"/>
        <v>09.04.20122</v>
      </c>
      <c r="O20">
        <v>10</v>
      </c>
      <c r="P20">
        <v>10</v>
      </c>
      <c r="Q20" t="str">
        <f>""</f>
        <v/>
      </c>
      <c r="R20" t="str">
        <f>"Курск, Орловская, 24"</f>
        <v>Курск, Орловская, 24</v>
      </c>
      <c r="S20" t="str">
        <f>""</f>
        <v/>
      </c>
      <c r="T20" t="str">
        <f>"46/897"</f>
        <v>46/897</v>
      </c>
      <c r="U20" t="str">
        <f t="shared" si="15"/>
        <v>Магистральная ВОЛС</v>
      </c>
      <c r="V20" t="str">
        <f t="shared" si="10"/>
        <v>Нет</v>
      </c>
      <c r="W20" t="str">
        <f t="shared" si="10"/>
        <v>Нет</v>
      </c>
      <c r="X20" t="str">
        <f t="shared" si="10"/>
        <v>Нет</v>
      </c>
      <c r="Y20" t="str">
        <f t="shared" si="10"/>
        <v>Нет</v>
      </c>
      <c r="Z20" t="str">
        <f t="shared" si="10"/>
        <v>Нет</v>
      </c>
      <c r="AA20" t="str">
        <f>""</f>
        <v/>
      </c>
      <c r="AB20" t="str">
        <f t="shared" si="5"/>
        <v>Нет</v>
      </c>
      <c r="AC20" t="str">
        <f>"М 2.1.6 - ППК 2.1.6"</f>
        <v>М 2.1.6 - ППК 2.1.6</v>
      </c>
      <c r="AD20" t="str">
        <f t="shared" si="16"/>
        <v>28.08.2011</v>
      </c>
      <c r="AE20" t="str">
        <f>""</f>
        <v/>
      </c>
      <c r="AF20" t="str">
        <f>"[268668] М 2.1.6"</f>
        <v>[268668] М 2.1.6</v>
      </c>
      <c r="AG20" t="str">
        <f>"[268645] ГОК2.1.6.1 Курск, Орловская, 24  п. 2"</f>
        <v>[268645] ГОК2.1.6.1 Курск, Орловская, 24  п. 2</v>
      </c>
      <c r="AH20" t="str">
        <f>"М 2.1.6"</f>
        <v>М 2.1.6</v>
      </c>
      <c r="AI20" t="str">
        <f>"ППК 2.1.6"</f>
        <v>ППК 2.1.6</v>
      </c>
      <c r="AJ20" t="str">
        <f>""</f>
        <v/>
      </c>
      <c r="AK20" t="str">
        <f t="shared" si="11"/>
        <v>Нет</v>
      </c>
      <c r="AL20" t="str">
        <f>"51.743945 36.124286, 51.744084 36.124485"</f>
        <v>51.743945 36.124286, 51.744084 36.124485</v>
      </c>
      <c r="AM20" t="str">
        <f>"20000008039156"</f>
        <v>20000008039156</v>
      </c>
    </row>
    <row r="21" spans="1:39" x14ac:dyDescent="0.25">
      <c r="A21">
        <v>907</v>
      </c>
      <c r="B21" t="str">
        <f t="shared" si="0"/>
        <v>Курск</v>
      </c>
      <c r="C21">
        <v>800383</v>
      </c>
      <c r="D21" t="str">
        <f t="shared" si="1"/>
        <v>Оптический кабель</v>
      </c>
      <c r="E21" t="str">
        <f>"[46/899] М 2.1.7 - ГОК2.1.7.1 Курск, Веспремская, 7  п. 1"</f>
        <v>[46/899] М 2.1.7 - ГОК2.1.7.1 Курск, Веспремская, 7  п. 1</v>
      </c>
      <c r="F21" t="str">
        <f t="shared" si="12"/>
        <v>ДПТс-П-16А 2(6) 7кН (Мод:Кр,Нат)(Вол:Кр,Жел,Зел,..,Ор,Фиол)</v>
      </c>
      <c r="G21" t="str">
        <f>""</f>
        <v/>
      </c>
      <c r="H21" t="str">
        <f t="shared" si="13"/>
        <v>МС 2.1</v>
      </c>
      <c r="I21">
        <v>14</v>
      </c>
      <c r="J21">
        <v>70</v>
      </c>
      <c r="K21">
        <v>50</v>
      </c>
      <c r="L21">
        <v>70</v>
      </c>
      <c r="M21" t="str">
        <f>""</f>
        <v/>
      </c>
      <c r="N21" t="str">
        <f t="shared" si="14"/>
        <v>09.04.20122</v>
      </c>
      <c r="O21">
        <v>10</v>
      </c>
      <c r="P21">
        <v>10</v>
      </c>
      <c r="Q21" t="str">
        <f>""</f>
        <v/>
      </c>
      <c r="R21" t="str">
        <f>"Курск, Веспремская, 7"</f>
        <v>Курск, Веспремская, 7</v>
      </c>
      <c r="S21" t="str">
        <f>""</f>
        <v/>
      </c>
      <c r="T21" t="str">
        <f>"46/899"</f>
        <v>46/899</v>
      </c>
      <c r="U21" t="str">
        <f t="shared" si="15"/>
        <v>Магистральная ВОЛС</v>
      </c>
      <c r="V21" t="str">
        <f t="shared" si="10"/>
        <v>Нет</v>
      </c>
      <c r="W21" t="str">
        <f t="shared" si="10"/>
        <v>Нет</v>
      </c>
      <c r="X21" t="str">
        <f t="shared" si="10"/>
        <v>Нет</v>
      </c>
      <c r="Y21" t="str">
        <f t="shared" si="10"/>
        <v>Нет</v>
      </c>
      <c r="Z21" t="str">
        <f t="shared" si="10"/>
        <v>Нет</v>
      </c>
      <c r="AA21" t="str">
        <f>""</f>
        <v/>
      </c>
      <c r="AB21" t="str">
        <f t="shared" si="5"/>
        <v>Нет</v>
      </c>
      <c r="AC21" t="str">
        <f>"М 2.1.7 - ППК 2.1.7"</f>
        <v>М 2.1.7 - ППК 2.1.7</v>
      </c>
      <c r="AD21" t="str">
        <f t="shared" si="16"/>
        <v>28.08.2011</v>
      </c>
      <c r="AE21" t="str">
        <f>""</f>
        <v/>
      </c>
      <c r="AF21" t="str">
        <f>"[268665] М 2.1.7"</f>
        <v>[268665] М 2.1.7</v>
      </c>
      <c r="AG21" t="str">
        <f>"[268641] ГОК2.1.7.1 Курск, Веспремская, 7  п. 1"</f>
        <v>[268641] ГОК2.1.7.1 Курск, Веспремская, 7  п. 1</v>
      </c>
      <c r="AH21" t="str">
        <f>"М 2.1.7"</f>
        <v>М 2.1.7</v>
      </c>
      <c r="AI21" t="str">
        <f>"ППК 2.1.7"</f>
        <v>ППК 2.1.7</v>
      </c>
      <c r="AJ21" t="str">
        <f>""</f>
        <v/>
      </c>
      <c r="AK21" t="str">
        <f t="shared" si="11"/>
        <v>Нет</v>
      </c>
      <c r="AL21" t="str">
        <f>"51.745977 36.132826, 51.745864 36.132901"</f>
        <v>51.745977 36.132826, 51.745864 36.132901</v>
      </c>
      <c r="AM21" t="str">
        <f>"20000008035569"</f>
        <v>20000008035569</v>
      </c>
    </row>
    <row r="22" spans="1:39" x14ac:dyDescent="0.25">
      <c r="A22">
        <v>907</v>
      </c>
      <c r="B22" t="str">
        <f t="shared" si="0"/>
        <v>Курск</v>
      </c>
      <c r="C22">
        <v>800408</v>
      </c>
      <c r="D22" t="str">
        <f t="shared" si="1"/>
        <v>Оптический кабель</v>
      </c>
      <c r="E22" t="str">
        <f>"[46/901] М 2.1.8 - ГОК2.1.8.1 Курск, Орловская, 10  п. 4"</f>
        <v>[46/901] М 2.1.8 - ГОК2.1.8.1 Курск, Орловская, 10  п. 4</v>
      </c>
      <c r="F22" t="str">
        <f t="shared" si="12"/>
        <v>ДПТс-П-16А 2(6) 7кН (Мод:Кр,Нат)(Вол:Кр,Жел,Зел,..,Ор,Фиол)</v>
      </c>
      <c r="G22" t="str">
        <f>""</f>
        <v/>
      </c>
      <c r="H22" t="str">
        <f t="shared" si="13"/>
        <v>МС 2.1</v>
      </c>
      <c r="I22">
        <v>18</v>
      </c>
      <c r="J22">
        <v>70</v>
      </c>
      <c r="K22">
        <v>50</v>
      </c>
      <c r="L22">
        <v>70</v>
      </c>
      <c r="M22" t="str">
        <f>""</f>
        <v/>
      </c>
      <c r="N22" t="str">
        <f t="shared" si="14"/>
        <v>09.04.20122</v>
      </c>
      <c r="O22">
        <v>10</v>
      </c>
      <c r="P22">
        <v>10</v>
      </c>
      <c r="Q22" t="str">
        <f>""</f>
        <v/>
      </c>
      <c r="R22" t="str">
        <f>"Курск, Орловская, 10"</f>
        <v>Курск, Орловская, 10</v>
      </c>
      <c r="S22" t="str">
        <f>""</f>
        <v/>
      </c>
      <c r="T22" t="str">
        <f>"46/901"</f>
        <v>46/901</v>
      </c>
      <c r="U22" t="str">
        <f t="shared" si="15"/>
        <v>Магистральная ВОЛС</v>
      </c>
      <c r="V22" t="str">
        <f t="shared" ref="V22:Z31" si="17">"Нет"</f>
        <v>Нет</v>
      </c>
      <c r="W22" t="str">
        <f t="shared" si="17"/>
        <v>Нет</v>
      </c>
      <c r="X22" t="str">
        <f t="shared" si="17"/>
        <v>Нет</v>
      </c>
      <c r="Y22" t="str">
        <f t="shared" si="17"/>
        <v>Нет</v>
      </c>
      <c r="Z22" t="str">
        <f t="shared" si="17"/>
        <v>Нет</v>
      </c>
      <c r="AA22" t="str">
        <f>""</f>
        <v/>
      </c>
      <c r="AB22" t="str">
        <f t="shared" si="5"/>
        <v>Нет</v>
      </c>
      <c r="AC22" t="str">
        <f>"М 2.1.8 - ППК 2.1.8"</f>
        <v>М 2.1.8 - ППК 2.1.8</v>
      </c>
      <c r="AD22" t="str">
        <f t="shared" si="16"/>
        <v>28.08.2011</v>
      </c>
      <c r="AE22" t="str">
        <f>""</f>
        <v/>
      </c>
      <c r="AF22" t="str">
        <f>"[317035] М 2.1.8"</f>
        <v>[317035] М 2.1.8</v>
      </c>
      <c r="AG22" t="str">
        <f>"[268637] ГОК2.1.8.1 Курск, Орловская, 10  п. 4"</f>
        <v>[268637] ГОК2.1.8.1 Курск, Орловская, 10  п. 4</v>
      </c>
      <c r="AH22" t="str">
        <f>"М 2.1.8"</f>
        <v>М 2.1.8</v>
      </c>
      <c r="AI22" t="str">
        <f>"ППК 2.1.8"</f>
        <v>ППК 2.1.8</v>
      </c>
      <c r="AJ22" t="str">
        <f>""</f>
        <v/>
      </c>
      <c r="AK22" t="str">
        <f t="shared" si="11"/>
        <v>Нет</v>
      </c>
      <c r="AL22" t="str">
        <f>"51.74702 36.136914, 51.746874 36.137021"</f>
        <v>51.74702 36.136914, 51.746874 36.137021</v>
      </c>
      <c r="AM22" t="str">
        <f>"20000008004383"</f>
        <v>20000008004383</v>
      </c>
    </row>
    <row r="23" spans="1:39" x14ac:dyDescent="0.25">
      <c r="A23">
        <v>907</v>
      </c>
      <c r="B23" t="str">
        <f t="shared" si="0"/>
        <v>Курск</v>
      </c>
      <c r="C23">
        <v>802063</v>
      </c>
      <c r="D23" t="str">
        <f t="shared" si="1"/>
        <v>Оптический кабель</v>
      </c>
      <c r="E23" t="str">
        <f>"[46/929] МОК2.3.1 Курск, Дружбы Пр-Кт, 4 б п.  - М 2.3.2"</f>
        <v>[46/929] МОК2.3.1 Курск, Дружбы Пр-Кт, 4 б п.  - М 2.3.2</v>
      </c>
      <c r="F23" t="str">
        <f>"ДПТа-П-64А 6(6) 7кН (Кр,Жел,Зел,..,8-Фиол,9-Бел,..,Бир,Роз)"</f>
        <v>ДПТа-П-64А 6(6) 7кН (Кр,Жел,Зел,..,8-Фиол,9-Бел,..,Бир,Роз)</v>
      </c>
      <c r="G23" t="str">
        <f>""</f>
        <v/>
      </c>
      <c r="H23" t="str">
        <f t="shared" ref="H23:H32" si="18">"МС 2.3"</f>
        <v>МС 2.3</v>
      </c>
      <c r="I23">
        <v>156</v>
      </c>
      <c r="J23">
        <v>230</v>
      </c>
      <c r="K23">
        <v>50</v>
      </c>
      <c r="L23">
        <v>232</v>
      </c>
      <c r="M23" t="str">
        <f>"Воздушная трасса по стойкам"</f>
        <v>Воздушная трасса по стойкам</v>
      </c>
      <c r="N23" t="str">
        <f>"13.04.20122"</f>
        <v>13.04.20122</v>
      </c>
      <c r="O23">
        <v>64</v>
      </c>
      <c r="P23">
        <v>64</v>
      </c>
      <c r="Q23" t="str">
        <f>"Курск, Дружбы Пр-Кт, 4 б"</f>
        <v>Курск, Дружбы Пр-Кт, 4 б</v>
      </c>
      <c r="R23" t="str">
        <f>""</f>
        <v/>
      </c>
      <c r="S23" t="str">
        <f>""</f>
        <v/>
      </c>
      <c r="T23" t="str">
        <f>"46/929"</f>
        <v>46/929</v>
      </c>
      <c r="U23" t="str">
        <f t="shared" si="15"/>
        <v>Магистральная ВОЛС</v>
      </c>
      <c r="V23" t="str">
        <f t="shared" si="17"/>
        <v>Нет</v>
      </c>
      <c r="W23" t="str">
        <f t="shared" si="17"/>
        <v>Нет</v>
      </c>
      <c r="X23" t="str">
        <f t="shared" si="17"/>
        <v>Нет</v>
      </c>
      <c r="Y23" t="str">
        <f t="shared" si="17"/>
        <v>Нет</v>
      </c>
      <c r="Z23" t="str">
        <f t="shared" si="17"/>
        <v>Нет</v>
      </c>
      <c r="AA23" t="str">
        <f>""</f>
        <v/>
      </c>
      <c r="AB23" t="str">
        <f t="shared" si="5"/>
        <v>Нет</v>
      </c>
      <c r="AC23" t="str">
        <f>"50 лет Октября 110 - Дружбы 4"</f>
        <v>50 лет Октября 110 - Дружбы 4</v>
      </c>
      <c r="AD23" t="str">
        <f>"01.02.2012"</f>
        <v>01.02.2012</v>
      </c>
      <c r="AE23" t="str">
        <f>""</f>
        <v/>
      </c>
      <c r="AF23" t="str">
        <f>"[481614] МОК2.3.1 Курск, Дружбы Пр-Кт, 4 б п."</f>
        <v>[481614] МОК2.3.1 Курск, Дружбы Пр-Кт, 4 б п.</v>
      </c>
      <c r="AG23" t="str">
        <f>"[321249] М 2.3.2"</f>
        <v>[321249] М 2.3.2</v>
      </c>
      <c r="AH23" t="str">
        <f>"МОК2.3.1"</f>
        <v>МОК2.3.1</v>
      </c>
      <c r="AI23" t="str">
        <f>"М2.3.2"</f>
        <v>М2.3.2</v>
      </c>
      <c r="AJ23" t="str">
        <f>""</f>
        <v/>
      </c>
      <c r="AK23" t="str">
        <f t="shared" si="11"/>
        <v>Нет</v>
      </c>
      <c r="AL23" t="str">
        <f>"51.742513 36.139607, 51.742573 36.140041, 51.743127 36.141629"</f>
        <v>51.742513 36.139607, 51.742573 36.140041, 51.743127 36.141629</v>
      </c>
      <c r="AM23" t="str">
        <f>"20000008007468"</f>
        <v>20000008007468</v>
      </c>
    </row>
    <row r="24" spans="1:39" x14ac:dyDescent="0.25">
      <c r="A24">
        <v>907</v>
      </c>
      <c r="B24" t="str">
        <f t="shared" si="0"/>
        <v>Курск</v>
      </c>
      <c r="C24">
        <v>802068</v>
      </c>
      <c r="D24" t="str">
        <f t="shared" si="1"/>
        <v>Оптический кабель</v>
      </c>
      <c r="E24" t="str">
        <f>"[46/930] М 2.3.2 - М 2.3.3"</f>
        <v>[46/930] М 2.3.2 - М 2.3.3</v>
      </c>
      <c r="F24" t="str">
        <f>"ДПТа-П-64А 6(6) 7кН (Кр,Жел,Зел,..,8-Фиол,9-Бел,..,Бир,Роз)"</f>
        <v>ДПТа-П-64А 6(6) 7кН (Кр,Жел,Зел,..,8-Фиол,9-Бел,..,Бир,Роз)</v>
      </c>
      <c r="G24" t="str">
        <f>""</f>
        <v/>
      </c>
      <c r="H24" t="str">
        <f t="shared" si="18"/>
        <v>МС 2.3</v>
      </c>
      <c r="I24">
        <v>705</v>
      </c>
      <c r="J24">
        <v>805</v>
      </c>
      <c r="K24">
        <v>40</v>
      </c>
      <c r="L24">
        <v>807</v>
      </c>
      <c r="M24" t="str">
        <f>"Опоры"</f>
        <v>Опоры</v>
      </c>
      <c r="N24" t="str">
        <f>"13.04.20122"</f>
        <v>13.04.20122</v>
      </c>
      <c r="O24">
        <v>64</v>
      </c>
      <c r="P24">
        <v>64</v>
      </c>
      <c r="Q24" t="str">
        <f>""</f>
        <v/>
      </c>
      <c r="R24" t="str">
        <f>""</f>
        <v/>
      </c>
      <c r="S24" t="str">
        <f>""</f>
        <v/>
      </c>
      <c r="T24" t="str">
        <f>"46/930"</f>
        <v>46/930</v>
      </c>
      <c r="U24" t="str">
        <f t="shared" si="15"/>
        <v>Магистральная ВОЛС</v>
      </c>
      <c r="V24" t="str">
        <f t="shared" si="17"/>
        <v>Нет</v>
      </c>
      <c r="W24" t="str">
        <f t="shared" si="17"/>
        <v>Нет</v>
      </c>
      <c r="X24" t="str">
        <f t="shared" si="17"/>
        <v>Нет</v>
      </c>
      <c r="Y24" t="str">
        <f t="shared" si="17"/>
        <v>Нет</v>
      </c>
      <c r="Z24" t="str">
        <f t="shared" si="17"/>
        <v>Нет</v>
      </c>
      <c r="AA24" t="str">
        <f>""</f>
        <v/>
      </c>
      <c r="AB24" t="str">
        <f t="shared" si="5"/>
        <v>Нет</v>
      </c>
      <c r="AC24" t="str">
        <f>"М 2.3.2 - М 2.3.3"</f>
        <v>М 2.3.2 - М 2.3.3</v>
      </c>
      <c r="AD24" t="str">
        <f>"01.02.2012"</f>
        <v>01.02.2012</v>
      </c>
      <c r="AE24" t="str">
        <f>""</f>
        <v/>
      </c>
      <c r="AF24" t="str">
        <f>"[321249] М 2.3.2"</f>
        <v>[321249] М 2.3.2</v>
      </c>
      <c r="AG24" t="str">
        <f>"[321245] М 2.3.3"</f>
        <v>[321245] М 2.3.3</v>
      </c>
      <c r="AH24" t="str">
        <f>"М 2.3.2"</f>
        <v>М 2.3.2</v>
      </c>
      <c r="AI24" t="str">
        <f>"М 2.3.3"</f>
        <v>М 2.3.3</v>
      </c>
      <c r="AJ24" t="str">
        <f>""</f>
        <v/>
      </c>
      <c r="AK24" t="str">
        <f t="shared" si="11"/>
        <v>Нет</v>
      </c>
      <c r="AL24" t="s">
        <v>4</v>
      </c>
      <c r="AM24" t="str">
        <f>"20000008040082"</f>
        <v>20000008040082</v>
      </c>
    </row>
    <row r="25" spans="1:39" x14ac:dyDescent="0.25">
      <c r="A25">
        <v>907</v>
      </c>
      <c r="B25" t="str">
        <f t="shared" si="0"/>
        <v>Курск</v>
      </c>
      <c r="C25">
        <v>802089</v>
      </c>
      <c r="D25" t="str">
        <f t="shared" si="1"/>
        <v>Оптический кабель</v>
      </c>
      <c r="E25" t="str">
        <f>"[46/932] М 2.3.2 - ГОК2.3.1.1 Курск, Дружбы Пр-Кт, 4  п. 2"</f>
        <v>[46/932] М 2.3.2 - ГОК2.3.1.1 Курск, Дружбы Пр-Кт, 4  п. 2</v>
      </c>
      <c r="F25" t="str">
        <f>"ДПТс-П-16А 2(6) 7кН (Мод:Кр,Нат)(Вол:Кр,Жел,Зел,..,Ор,Фиол)"</f>
        <v>ДПТс-П-16А 2(6) 7кН (Мод:Кр,Нат)(Вол:Кр,Жел,Зел,..,Ор,Фиол)</v>
      </c>
      <c r="G25" t="str">
        <f>""</f>
        <v/>
      </c>
      <c r="H25" t="str">
        <f t="shared" si="18"/>
        <v>МС 2.3</v>
      </c>
      <c r="I25">
        <v>15</v>
      </c>
      <c r="J25">
        <v>30</v>
      </c>
      <c r="K25">
        <v>9</v>
      </c>
      <c r="L25">
        <v>30</v>
      </c>
      <c r="M25" t="str">
        <f>"Внутри объектов"</f>
        <v>Внутри объектов</v>
      </c>
      <c r="N25" t="str">
        <f>"13.04.20122"</f>
        <v>13.04.20122</v>
      </c>
      <c r="O25">
        <v>10</v>
      </c>
      <c r="P25">
        <v>10</v>
      </c>
      <c r="Q25" t="str">
        <f>""</f>
        <v/>
      </c>
      <c r="R25" t="str">
        <f>"Курск, Дружбы Пр-Кт, 4"</f>
        <v>Курск, Дружбы Пр-Кт, 4</v>
      </c>
      <c r="S25" t="str">
        <f>""</f>
        <v/>
      </c>
      <c r="T25" t="str">
        <f>"46/932"</f>
        <v>46/932</v>
      </c>
      <c r="U25" t="str">
        <f t="shared" si="15"/>
        <v>Магистральная ВОЛС</v>
      </c>
      <c r="V25" t="str">
        <f t="shared" si="17"/>
        <v>Нет</v>
      </c>
      <c r="W25" t="str">
        <f t="shared" si="17"/>
        <v>Нет</v>
      </c>
      <c r="X25" t="str">
        <f t="shared" si="17"/>
        <v>Нет</v>
      </c>
      <c r="Y25" t="str">
        <f t="shared" si="17"/>
        <v>Нет</v>
      </c>
      <c r="Z25" t="str">
        <f t="shared" si="17"/>
        <v>Нет</v>
      </c>
      <c r="AA25" t="str">
        <f>""</f>
        <v/>
      </c>
      <c r="AB25" t="str">
        <f t="shared" si="5"/>
        <v>Нет</v>
      </c>
      <c r="AC25" t="str">
        <f>"М 2.3.2 - ППК 2.3.2"</f>
        <v>М 2.3.2 - ППК 2.3.2</v>
      </c>
      <c r="AD25" t="str">
        <f>"16.02.2012"</f>
        <v>16.02.2012</v>
      </c>
      <c r="AE25" t="str">
        <f>""</f>
        <v/>
      </c>
      <c r="AF25" t="str">
        <f>"[321249] М 2.3.2"</f>
        <v>[321249] М 2.3.2</v>
      </c>
      <c r="AG25" t="str">
        <f>"[321159] ГОК2.3.1.1 Курск, Дружбы Пр-Кт, 4  п. 2"</f>
        <v>[321159] ГОК2.3.1.1 Курск, Дружбы Пр-Кт, 4  п. 2</v>
      </c>
      <c r="AH25" t="str">
        <f>"М 2.3.2"</f>
        <v>М 2.3.2</v>
      </c>
      <c r="AI25" t="str">
        <f>"ППК 2.3.2"</f>
        <v>ППК 2.3.2</v>
      </c>
      <c r="AJ25" t="str">
        <f>""</f>
        <v/>
      </c>
      <c r="AK25" t="str">
        <f t="shared" si="11"/>
        <v>Нет</v>
      </c>
      <c r="AL25" t="str">
        <f>"51.743121 36.141645, 51.743068 36.141441"</f>
        <v>51.743121 36.141645, 51.743068 36.141441</v>
      </c>
      <c r="AM25" t="str">
        <f>"20000008035571"</f>
        <v>20000008035571</v>
      </c>
    </row>
    <row r="26" spans="1:39" x14ac:dyDescent="0.25">
      <c r="A26">
        <v>907</v>
      </c>
      <c r="B26" t="str">
        <f t="shared" si="0"/>
        <v>Курск</v>
      </c>
      <c r="C26">
        <v>802123</v>
      </c>
      <c r="D26" t="str">
        <f t="shared" si="1"/>
        <v>Оптический кабель</v>
      </c>
      <c r="E26" t="str">
        <f>"[46/935] М 2.3.4 - М 2.3.5"</f>
        <v>[46/935] М 2.3.4 - М 2.3.5</v>
      </c>
      <c r="F26" t="str">
        <f>"ДПТа-П-64А 6(6) 7кН (Кр,Жел,Зел,..,8-Фиол,9-Бел,..,Бир,Роз)"</f>
        <v>ДПТа-П-64А 6(6) 7кН (Кр,Жел,Зел,..,8-Фиол,9-Бел,..,Бир,Роз)</v>
      </c>
      <c r="G26" t="str">
        <f>""</f>
        <v/>
      </c>
      <c r="H26" t="str">
        <f t="shared" si="18"/>
        <v>МС 2.3</v>
      </c>
      <c r="I26">
        <v>661</v>
      </c>
      <c r="J26">
        <v>765</v>
      </c>
      <c r="K26">
        <v>90</v>
      </c>
      <c r="L26">
        <v>767</v>
      </c>
      <c r="M26" t="str">
        <f>"Опоры"</f>
        <v>Опоры</v>
      </c>
      <c r="N26" t="str">
        <f>"16.04.20122"</f>
        <v>16.04.20122</v>
      </c>
      <c r="O26">
        <v>64</v>
      </c>
      <c r="P26">
        <v>64</v>
      </c>
      <c r="Q26" t="str">
        <f>""</f>
        <v/>
      </c>
      <c r="R26" t="str">
        <f>""</f>
        <v/>
      </c>
      <c r="S26" t="str">
        <f>""</f>
        <v/>
      </c>
      <c r="T26" t="str">
        <f>"46/935"</f>
        <v>46/935</v>
      </c>
      <c r="U26" t="str">
        <f t="shared" si="15"/>
        <v>Магистральная ВОЛС</v>
      </c>
      <c r="V26" t="str">
        <f t="shared" si="17"/>
        <v>Нет</v>
      </c>
      <c r="W26" t="str">
        <f t="shared" si="17"/>
        <v>Нет</v>
      </c>
      <c r="X26" t="str">
        <f t="shared" si="17"/>
        <v>Нет</v>
      </c>
      <c r="Y26" t="str">
        <f t="shared" si="17"/>
        <v>Нет</v>
      </c>
      <c r="Z26" t="str">
        <f t="shared" si="17"/>
        <v>Нет</v>
      </c>
      <c r="AA26" t="str">
        <f>""</f>
        <v/>
      </c>
      <c r="AB26" t="str">
        <f t="shared" si="5"/>
        <v>Нет</v>
      </c>
      <c r="AC26" t="str">
        <f>"М 2.3.4 - М 2.3.5"</f>
        <v>М 2.3.4 - М 2.3.5</v>
      </c>
      <c r="AD26" t="str">
        <f t="shared" ref="AD26:AD32" si="19">"01.02.2012"</f>
        <v>01.02.2012</v>
      </c>
      <c r="AE26" t="str">
        <f>""</f>
        <v/>
      </c>
      <c r="AF26" t="str">
        <f>"[321241] М 2.3.4"</f>
        <v>[321241] М 2.3.4</v>
      </c>
      <c r="AG26" t="str">
        <f>"[321237] М 2.3.5"</f>
        <v>[321237] М 2.3.5</v>
      </c>
      <c r="AH26" t="str">
        <f>"М 2.3.4"</f>
        <v>М 2.3.4</v>
      </c>
      <c r="AI26" t="str">
        <f>"М 2.3.5"</f>
        <v>М 2.3.5</v>
      </c>
      <c r="AJ26" t="str">
        <f>""</f>
        <v/>
      </c>
      <c r="AK26" t="str">
        <f t="shared" si="11"/>
        <v>Нет</v>
      </c>
      <c r="AL26" t="s">
        <v>5</v>
      </c>
      <c r="AM26" t="str">
        <f>"20000007993373"</f>
        <v>20000007993373</v>
      </c>
    </row>
    <row r="27" spans="1:39" x14ac:dyDescent="0.25">
      <c r="A27">
        <v>907</v>
      </c>
      <c r="B27" t="str">
        <f t="shared" si="0"/>
        <v>Курск</v>
      </c>
      <c r="C27">
        <v>802183</v>
      </c>
      <c r="D27" t="str">
        <f t="shared" si="1"/>
        <v>Оптический кабель</v>
      </c>
      <c r="E27" t="str">
        <f>"[46/942] М 2.3.11 - М2.3.15"</f>
        <v>[46/942] М 2.3.11 - М2.3.15</v>
      </c>
      <c r="F27" t="str">
        <f>"ДПТа-П-64А 6(6) 7кН (Кр,Жел,Зел,..,8-Фиол,9-Бел,..,Бир,Роз)"</f>
        <v>ДПТа-П-64А 6(6) 7кН (Кр,Жел,Зел,..,8-Фиол,9-Бел,..,Бир,Роз)</v>
      </c>
      <c r="G27" t="str">
        <f>""</f>
        <v/>
      </c>
      <c r="H27" t="str">
        <f t="shared" si="18"/>
        <v>МС 2.3</v>
      </c>
      <c r="I27">
        <v>103</v>
      </c>
      <c r="J27">
        <v>250</v>
      </c>
      <c r="K27">
        <v>0</v>
      </c>
      <c r="L27">
        <v>255</v>
      </c>
      <c r="M27" t="str">
        <f>"Опоры"</f>
        <v>Опоры</v>
      </c>
      <c r="N27" t="str">
        <f>"16.04.20122"</f>
        <v>16.04.20122</v>
      </c>
      <c r="O27">
        <v>128</v>
      </c>
      <c r="P27">
        <v>128</v>
      </c>
      <c r="Q27" t="str">
        <f>""</f>
        <v/>
      </c>
      <c r="R27" t="str">
        <f>""</f>
        <v/>
      </c>
      <c r="S27" t="str">
        <f>""</f>
        <v/>
      </c>
      <c r="T27" t="str">
        <f>"46/942"</f>
        <v>46/942</v>
      </c>
      <c r="U27" t="str">
        <f t="shared" si="15"/>
        <v>Магистральная ВОЛС</v>
      </c>
      <c r="V27" t="str">
        <f t="shared" si="17"/>
        <v>Нет</v>
      </c>
      <c r="W27" t="str">
        <f t="shared" si="17"/>
        <v>Нет</v>
      </c>
      <c r="X27" t="str">
        <f t="shared" si="17"/>
        <v>Нет</v>
      </c>
      <c r="Y27" t="str">
        <f t="shared" si="17"/>
        <v>Нет</v>
      </c>
      <c r="Z27" t="str">
        <f t="shared" si="17"/>
        <v>Нет</v>
      </c>
      <c r="AA27" t="str">
        <f>""</f>
        <v/>
      </c>
      <c r="AB27" t="str">
        <f t="shared" si="5"/>
        <v>Нет</v>
      </c>
      <c r="AC27" t="str">
        <f>"М 2.3.11 - М 2.3.12"</f>
        <v>М 2.3.11 - М 2.3.12</v>
      </c>
      <c r="AD27" t="str">
        <f t="shared" si="19"/>
        <v>01.02.2012</v>
      </c>
      <c r="AE27" t="str">
        <f>""</f>
        <v/>
      </c>
      <c r="AF27" t="str">
        <f>"[321213] М 2.3.11"</f>
        <v>[321213] М 2.3.11</v>
      </c>
      <c r="AG27" t="str">
        <f>"[491854] М2.3.15"</f>
        <v>[491854] М2.3.15</v>
      </c>
      <c r="AH27" t="str">
        <f>"М 2.3.11"</f>
        <v>М 2.3.11</v>
      </c>
      <c r="AI27" t="str">
        <f>"М 2.3.15"</f>
        <v>М 2.3.15</v>
      </c>
      <c r="AJ27" t="str">
        <f>""</f>
        <v/>
      </c>
      <c r="AK27" t="str">
        <f t="shared" si="11"/>
        <v>Нет</v>
      </c>
      <c r="AL27" t="s">
        <v>6</v>
      </c>
      <c r="AM27" t="str">
        <f>"20000008026197"</f>
        <v>20000008026197</v>
      </c>
    </row>
    <row r="28" spans="1:39" x14ac:dyDescent="0.25">
      <c r="A28">
        <v>907</v>
      </c>
      <c r="B28" t="str">
        <f t="shared" si="0"/>
        <v>Курск</v>
      </c>
      <c r="C28">
        <v>802203</v>
      </c>
      <c r="D28" t="str">
        <f t="shared" si="1"/>
        <v>Оптический кабель</v>
      </c>
      <c r="E28" t="str">
        <f>"[46/943] М 2.3.12 - М 2.3.13"</f>
        <v>[46/943] М 2.3.12 - М 2.3.13</v>
      </c>
      <c r="F28" t="str">
        <f>"ДПТа-П-64А 6(6) 7кН (Кр,Жел,Зел,..,8-Фиол,9-Бел,..,Бир,Роз)"</f>
        <v>ДПТа-П-64А 6(6) 7кН (Кр,Жел,Зел,..,8-Фиол,9-Бел,..,Бир,Роз)</v>
      </c>
      <c r="G28" t="str">
        <f>""</f>
        <v/>
      </c>
      <c r="H28" t="str">
        <f t="shared" si="18"/>
        <v>МС 2.3</v>
      </c>
      <c r="I28">
        <v>837</v>
      </c>
      <c r="J28">
        <v>926</v>
      </c>
      <c r="K28">
        <v>99</v>
      </c>
      <c r="L28">
        <v>927</v>
      </c>
      <c r="M28" t="str">
        <f>"Опоры"</f>
        <v>Опоры</v>
      </c>
      <c r="N28" t="str">
        <f>"16.04.20122"</f>
        <v>16.04.20122</v>
      </c>
      <c r="O28">
        <v>128</v>
      </c>
      <c r="P28">
        <v>128</v>
      </c>
      <c r="Q28" t="str">
        <f>""</f>
        <v/>
      </c>
      <c r="R28" t="str">
        <f>""</f>
        <v/>
      </c>
      <c r="S28" t="str">
        <f>""</f>
        <v/>
      </c>
      <c r="T28" t="str">
        <f>"46/943"</f>
        <v>46/943</v>
      </c>
      <c r="U28" t="str">
        <f t="shared" si="15"/>
        <v>Магистральная ВОЛС</v>
      </c>
      <c r="V28" t="str">
        <f t="shared" si="17"/>
        <v>Нет</v>
      </c>
      <c r="W28" t="str">
        <f t="shared" si="17"/>
        <v>Нет</v>
      </c>
      <c r="X28" t="str">
        <f t="shared" si="17"/>
        <v>Нет</v>
      </c>
      <c r="Y28" t="str">
        <f t="shared" si="17"/>
        <v>Нет</v>
      </c>
      <c r="Z28" t="str">
        <f t="shared" si="17"/>
        <v>Нет</v>
      </c>
      <c r="AA28" t="str">
        <f>""</f>
        <v/>
      </c>
      <c r="AB28" t="str">
        <f t="shared" si="5"/>
        <v>Нет</v>
      </c>
      <c r="AC28" t="str">
        <f>"М 2.3.12 - М 2.3.13"</f>
        <v>М 2.3.12 - М 2.3.13</v>
      </c>
      <c r="AD28" t="str">
        <f t="shared" si="19"/>
        <v>01.02.2012</v>
      </c>
      <c r="AE28" t="str">
        <f>""</f>
        <v/>
      </c>
      <c r="AF28" t="str">
        <f>"[321209] М 2.3.12"</f>
        <v>[321209] М 2.3.12</v>
      </c>
      <c r="AG28" t="str">
        <f>"[321205] М 2.3.13"</f>
        <v>[321205] М 2.3.13</v>
      </c>
      <c r="AH28" t="str">
        <f>"М 2.3.12"</f>
        <v>М 2.3.12</v>
      </c>
      <c r="AI28" t="str">
        <f>"М 2.3.13"</f>
        <v>М 2.3.13</v>
      </c>
      <c r="AJ28" t="str">
        <f>""</f>
        <v/>
      </c>
      <c r="AK28" t="str">
        <f t="shared" si="11"/>
        <v>Нет</v>
      </c>
      <c r="AL28" t="s">
        <v>7</v>
      </c>
      <c r="AM28" t="str">
        <f>"20000008017106"</f>
        <v>20000008017106</v>
      </c>
    </row>
    <row r="29" spans="1:39" x14ac:dyDescent="0.25">
      <c r="A29">
        <v>907</v>
      </c>
      <c r="B29" t="str">
        <f t="shared" si="0"/>
        <v>Курск</v>
      </c>
      <c r="C29">
        <v>802232</v>
      </c>
      <c r="D29" t="str">
        <f t="shared" si="1"/>
        <v>Оптический кабель</v>
      </c>
      <c r="E29" t="str">
        <f>"[46/948] М 2.3.8 - ГОК2.3.6.1 Курск, Бойцов 9 Дивизии, 182  п. 3"</f>
        <v>[46/948] М 2.3.8 - ГОК2.3.6.1 Курск, Бойцов 9 Дивизии, 182  п. 3</v>
      </c>
      <c r="F29" t="str">
        <f>"ДПТс-П-16А 2(6) 7кН (Мод:Кр,Нат)(Вол:Кр,Жел,Зел,..,Ор,Фиол)"</f>
        <v>ДПТс-П-16А 2(6) 7кН (Мод:Кр,Нат)(Вол:Кр,Жел,Зел,..,Ор,Фиол)</v>
      </c>
      <c r="G29" t="str">
        <f>""</f>
        <v/>
      </c>
      <c r="H29" t="str">
        <f t="shared" si="18"/>
        <v>МС 2.3</v>
      </c>
      <c r="I29">
        <v>19</v>
      </c>
      <c r="J29">
        <v>70</v>
      </c>
      <c r="K29">
        <v>0</v>
      </c>
      <c r="L29">
        <v>70</v>
      </c>
      <c r="M29" t="str">
        <f>"Воздушная трасса по стойкам"</f>
        <v>Воздушная трасса по стойкам</v>
      </c>
      <c r="N29" t="str">
        <f>"16.04.20122"</f>
        <v>16.04.20122</v>
      </c>
      <c r="O29">
        <v>10</v>
      </c>
      <c r="P29">
        <v>10</v>
      </c>
      <c r="Q29" t="str">
        <f>""</f>
        <v/>
      </c>
      <c r="R29" t="str">
        <f>"Курск, Бойцов 9 Дивизии, 182"</f>
        <v>Курск, Бойцов 9 Дивизии, 182</v>
      </c>
      <c r="S29" t="str">
        <f>""</f>
        <v/>
      </c>
      <c r="T29" t="str">
        <f>"46/948"</f>
        <v>46/948</v>
      </c>
      <c r="U29" t="str">
        <f t="shared" si="15"/>
        <v>Магистральная ВОЛС</v>
      </c>
      <c r="V29" t="str">
        <f t="shared" si="17"/>
        <v>Нет</v>
      </c>
      <c r="W29" t="str">
        <f t="shared" si="17"/>
        <v>Нет</v>
      </c>
      <c r="X29" t="str">
        <f t="shared" si="17"/>
        <v>Нет</v>
      </c>
      <c r="Y29" t="str">
        <f t="shared" si="17"/>
        <v>Нет</v>
      </c>
      <c r="Z29" t="str">
        <f t="shared" si="17"/>
        <v>Нет</v>
      </c>
      <c r="AA29" t="str">
        <f>""</f>
        <v/>
      </c>
      <c r="AB29" t="str">
        <f t="shared" si="5"/>
        <v>Нет</v>
      </c>
      <c r="AC29" t="str">
        <f>"М 2.3.8 - ППК 2.3.6"</f>
        <v>М 2.3.8 - ППК 2.3.6</v>
      </c>
      <c r="AD29" t="str">
        <f t="shared" si="19"/>
        <v>01.02.2012</v>
      </c>
      <c r="AE29" t="str">
        <f>""</f>
        <v/>
      </c>
      <c r="AF29" t="str">
        <f>"[321225] М 2.3.8"</f>
        <v>[321225] М 2.3.8</v>
      </c>
      <c r="AG29" t="str">
        <f>"[321096] ГОК2.3.6.1 Курск, Бойцов 9 Дивизии, 182  п. 3"</f>
        <v>[321096] ГОК2.3.6.1 Курск, Бойцов 9 Дивизии, 182  п. 3</v>
      </c>
      <c r="AH29" t="str">
        <f>"М 2.3.8"</f>
        <v>М 2.3.8</v>
      </c>
      <c r="AI29" t="str">
        <f>"ППК 2.3.6"</f>
        <v>ППК 2.3.6</v>
      </c>
      <c r="AJ29" t="str">
        <f>""</f>
        <v/>
      </c>
      <c r="AK29" t="str">
        <f t="shared" si="11"/>
        <v>Нет</v>
      </c>
      <c r="AL29" t="str">
        <f>"51.730544 36.151789, 51.730504 36.151521"</f>
        <v>51.730544 36.151789, 51.730504 36.151521</v>
      </c>
      <c r="AM29" t="str">
        <f>"20000008004384"</f>
        <v>20000008004384</v>
      </c>
    </row>
    <row r="30" spans="1:39" x14ac:dyDescent="0.25">
      <c r="A30">
        <v>907</v>
      </c>
      <c r="B30" t="str">
        <f t="shared" si="0"/>
        <v>Курск</v>
      </c>
      <c r="C30">
        <v>802243</v>
      </c>
      <c r="D30" t="str">
        <f t="shared" si="1"/>
        <v>Оптический кабель</v>
      </c>
      <c r="E30" t="str">
        <f>"[46/949] М 2.3.9 - OK6.2 ППК 2.3.6 Курск, Звездная, 5  п. 2"</f>
        <v>[46/949] М 2.3.9 - OK6.2 ППК 2.3.6 Курск, Звездная, 5  п. 2</v>
      </c>
      <c r="F30" t="str">
        <f>"ДПТс-П-08А 1(6) 7кН (Кр,Жел,Зел,Син,Кор,Чер,Ор,Фиол)"</f>
        <v>ДПТс-П-08А 1(6) 7кН (Кр,Жел,Зел,Син,Кор,Чер,Ор,Фиол)</v>
      </c>
      <c r="G30" t="str">
        <f>""</f>
        <v/>
      </c>
      <c r="H30" t="str">
        <f t="shared" si="18"/>
        <v>МС 2.3</v>
      </c>
      <c r="I30">
        <v>16</v>
      </c>
      <c r="J30">
        <v>70</v>
      </c>
      <c r="K30">
        <v>0</v>
      </c>
      <c r="L30">
        <v>70</v>
      </c>
      <c r="M30" t="str">
        <f>"Воздушная трасса по стойкам"</f>
        <v>Воздушная трасса по стойкам</v>
      </c>
      <c r="N30" t="str">
        <f>"16.04.20122"</f>
        <v>16.04.20122</v>
      </c>
      <c r="O30">
        <v>8</v>
      </c>
      <c r="P30">
        <v>8</v>
      </c>
      <c r="Q30" t="str">
        <f>""</f>
        <v/>
      </c>
      <c r="R30" t="str">
        <f>"Курск, Звездная, 5"</f>
        <v>Курск, Звездная, 5</v>
      </c>
      <c r="S30" t="str">
        <f>""</f>
        <v/>
      </c>
      <c r="T30" t="str">
        <f>"46/949"</f>
        <v>46/949</v>
      </c>
      <c r="U30" t="str">
        <f t="shared" si="15"/>
        <v>Магистральная ВОЛС</v>
      </c>
      <c r="V30" t="str">
        <f t="shared" si="17"/>
        <v>Нет</v>
      </c>
      <c r="W30" t="str">
        <f t="shared" si="17"/>
        <v>Нет</v>
      </c>
      <c r="X30" t="str">
        <f t="shared" si="17"/>
        <v>Нет</v>
      </c>
      <c r="Y30" t="str">
        <f t="shared" si="17"/>
        <v>Нет</v>
      </c>
      <c r="Z30" t="str">
        <f t="shared" si="17"/>
        <v>Нет</v>
      </c>
      <c r="AA30" t="str">
        <f>""</f>
        <v/>
      </c>
      <c r="AB30" t="str">
        <f t="shared" si="5"/>
        <v>Нет</v>
      </c>
      <c r="AC30" t="str">
        <f>"М 2.3.9 - ППК 2.3.6"</f>
        <v>М 2.3.9 - ППК 2.3.6</v>
      </c>
      <c r="AD30" t="str">
        <f t="shared" si="19"/>
        <v>01.02.2012</v>
      </c>
      <c r="AE30" t="str">
        <f>""</f>
        <v/>
      </c>
      <c r="AF30" t="str">
        <f>"[321221] М 2.3.9"</f>
        <v>[321221] М 2.3.9</v>
      </c>
      <c r="AG30" t="str">
        <f>"[311459] OK6.2 ППК 2.3.6 Курск, Звездная, 5  п. 2"</f>
        <v>[311459] OK6.2 ППК 2.3.6 Курск, Звездная, 5  п. 2</v>
      </c>
      <c r="AH30" t="str">
        <f>"М 2.3.9"</f>
        <v>М 2.3.9</v>
      </c>
      <c r="AI30" t="str">
        <f>"ППК 2.3.6"</f>
        <v>ППК 2.3.6</v>
      </c>
      <c r="AJ30" t="str">
        <f>""</f>
        <v/>
      </c>
      <c r="AK30" t="str">
        <f t="shared" si="11"/>
        <v>Нет</v>
      </c>
      <c r="AL30" t="str">
        <f>"51.72737 36.147922, 51.7275 36.147836"</f>
        <v>51.72737 36.147922, 51.7275 36.147836</v>
      </c>
      <c r="AM30" t="str">
        <f>"20000008042029"</f>
        <v>20000008042029</v>
      </c>
    </row>
    <row r="31" spans="1:39" x14ac:dyDescent="0.25">
      <c r="A31">
        <v>907</v>
      </c>
      <c r="B31" t="str">
        <f t="shared" si="0"/>
        <v>Курск</v>
      </c>
      <c r="C31">
        <v>802263</v>
      </c>
      <c r="D31" t="str">
        <f t="shared" si="1"/>
        <v>Оптический кабель</v>
      </c>
      <c r="E31" t="str">
        <f>"[46/950] М 2.3.10 - ГОК2.3.7.1 Курск, Звездная, 15  п. 3"</f>
        <v>[46/950] М 2.3.10 - ГОК2.3.7.1 Курск, Звездная, 15  п. 3</v>
      </c>
      <c r="F31" t="str">
        <f>"ДПТс-П-16А 2(6) 7кН (Мод:Кр,Нат)(Вол:Кр,Жел,Зел,..,Ор,Фиол)"</f>
        <v>ДПТс-П-16А 2(6) 7кН (Мод:Кр,Нат)(Вол:Кр,Жел,Зел,..,Ор,Фиол)</v>
      </c>
      <c r="G31" t="str">
        <f>""</f>
        <v/>
      </c>
      <c r="H31" t="str">
        <f t="shared" si="18"/>
        <v>МС 2.3</v>
      </c>
      <c r="I31">
        <v>57</v>
      </c>
      <c r="J31">
        <v>135</v>
      </c>
      <c r="K31">
        <v>10</v>
      </c>
      <c r="L31">
        <v>136</v>
      </c>
      <c r="M31" t="str">
        <f>"Воздушная трасса по стойкам"</f>
        <v>Воздушная трасса по стойкам</v>
      </c>
      <c r="N31" t="str">
        <f>"17.04.20122"</f>
        <v>17.04.20122</v>
      </c>
      <c r="O31">
        <v>10</v>
      </c>
      <c r="P31">
        <v>10</v>
      </c>
      <c r="Q31" t="str">
        <f>""</f>
        <v/>
      </c>
      <c r="R31" t="str">
        <f>"Курск, Звездная, 15"</f>
        <v>Курск, Звездная, 15</v>
      </c>
      <c r="S31" t="str">
        <f>""</f>
        <v/>
      </c>
      <c r="T31" t="str">
        <f>"46/950"</f>
        <v>46/950</v>
      </c>
      <c r="U31" t="str">
        <f t="shared" si="15"/>
        <v>Магистральная ВОЛС</v>
      </c>
      <c r="V31" t="str">
        <f t="shared" si="17"/>
        <v>Нет</v>
      </c>
      <c r="W31" t="str">
        <f t="shared" si="17"/>
        <v>Нет</v>
      </c>
      <c r="X31" t="str">
        <f t="shared" si="17"/>
        <v>Нет</v>
      </c>
      <c r="Y31" t="str">
        <f t="shared" si="17"/>
        <v>Нет</v>
      </c>
      <c r="Z31" t="str">
        <f t="shared" si="17"/>
        <v>Нет</v>
      </c>
      <c r="AA31" t="str">
        <f>""</f>
        <v/>
      </c>
      <c r="AB31" t="str">
        <f t="shared" si="5"/>
        <v>Нет</v>
      </c>
      <c r="AC31" t="str">
        <f>"М 2.3.10 - ППК 2.3.7"</f>
        <v>М 2.3.10 - ППК 2.3.7</v>
      </c>
      <c r="AD31" t="str">
        <f t="shared" si="19"/>
        <v>01.02.2012</v>
      </c>
      <c r="AE31" t="str">
        <f>""</f>
        <v/>
      </c>
      <c r="AF31" t="str">
        <f>"[321217] М 2.3.10"</f>
        <v>[321217] М 2.3.10</v>
      </c>
      <c r="AG31" t="str">
        <f>"[321054] ГОК2.3.7.1 Курск, Звездная, 15  п. 3"</f>
        <v>[321054] ГОК2.3.7.1 Курск, Звездная, 15  п. 3</v>
      </c>
      <c r="AH31" t="str">
        <f>"М 2.3.10"</f>
        <v>М 2.3.10</v>
      </c>
      <c r="AI31" t="str">
        <f>"ППК 2.3.7"</f>
        <v>ППК 2.3.7</v>
      </c>
      <c r="AJ31" t="str">
        <f>""</f>
        <v/>
      </c>
      <c r="AK31" t="str">
        <f t="shared" si="11"/>
        <v>Нет</v>
      </c>
      <c r="AL31" t="str">
        <f>"51.724134 36.145899, 51.72436 36.145921, 51.724453 36.146044, 51.724619 36.146055"</f>
        <v>51.724134 36.145899, 51.72436 36.145921, 51.724453 36.146044, 51.724619 36.146055</v>
      </c>
      <c r="AM31" t="str">
        <f>"20000008024528"</f>
        <v>20000008024528</v>
      </c>
    </row>
    <row r="32" spans="1:39" x14ac:dyDescent="0.25">
      <c r="A32">
        <v>907</v>
      </c>
      <c r="B32" t="str">
        <f t="shared" si="0"/>
        <v>Курск</v>
      </c>
      <c r="C32">
        <v>802266</v>
      </c>
      <c r="D32" t="str">
        <f t="shared" si="1"/>
        <v>Оптический кабель</v>
      </c>
      <c r="E32" t="str">
        <f>"[46/951] М 2.3.10 - ГОК 2.3.8.1 Курск, Звездная, 19  п. 4"</f>
        <v>[46/951] М 2.3.10 - ГОК 2.3.8.1 Курск, Звездная, 19  п. 4</v>
      </c>
      <c r="F32" t="str">
        <f>"ДПТс-П-16А 2(6) 7кН (Мод:Кр,Нат)(Вол:Кр,Жел,Зел,..,Ор,Фиол)"</f>
        <v>ДПТс-П-16А 2(6) 7кН (Мод:Кр,Нат)(Вол:Кр,Жел,Зел,..,Ор,Фиол)</v>
      </c>
      <c r="G32" t="str">
        <f>""</f>
        <v/>
      </c>
      <c r="H32" t="str">
        <f t="shared" si="18"/>
        <v>МС 2.3</v>
      </c>
      <c r="I32">
        <v>77</v>
      </c>
      <c r="J32">
        <v>125</v>
      </c>
      <c r="K32">
        <v>0</v>
      </c>
      <c r="L32">
        <v>126</v>
      </c>
      <c r="M32" t="str">
        <f>"Воздушная трасса по стойкам"</f>
        <v>Воздушная трасса по стойкам</v>
      </c>
      <c r="N32" t="str">
        <f>"17.04.20122"</f>
        <v>17.04.20122</v>
      </c>
      <c r="O32">
        <v>10</v>
      </c>
      <c r="P32">
        <v>10</v>
      </c>
      <c r="Q32" t="str">
        <f>""</f>
        <v/>
      </c>
      <c r="R32" t="str">
        <f>"Курск, Звездная, 19"</f>
        <v>Курск, Звездная, 19</v>
      </c>
      <c r="S32" t="str">
        <f>""</f>
        <v/>
      </c>
      <c r="T32" t="str">
        <f>"46/951"</f>
        <v>46/951</v>
      </c>
      <c r="U32" t="str">
        <f t="shared" si="15"/>
        <v>Магистральная ВОЛС</v>
      </c>
      <c r="V32" t="str">
        <f t="shared" ref="V32:Z41" si="20">"Нет"</f>
        <v>Нет</v>
      </c>
      <c r="W32" t="str">
        <f t="shared" si="20"/>
        <v>Нет</v>
      </c>
      <c r="X32" t="str">
        <f t="shared" si="20"/>
        <v>Нет</v>
      </c>
      <c r="Y32" t="str">
        <f t="shared" si="20"/>
        <v>Нет</v>
      </c>
      <c r="Z32" t="str">
        <f t="shared" si="20"/>
        <v>Нет</v>
      </c>
      <c r="AA32" t="str">
        <f>""</f>
        <v/>
      </c>
      <c r="AB32" t="str">
        <f t="shared" si="5"/>
        <v>Нет</v>
      </c>
      <c r="AC32" t="str">
        <f>"М 2.3.10 - ППК 2.3.8"</f>
        <v>М 2.3.10 - ППК 2.3.8</v>
      </c>
      <c r="AD32" t="str">
        <f t="shared" si="19"/>
        <v>01.02.2012</v>
      </c>
      <c r="AE32" t="str">
        <f>""</f>
        <v/>
      </c>
      <c r="AF32" t="str">
        <f>"[321217] М 2.3.10"</f>
        <v>[321217] М 2.3.10</v>
      </c>
      <c r="AG32" t="str">
        <f>"[477054] ГОК 2.3.8.1 Курск, Звездная, 19  п. 4"</f>
        <v>[477054] ГОК 2.3.8.1 Курск, Звездная, 19  п. 4</v>
      </c>
      <c r="AH32" t="str">
        <f>"М 2.3.10"</f>
        <v>М 2.3.10</v>
      </c>
      <c r="AI32" t="str">
        <f>"ППК 2.3.8"</f>
        <v>ППК 2.3.8</v>
      </c>
      <c r="AJ32" t="str">
        <f>""</f>
        <v/>
      </c>
      <c r="AK32" t="str">
        <f t="shared" si="11"/>
        <v>Нет</v>
      </c>
      <c r="AL32" t="str">
        <f>"51.724117 36.145964, 51.723954 36.14599, 51.723552 36.146001, 51.723426 36.146007"</f>
        <v>51.724117 36.145964, 51.723954 36.14599, 51.723552 36.146001, 51.723426 36.146007</v>
      </c>
      <c r="AM32" t="str">
        <f>"20000008004385"</f>
        <v>20000008004385</v>
      </c>
    </row>
    <row r="33" spans="1:39" x14ac:dyDescent="0.25">
      <c r="A33">
        <v>907</v>
      </c>
      <c r="B33" t="str">
        <f t="shared" si="0"/>
        <v>Курск</v>
      </c>
      <c r="C33">
        <v>804203</v>
      </c>
      <c r="D33" t="str">
        <f t="shared" si="1"/>
        <v>Оптический кабель</v>
      </c>
      <c r="E33" t="str">
        <f>"[46/1006] МОК 2.2.2 Курск, Дружбы Пр-Кт, 4 б п.  - МС 2.2 "</f>
        <v xml:space="preserve">[46/1006] МОК 2.2.2 Курск, Дружбы Пр-Кт, 4 б п.  - МС 2.2 </v>
      </c>
      <c r="F33" t="str">
        <f>"ДПТа-П-128А 8(9) 7кН (Вол:Кр,Жел,Зел,...,Лайм,Нат)"</f>
        <v>ДПТа-П-128А 8(9) 7кН (Вол:Кр,Жел,Зел,...,Лайм,Нат)</v>
      </c>
      <c r="G33" t="str">
        <f>""</f>
        <v/>
      </c>
      <c r="H33" t="str">
        <f t="shared" ref="H33:H43" si="21">"МС 2.2"</f>
        <v>МС 2.2</v>
      </c>
      <c r="I33">
        <v>426</v>
      </c>
      <c r="J33">
        <v>478.94</v>
      </c>
      <c r="K33">
        <v>25</v>
      </c>
      <c r="L33">
        <v>484.04</v>
      </c>
      <c r="M33" t="str">
        <f>"Опоры"</f>
        <v>Опоры</v>
      </c>
      <c r="N33" t="str">
        <f t="shared" ref="N33:N43" si="22">"20.04.20122"</f>
        <v>20.04.20122</v>
      </c>
      <c r="O33">
        <v>128</v>
      </c>
      <c r="P33">
        <v>128</v>
      </c>
      <c r="Q33" t="str">
        <f>"Курск, Дружбы Пр-Кт, 4 б"</f>
        <v>Курск, Дружбы Пр-Кт, 4 б</v>
      </c>
      <c r="R33" t="str">
        <f>""</f>
        <v/>
      </c>
      <c r="S33" t="str">
        <f>""</f>
        <v/>
      </c>
      <c r="T33" t="str">
        <f>"46/1006"</f>
        <v>46/1006</v>
      </c>
      <c r="U33" t="str">
        <f t="shared" si="15"/>
        <v>Магистральная ВОЛС</v>
      </c>
      <c r="V33" t="str">
        <f t="shared" si="20"/>
        <v>Нет</v>
      </c>
      <c r="W33" t="str">
        <f t="shared" si="20"/>
        <v>Нет</v>
      </c>
      <c r="X33" t="str">
        <f t="shared" si="20"/>
        <v>Нет</v>
      </c>
      <c r="Y33" t="str">
        <f t="shared" si="20"/>
        <v>Нет</v>
      </c>
      <c r="Z33" t="str">
        <f t="shared" si="20"/>
        <v>Нет</v>
      </c>
      <c r="AA33" t="str">
        <f>""</f>
        <v/>
      </c>
      <c r="AB33" t="str">
        <f t="shared" si="5"/>
        <v>Нет</v>
      </c>
      <c r="AC33" t="str">
        <f>"М 2.4.1 - М 2.2.8"</f>
        <v>М 2.4.1 - М 2.2.8</v>
      </c>
      <c r="AD33" t="str">
        <f>"21.10.2011"</f>
        <v>21.10.2011</v>
      </c>
      <c r="AE33" t="str">
        <f>""</f>
        <v/>
      </c>
      <c r="AF33" t="str">
        <f>"[481816] МОК 2.2.2 Курск, Дружбы Пр-Кт, 4 б п."</f>
        <v>[481816] МОК 2.2.2 Курск, Дружбы Пр-Кт, 4 б п.</v>
      </c>
      <c r="AG33" t="str">
        <f>"[812118] МС 2.2"</f>
        <v>[812118] МС 2.2</v>
      </c>
      <c r="AH33" t="str">
        <f>"М 2.4.1"</f>
        <v>М 2.4.1</v>
      </c>
      <c r="AI33" t="str">
        <f>"М 2.2.8"</f>
        <v>М 2.2.8</v>
      </c>
      <c r="AJ33" t="str">
        <f>""</f>
        <v/>
      </c>
      <c r="AK33" t="str">
        <f t="shared" si="11"/>
        <v>Нет</v>
      </c>
      <c r="AL33" t="s">
        <v>8</v>
      </c>
      <c r="AM33" t="str">
        <f>"20000008048477"</f>
        <v>20000008048477</v>
      </c>
    </row>
    <row r="34" spans="1:39" x14ac:dyDescent="0.25">
      <c r="A34">
        <v>907</v>
      </c>
      <c r="B34" t="str">
        <f t="shared" si="0"/>
        <v>Курск</v>
      </c>
      <c r="C34">
        <v>804206</v>
      </c>
      <c r="D34" t="str">
        <f t="shared" si="1"/>
        <v>Оптический кабель</v>
      </c>
      <c r="E34" t="str">
        <f>"[46/1007] М 2.2.8 - М 2.2.7"</f>
        <v>[46/1007] М 2.2.8 - М 2.2.7</v>
      </c>
      <c r="F34" t="str">
        <f>"ДПТа-П-128А 8(9) 7кН (Вол:Кр,Жел,Зел,...,Лайм,Нат)"</f>
        <v>ДПТа-П-128А 8(9) 7кН (Вол:Кр,Жел,Зел,...,Лайм,Нат)</v>
      </c>
      <c r="G34" t="str">
        <f>""</f>
        <v/>
      </c>
      <c r="H34" t="str">
        <f t="shared" si="21"/>
        <v>МС 2.2</v>
      </c>
      <c r="I34">
        <v>1218</v>
      </c>
      <c r="J34">
        <v>1315</v>
      </c>
      <c r="K34">
        <v>90</v>
      </c>
      <c r="L34">
        <v>1321</v>
      </c>
      <c r="M34" t="str">
        <f>"Опоры"</f>
        <v>Опоры</v>
      </c>
      <c r="N34" t="str">
        <f t="shared" si="22"/>
        <v>20.04.20122</v>
      </c>
      <c r="O34">
        <v>128</v>
      </c>
      <c r="P34">
        <v>128</v>
      </c>
      <c r="Q34" t="str">
        <f>""</f>
        <v/>
      </c>
      <c r="R34" t="str">
        <f>""</f>
        <v/>
      </c>
      <c r="S34" t="str">
        <f>""</f>
        <v/>
      </c>
      <c r="T34" t="str">
        <f>"46/1007"</f>
        <v>46/1007</v>
      </c>
      <c r="U34" t="str">
        <f t="shared" si="15"/>
        <v>Магистральная ВОЛС</v>
      </c>
      <c r="V34" t="str">
        <f t="shared" si="20"/>
        <v>Нет</v>
      </c>
      <c r="W34" t="str">
        <f t="shared" si="20"/>
        <v>Нет</v>
      </c>
      <c r="X34" t="str">
        <f t="shared" si="20"/>
        <v>Нет</v>
      </c>
      <c r="Y34" t="str">
        <f t="shared" si="20"/>
        <v>Нет</v>
      </c>
      <c r="Z34" t="str">
        <f t="shared" si="20"/>
        <v>Нет</v>
      </c>
      <c r="AA34" t="str">
        <f>""</f>
        <v/>
      </c>
      <c r="AB34" t="str">
        <f t="shared" si="5"/>
        <v>Нет</v>
      </c>
      <c r="AC34" t="str">
        <f>"М 2.2.8 - М 2.2.7"</f>
        <v>М 2.2.8 - М 2.2.7</v>
      </c>
      <c r="AD34" t="str">
        <f>"20.10.2011"</f>
        <v>20.10.2011</v>
      </c>
      <c r="AE34" t="str">
        <f>""</f>
        <v/>
      </c>
      <c r="AF34" t="str">
        <f>"[329165] М 2.2.8"</f>
        <v>[329165] М 2.2.8</v>
      </c>
      <c r="AG34" t="str">
        <f>"[329161] М 2.2.7"</f>
        <v>[329161] М 2.2.7</v>
      </c>
      <c r="AH34" t="str">
        <f>"М 2.2.8"</f>
        <v>М 2.2.8</v>
      </c>
      <c r="AI34" t="str">
        <f>"М 2.2.7"</f>
        <v>М 2.2.7</v>
      </c>
      <c r="AJ34" t="str">
        <f>""</f>
        <v/>
      </c>
      <c r="AK34" t="str">
        <f t="shared" si="11"/>
        <v>Нет</v>
      </c>
      <c r="AL34" t="str">
        <f>"51.740234 36.144384, 51.733397 36.13141"</f>
        <v>51.740234 36.144384, 51.733397 36.13141</v>
      </c>
      <c r="AM34" t="str">
        <f>"20000008040050"</f>
        <v>20000008040050</v>
      </c>
    </row>
    <row r="35" spans="1:39" x14ac:dyDescent="0.25">
      <c r="A35">
        <v>907</v>
      </c>
      <c r="B35" t="str">
        <f t="shared" si="0"/>
        <v>Курск</v>
      </c>
      <c r="C35">
        <v>804243</v>
      </c>
      <c r="D35" t="str">
        <f t="shared" si="1"/>
        <v>Оптический кабель</v>
      </c>
      <c r="E35" t="str">
        <f>"[46/1011] М 2.2.6 - ГОК2.2.6.1 Курск, К.Воробьева, 7  п. 1"</f>
        <v>[46/1011] М 2.2.6 - ГОК2.2.6.1 Курск, К.Воробьева, 7  п. 1</v>
      </c>
      <c r="F35" t="str">
        <f>"ДПТс-П-16А 2(6) 7кН (Мод:Кр,Нат)(Вол:Кр,Жел,Зел,..,Ор,Фиол)"</f>
        <v>ДПТс-П-16А 2(6) 7кН (Мод:Кр,Нат)(Вол:Кр,Жел,Зел,..,Ор,Фиол)</v>
      </c>
      <c r="G35" t="str">
        <f>""</f>
        <v/>
      </c>
      <c r="H35" t="str">
        <f t="shared" si="21"/>
        <v>МС 2.2</v>
      </c>
      <c r="I35">
        <v>25</v>
      </c>
      <c r="J35">
        <v>70</v>
      </c>
      <c r="K35">
        <v>40</v>
      </c>
      <c r="L35">
        <v>70</v>
      </c>
      <c r="M35" t="str">
        <f t="shared" ref="M35:M44" si="23">"Воздушная трасса по стойкам"</f>
        <v>Воздушная трасса по стойкам</v>
      </c>
      <c r="N35" t="str">
        <f t="shared" si="22"/>
        <v>20.04.20122</v>
      </c>
      <c r="O35">
        <v>10</v>
      </c>
      <c r="P35">
        <v>10</v>
      </c>
      <c r="Q35" t="str">
        <f>""</f>
        <v/>
      </c>
      <c r="R35" t="str">
        <f>"Курск, К.Воробьева, 7"</f>
        <v>Курск, К.Воробьева, 7</v>
      </c>
      <c r="S35" t="str">
        <f>""</f>
        <v/>
      </c>
      <c r="T35" t="str">
        <f>"46/1011"</f>
        <v>46/1011</v>
      </c>
      <c r="U35" t="str">
        <f t="shared" si="15"/>
        <v>Магистральная ВОЛС</v>
      </c>
      <c r="V35" t="str">
        <f t="shared" si="20"/>
        <v>Нет</v>
      </c>
      <c r="W35" t="str">
        <f t="shared" si="20"/>
        <v>Нет</v>
      </c>
      <c r="X35" t="str">
        <f t="shared" si="20"/>
        <v>Нет</v>
      </c>
      <c r="Y35" t="str">
        <f t="shared" si="20"/>
        <v>Нет</v>
      </c>
      <c r="Z35" t="str">
        <f t="shared" si="20"/>
        <v>Нет</v>
      </c>
      <c r="AA35" t="str">
        <f>""</f>
        <v/>
      </c>
      <c r="AB35" t="str">
        <f t="shared" si="5"/>
        <v>Нет</v>
      </c>
      <c r="AC35" t="str">
        <f>"М 2.2.6 - ППК 2.2.6"</f>
        <v>М 2.2.6 - ППК 2.2.6</v>
      </c>
      <c r="AD35" t="str">
        <f>"20.10.2011"</f>
        <v>20.10.2011</v>
      </c>
      <c r="AE35" t="str">
        <f>""</f>
        <v/>
      </c>
      <c r="AF35" t="str">
        <f>"[329157] М 2.2.6"</f>
        <v>[329157] М 2.2.6</v>
      </c>
      <c r="AG35" t="str">
        <f>"[329111] ГОК2.2.6.1 Курск, К.Воробьева, 7  п. 1"</f>
        <v>[329111] ГОК2.2.6.1 Курск, К.Воробьева, 7  п. 1</v>
      </c>
      <c r="AH35" t="str">
        <f>"М 2.2.6"</f>
        <v>М 2.2.6</v>
      </c>
      <c r="AI35" t="str">
        <f>"ППК 2.2.6"</f>
        <v>ППК 2.2.6</v>
      </c>
      <c r="AJ35" t="str">
        <f>""</f>
        <v/>
      </c>
      <c r="AK35" t="str">
        <f t="shared" si="11"/>
        <v>Нет</v>
      </c>
      <c r="AL35" t="str">
        <f>"51.732743 36.126877, 51.732773 36.126518"</f>
        <v>51.732743 36.126877, 51.732773 36.126518</v>
      </c>
      <c r="AM35" t="str">
        <f>"20000008004374"</f>
        <v>20000008004374</v>
      </c>
    </row>
    <row r="36" spans="1:39" x14ac:dyDescent="0.25">
      <c r="A36">
        <v>907</v>
      </c>
      <c r="B36" t="str">
        <f t="shared" si="0"/>
        <v>Курск</v>
      </c>
      <c r="C36">
        <v>804246</v>
      </c>
      <c r="D36" t="str">
        <f t="shared" si="1"/>
        <v>Оптический кабель</v>
      </c>
      <c r="E36" t="str">
        <f>"[46/1012] М 2.2.5 - ГОК2.2.4.1 Курск, Косухина, 35  п. 3"</f>
        <v>[46/1012] М 2.2.5 - ГОК2.2.4.1 Курск, Косухина, 35  п. 3</v>
      </c>
      <c r="F36" t="str">
        <f>"ДПТс-П-16А 2(6) 7кН (Мод:Кр,Нат)(Вол:Кр,Жел,Зел,..,Ор,Фиол)"</f>
        <v>ДПТс-П-16А 2(6) 7кН (Мод:Кр,Нат)(Вол:Кр,Жел,Зел,..,Ор,Фиол)</v>
      </c>
      <c r="G36" t="str">
        <f>""</f>
        <v/>
      </c>
      <c r="H36" t="str">
        <f t="shared" si="21"/>
        <v>МС 2.2</v>
      </c>
      <c r="I36">
        <v>22</v>
      </c>
      <c r="J36">
        <v>70</v>
      </c>
      <c r="K36">
        <v>47</v>
      </c>
      <c r="L36">
        <v>70</v>
      </c>
      <c r="M36" t="str">
        <f t="shared" si="23"/>
        <v>Воздушная трасса по стойкам</v>
      </c>
      <c r="N36" t="str">
        <f t="shared" si="22"/>
        <v>20.04.20122</v>
      </c>
      <c r="O36">
        <v>10</v>
      </c>
      <c r="P36">
        <v>10</v>
      </c>
      <c r="Q36" t="str">
        <f>""</f>
        <v/>
      </c>
      <c r="R36" t="str">
        <f>"Курск, Косухина, 35"</f>
        <v>Курск, Косухина, 35</v>
      </c>
      <c r="S36" t="str">
        <f>""</f>
        <v/>
      </c>
      <c r="T36" t="str">
        <f>"46/1012"</f>
        <v>46/1012</v>
      </c>
      <c r="U36" t="str">
        <f t="shared" si="15"/>
        <v>Магистральная ВОЛС</v>
      </c>
      <c r="V36" t="str">
        <f t="shared" si="20"/>
        <v>Нет</v>
      </c>
      <c r="W36" t="str">
        <f t="shared" si="20"/>
        <v>Нет</v>
      </c>
      <c r="X36" t="str">
        <f t="shared" si="20"/>
        <v>Нет</v>
      </c>
      <c r="Y36" t="str">
        <f t="shared" si="20"/>
        <v>Нет</v>
      </c>
      <c r="Z36" t="str">
        <f t="shared" si="20"/>
        <v>Нет</v>
      </c>
      <c r="AA36" t="str">
        <f>""</f>
        <v/>
      </c>
      <c r="AB36" t="str">
        <f t="shared" si="5"/>
        <v>Нет</v>
      </c>
      <c r="AC36" t="str">
        <f>"М 2.2.5 - ППК 2.2.4"</f>
        <v>М 2.2.5 - ППК 2.2.4</v>
      </c>
      <c r="AD36" t="str">
        <f>"20.08.2011"</f>
        <v>20.08.2011</v>
      </c>
      <c r="AE36" t="str">
        <f>""</f>
        <v/>
      </c>
      <c r="AF36" t="str">
        <f>"[329153] М 2.2.5"</f>
        <v>[329153] М 2.2.5</v>
      </c>
      <c r="AG36" t="str">
        <f>"[329098] ГОК2.2.4.1 Курск, Косухина, 35  п. 3"</f>
        <v>[329098] ГОК2.2.4.1 Курск, Косухина, 35  п. 3</v>
      </c>
      <c r="AH36" t="str">
        <f>"М 2.2.5"</f>
        <v>М 2.2.5</v>
      </c>
      <c r="AI36" t="str">
        <f>"ППК 2.2.4"</f>
        <v>ППК 2.2.4</v>
      </c>
      <c r="AJ36" t="str">
        <f>""</f>
        <v/>
      </c>
      <c r="AK36" t="str">
        <f t="shared" si="11"/>
        <v>Нет</v>
      </c>
      <c r="AL36" t="str">
        <f>"51.732863 36.128481, 51.732846 36.128803"</f>
        <v>51.732863 36.128481, 51.732846 36.128803</v>
      </c>
      <c r="AM36" t="str">
        <f>"20000008004373"</f>
        <v>20000008004373</v>
      </c>
    </row>
    <row r="37" spans="1:39" x14ac:dyDescent="0.25">
      <c r="A37">
        <v>907</v>
      </c>
      <c r="B37" t="str">
        <f t="shared" si="0"/>
        <v>Курск</v>
      </c>
      <c r="C37">
        <v>804268</v>
      </c>
      <c r="D37" t="str">
        <f t="shared" si="1"/>
        <v>Оптический кабель</v>
      </c>
      <c r="E37" t="str">
        <f>"[46/1014] М 2.2.4 - ГОК2.2.3.1 Курск, Косухина, 7  п. 2"</f>
        <v>[46/1014] М 2.2.4 - ГОК2.2.3.1 Курск, Косухина, 7  п. 2</v>
      </c>
      <c r="F37" t="str">
        <f>"ДПТс-П-16А 2(6) 7кН (Мод:Кр,Нат)(Вол:Кр,Жел,Зел,..,Ор,Фиол)"</f>
        <v>ДПТс-П-16А 2(6) 7кН (Мод:Кр,Нат)(Вол:Кр,Жел,Зел,..,Ор,Фиол)</v>
      </c>
      <c r="G37" t="str">
        <f>""</f>
        <v/>
      </c>
      <c r="H37" t="str">
        <f t="shared" si="21"/>
        <v>МС 2.2</v>
      </c>
      <c r="I37">
        <v>21</v>
      </c>
      <c r="J37">
        <v>70</v>
      </c>
      <c r="K37">
        <v>40</v>
      </c>
      <c r="L37">
        <v>70</v>
      </c>
      <c r="M37" t="str">
        <f t="shared" si="23"/>
        <v>Воздушная трасса по стойкам</v>
      </c>
      <c r="N37" t="str">
        <f t="shared" si="22"/>
        <v>20.04.20122</v>
      </c>
      <c r="O37">
        <v>10</v>
      </c>
      <c r="P37">
        <v>10</v>
      </c>
      <c r="Q37" t="str">
        <f>""</f>
        <v/>
      </c>
      <c r="R37" t="str">
        <f>"Курск, Косухина, 7"</f>
        <v>Курск, Косухина, 7</v>
      </c>
      <c r="S37" t="str">
        <f>""</f>
        <v/>
      </c>
      <c r="T37" t="str">
        <f>"46/1014"</f>
        <v>46/1014</v>
      </c>
      <c r="U37" t="str">
        <f t="shared" si="15"/>
        <v>Магистральная ВОЛС</v>
      </c>
      <c r="V37" t="str">
        <f t="shared" si="20"/>
        <v>Нет</v>
      </c>
      <c r="W37" t="str">
        <f t="shared" si="20"/>
        <v>Нет</v>
      </c>
      <c r="X37" t="str">
        <f t="shared" si="20"/>
        <v>Нет</v>
      </c>
      <c r="Y37" t="str">
        <f t="shared" si="20"/>
        <v>Нет</v>
      </c>
      <c r="Z37" t="str">
        <f t="shared" si="20"/>
        <v>Нет</v>
      </c>
      <c r="AA37" t="str">
        <f>""</f>
        <v/>
      </c>
      <c r="AB37" t="str">
        <f t="shared" si="5"/>
        <v>Нет</v>
      </c>
      <c r="AC37" t="str">
        <f>"М 2.2.4 - ППК 2.2.3"</f>
        <v>М 2.2.4 - ППК 2.2.3</v>
      </c>
      <c r="AD37" t="str">
        <f t="shared" ref="AD37:AD43" si="24">"20.10.2011"</f>
        <v>20.10.2011</v>
      </c>
      <c r="AE37" t="str">
        <f>""</f>
        <v/>
      </c>
      <c r="AF37" t="str">
        <f>"[329149] М 2.2.4"</f>
        <v>[329149] М 2.2.4</v>
      </c>
      <c r="AG37" t="str">
        <f>"[329085] ГОК2.2.3.1 Курск, Косухина, 7  п. 2"</f>
        <v>[329085] ГОК2.2.3.1 Курск, Косухина, 7  п. 2</v>
      </c>
      <c r="AH37" t="str">
        <f>"М 2.2.4"</f>
        <v>М 2.2.4</v>
      </c>
      <c r="AI37" t="str">
        <f>"ППК 2.2.3"</f>
        <v>ППК 2.2.3</v>
      </c>
      <c r="AJ37" t="str">
        <f>""</f>
        <v/>
      </c>
      <c r="AK37" t="str">
        <f t="shared" si="11"/>
        <v>Нет</v>
      </c>
      <c r="AL37" t="str">
        <f>"51.736746 36.133282, 51.736643 36.133025"</f>
        <v>51.736746 36.133282, 51.736643 36.133025</v>
      </c>
      <c r="AM37" t="str">
        <f>"20000008039152"</f>
        <v>20000008039152</v>
      </c>
    </row>
    <row r="38" spans="1:39" x14ac:dyDescent="0.25">
      <c r="A38">
        <v>907</v>
      </c>
      <c r="B38" t="str">
        <f t="shared" si="0"/>
        <v>Курск</v>
      </c>
      <c r="C38">
        <v>804271</v>
      </c>
      <c r="D38" t="str">
        <f t="shared" si="1"/>
        <v>Оптический кабель</v>
      </c>
      <c r="E38" t="str">
        <f>"[46/1015] М 2.2.4 - М 2.2.3"</f>
        <v>[46/1015] М 2.2.4 - М 2.2.3</v>
      </c>
      <c r="F38" t="str">
        <f>"ДПТа-П-64А 6(6) 7кН (Кр,Жел,Зел,..,8-Фиол,9-Бел,..,Бир,Роз)"</f>
        <v>ДПТа-П-64А 6(6) 7кН (Кр,Жел,Зел,..,8-Фиол,9-Бел,..,Бир,Роз)</v>
      </c>
      <c r="G38" t="str">
        <f>""</f>
        <v/>
      </c>
      <c r="H38" t="str">
        <f t="shared" si="21"/>
        <v>МС 2.2</v>
      </c>
      <c r="I38">
        <v>319</v>
      </c>
      <c r="J38">
        <v>430</v>
      </c>
      <c r="K38">
        <v>110</v>
      </c>
      <c r="L38">
        <v>432</v>
      </c>
      <c r="M38" t="str">
        <f t="shared" si="23"/>
        <v>Воздушная трасса по стойкам</v>
      </c>
      <c r="N38" t="str">
        <f t="shared" si="22"/>
        <v>20.04.20122</v>
      </c>
      <c r="O38">
        <v>64</v>
      </c>
      <c r="P38">
        <v>64</v>
      </c>
      <c r="Q38" t="str">
        <f>""</f>
        <v/>
      </c>
      <c r="R38" t="str">
        <f>""</f>
        <v/>
      </c>
      <c r="S38" t="str">
        <f>""</f>
        <v/>
      </c>
      <c r="T38" t="str">
        <f>"46/1015"</f>
        <v>46/1015</v>
      </c>
      <c r="U38" t="str">
        <f t="shared" si="15"/>
        <v>Магистральная ВОЛС</v>
      </c>
      <c r="V38" t="str">
        <f t="shared" si="20"/>
        <v>Нет</v>
      </c>
      <c r="W38" t="str">
        <f t="shared" si="20"/>
        <v>Нет</v>
      </c>
      <c r="X38" t="str">
        <f t="shared" si="20"/>
        <v>Нет</v>
      </c>
      <c r="Y38" t="str">
        <f t="shared" si="20"/>
        <v>Нет</v>
      </c>
      <c r="Z38" t="str">
        <f t="shared" si="20"/>
        <v>Нет</v>
      </c>
      <c r="AA38" t="str">
        <f>""</f>
        <v/>
      </c>
      <c r="AB38" t="str">
        <f t="shared" si="5"/>
        <v>Нет</v>
      </c>
      <c r="AC38" t="str">
        <f>"М 2.2.4 - М 2.2.3"</f>
        <v>М 2.2.4 - М 2.2.3</v>
      </c>
      <c r="AD38" t="str">
        <f t="shared" si="24"/>
        <v>20.10.2011</v>
      </c>
      <c r="AE38" t="str">
        <f>""</f>
        <v/>
      </c>
      <c r="AF38" t="str">
        <f>"[329149] М 2.2.4"</f>
        <v>[329149] М 2.2.4</v>
      </c>
      <c r="AG38" t="str">
        <f>"[329145] М 2.2.3"</f>
        <v>[329145] М 2.2.3</v>
      </c>
      <c r="AH38" t="str">
        <f>"М 2.2.4"</f>
        <v>М 2.2.4</v>
      </c>
      <c r="AI38" t="str">
        <f>"М 2.2.3"</f>
        <v>М 2.2.3</v>
      </c>
      <c r="AJ38" t="str">
        <f>""</f>
        <v/>
      </c>
      <c r="AK38" t="str">
        <f t="shared" si="11"/>
        <v>Нет</v>
      </c>
      <c r="AL38" t="str">
        <f>"51.73676 36.133298, 51.737058 36.134307, 51.737457 36.135482, 51.737603 36.135777, 51.737939 36.135519, 51.738045 36.135584, 51.7386 36.135101"</f>
        <v>51.73676 36.133298, 51.737058 36.134307, 51.737457 36.135482, 51.737603 36.135777, 51.737939 36.135519, 51.738045 36.135584, 51.7386 36.135101</v>
      </c>
      <c r="AM38" t="str">
        <f>"20000008045151"</f>
        <v>20000008045151</v>
      </c>
    </row>
    <row r="39" spans="1:39" x14ac:dyDescent="0.25">
      <c r="A39">
        <v>907</v>
      </c>
      <c r="B39" t="str">
        <f t="shared" si="0"/>
        <v>Курск</v>
      </c>
      <c r="C39">
        <v>804279</v>
      </c>
      <c r="D39" t="str">
        <f t="shared" si="1"/>
        <v>Оптический кабель</v>
      </c>
      <c r="E39" t="str">
        <f>"[46/1017] М 2.2.3 - ГОК2.2.1.1 Курск, Энтузиастов Пр-Кт, 8 а п. 1"</f>
        <v>[46/1017] М 2.2.3 - ГОК2.2.1.1 Курск, Энтузиастов Пр-Кт, 8 а п. 1</v>
      </c>
      <c r="F39" t="str">
        <f>"ДПТс-П-16А 2(6) 7кН (Мод:Кр,Нат)(Вол:Кр,Жел,Зел,..,Ор,Фиол)"</f>
        <v>ДПТс-П-16А 2(6) 7кН (Мод:Кр,Нат)(Вол:Кр,Жел,Зел,..,Ор,Фиол)</v>
      </c>
      <c r="G39" t="str">
        <f>""</f>
        <v/>
      </c>
      <c r="H39" t="str">
        <f t="shared" si="21"/>
        <v>МС 2.2</v>
      </c>
      <c r="I39">
        <v>161</v>
      </c>
      <c r="J39">
        <v>220</v>
      </c>
      <c r="K39">
        <v>58</v>
      </c>
      <c r="L39">
        <v>222</v>
      </c>
      <c r="M39" t="str">
        <f t="shared" si="23"/>
        <v>Воздушная трасса по стойкам</v>
      </c>
      <c r="N39" t="str">
        <f t="shared" si="22"/>
        <v>20.04.20122</v>
      </c>
      <c r="O39">
        <v>10</v>
      </c>
      <c r="P39">
        <v>10</v>
      </c>
      <c r="Q39" t="str">
        <f>""</f>
        <v/>
      </c>
      <c r="R39" t="str">
        <f>"Курск, Энтузиастов Пр-Кт, 8 а"</f>
        <v>Курск, Энтузиастов Пр-Кт, 8 а</v>
      </c>
      <c r="S39" t="str">
        <f>""</f>
        <v/>
      </c>
      <c r="T39" t="str">
        <f>"46/1017"</f>
        <v>46/1017</v>
      </c>
      <c r="U39" t="str">
        <f t="shared" si="15"/>
        <v>Магистральная ВОЛС</v>
      </c>
      <c r="V39" t="str">
        <f t="shared" si="20"/>
        <v>Нет</v>
      </c>
      <c r="W39" t="str">
        <f t="shared" si="20"/>
        <v>Нет</v>
      </c>
      <c r="X39" t="str">
        <f t="shared" si="20"/>
        <v>Нет</v>
      </c>
      <c r="Y39" t="str">
        <f t="shared" si="20"/>
        <v>Нет</v>
      </c>
      <c r="Z39" t="str">
        <f t="shared" si="20"/>
        <v>Нет</v>
      </c>
      <c r="AA39" t="str">
        <f>""</f>
        <v/>
      </c>
      <c r="AB39" t="str">
        <f t="shared" si="5"/>
        <v>Нет</v>
      </c>
      <c r="AC39" t="str">
        <f>"М 2.2.3 - ППК 2.2.1"</f>
        <v>М 2.2.3 - ППК 2.2.1</v>
      </c>
      <c r="AD39" t="str">
        <f t="shared" si="24"/>
        <v>20.10.2011</v>
      </c>
      <c r="AE39" t="str">
        <f>""</f>
        <v/>
      </c>
      <c r="AF39" t="str">
        <f>"[329145] М 2.2.3"</f>
        <v>[329145] М 2.2.3</v>
      </c>
      <c r="AG39" t="str">
        <f>"[329046] ГОК2.2.1.1 Курск, Энтузиастов Пр-Кт, 8 а п. 1"</f>
        <v>[329046] ГОК2.2.1.1 Курск, Энтузиастов Пр-Кт, 8 а п. 1</v>
      </c>
      <c r="AH39" t="str">
        <f>"М 2.2.3"</f>
        <v>М 2.2.3</v>
      </c>
      <c r="AI39" t="str">
        <f>"ППК 2.2.1"</f>
        <v>ППК 2.2.1</v>
      </c>
      <c r="AJ39" t="str">
        <f>""</f>
        <v/>
      </c>
      <c r="AK39" t="str">
        <f t="shared" si="11"/>
        <v>Нет</v>
      </c>
      <c r="AL39" t="str">
        <f>"51.7386 36.13509, 51.738786 36.134913, 51.739085 36.134495, 51.739613 36.134006, 51.739749 36.134087, 51.739822 36.134028"</f>
        <v>51.7386 36.13509, 51.738786 36.134913, 51.739085 36.134495, 51.739613 36.134006, 51.739749 36.134087, 51.739822 36.134028</v>
      </c>
      <c r="AM39" t="str">
        <f>"20000008024519"</f>
        <v>20000008024519</v>
      </c>
    </row>
    <row r="40" spans="1:39" x14ac:dyDescent="0.25">
      <c r="A40">
        <v>907</v>
      </c>
      <c r="B40" t="str">
        <f t="shared" si="0"/>
        <v>Курск</v>
      </c>
      <c r="C40">
        <v>804282</v>
      </c>
      <c r="D40" t="str">
        <f t="shared" si="1"/>
        <v>Оптический кабель</v>
      </c>
      <c r="E40" t="str">
        <f>"[46/1018] М 2.2.3 - М 2.2.2"</f>
        <v>[46/1018] М 2.2.3 - М 2.2.2</v>
      </c>
      <c r="F40" t="str">
        <f>"ДПТа-П-64А 6(6) 7кН (Кр,Жел,Зел,..,8-Фиол,9-Бел,..,Бир,Роз)"</f>
        <v>ДПТа-П-64А 6(6) 7кН (Кр,Жел,Зел,..,8-Фиол,9-Бел,..,Бир,Роз)</v>
      </c>
      <c r="G40" t="str">
        <f>""</f>
        <v/>
      </c>
      <c r="H40" t="str">
        <f t="shared" si="21"/>
        <v>МС 2.2</v>
      </c>
      <c r="I40">
        <v>104</v>
      </c>
      <c r="J40">
        <v>190</v>
      </c>
      <c r="K40">
        <v>86</v>
      </c>
      <c r="L40">
        <v>191</v>
      </c>
      <c r="M40" t="str">
        <f t="shared" si="23"/>
        <v>Воздушная трасса по стойкам</v>
      </c>
      <c r="N40" t="str">
        <f t="shared" si="22"/>
        <v>20.04.20122</v>
      </c>
      <c r="O40">
        <v>64</v>
      </c>
      <c r="P40">
        <v>64</v>
      </c>
      <c r="Q40" t="str">
        <f>""</f>
        <v/>
      </c>
      <c r="R40" t="str">
        <f>""</f>
        <v/>
      </c>
      <c r="S40" t="str">
        <f>""</f>
        <v/>
      </c>
      <c r="T40" t="str">
        <f>"46/1018"</f>
        <v>46/1018</v>
      </c>
      <c r="U40" t="str">
        <f t="shared" si="15"/>
        <v>Магистральная ВОЛС</v>
      </c>
      <c r="V40" t="str">
        <f t="shared" si="20"/>
        <v>Нет</v>
      </c>
      <c r="W40" t="str">
        <f t="shared" si="20"/>
        <v>Нет</v>
      </c>
      <c r="X40" t="str">
        <f t="shared" si="20"/>
        <v>Нет</v>
      </c>
      <c r="Y40" t="str">
        <f t="shared" si="20"/>
        <v>Нет</v>
      </c>
      <c r="Z40" t="str">
        <f t="shared" si="20"/>
        <v>Нет</v>
      </c>
      <c r="AA40" t="str">
        <f>""</f>
        <v/>
      </c>
      <c r="AB40" t="str">
        <f t="shared" si="5"/>
        <v>Нет</v>
      </c>
      <c r="AC40" t="str">
        <f>"М 2.2.3 - М 2.2.2"</f>
        <v>М 2.2.3 - М 2.2.2</v>
      </c>
      <c r="AD40" t="str">
        <f t="shared" si="24"/>
        <v>20.10.2011</v>
      </c>
      <c r="AE40" t="str">
        <f>""</f>
        <v/>
      </c>
      <c r="AF40" t="str">
        <f>"[329145] М 2.2.3"</f>
        <v>[329145] М 2.2.3</v>
      </c>
      <c r="AG40" t="str">
        <f>"[329141] М 2.2.2"</f>
        <v>[329141] М 2.2.2</v>
      </c>
      <c r="AH40" t="str">
        <f>"М 2.2.3"</f>
        <v>М 2.2.3</v>
      </c>
      <c r="AI40" t="str">
        <f>"М 2.2.2"</f>
        <v>М 2.2.2</v>
      </c>
      <c r="AJ40" t="str">
        <f>""</f>
        <v/>
      </c>
      <c r="AK40" t="str">
        <f t="shared" si="11"/>
        <v>Нет</v>
      </c>
      <c r="AL40" t="str">
        <f>"51.738607 36.135138, 51.738796 36.134993, 51.739151 36.136013"</f>
        <v>51.738607 36.135138, 51.738796 36.134993, 51.739151 36.136013</v>
      </c>
      <c r="AM40" t="str">
        <f>"20000008031641"</f>
        <v>20000008031641</v>
      </c>
    </row>
    <row r="41" spans="1:39" x14ac:dyDescent="0.25">
      <c r="A41">
        <v>907</v>
      </c>
      <c r="B41" t="str">
        <f t="shared" si="0"/>
        <v>Курск</v>
      </c>
      <c r="C41">
        <v>804287</v>
      </c>
      <c r="D41" t="str">
        <f t="shared" si="1"/>
        <v>Оптический кабель</v>
      </c>
      <c r="E41" t="str">
        <f>"[46/1019] М 2.2.2 - ГОК2.2.7.1 Курск, Энтузиастов Пр-Кт, 1  п. 8"</f>
        <v>[46/1019] М 2.2.2 - ГОК2.2.7.1 Курск, Энтузиастов Пр-Кт, 1  п. 8</v>
      </c>
      <c r="F41" t="str">
        <f>"ДПТс-П-16А 2(6) 7кН (Мод:Кр,Нат)(Вол:Кр,Жел,Зел,..,Ор,Фиол)"</f>
        <v>ДПТс-П-16А 2(6) 7кН (Мод:Кр,Нат)(Вол:Кр,Жел,Зел,..,Ор,Фиол)</v>
      </c>
      <c r="G41" t="str">
        <f>""</f>
        <v/>
      </c>
      <c r="H41" t="str">
        <f t="shared" si="21"/>
        <v>МС 2.2</v>
      </c>
      <c r="I41">
        <v>15</v>
      </c>
      <c r="J41">
        <v>70</v>
      </c>
      <c r="K41">
        <v>50</v>
      </c>
      <c r="L41">
        <v>70</v>
      </c>
      <c r="M41" t="str">
        <f t="shared" si="23"/>
        <v>Воздушная трасса по стойкам</v>
      </c>
      <c r="N41" t="str">
        <f t="shared" si="22"/>
        <v>20.04.20122</v>
      </c>
      <c r="O41">
        <v>10</v>
      </c>
      <c r="P41">
        <v>10</v>
      </c>
      <c r="Q41" t="str">
        <f>""</f>
        <v/>
      </c>
      <c r="R41" t="str">
        <f>"Курск, Энтузиастов Пр-Кт, 1"</f>
        <v>Курск, Энтузиастов Пр-Кт, 1</v>
      </c>
      <c r="S41" t="str">
        <f>""</f>
        <v/>
      </c>
      <c r="T41" t="str">
        <f>"46/1019"</f>
        <v>46/1019</v>
      </c>
      <c r="U41" t="str">
        <f t="shared" si="15"/>
        <v>Магистральная ВОЛС</v>
      </c>
      <c r="V41" t="str">
        <f t="shared" si="20"/>
        <v>Нет</v>
      </c>
      <c r="W41" t="str">
        <f t="shared" si="20"/>
        <v>Нет</v>
      </c>
      <c r="X41" t="str">
        <f t="shared" si="20"/>
        <v>Нет</v>
      </c>
      <c r="Y41" t="str">
        <f t="shared" si="20"/>
        <v>Нет</v>
      </c>
      <c r="Z41" t="str">
        <f t="shared" si="20"/>
        <v>Нет</v>
      </c>
      <c r="AA41" t="str">
        <f>""</f>
        <v/>
      </c>
      <c r="AB41" t="str">
        <f t="shared" si="5"/>
        <v>Нет</v>
      </c>
      <c r="AC41" t="str">
        <f>"М 2.2.2 - ППК 2.2.7"</f>
        <v>М 2.2.2 - ППК 2.2.7</v>
      </c>
      <c r="AD41" t="str">
        <f t="shared" si="24"/>
        <v>20.10.2011</v>
      </c>
      <c r="AE41" t="str">
        <f>""</f>
        <v/>
      </c>
      <c r="AF41" t="str">
        <f>"[329141] М 2.2.2"</f>
        <v>[329141] М 2.2.2</v>
      </c>
      <c r="AG41" t="str">
        <f>"[329033] ГОК2.2.7.1 Курск, Энтузиастов Пр-Кт, 1  п. 8"</f>
        <v>[329033] ГОК2.2.7.1 Курск, Энтузиастов Пр-Кт, 1  п. 8</v>
      </c>
      <c r="AH41" t="str">
        <f>"М 2.2.2"</f>
        <v>М 2.2.2</v>
      </c>
      <c r="AI41" t="str">
        <f>"ППК 2.2.7"</f>
        <v>ППК 2.2.7</v>
      </c>
      <c r="AJ41" t="str">
        <f>""</f>
        <v/>
      </c>
      <c r="AK41" t="str">
        <f t="shared" si="11"/>
        <v>Нет</v>
      </c>
      <c r="AL41" t="str">
        <f>"51.739151 36.135997, 51.739032 36.136099"</f>
        <v>51.739151 36.135997, 51.739032 36.136099</v>
      </c>
      <c r="AM41" t="str">
        <f>"20000008035107"</f>
        <v>20000008035107</v>
      </c>
    </row>
    <row r="42" spans="1:39" x14ac:dyDescent="0.25">
      <c r="A42">
        <v>907</v>
      </c>
      <c r="B42" t="str">
        <f t="shared" si="0"/>
        <v>Курск</v>
      </c>
      <c r="C42">
        <v>804303</v>
      </c>
      <c r="D42" t="str">
        <f t="shared" si="1"/>
        <v>Оптический кабель</v>
      </c>
      <c r="E42" t="str">
        <f>"[46/1021] М 2.2.1 - ГОК2.2.8.1 Курск, Дружбы Пр-Кт, 18  п. 1"</f>
        <v>[46/1021] М 2.2.1 - ГОК2.2.8.1 Курск, Дружбы Пр-Кт, 18  п. 1</v>
      </c>
      <c r="F42" t="str">
        <f>"ДПТс-П-16А 2(6) 7кН (Мод:Кр,Нат)(Вол:Кр,Жел,Зел,..,Ор,Фиол)"</f>
        <v>ДПТс-П-16А 2(6) 7кН (Мод:Кр,Нат)(Вол:Кр,Жел,Зел,..,Ор,Фиол)</v>
      </c>
      <c r="G42" t="str">
        <f>""</f>
        <v/>
      </c>
      <c r="H42" t="str">
        <f t="shared" si="21"/>
        <v>МС 2.2</v>
      </c>
      <c r="I42">
        <v>94</v>
      </c>
      <c r="J42">
        <v>230</v>
      </c>
      <c r="K42">
        <v>134</v>
      </c>
      <c r="L42">
        <v>232</v>
      </c>
      <c r="M42" t="str">
        <f t="shared" si="23"/>
        <v>Воздушная трасса по стойкам</v>
      </c>
      <c r="N42" t="str">
        <f t="shared" si="22"/>
        <v>20.04.20122</v>
      </c>
      <c r="O42">
        <v>10</v>
      </c>
      <c r="P42">
        <v>10</v>
      </c>
      <c r="Q42" t="str">
        <f>""</f>
        <v/>
      </c>
      <c r="R42" t="str">
        <f>"Курск, Дружбы Пр-Кт, 18"</f>
        <v>Курск, Дружбы Пр-Кт, 18</v>
      </c>
      <c r="S42" t="str">
        <f>""</f>
        <v/>
      </c>
      <c r="T42" t="str">
        <f>"46/1021"</f>
        <v>46/1021</v>
      </c>
      <c r="U42" t="str">
        <f t="shared" si="15"/>
        <v>Магистральная ВОЛС</v>
      </c>
      <c r="V42" t="str">
        <f t="shared" ref="V42:Z51" si="25">"Нет"</f>
        <v>Нет</v>
      </c>
      <c r="W42" t="str">
        <f t="shared" si="25"/>
        <v>Нет</v>
      </c>
      <c r="X42" t="str">
        <f t="shared" si="25"/>
        <v>Нет</v>
      </c>
      <c r="Y42" t="str">
        <f t="shared" si="25"/>
        <v>Нет</v>
      </c>
      <c r="Z42" t="str">
        <f t="shared" si="25"/>
        <v>Нет</v>
      </c>
      <c r="AA42" t="str">
        <f>""</f>
        <v/>
      </c>
      <c r="AB42" t="str">
        <f t="shared" si="5"/>
        <v>Нет</v>
      </c>
      <c r="AC42" t="str">
        <f>"М 2.2.1 - ППК 2.2.8"</f>
        <v>М 2.2.1 - ППК 2.2.8</v>
      </c>
      <c r="AD42" t="str">
        <f t="shared" si="24"/>
        <v>20.10.2011</v>
      </c>
      <c r="AE42" t="str">
        <f>""</f>
        <v/>
      </c>
      <c r="AF42" t="str">
        <f>"[329137] М 2.2.1"</f>
        <v>[329137] М 2.2.1</v>
      </c>
      <c r="AG42" t="str">
        <f>"[329072] ГОК2.2.8.1 Курск, Дружбы Пр-Кт, 18  п. 1"</f>
        <v>[329072] ГОК2.2.8.1 Курск, Дружбы Пр-Кт, 18  п. 1</v>
      </c>
      <c r="AH42" t="str">
        <f>"М 2.2.1"</f>
        <v>М 2.2.1</v>
      </c>
      <c r="AI42" t="str">
        <f>"ППК 2.2.8"</f>
        <v>ППК 2.2.8</v>
      </c>
      <c r="AJ42" t="str">
        <f>""</f>
        <v/>
      </c>
      <c r="AK42" t="str">
        <f t="shared" si="11"/>
        <v>Нет</v>
      </c>
      <c r="AL42" t="str">
        <f>"51.740228 36.135358, 51.740307 36.134988, 51.740434 36.134881, 51.740703 36.135122, 51.740855 36.135106"</f>
        <v>51.740228 36.135358, 51.740307 36.134988, 51.740434 36.134881, 51.740703 36.135122, 51.740855 36.135106</v>
      </c>
      <c r="AM42" t="str">
        <f>"20000008024520"</f>
        <v>20000008024520</v>
      </c>
    </row>
    <row r="43" spans="1:39" x14ac:dyDescent="0.25">
      <c r="A43">
        <v>907</v>
      </c>
      <c r="B43" t="str">
        <f t="shared" si="0"/>
        <v>Курск</v>
      </c>
      <c r="C43">
        <v>804306</v>
      </c>
      <c r="D43" t="str">
        <f t="shared" si="1"/>
        <v>Оптический кабель</v>
      </c>
      <c r="E43" t="str">
        <f>"[46/1022] М 2.2.1 - М 2.2.9"</f>
        <v>[46/1022] М 2.2.1 - М 2.2.9</v>
      </c>
      <c r="F43" t="str">
        <f>"ДПТа-П-64А 6(6) 7кН (Кр,Жел,Зел,..,8-Фиол,9-Бел,..,Бир,Роз)"</f>
        <v>ДПТа-П-64А 6(6) 7кН (Кр,Жел,Зел,..,8-Фиол,9-Бел,..,Бир,Роз)</v>
      </c>
      <c r="G43" t="str">
        <f>""</f>
        <v/>
      </c>
      <c r="H43" t="str">
        <f t="shared" si="21"/>
        <v>МС 2.2</v>
      </c>
      <c r="I43">
        <v>466</v>
      </c>
      <c r="J43">
        <v>530</v>
      </c>
      <c r="K43">
        <v>0</v>
      </c>
      <c r="L43">
        <v>535</v>
      </c>
      <c r="M43" t="str">
        <f t="shared" si="23"/>
        <v>Воздушная трасса по стойкам</v>
      </c>
      <c r="N43" t="str">
        <f t="shared" si="22"/>
        <v>20.04.20122</v>
      </c>
      <c r="O43">
        <v>64</v>
      </c>
      <c r="P43">
        <v>64</v>
      </c>
      <c r="Q43" t="str">
        <f>""</f>
        <v/>
      </c>
      <c r="R43" t="str">
        <f>""</f>
        <v/>
      </c>
      <c r="S43" t="str">
        <f>""</f>
        <v/>
      </c>
      <c r="T43" t="str">
        <f>"46/1022"</f>
        <v>46/1022</v>
      </c>
      <c r="U43" t="str">
        <f t="shared" si="15"/>
        <v>Магистральная ВОЛС</v>
      </c>
      <c r="V43" t="str">
        <f t="shared" si="25"/>
        <v>Нет</v>
      </c>
      <c r="W43" t="str">
        <f t="shared" si="25"/>
        <v>Нет</v>
      </c>
      <c r="X43" t="str">
        <f t="shared" si="25"/>
        <v>Нет</v>
      </c>
      <c r="Y43" t="str">
        <f t="shared" si="25"/>
        <v>Нет</v>
      </c>
      <c r="Z43" t="str">
        <f t="shared" si="25"/>
        <v>Нет</v>
      </c>
      <c r="AA43" t="str">
        <f>""</f>
        <v/>
      </c>
      <c r="AB43" t="str">
        <f t="shared" si="5"/>
        <v>Нет</v>
      </c>
      <c r="AC43" t="str">
        <f>"М 2.2.1 - М 2.1.10"</f>
        <v>М 2.2.1 - М 2.1.10</v>
      </c>
      <c r="AD43" t="str">
        <f t="shared" si="24"/>
        <v>20.10.2011</v>
      </c>
      <c r="AE43" t="str">
        <f>""</f>
        <v/>
      </c>
      <c r="AF43" t="str">
        <f>"[329137] М 2.2.1"</f>
        <v>[329137] М 2.2.1</v>
      </c>
      <c r="AG43" t="str">
        <f>"[486846] М 2.2.9"</f>
        <v>[486846] М 2.2.9</v>
      </c>
      <c r="AH43" t="str">
        <f>"М 2.2.1"</f>
        <v>М 2.2.1</v>
      </c>
      <c r="AI43" t="str">
        <f>"М 2.2.9"</f>
        <v>М 2.2.9</v>
      </c>
      <c r="AJ43" t="str">
        <f>""</f>
        <v/>
      </c>
      <c r="AK43" t="str">
        <f t="shared" si="11"/>
        <v>Нет</v>
      </c>
      <c r="AL43" t="str">
        <f>"51.740228 36.135364, 51.74042 36.135991, 51.740666 36.136753, 51.740819 36.13722, 51.741075 36.13701, 51.74151 36.136914, 51.741789 36.137654, 51.742035 36.138394, 51.742239 36.138962, 51.74253 36.140006"</f>
        <v>51.740228 36.135364, 51.74042 36.135991, 51.740666 36.136753, 51.740819 36.13722, 51.741075 36.13701, 51.74151 36.136914, 51.741789 36.137654, 51.742035 36.138394, 51.742239 36.138962, 51.74253 36.140006</v>
      </c>
      <c r="AM43" t="str">
        <f>"20000008045150"</f>
        <v>20000008045150</v>
      </c>
    </row>
    <row r="44" spans="1:39" x14ac:dyDescent="0.25">
      <c r="A44">
        <v>907</v>
      </c>
      <c r="B44" t="str">
        <f t="shared" si="0"/>
        <v>Курск</v>
      </c>
      <c r="C44">
        <v>806743</v>
      </c>
      <c r="D44" t="str">
        <f t="shared" si="1"/>
        <v>Оптический кабель</v>
      </c>
      <c r="E44" t="str">
        <f>"[46/1096] М 2.2.9 - М 2.4.2"</f>
        <v>[46/1096] М 2.2.9 - М 2.4.2</v>
      </c>
      <c r="F44" t="str">
        <f>"ДПТа-П-64А 6(6) 7кН (Кр,Жел,Зел,..,8-Фиол,9-Бел,..,Бир,Роз)"</f>
        <v>ДПТа-П-64А 6(6) 7кН (Кр,Жел,Зел,..,8-Фиол,9-Бел,..,Бир,Роз)</v>
      </c>
      <c r="G44" t="str">
        <f>""</f>
        <v/>
      </c>
      <c r="H44" t="str">
        <f t="shared" ref="H44:H53" si="26">"МС 2.4"</f>
        <v>МС 2.4</v>
      </c>
      <c r="I44">
        <v>173</v>
      </c>
      <c r="J44">
        <v>190</v>
      </c>
      <c r="K44">
        <v>0</v>
      </c>
      <c r="L44">
        <v>192</v>
      </c>
      <c r="M44" t="str">
        <f t="shared" si="23"/>
        <v>Воздушная трасса по стойкам</v>
      </c>
      <c r="N44" t="str">
        <f t="shared" ref="N44:N53" si="27">"27.04.20122"</f>
        <v>27.04.20122</v>
      </c>
      <c r="O44">
        <v>64</v>
      </c>
      <c r="P44">
        <v>64</v>
      </c>
      <c r="Q44" t="str">
        <f>""</f>
        <v/>
      </c>
      <c r="R44" t="str">
        <f>""</f>
        <v/>
      </c>
      <c r="S44" t="str">
        <f>""</f>
        <v/>
      </c>
      <c r="T44" t="str">
        <f>"46/1096"</f>
        <v>46/1096</v>
      </c>
      <c r="U44" t="str">
        <f t="shared" si="15"/>
        <v>Магистральная ВОЛС</v>
      </c>
      <c r="V44" t="str">
        <f t="shared" si="25"/>
        <v>Нет</v>
      </c>
      <c r="W44" t="str">
        <f t="shared" si="25"/>
        <v>Нет</v>
      </c>
      <c r="X44" t="str">
        <f t="shared" si="25"/>
        <v>Нет</v>
      </c>
      <c r="Y44" t="str">
        <f t="shared" si="25"/>
        <v>Нет</v>
      </c>
      <c r="Z44" t="str">
        <f t="shared" si="25"/>
        <v>Нет</v>
      </c>
      <c r="AA44" t="str">
        <f>""</f>
        <v/>
      </c>
      <c r="AB44" t="str">
        <f t="shared" si="5"/>
        <v>Нет</v>
      </c>
      <c r="AC44" t="str">
        <f>"М 2.5.1 - М 2.4.2"</f>
        <v>М 2.5.1 - М 2.4.2</v>
      </c>
      <c r="AD44" t="str">
        <f t="shared" ref="AD44:AD61" si="28">"01.02.2012"</f>
        <v>01.02.2012</v>
      </c>
      <c r="AE44" t="str">
        <f>""</f>
        <v/>
      </c>
      <c r="AF44" t="str">
        <f>"[486846] М 2.2.9"</f>
        <v>[486846] М 2.2.9</v>
      </c>
      <c r="AG44" t="str">
        <f>"[337968] М 2.4.2"</f>
        <v>[337968] М 2.4.2</v>
      </c>
      <c r="AH44" t="str">
        <f>"М 2.2.9"</f>
        <v>М 2.2.9</v>
      </c>
      <c r="AI44" t="str">
        <f>"М 2.4.2"</f>
        <v>М 2.4.2</v>
      </c>
      <c r="AJ44" t="str">
        <f>""</f>
        <v/>
      </c>
      <c r="AK44" t="str">
        <f t="shared" si="11"/>
        <v>Нет</v>
      </c>
      <c r="AL44" t="str">
        <f>"51.742553 36.140063, 51.742061 36.14039, 51.741158 36.141173"</f>
        <v>51.742553 36.140063, 51.742061 36.14039, 51.741158 36.141173</v>
      </c>
      <c r="AM44" t="str">
        <f>"20000007993367"</f>
        <v>20000007993367</v>
      </c>
    </row>
    <row r="45" spans="1:39" x14ac:dyDescent="0.25">
      <c r="A45">
        <v>907</v>
      </c>
      <c r="B45" t="str">
        <f t="shared" si="0"/>
        <v>Курск</v>
      </c>
      <c r="C45">
        <v>806763</v>
      </c>
      <c r="D45" t="str">
        <f t="shared" si="1"/>
        <v>Оптический кабель</v>
      </c>
      <c r="E45" t="str">
        <f>"[46/1097] М 2.4.2 - М 2.4.3"</f>
        <v>[46/1097] М 2.4.2 - М 2.4.3</v>
      </c>
      <c r="F45" t="str">
        <f>"ДПТа-П-64А 6(6) 7кН (Кр,Жел,Зел,..,8-Фиол,9-Бел,..,Бир,Роз)"</f>
        <v>ДПТа-П-64А 6(6) 7кН (Кр,Жел,Зел,..,8-Фиол,9-Бел,..,Бир,Роз)</v>
      </c>
      <c r="G45" t="str">
        <f>""</f>
        <v/>
      </c>
      <c r="H45" t="str">
        <f t="shared" si="26"/>
        <v>МС 2.4</v>
      </c>
      <c r="I45">
        <v>1174</v>
      </c>
      <c r="J45">
        <v>1450</v>
      </c>
      <c r="K45">
        <v>248</v>
      </c>
      <c r="L45">
        <v>1456</v>
      </c>
      <c r="M45" t="str">
        <f>"Опоры"</f>
        <v>Опоры</v>
      </c>
      <c r="N45" t="str">
        <f t="shared" si="27"/>
        <v>27.04.20122</v>
      </c>
      <c r="O45">
        <v>64</v>
      </c>
      <c r="P45">
        <v>64</v>
      </c>
      <c r="Q45" t="str">
        <f>""</f>
        <v/>
      </c>
      <c r="R45" t="str">
        <f>""</f>
        <v/>
      </c>
      <c r="S45" t="str">
        <f>""</f>
        <v/>
      </c>
      <c r="T45" t="str">
        <f>"46/1097"</f>
        <v>46/1097</v>
      </c>
      <c r="U45" t="str">
        <f t="shared" si="15"/>
        <v>Магистральная ВОЛС</v>
      </c>
      <c r="V45" t="str">
        <f t="shared" si="25"/>
        <v>Нет</v>
      </c>
      <c r="W45" t="str">
        <f t="shared" si="25"/>
        <v>Нет</v>
      </c>
      <c r="X45" t="str">
        <f t="shared" si="25"/>
        <v>Нет</v>
      </c>
      <c r="Y45" t="str">
        <f t="shared" si="25"/>
        <v>Нет</v>
      </c>
      <c r="Z45" t="str">
        <f t="shared" si="25"/>
        <v>Нет</v>
      </c>
      <c r="AA45" t="str">
        <f>""</f>
        <v/>
      </c>
      <c r="AB45" t="str">
        <f t="shared" si="5"/>
        <v>Нет</v>
      </c>
      <c r="AC45" t="str">
        <f>"М 2.4.2 - М 2.4.3"</f>
        <v>М 2.4.2 - М 2.4.3</v>
      </c>
      <c r="AD45" t="str">
        <f t="shared" si="28"/>
        <v>01.02.2012</v>
      </c>
      <c r="AE45" t="str">
        <f>""</f>
        <v/>
      </c>
      <c r="AF45" t="str">
        <f>"[337968] М 2.4.2"</f>
        <v>[337968] М 2.4.2</v>
      </c>
      <c r="AG45" t="str">
        <f>"[337964] М 2.4.3"</f>
        <v>[337964] М 2.4.3</v>
      </c>
      <c r="AH45" t="str">
        <f>"М 2.4.2"</f>
        <v>М 2.4.2</v>
      </c>
      <c r="AI45" t="str">
        <f>"М 2.4.3"</f>
        <v>М 2.4.3</v>
      </c>
      <c r="AJ45" t="str">
        <f>""</f>
        <v/>
      </c>
      <c r="AK45" t="str">
        <f t="shared" si="11"/>
        <v>Нет</v>
      </c>
      <c r="AL45" t="s">
        <v>9</v>
      </c>
      <c r="AM45" t="str">
        <f>"20000008040078"</f>
        <v>20000008040078</v>
      </c>
    </row>
    <row r="46" spans="1:39" x14ac:dyDescent="0.25">
      <c r="A46">
        <v>907</v>
      </c>
      <c r="B46" t="str">
        <f t="shared" si="0"/>
        <v>Курск</v>
      </c>
      <c r="C46">
        <v>806774</v>
      </c>
      <c r="D46" t="str">
        <f t="shared" si="1"/>
        <v>Оптический кабель</v>
      </c>
      <c r="E46" t="str">
        <f>"[46/1098] М 2.4.3 - ГОК2.4.1.1 Курск, Хрущева Пр-Кт, 6  п. 3"</f>
        <v>[46/1098] М 2.4.3 - ГОК2.4.1.1 Курск, Хрущева Пр-Кт, 6  п. 3</v>
      </c>
      <c r="F46" t="str">
        <f t="shared" ref="F46:F53" si="29">"ДПТс-П-16А 2(6) 7кН (Мод:Кр,Нат)(Вол:Кр,Жел,Зел,..,Ор,Фиол)"</f>
        <v>ДПТс-П-16А 2(6) 7кН (Мод:Кр,Нат)(Вол:Кр,Жел,Зел,..,Ор,Фиол)</v>
      </c>
      <c r="G46" t="str">
        <f>""</f>
        <v/>
      </c>
      <c r="H46" t="str">
        <f t="shared" si="26"/>
        <v>МС 2.4</v>
      </c>
      <c r="I46">
        <v>73</v>
      </c>
      <c r="J46">
        <v>180</v>
      </c>
      <c r="K46">
        <v>90</v>
      </c>
      <c r="L46">
        <v>182</v>
      </c>
      <c r="M46" t="str">
        <f t="shared" ref="M46:M54" si="30">"Воздушная трасса по стойкам"</f>
        <v>Воздушная трасса по стойкам</v>
      </c>
      <c r="N46" t="str">
        <f t="shared" si="27"/>
        <v>27.04.20122</v>
      </c>
      <c r="O46">
        <v>10</v>
      </c>
      <c r="P46">
        <v>10</v>
      </c>
      <c r="Q46" t="str">
        <f>""</f>
        <v/>
      </c>
      <c r="R46" t="str">
        <f>"Курск, Хрущева Пр-Кт, 6"</f>
        <v>Курск, Хрущева Пр-Кт, 6</v>
      </c>
      <c r="S46" t="str">
        <f>""</f>
        <v/>
      </c>
      <c r="T46" t="str">
        <f>"46/1098"</f>
        <v>46/1098</v>
      </c>
      <c r="U46" t="str">
        <f t="shared" si="15"/>
        <v>Магистральная ВОЛС</v>
      </c>
      <c r="V46" t="str">
        <f t="shared" si="25"/>
        <v>Нет</v>
      </c>
      <c r="W46" t="str">
        <f t="shared" si="25"/>
        <v>Нет</v>
      </c>
      <c r="X46" t="str">
        <f t="shared" si="25"/>
        <v>Нет</v>
      </c>
      <c r="Y46" t="str">
        <f t="shared" si="25"/>
        <v>Нет</v>
      </c>
      <c r="Z46" t="str">
        <f t="shared" si="25"/>
        <v>Нет</v>
      </c>
      <c r="AA46" t="str">
        <f>""</f>
        <v/>
      </c>
      <c r="AB46" t="str">
        <f t="shared" si="5"/>
        <v>Нет</v>
      </c>
      <c r="AC46" t="str">
        <f>"М 2.4.3 - ППК 2.4.1"</f>
        <v>М 2.4.3 - ППК 2.4.1</v>
      </c>
      <c r="AD46" t="str">
        <f t="shared" si="28"/>
        <v>01.02.2012</v>
      </c>
      <c r="AE46" t="str">
        <f>""</f>
        <v/>
      </c>
      <c r="AF46" t="str">
        <f>"[337964] М 2.4.3"</f>
        <v>[337964] М 2.4.3</v>
      </c>
      <c r="AG46" t="str">
        <f>"[337935] ГОК2.4.1.1 Курск, Хрущева Пр-Кт, 6  п. 3"</f>
        <v>[337935] ГОК2.4.1.1 Курск, Хрущева Пр-Кт, 6  п. 3</v>
      </c>
      <c r="AH46" t="str">
        <f>"М 2.4.3"</f>
        <v>М 2.4.3</v>
      </c>
      <c r="AI46" t="str">
        <f>"ППК 2.4.1"</f>
        <v>ППК 2.4.1</v>
      </c>
      <c r="AJ46" t="str">
        <f>""</f>
        <v/>
      </c>
      <c r="AK46" t="str">
        <f t="shared" si="11"/>
        <v>Нет</v>
      </c>
      <c r="AL46" t="str">
        <f>"51.735643 36.138158, 51.735726 36.138437, 51.735648 36.138936, 51.735708 36.139148"</f>
        <v>51.735643 36.138158, 51.735726 36.138437, 51.735648 36.138936, 51.735708 36.139148</v>
      </c>
      <c r="AM46" t="str">
        <f>"20000008024526"</f>
        <v>20000008024526</v>
      </c>
    </row>
    <row r="47" spans="1:39" x14ac:dyDescent="0.25">
      <c r="A47">
        <v>907</v>
      </c>
      <c r="B47" t="str">
        <f t="shared" si="0"/>
        <v>Курск</v>
      </c>
      <c r="C47">
        <v>806803</v>
      </c>
      <c r="D47" t="str">
        <f t="shared" si="1"/>
        <v>Оптический кабель</v>
      </c>
      <c r="E47" t="str">
        <f>"[46/1101] М 2.4.4 - ГОК2.4.2.1 Курск, Хрущева Пр-Кт, 28  п. 2"</f>
        <v>[46/1101] М 2.4.4 - ГОК2.4.2.1 Курск, Хрущева Пр-Кт, 28  п. 2</v>
      </c>
      <c r="F47" t="str">
        <f t="shared" si="29"/>
        <v>ДПТс-П-16А 2(6) 7кН (Мод:Кр,Нат)(Вол:Кр,Жел,Зел,..,Ор,Фиол)</v>
      </c>
      <c r="G47" t="str">
        <f>""</f>
        <v/>
      </c>
      <c r="H47" t="str">
        <f t="shared" si="26"/>
        <v>МС 2.4</v>
      </c>
      <c r="I47">
        <v>67</v>
      </c>
      <c r="J47">
        <v>190</v>
      </c>
      <c r="K47">
        <v>120</v>
      </c>
      <c r="L47">
        <v>191</v>
      </c>
      <c r="M47" t="str">
        <f t="shared" si="30"/>
        <v>Воздушная трасса по стойкам</v>
      </c>
      <c r="N47" t="str">
        <f t="shared" si="27"/>
        <v>27.04.20122</v>
      </c>
      <c r="O47">
        <v>10</v>
      </c>
      <c r="P47">
        <v>10</v>
      </c>
      <c r="Q47" t="str">
        <f>""</f>
        <v/>
      </c>
      <c r="R47" t="str">
        <f>"Курск, Хрущева Пр-Кт, 28"</f>
        <v>Курск, Хрущева Пр-Кт, 28</v>
      </c>
      <c r="S47" t="str">
        <f>""</f>
        <v/>
      </c>
      <c r="T47" t="str">
        <f>"46/1101"</f>
        <v>46/1101</v>
      </c>
      <c r="U47" t="str">
        <f t="shared" si="15"/>
        <v>Магистральная ВОЛС</v>
      </c>
      <c r="V47" t="str">
        <f t="shared" si="25"/>
        <v>Нет</v>
      </c>
      <c r="W47" t="str">
        <f t="shared" si="25"/>
        <v>Нет</v>
      </c>
      <c r="X47" t="str">
        <f t="shared" si="25"/>
        <v>Нет</v>
      </c>
      <c r="Y47" t="str">
        <f t="shared" si="25"/>
        <v>Нет</v>
      </c>
      <c r="Z47" t="str">
        <f t="shared" si="25"/>
        <v>Нет</v>
      </c>
      <c r="AA47" t="str">
        <f>""</f>
        <v/>
      </c>
      <c r="AB47" t="str">
        <f t="shared" si="5"/>
        <v>Нет</v>
      </c>
      <c r="AC47" t="str">
        <f>"М 2.4.4 - ППК 2.4.2"</f>
        <v>М 2.4.4 - ППК 2.4.2</v>
      </c>
      <c r="AD47" t="str">
        <f t="shared" si="28"/>
        <v>01.02.2012</v>
      </c>
      <c r="AE47" t="str">
        <f>""</f>
        <v/>
      </c>
      <c r="AF47" t="str">
        <f>"[337960] М 2.4.4"</f>
        <v>[337960] М 2.4.4</v>
      </c>
      <c r="AG47" t="str">
        <f>"[337844] ГОК2.4.2.1 Курск, Хрущева Пр-Кт, 28  п. 2"</f>
        <v>[337844] ГОК2.4.2.1 Курск, Хрущева Пр-Кт, 28  п. 2</v>
      </c>
      <c r="AH47" t="str">
        <f>"М 2.4.4"</f>
        <v>М 2.4.4</v>
      </c>
      <c r="AI47" t="str">
        <f>"ППК 2.4.2"</f>
        <v>ППК 2.4.2</v>
      </c>
      <c r="AJ47" t="str">
        <f>""</f>
        <v/>
      </c>
      <c r="AK47" t="str">
        <f t="shared" si="11"/>
        <v>Нет</v>
      </c>
      <c r="AL47" t="str">
        <f>"51.732348 36.141039, 51.732431 36.141291, 51.732507 36.141967"</f>
        <v>51.732348 36.141039, 51.732431 36.141291, 51.732507 36.141967</v>
      </c>
      <c r="AM47" t="str">
        <f>"20000008035568"</f>
        <v>20000008035568</v>
      </c>
    </row>
    <row r="48" spans="1:39" x14ac:dyDescent="0.25">
      <c r="A48">
        <v>907</v>
      </c>
      <c r="B48" t="str">
        <f t="shared" si="0"/>
        <v>Курск</v>
      </c>
      <c r="C48">
        <v>806828</v>
      </c>
      <c r="D48" t="str">
        <f t="shared" si="1"/>
        <v>Оптический кабель</v>
      </c>
      <c r="E48" t="str">
        <f>"[46/1103] М 2.4.5 - ГОК2.4.3.1 Курск, Хрущева Пр-Кт, 15 а п. 2"</f>
        <v>[46/1103] М 2.4.5 - ГОК2.4.3.1 Курск, Хрущева Пр-Кт, 15 а п. 2</v>
      </c>
      <c r="F48" t="str">
        <f t="shared" si="29"/>
        <v>ДПТс-П-16А 2(6) 7кН (Мод:Кр,Нат)(Вол:Кр,Жел,Зел,..,Ор,Фиол)</v>
      </c>
      <c r="G48" t="str">
        <f>""</f>
        <v/>
      </c>
      <c r="H48" t="str">
        <f t="shared" si="26"/>
        <v>МС 2.4</v>
      </c>
      <c r="I48">
        <v>66</v>
      </c>
      <c r="J48">
        <v>190</v>
      </c>
      <c r="K48">
        <v>120</v>
      </c>
      <c r="L48">
        <v>191</v>
      </c>
      <c r="M48" t="str">
        <f t="shared" si="30"/>
        <v>Воздушная трасса по стойкам</v>
      </c>
      <c r="N48" t="str">
        <f t="shared" si="27"/>
        <v>27.04.20122</v>
      </c>
      <c r="O48">
        <v>10</v>
      </c>
      <c r="P48">
        <v>10</v>
      </c>
      <c r="Q48" t="str">
        <f>""</f>
        <v/>
      </c>
      <c r="R48" t="str">
        <f>"Курск, Хрущева Пр-Кт, 15 а"</f>
        <v>Курск, Хрущева Пр-Кт, 15 а</v>
      </c>
      <c r="S48" t="str">
        <f>""</f>
        <v/>
      </c>
      <c r="T48" t="str">
        <f>"46/1103"</f>
        <v>46/1103</v>
      </c>
      <c r="U48" t="str">
        <f t="shared" si="15"/>
        <v>Магистральная ВОЛС</v>
      </c>
      <c r="V48" t="str">
        <f t="shared" si="25"/>
        <v>Нет</v>
      </c>
      <c r="W48" t="str">
        <f t="shared" si="25"/>
        <v>Нет</v>
      </c>
      <c r="X48" t="str">
        <f t="shared" si="25"/>
        <v>Нет</v>
      </c>
      <c r="Y48" t="str">
        <f t="shared" si="25"/>
        <v>Нет</v>
      </c>
      <c r="Z48" t="str">
        <f t="shared" si="25"/>
        <v>Нет</v>
      </c>
      <c r="AA48" t="str">
        <f>""</f>
        <v/>
      </c>
      <c r="AB48" t="str">
        <f t="shared" si="5"/>
        <v>Нет</v>
      </c>
      <c r="AC48" t="str">
        <f>"М 2.4.5 - ППК 2.4.3"</f>
        <v>М 2.4.5 - ППК 2.4.3</v>
      </c>
      <c r="AD48" t="str">
        <f t="shared" si="28"/>
        <v>01.02.2012</v>
      </c>
      <c r="AE48" t="str">
        <f>""</f>
        <v/>
      </c>
      <c r="AF48" t="str">
        <f>"[337956] М 2.4.5"</f>
        <v>[337956] М 2.4.5</v>
      </c>
      <c r="AG48" t="str">
        <f>"[337909] ГОК2.4.3.1 Курск, Хрущева Пр-Кт, 15 а п. 2"</f>
        <v>[337909] ГОК2.4.3.1 Курск, Хрущева Пр-Кт, 15 а п. 2</v>
      </c>
      <c r="AH48" t="str">
        <f>"М 2.4.5"</f>
        <v>М 2.4.5</v>
      </c>
      <c r="AI48" t="str">
        <f>"ППК 2.4.3"</f>
        <v>ППК 2.4.3</v>
      </c>
      <c r="AJ48" t="str">
        <f>""</f>
        <v/>
      </c>
      <c r="AK48" t="str">
        <f t="shared" si="11"/>
        <v>Нет</v>
      </c>
      <c r="AL48" t="str">
        <f>"51.731328 36.141919, 51.731334 36.141323, 51.731377 36.141093, 51.731444 36.141034"</f>
        <v>51.731328 36.141919, 51.731334 36.141323, 51.731377 36.141093, 51.731444 36.141034</v>
      </c>
      <c r="AM48" t="str">
        <f>"20000008024525"</f>
        <v>20000008024525</v>
      </c>
    </row>
    <row r="49" spans="1:39" x14ac:dyDescent="0.25">
      <c r="A49">
        <v>907</v>
      </c>
      <c r="B49" t="str">
        <f t="shared" si="0"/>
        <v>Курск</v>
      </c>
      <c r="C49">
        <v>806831</v>
      </c>
      <c r="D49" t="str">
        <f t="shared" si="1"/>
        <v>Оптический кабель</v>
      </c>
      <c r="E49" t="str">
        <f>"[46/1104] М 2.4.5 - ГОК2.4.4.1 Курск, Хрущева Пр-Кт, 19  п. 1"</f>
        <v>[46/1104] М 2.4.5 - ГОК2.4.4.1 Курск, Хрущева Пр-Кт, 19  п. 1</v>
      </c>
      <c r="F49" t="str">
        <f t="shared" si="29"/>
        <v>ДПТс-П-16А 2(6) 7кН (Мод:Кр,Нат)(Вол:Кр,Жел,Зел,..,Ор,Фиол)</v>
      </c>
      <c r="G49" t="str">
        <f>""</f>
        <v/>
      </c>
      <c r="H49" t="str">
        <f t="shared" si="26"/>
        <v>МС 2.4</v>
      </c>
      <c r="I49">
        <v>92</v>
      </c>
      <c r="J49">
        <v>190</v>
      </c>
      <c r="K49">
        <v>90</v>
      </c>
      <c r="L49">
        <v>191</v>
      </c>
      <c r="M49" t="str">
        <f t="shared" si="30"/>
        <v>Воздушная трасса по стойкам</v>
      </c>
      <c r="N49" t="str">
        <f t="shared" si="27"/>
        <v>27.04.20122</v>
      </c>
      <c r="O49">
        <v>10</v>
      </c>
      <c r="P49">
        <v>10</v>
      </c>
      <c r="Q49" t="str">
        <f>""</f>
        <v/>
      </c>
      <c r="R49" t="str">
        <f>"Курск, Хрущева Пр-Кт, 19"</f>
        <v>Курск, Хрущева Пр-Кт, 19</v>
      </c>
      <c r="S49" t="str">
        <f>""</f>
        <v/>
      </c>
      <c r="T49" t="str">
        <f>"46/1104"</f>
        <v>46/1104</v>
      </c>
      <c r="U49" t="str">
        <f t="shared" si="15"/>
        <v>Магистральная ВОЛС</v>
      </c>
      <c r="V49" t="str">
        <f t="shared" si="25"/>
        <v>Нет</v>
      </c>
      <c r="W49" t="str">
        <f t="shared" si="25"/>
        <v>Нет</v>
      </c>
      <c r="X49" t="str">
        <f t="shared" si="25"/>
        <v>Нет</v>
      </c>
      <c r="Y49" t="str">
        <f t="shared" si="25"/>
        <v>Нет</v>
      </c>
      <c r="Z49" t="str">
        <f t="shared" si="25"/>
        <v>Нет</v>
      </c>
      <c r="AA49" t="str">
        <f>""</f>
        <v/>
      </c>
      <c r="AB49" t="str">
        <f t="shared" si="5"/>
        <v>Нет</v>
      </c>
      <c r="AC49" t="str">
        <f>"М 2.4.5 - ППК 2.4.4"</f>
        <v>М 2.4.5 - ППК 2.4.4</v>
      </c>
      <c r="AD49" t="str">
        <f t="shared" si="28"/>
        <v>01.02.2012</v>
      </c>
      <c r="AE49" t="str">
        <f>""</f>
        <v/>
      </c>
      <c r="AF49" t="str">
        <f>"[337956] М 2.4.5"</f>
        <v>[337956] М 2.4.5</v>
      </c>
      <c r="AG49" t="str">
        <f>"[337896] ГОК2.4.4.1 Курск, Хрущева Пр-Кт, 19  п. 1"</f>
        <v>[337896] ГОК2.4.4.1 Курск, Хрущева Пр-Кт, 19  п. 1</v>
      </c>
      <c r="AH49" t="str">
        <f>"М 2.4.5"</f>
        <v>М 2.4.5</v>
      </c>
      <c r="AI49" t="str">
        <f>"ППК 2.4.4"</f>
        <v>ППК 2.4.4</v>
      </c>
      <c r="AJ49" t="str">
        <f>""</f>
        <v/>
      </c>
      <c r="AK49" t="str">
        <f t="shared" si="11"/>
        <v>Нет</v>
      </c>
      <c r="AL49" t="str">
        <f>"51.731318 36.141919, 51.731198 36.141479, 51.731032 36.141613, 51.730916 36.141527, 51.73073 36.141699"</f>
        <v>51.731318 36.141919, 51.731198 36.141479, 51.731032 36.141613, 51.730916 36.141527, 51.73073 36.141699</v>
      </c>
      <c r="AM49" t="str">
        <f>"20000008004382"</f>
        <v>20000008004382</v>
      </c>
    </row>
    <row r="50" spans="1:39" x14ac:dyDescent="0.25">
      <c r="A50">
        <v>907</v>
      </c>
      <c r="B50" t="str">
        <f t="shared" si="0"/>
        <v>Курск</v>
      </c>
      <c r="C50">
        <v>806848</v>
      </c>
      <c r="D50" t="str">
        <f t="shared" si="1"/>
        <v>Оптический кабель</v>
      </c>
      <c r="E50" t="str">
        <f>"[46/1106] М 2.4.6 - ГОК2.4.5.1 Курск, Майский Б-Р, 22  п. 1"</f>
        <v>[46/1106] М 2.4.6 - ГОК2.4.5.1 Курск, Майский Б-Р, 22  п. 1</v>
      </c>
      <c r="F50" t="str">
        <f t="shared" si="29"/>
        <v>ДПТс-П-16А 2(6) 7кН (Мод:Кр,Нат)(Вол:Кр,Жел,Зел,..,Ор,Фиол)</v>
      </c>
      <c r="G50" t="str">
        <f>""</f>
        <v/>
      </c>
      <c r="H50" t="str">
        <f t="shared" si="26"/>
        <v>МС 2.4</v>
      </c>
      <c r="I50">
        <v>52</v>
      </c>
      <c r="J50">
        <v>120</v>
      </c>
      <c r="K50">
        <v>60</v>
      </c>
      <c r="L50">
        <v>121</v>
      </c>
      <c r="M50" t="str">
        <f t="shared" si="30"/>
        <v>Воздушная трасса по стойкам</v>
      </c>
      <c r="N50" t="str">
        <f t="shared" si="27"/>
        <v>27.04.20122</v>
      </c>
      <c r="O50">
        <v>10</v>
      </c>
      <c r="P50">
        <v>10</v>
      </c>
      <c r="Q50" t="str">
        <f>""</f>
        <v/>
      </c>
      <c r="R50" t="str">
        <f>"Курск, Майский Б-Р, 22"</f>
        <v>Курск, Майский Б-Р, 22</v>
      </c>
      <c r="S50" t="str">
        <f>""</f>
        <v/>
      </c>
      <c r="T50" t="str">
        <f>"46/1106"</f>
        <v>46/1106</v>
      </c>
      <c r="U50" t="str">
        <f t="shared" si="15"/>
        <v>Магистральная ВОЛС</v>
      </c>
      <c r="V50" t="str">
        <f t="shared" si="25"/>
        <v>Нет</v>
      </c>
      <c r="W50" t="str">
        <f t="shared" si="25"/>
        <v>Нет</v>
      </c>
      <c r="X50" t="str">
        <f t="shared" si="25"/>
        <v>Нет</v>
      </c>
      <c r="Y50" t="str">
        <f t="shared" si="25"/>
        <v>Нет</v>
      </c>
      <c r="Z50" t="str">
        <f t="shared" si="25"/>
        <v>Нет</v>
      </c>
      <c r="AA50" t="str">
        <f>""</f>
        <v/>
      </c>
      <c r="AB50" t="str">
        <f t="shared" si="5"/>
        <v>Нет</v>
      </c>
      <c r="AC50" t="str">
        <f>"М 2.4.6 - ППК 2.4.5"</f>
        <v>М 2.4.6 - ППК 2.4.5</v>
      </c>
      <c r="AD50" t="str">
        <f t="shared" si="28"/>
        <v>01.02.2012</v>
      </c>
      <c r="AE50" t="str">
        <f>""</f>
        <v/>
      </c>
      <c r="AF50" t="str">
        <f>"[337952] М 2.4.6"</f>
        <v>[337952] М 2.4.6</v>
      </c>
      <c r="AG50" t="str">
        <f>"[337883] ГОК2.4.5.1 Курск, Майский Б-Р, 22  п. 1"</f>
        <v>[337883] ГОК2.4.5.1 Курск, Майский Б-Р, 22  п. 1</v>
      </c>
      <c r="AH50" t="str">
        <f>"М 2.4.6"</f>
        <v>М 2.4.6</v>
      </c>
      <c r="AI50" t="str">
        <f>"ППК 2.4.5"</f>
        <v>ППК 2.4.5</v>
      </c>
      <c r="AJ50" t="str">
        <f>""</f>
        <v/>
      </c>
      <c r="AK50" t="str">
        <f t="shared" si="11"/>
        <v>Нет</v>
      </c>
      <c r="AL50" t="str">
        <f>"51.729749 36.134527, 51.730019 36.134849, 51.730085 36.135031"</f>
        <v>51.729749 36.134527, 51.730019 36.134849, 51.730085 36.135031</v>
      </c>
      <c r="AM50" t="str">
        <f>"20000008014292"</f>
        <v>20000008014292</v>
      </c>
    </row>
    <row r="51" spans="1:39" x14ac:dyDescent="0.25">
      <c r="A51">
        <v>907</v>
      </c>
      <c r="B51" t="str">
        <f t="shared" si="0"/>
        <v>Курск</v>
      </c>
      <c r="C51">
        <v>806859</v>
      </c>
      <c r="D51" t="str">
        <f t="shared" si="1"/>
        <v>Оптический кабель</v>
      </c>
      <c r="E51" t="str">
        <f>"[46/1109] М 2.4.7 - ГОК2.4.6.1 Курск, Косухина, 34  п. 1"</f>
        <v>[46/1109] М 2.4.7 - ГОК2.4.6.1 Курск, Косухина, 34  п. 1</v>
      </c>
      <c r="F51" t="str">
        <f t="shared" si="29"/>
        <v>ДПТс-П-16А 2(6) 7кН (Мод:Кр,Нат)(Вол:Кр,Жел,Зел,..,Ор,Фиол)</v>
      </c>
      <c r="G51" t="str">
        <f>""</f>
        <v/>
      </c>
      <c r="H51" t="str">
        <f t="shared" si="26"/>
        <v>МС 2.4</v>
      </c>
      <c r="I51">
        <v>22</v>
      </c>
      <c r="J51">
        <v>70</v>
      </c>
      <c r="K51">
        <v>45</v>
      </c>
      <c r="L51">
        <v>70</v>
      </c>
      <c r="M51" t="str">
        <f t="shared" si="30"/>
        <v>Воздушная трасса по стойкам</v>
      </c>
      <c r="N51" t="str">
        <f t="shared" si="27"/>
        <v>27.04.20122</v>
      </c>
      <c r="O51">
        <v>10</v>
      </c>
      <c r="P51">
        <v>10</v>
      </c>
      <c r="Q51" t="str">
        <f>""</f>
        <v/>
      </c>
      <c r="R51" t="str">
        <f>"Курск, Косухина, 34"</f>
        <v>Курск, Косухина, 34</v>
      </c>
      <c r="S51" t="str">
        <f>""</f>
        <v/>
      </c>
      <c r="T51" t="str">
        <f>"46/1109"</f>
        <v>46/1109</v>
      </c>
      <c r="U51" t="str">
        <f t="shared" si="15"/>
        <v>Магистральная ВОЛС</v>
      </c>
      <c r="V51" t="str">
        <f t="shared" si="25"/>
        <v>Нет</v>
      </c>
      <c r="W51" t="str">
        <f t="shared" si="25"/>
        <v>Нет</v>
      </c>
      <c r="X51" t="str">
        <f t="shared" si="25"/>
        <v>Нет</v>
      </c>
      <c r="Y51" t="str">
        <f t="shared" si="25"/>
        <v>Нет</v>
      </c>
      <c r="Z51" t="str">
        <f t="shared" si="25"/>
        <v>Нет</v>
      </c>
      <c r="AA51" t="str">
        <f>""</f>
        <v/>
      </c>
      <c r="AB51" t="str">
        <f t="shared" si="5"/>
        <v>Нет</v>
      </c>
      <c r="AC51" t="str">
        <f>"М 2.4.7 - ППК 2.4.6"</f>
        <v>М 2.4.7 - ППК 2.4.6</v>
      </c>
      <c r="AD51" t="str">
        <f t="shared" si="28"/>
        <v>01.02.2012</v>
      </c>
      <c r="AE51" t="str">
        <f>""</f>
        <v/>
      </c>
      <c r="AF51" t="str">
        <f>"[337948] М 2.4.7"</f>
        <v>[337948] М 2.4.7</v>
      </c>
      <c r="AG51" t="str">
        <f>"[337870] ГОК2.4.6.1 Курск, Косухина, 34  п. 1"</f>
        <v>[337870] ГОК2.4.6.1 Курск, Косухина, 34  п. 1</v>
      </c>
      <c r="AH51" t="str">
        <f>"М 2.4.7"</f>
        <v>М 2.4.7</v>
      </c>
      <c r="AI51" t="str">
        <f>"ППК 2.4.6"</f>
        <v>ППК 2.4.6</v>
      </c>
      <c r="AJ51" t="str">
        <f>""</f>
        <v/>
      </c>
      <c r="AK51" t="str">
        <f t="shared" si="11"/>
        <v>Нет</v>
      </c>
      <c r="AL51" t="str">
        <f>"51.732557 36.131984, 51.732374 36.131866"</f>
        <v>51.732557 36.131984, 51.732374 36.131866</v>
      </c>
      <c r="AM51" t="str">
        <f>"20000008035567"</f>
        <v>20000008035567</v>
      </c>
    </row>
    <row r="52" spans="1:39" x14ac:dyDescent="0.25">
      <c r="A52">
        <v>907</v>
      </c>
      <c r="B52" t="str">
        <f t="shared" si="0"/>
        <v>Курск</v>
      </c>
      <c r="C52">
        <v>806865</v>
      </c>
      <c r="D52" t="str">
        <f t="shared" si="1"/>
        <v>Оптический кабель</v>
      </c>
      <c r="E52" t="str">
        <f>"[46/1111] М 2.4.7 - ГОК2.4.7.1 Курск, Косухина, 22  п. 2"</f>
        <v>[46/1111] М 2.4.7 - ГОК2.4.7.1 Курск, Косухина, 22  п. 2</v>
      </c>
      <c r="F52" t="str">
        <f t="shared" si="29"/>
        <v>ДПТс-П-16А 2(6) 7кН (Мод:Кр,Нат)(Вол:Кр,Жел,Зел,..,Ор,Фиол)</v>
      </c>
      <c r="G52" t="str">
        <f>""</f>
        <v/>
      </c>
      <c r="H52" t="str">
        <f t="shared" si="26"/>
        <v>МС 2.4</v>
      </c>
      <c r="I52">
        <v>66</v>
      </c>
      <c r="J52">
        <v>155</v>
      </c>
      <c r="K52">
        <v>65</v>
      </c>
      <c r="L52">
        <v>156</v>
      </c>
      <c r="M52" t="str">
        <f t="shared" si="30"/>
        <v>Воздушная трасса по стойкам</v>
      </c>
      <c r="N52" t="str">
        <f t="shared" si="27"/>
        <v>27.04.20122</v>
      </c>
      <c r="O52">
        <v>10</v>
      </c>
      <c r="P52">
        <v>10</v>
      </c>
      <c r="Q52" t="str">
        <f>""</f>
        <v/>
      </c>
      <c r="R52" t="str">
        <f>"Курск, Косухина, 22"</f>
        <v>Курск, Косухина, 22</v>
      </c>
      <c r="S52" t="str">
        <f>""</f>
        <v/>
      </c>
      <c r="T52" t="str">
        <f>"46/1111"</f>
        <v>46/1111</v>
      </c>
      <c r="U52" t="str">
        <f t="shared" si="15"/>
        <v>Магистральная ВОЛС</v>
      </c>
      <c r="V52" t="str">
        <f t="shared" ref="V52:Z61" si="31">"Нет"</f>
        <v>Нет</v>
      </c>
      <c r="W52" t="str">
        <f t="shared" si="31"/>
        <v>Нет</v>
      </c>
      <c r="X52" t="str">
        <f t="shared" si="31"/>
        <v>Нет</v>
      </c>
      <c r="Y52" t="str">
        <f t="shared" si="31"/>
        <v>Нет</v>
      </c>
      <c r="Z52" t="str">
        <f t="shared" si="31"/>
        <v>Нет</v>
      </c>
      <c r="AA52" t="str">
        <f>""</f>
        <v/>
      </c>
      <c r="AB52" t="str">
        <f t="shared" si="5"/>
        <v>Нет</v>
      </c>
      <c r="AC52" t="str">
        <f>"М 2.4.7 - ППК 2.4.7"</f>
        <v>М 2.4.7 - ППК 2.4.7</v>
      </c>
      <c r="AD52" t="str">
        <f t="shared" si="28"/>
        <v>01.02.2012</v>
      </c>
      <c r="AE52" t="str">
        <f>""</f>
        <v/>
      </c>
      <c r="AF52" t="str">
        <f>"[337948] М 2.4.7"</f>
        <v>[337948] М 2.4.7</v>
      </c>
      <c r="AG52" t="str">
        <f>"[337857] ГОК2.4.7.1 Курск, Косухина, 22  п. 2"</f>
        <v>[337857] ГОК2.4.7.1 Курск, Косухина, 22  п. 2</v>
      </c>
      <c r="AH52" t="str">
        <f>"М 2.4.7"</f>
        <v>М 2.4.7</v>
      </c>
      <c r="AI52" t="str">
        <f>"ППК 2.4.7"</f>
        <v>ППК 2.4.7</v>
      </c>
      <c r="AJ52" t="str">
        <f>""</f>
        <v/>
      </c>
      <c r="AK52" t="str">
        <f t="shared" si="11"/>
        <v>Нет</v>
      </c>
      <c r="AL52" t="str">
        <f>"51.732574 36.132005, 51.732593 36.132301, 51.732882 36.132435, 51.732979 36.13252"</f>
        <v>51.732574 36.132005, 51.732593 36.132301, 51.732882 36.132435, 51.732979 36.13252</v>
      </c>
      <c r="AM52" t="str">
        <f>"20000008035566"</f>
        <v>20000008035566</v>
      </c>
    </row>
    <row r="53" spans="1:39" x14ac:dyDescent="0.25">
      <c r="A53">
        <v>907</v>
      </c>
      <c r="B53" t="str">
        <f t="shared" si="0"/>
        <v>Курск</v>
      </c>
      <c r="C53">
        <v>807153</v>
      </c>
      <c r="D53" t="str">
        <f t="shared" si="1"/>
        <v>Оптический кабель</v>
      </c>
      <c r="E53" t="str">
        <f>"[46/1099] М 2.4.3 - ГОК2.4.8.1 Курск, Хрущева Пр-Кт, 1  п. 3"</f>
        <v>[46/1099] М 2.4.3 - ГОК2.4.8.1 Курск, Хрущева Пр-Кт, 1  п. 3</v>
      </c>
      <c r="F53" t="str">
        <f t="shared" si="29"/>
        <v>ДПТс-П-16А 2(6) 7кН (Мод:Кр,Нат)(Вол:Кр,Жел,Зел,..,Ор,Фиол)</v>
      </c>
      <c r="G53" t="str">
        <f>""</f>
        <v/>
      </c>
      <c r="H53" t="str">
        <f t="shared" si="26"/>
        <v>МС 2.4</v>
      </c>
      <c r="I53">
        <v>109</v>
      </c>
      <c r="J53">
        <v>200</v>
      </c>
      <c r="K53">
        <v>90</v>
      </c>
      <c r="L53">
        <v>203</v>
      </c>
      <c r="M53" t="str">
        <f t="shared" si="30"/>
        <v>Воздушная трасса по стойкам</v>
      </c>
      <c r="N53" t="str">
        <f t="shared" si="27"/>
        <v>27.04.20122</v>
      </c>
      <c r="O53">
        <v>10</v>
      </c>
      <c r="P53">
        <v>10</v>
      </c>
      <c r="Q53" t="str">
        <f>""</f>
        <v/>
      </c>
      <c r="R53" t="str">
        <f>"Курск, Хрущева Пр-Кт, 1"</f>
        <v>Курск, Хрущева Пр-Кт, 1</v>
      </c>
      <c r="S53" t="str">
        <f>""</f>
        <v/>
      </c>
      <c r="T53" t="str">
        <f>"46/1099"</f>
        <v>46/1099</v>
      </c>
      <c r="U53" t="str">
        <f t="shared" si="15"/>
        <v>Магистральная ВОЛС</v>
      </c>
      <c r="V53" t="str">
        <f t="shared" si="31"/>
        <v>Нет</v>
      </c>
      <c r="W53" t="str">
        <f t="shared" si="31"/>
        <v>Нет</v>
      </c>
      <c r="X53" t="str">
        <f t="shared" si="31"/>
        <v>Нет</v>
      </c>
      <c r="Y53" t="str">
        <f t="shared" si="31"/>
        <v>Нет</v>
      </c>
      <c r="Z53" t="str">
        <f t="shared" si="31"/>
        <v>Нет</v>
      </c>
      <c r="AA53" t="str">
        <f>""</f>
        <v/>
      </c>
      <c r="AB53" t="str">
        <f t="shared" si="5"/>
        <v>Нет</v>
      </c>
      <c r="AC53" t="str">
        <f>"М 2.4.3 - ППК 2.4.8"</f>
        <v>М 2.4.3 - ППК 2.4.8</v>
      </c>
      <c r="AD53" t="str">
        <f t="shared" si="28"/>
        <v>01.02.2012</v>
      </c>
      <c r="AE53" t="str">
        <f>""</f>
        <v/>
      </c>
      <c r="AF53" t="str">
        <f>"[337964] М 2.4.3"</f>
        <v>[337964] М 2.4.3</v>
      </c>
      <c r="AG53" t="str">
        <f>"[337922] ГОК2.4.8.1 Курск, Хрущева Пр-Кт, 1  п. 3"</f>
        <v>[337922] ГОК2.4.8.1 Курск, Хрущева Пр-Кт, 1  п. 3</v>
      </c>
      <c r="AH53" t="str">
        <f>"М 2.4.3"</f>
        <v>М 2.4.3</v>
      </c>
      <c r="AI53" t="str">
        <f>"ППК 2.4.8"</f>
        <v>ППК 2.4.8</v>
      </c>
      <c r="AJ53" t="str">
        <f>""</f>
        <v/>
      </c>
      <c r="AK53" t="str">
        <f t="shared" si="11"/>
        <v>Нет</v>
      </c>
      <c r="AL53" t="str">
        <f>"51.735643 36.138153, 51.735956 36.137874, 51.735995 36.136871"</f>
        <v>51.735643 36.138153, 51.735956 36.137874, 51.735995 36.136871</v>
      </c>
      <c r="AM53" t="str">
        <f>"20000008004381"</f>
        <v>20000008004381</v>
      </c>
    </row>
    <row r="54" spans="1:39" x14ac:dyDescent="0.25">
      <c r="A54">
        <v>907</v>
      </c>
      <c r="B54" t="str">
        <f t="shared" si="0"/>
        <v>Курск</v>
      </c>
      <c r="C54">
        <v>807923</v>
      </c>
      <c r="D54" t="str">
        <f t="shared" si="1"/>
        <v>Оптический кабель</v>
      </c>
      <c r="E54" t="str">
        <f>"[46/1136] МОК2.5.2 Курск, Дружбы Пр-Кт, 4 б п.  - М 2.5.2"</f>
        <v>[46/1136] МОК2.5.2 Курск, Дружбы Пр-Кт, 4 б п.  - М 2.5.2</v>
      </c>
      <c r="F54" t="str">
        <f>"ДПТа-П-64А 6(6) 7кН (Кр,Жел,Зел,..,8-Фиол,9-Бел,..,Бир,Роз)"</f>
        <v>ДПТа-П-64А 6(6) 7кН (Кр,Жел,Зел,..,8-Фиол,9-Бел,..,Бир,Роз)</v>
      </c>
      <c r="G54" t="str">
        <f>""</f>
        <v/>
      </c>
      <c r="H54" t="str">
        <f t="shared" ref="H54:H61" si="32">"МС 2.5"</f>
        <v>МС 2.5</v>
      </c>
      <c r="I54">
        <v>46</v>
      </c>
      <c r="J54">
        <v>120</v>
      </c>
      <c r="K54">
        <v>40</v>
      </c>
      <c r="L54">
        <v>121</v>
      </c>
      <c r="M54" t="str">
        <f t="shared" si="30"/>
        <v>Воздушная трасса по стойкам</v>
      </c>
      <c r="N54" t="str">
        <f t="shared" ref="N54:N61" si="33">"28.04.20122"</f>
        <v>28.04.20122</v>
      </c>
      <c r="O54">
        <v>64</v>
      </c>
      <c r="P54">
        <v>64</v>
      </c>
      <c r="Q54" t="str">
        <f>"Курск, Дружбы Пр-Кт, 4 б"</f>
        <v>Курск, Дружбы Пр-Кт, 4 б</v>
      </c>
      <c r="R54" t="str">
        <f>""</f>
        <v/>
      </c>
      <c r="S54" t="str">
        <f>""</f>
        <v/>
      </c>
      <c r="T54" t="str">
        <f>"46/1136"</f>
        <v>46/1136</v>
      </c>
      <c r="U54" t="str">
        <f t="shared" si="15"/>
        <v>Магистральная ВОЛС</v>
      </c>
      <c r="V54" t="str">
        <f t="shared" si="31"/>
        <v>Нет</v>
      </c>
      <c r="W54" t="str">
        <f t="shared" si="31"/>
        <v>Нет</v>
      </c>
      <c r="X54" t="str">
        <f t="shared" si="31"/>
        <v>Нет</v>
      </c>
      <c r="Y54" t="str">
        <f t="shared" si="31"/>
        <v>Нет</v>
      </c>
      <c r="Z54" t="str">
        <f t="shared" si="31"/>
        <v>Нет</v>
      </c>
      <c r="AA54" t="str">
        <f>""</f>
        <v/>
      </c>
      <c r="AB54" t="str">
        <f t="shared" si="5"/>
        <v>Нет</v>
      </c>
      <c r="AC54" t="str">
        <f>"50 лет Октября 110 - Дружбы 9"</f>
        <v>50 лет Октября 110 - Дружбы 9</v>
      </c>
      <c r="AD54" t="str">
        <f t="shared" si="28"/>
        <v>01.02.2012</v>
      </c>
      <c r="AE54" t="str">
        <f>""</f>
        <v/>
      </c>
      <c r="AF54" t="str">
        <f>"[481481] МОК2.5.2 Курск, Дружбы Пр-Кт, 4 б п."</f>
        <v>[481481] МОК2.5.2 Курск, Дружбы Пр-Кт, 4 б п.</v>
      </c>
      <c r="AG54" t="str">
        <f>"[340492] М 2.5.2"</f>
        <v>[340492] М 2.5.2</v>
      </c>
      <c r="AH54" t="str">
        <f>"50 лет Октября 110"</f>
        <v>50 лет Октября 110</v>
      </c>
      <c r="AI54" t="str">
        <f>"Дружбы 9"</f>
        <v>Дружбы 9</v>
      </c>
      <c r="AJ54" t="str">
        <f>""</f>
        <v/>
      </c>
      <c r="AK54" t="str">
        <f t="shared" si="11"/>
        <v>Нет</v>
      </c>
      <c r="AL54" t="str">
        <f>"51.742483 36.139719, 51.74219 36.137743"</f>
        <v>51.742483 36.139719, 51.74219 36.137743</v>
      </c>
      <c r="AM54" t="str">
        <f>"20000007993382"</f>
        <v>20000007993382</v>
      </c>
    </row>
    <row r="55" spans="1:39" x14ac:dyDescent="0.25">
      <c r="A55">
        <v>907</v>
      </c>
      <c r="B55" t="str">
        <f t="shared" si="0"/>
        <v>Курск</v>
      </c>
      <c r="C55">
        <v>807928</v>
      </c>
      <c r="D55" t="str">
        <f t="shared" si="1"/>
        <v>Оптический кабель</v>
      </c>
      <c r="E55" t="str">
        <f>"[46/1137] М 2.5.2 - М 2.5.3"</f>
        <v>[46/1137] М 2.5.2 - М 2.5.3</v>
      </c>
      <c r="F55" t="str">
        <f>"ДПТа-П-64А 6(6) 7кН (Кр,Жел,Зел,..,8-Фиол,9-Бел,..,Бир,Роз)"</f>
        <v>ДПТа-П-64А 6(6) 7кН (Кр,Жел,Зел,..,8-Фиол,9-Бел,..,Бир,Роз)</v>
      </c>
      <c r="G55" t="str">
        <f>""</f>
        <v/>
      </c>
      <c r="H55" t="str">
        <f t="shared" si="32"/>
        <v>МС 2.5</v>
      </c>
      <c r="I55">
        <v>807</v>
      </c>
      <c r="J55">
        <v>1030</v>
      </c>
      <c r="K55">
        <v>160</v>
      </c>
      <c r="L55">
        <v>1034</v>
      </c>
      <c r="M55" t="str">
        <f>"Опоры"</f>
        <v>Опоры</v>
      </c>
      <c r="N55" t="str">
        <f t="shared" si="33"/>
        <v>28.04.20122</v>
      </c>
      <c r="O55">
        <v>64</v>
      </c>
      <c r="P55">
        <v>64</v>
      </c>
      <c r="Q55" t="str">
        <f>""</f>
        <v/>
      </c>
      <c r="R55" t="str">
        <f>""</f>
        <v/>
      </c>
      <c r="S55" t="str">
        <f>""</f>
        <v/>
      </c>
      <c r="T55" t="str">
        <f>"46/1137"</f>
        <v>46/1137</v>
      </c>
      <c r="U55" t="str">
        <f t="shared" si="15"/>
        <v>Магистральная ВОЛС</v>
      </c>
      <c r="V55" t="str">
        <f t="shared" si="31"/>
        <v>Нет</v>
      </c>
      <c r="W55" t="str">
        <f t="shared" si="31"/>
        <v>Нет</v>
      </c>
      <c r="X55" t="str">
        <f t="shared" si="31"/>
        <v>Нет</v>
      </c>
      <c r="Y55" t="str">
        <f t="shared" si="31"/>
        <v>Нет</v>
      </c>
      <c r="Z55" t="str">
        <f t="shared" si="31"/>
        <v>Нет</v>
      </c>
      <c r="AA55" t="str">
        <f>""</f>
        <v/>
      </c>
      <c r="AB55" t="str">
        <f t="shared" si="5"/>
        <v>Нет</v>
      </c>
      <c r="AC55" t="str">
        <f>"М 2.5.2 - М 2.5.3"</f>
        <v>М 2.5.2 - М 2.5.3</v>
      </c>
      <c r="AD55" t="str">
        <f t="shared" si="28"/>
        <v>01.02.2012</v>
      </c>
      <c r="AE55" t="str">
        <f>""</f>
        <v/>
      </c>
      <c r="AF55" t="str">
        <f>"[340492] М 2.5.2"</f>
        <v>[340492] М 2.5.2</v>
      </c>
      <c r="AG55" t="str">
        <f>"[340488] М 2.5.3"</f>
        <v>[340488] М 2.5.3</v>
      </c>
      <c r="AH55" t="str">
        <f>"М 2.5.2"</f>
        <v>М 2.5.2</v>
      </c>
      <c r="AI55" t="str">
        <f>"М 2.5.3"</f>
        <v>М 2.5.3</v>
      </c>
      <c r="AJ55" t="str">
        <f>""</f>
        <v/>
      </c>
      <c r="AK55" t="str">
        <f t="shared" si="11"/>
        <v>Нет</v>
      </c>
      <c r="AL55" t="s">
        <v>10</v>
      </c>
      <c r="AM55" t="str">
        <f>"20000007993385"</f>
        <v>20000007993385</v>
      </c>
    </row>
    <row r="56" spans="1:39" x14ac:dyDescent="0.25">
      <c r="A56">
        <v>907</v>
      </c>
      <c r="B56" t="str">
        <f t="shared" si="0"/>
        <v>Курск</v>
      </c>
      <c r="C56">
        <v>807933</v>
      </c>
      <c r="D56" t="str">
        <f t="shared" si="1"/>
        <v>Оптический кабель</v>
      </c>
      <c r="E56" t="str">
        <f>"[46/1138] М 2.5.3 - М 2.5.18"</f>
        <v>[46/1138] М 2.5.3 - М 2.5.18</v>
      </c>
      <c r="F56" t="str">
        <f>"ДПТа-П-64А 6(6) 7кН (Кр,Жел,Зел,..,8-Фиол,9-Бел,..,Бир,Роз)"</f>
        <v>ДПТа-П-64А 6(6) 7кН (Кр,Жел,Зел,..,8-Фиол,9-Бел,..,Бир,Роз)</v>
      </c>
      <c r="G56" t="str">
        <f>""</f>
        <v/>
      </c>
      <c r="H56" t="str">
        <f t="shared" si="32"/>
        <v>МС 2.5</v>
      </c>
      <c r="I56">
        <v>688</v>
      </c>
      <c r="J56">
        <v>573.80999999999995</v>
      </c>
      <c r="K56">
        <v>70</v>
      </c>
      <c r="L56">
        <v>573.80999999999995</v>
      </c>
      <c r="M56" t="str">
        <f>"Опоры"</f>
        <v>Опоры</v>
      </c>
      <c r="N56" t="str">
        <f t="shared" si="33"/>
        <v>28.04.20122</v>
      </c>
      <c r="O56">
        <v>64</v>
      </c>
      <c r="P56">
        <v>64</v>
      </c>
      <c r="Q56" t="str">
        <f>""</f>
        <v/>
      </c>
      <c r="R56" t="str">
        <f>""</f>
        <v/>
      </c>
      <c r="S56" t="str">
        <f>""</f>
        <v/>
      </c>
      <c r="T56" t="str">
        <f>"46/1138"</f>
        <v>46/1138</v>
      </c>
      <c r="U56" t="str">
        <f t="shared" si="15"/>
        <v>Магистральная ВОЛС</v>
      </c>
      <c r="V56" t="str">
        <f t="shared" si="31"/>
        <v>Нет</v>
      </c>
      <c r="W56" t="str">
        <f t="shared" si="31"/>
        <v>Нет</v>
      </c>
      <c r="X56" t="str">
        <f t="shared" si="31"/>
        <v>Нет</v>
      </c>
      <c r="Y56" t="str">
        <f t="shared" si="31"/>
        <v>Нет</v>
      </c>
      <c r="Z56" t="str">
        <f t="shared" si="31"/>
        <v>Нет</v>
      </c>
      <c r="AA56" t="str">
        <f>""</f>
        <v/>
      </c>
      <c r="AB56" t="str">
        <f t="shared" si="5"/>
        <v>Нет</v>
      </c>
      <c r="AC56" t="str">
        <f>"М 2.5.3 - М 2.5.4"</f>
        <v>М 2.5.3 - М 2.5.4</v>
      </c>
      <c r="AD56" t="str">
        <f t="shared" si="28"/>
        <v>01.02.2012</v>
      </c>
      <c r="AE56" t="str">
        <f>""</f>
        <v/>
      </c>
      <c r="AF56" t="str">
        <f>"[340488] М 2.5.3"</f>
        <v>[340488] М 2.5.3</v>
      </c>
      <c r="AG56" t="str">
        <f>"[799896] М 2.5.18"</f>
        <v>[799896] М 2.5.18</v>
      </c>
      <c r="AH56" t="str">
        <f>"М 2.5.3"</f>
        <v>М 2.5.3</v>
      </c>
      <c r="AI56" t="str">
        <f>"М 2.5.4"</f>
        <v>М 2.5.4</v>
      </c>
      <c r="AJ56" t="str">
        <f>""</f>
        <v/>
      </c>
      <c r="AK56" t="str">
        <f t="shared" si="11"/>
        <v>Нет</v>
      </c>
      <c r="AL56" t="s">
        <v>11</v>
      </c>
      <c r="AM56" t="str">
        <f>"20000008045579"</f>
        <v>20000008045579</v>
      </c>
    </row>
    <row r="57" spans="1:39" x14ac:dyDescent="0.25">
      <c r="A57">
        <v>907</v>
      </c>
      <c r="B57" t="str">
        <f t="shared" si="0"/>
        <v>Курск</v>
      </c>
      <c r="C57">
        <v>807943</v>
      </c>
      <c r="D57" t="str">
        <f t="shared" si="1"/>
        <v>Оптический кабель</v>
      </c>
      <c r="E57" t="str">
        <f>"[46/1139] М 2.5.4 - М 2.5.5"</f>
        <v>[46/1139] М 2.5.4 - М 2.5.5</v>
      </c>
      <c r="F57" t="str">
        <f>"ДПТа-П-64А 6(6) 7кН (Кр,Жел,Зел,..,8-Фиол,9-Бел,..,Бир,Роз)"</f>
        <v>ДПТа-П-64А 6(6) 7кН (Кр,Жел,Зел,..,8-Фиол,9-Бел,..,Бир,Роз)</v>
      </c>
      <c r="G57" t="str">
        <f>""</f>
        <v/>
      </c>
      <c r="H57" t="str">
        <f t="shared" si="32"/>
        <v>МС 2.5</v>
      </c>
      <c r="I57">
        <v>798</v>
      </c>
      <c r="J57">
        <v>979</v>
      </c>
      <c r="K57">
        <v>179</v>
      </c>
      <c r="L57">
        <v>981</v>
      </c>
      <c r="M57" t="str">
        <f>"Опоры"</f>
        <v>Опоры</v>
      </c>
      <c r="N57" t="str">
        <f t="shared" si="33"/>
        <v>28.04.20122</v>
      </c>
      <c r="O57">
        <v>64</v>
      </c>
      <c r="P57">
        <v>64</v>
      </c>
      <c r="Q57" t="str">
        <f>""</f>
        <v/>
      </c>
      <c r="R57" t="str">
        <f>""</f>
        <v/>
      </c>
      <c r="S57" t="str">
        <f>""</f>
        <v/>
      </c>
      <c r="T57" t="str">
        <f>"46/1139"</f>
        <v>46/1139</v>
      </c>
      <c r="U57" t="str">
        <f t="shared" si="15"/>
        <v>Магистральная ВОЛС</v>
      </c>
      <c r="V57" t="str">
        <f t="shared" si="31"/>
        <v>Нет</v>
      </c>
      <c r="W57" t="str">
        <f t="shared" si="31"/>
        <v>Нет</v>
      </c>
      <c r="X57" t="str">
        <f t="shared" si="31"/>
        <v>Нет</v>
      </c>
      <c r="Y57" t="str">
        <f t="shared" si="31"/>
        <v>Нет</v>
      </c>
      <c r="Z57" t="str">
        <f t="shared" si="31"/>
        <v>Нет</v>
      </c>
      <c r="AA57" t="str">
        <f>""</f>
        <v/>
      </c>
      <c r="AB57" t="str">
        <f t="shared" si="5"/>
        <v>Нет</v>
      </c>
      <c r="AC57" t="str">
        <f>"М 2.5.4 - М 2.5.5"</f>
        <v>М 2.5.4 - М 2.5.5</v>
      </c>
      <c r="AD57" t="str">
        <f t="shared" si="28"/>
        <v>01.02.2012</v>
      </c>
      <c r="AE57" t="str">
        <f>""</f>
        <v/>
      </c>
      <c r="AF57" t="str">
        <f>"[340484] М 2.5.4"</f>
        <v>[340484] М 2.5.4</v>
      </c>
      <c r="AG57" t="str">
        <f>"[340480] М 2.5.5"</f>
        <v>[340480] М 2.5.5</v>
      </c>
      <c r="AH57" t="str">
        <f>"М 2.5.4"</f>
        <v>М 2.5.4</v>
      </c>
      <c r="AI57" t="str">
        <f>"М 2.5.5"</f>
        <v>М 2.5.5</v>
      </c>
      <c r="AJ57" t="str">
        <f>""</f>
        <v/>
      </c>
      <c r="AK57" t="str">
        <f t="shared" si="11"/>
        <v>Нет</v>
      </c>
      <c r="AL57" t="s">
        <v>12</v>
      </c>
      <c r="AM57" t="str">
        <f>"20000008031655"</f>
        <v>20000008031655</v>
      </c>
    </row>
    <row r="58" spans="1:39" x14ac:dyDescent="0.25">
      <c r="A58">
        <v>907</v>
      </c>
      <c r="B58" t="str">
        <f t="shared" si="0"/>
        <v>Курск</v>
      </c>
      <c r="C58">
        <v>807948</v>
      </c>
      <c r="D58" t="str">
        <f t="shared" si="1"/>
        <v>Оптический кабель</v>
      </c>
      <c r="E58" t="str">
        <f>"[46/1140] М 2.5.5 - ГОК2.5.8.1 Курск, Майский Б-Р, 36  п. 2"</f>
        <v>[46/1140] М 2.5.5 - ГОК2.5.8.1 Курск, Майский Б-Р, 36  п. 2</v>
      </c>
      <c r="F58" t="str">
        <f>"ДПТс-П-16А 2(6) 7кН (Мод:Кр,Нат)(Вол:Кр,Жел,Зел,..,Ор,Фиол)"</f>
        <v>ДПТс-П-16А 2(6) 7кН (Мод:Кр,Нат)(Вол:Кр,Жел,Зел,..,Ор,Фиол)</v>
      </c>
      <c r="G58" t="str">
        <f>""</f>
        <v/>
      </c>
      <c r="H58" t="str">
        <f t="shared" si="32"/>
        <v>МС 2.5</v>
      </c>
      <c r="I58">
        <v>49</v>
      </c>
      <c r="J58">
        <v>150</v>
      </c>
      <c r="K58">
        <v>100</v>
      </c>
      <c r="L58">
        <v>151</v>
      </c>
      <c r="M58" t="str">
        <f>"Воздушная трасса по стойкам"</f>
        <v>Воздушная трасса по стойкам</v>
      </c>
      <c r="N58" t="str">
        <f t="shared" si="33"/>
        <v>28.04.20122</v>
      </c>
      <c r="O58">
        <v>13</v>
      </c>
      <c r="P58">
        <v>11</v>
      </c>
      <c r="Q58" t="str">
        <f>""</f>
        <v/>
      </c>
      <c r="R58" t="str">
        <f>"Курск, Майский Б-Р, 36"</f>
        <v>Курск, Майский Б-Р, 36</v>
      </c>
      <c r="S58" t="str">
        <f>""</f>
        <v/>
      </c>
      <c r="T58" t="str">
        <f>"46/1140"</f>
        <v>46/1140</v>
      </c>
      <c r="U58" t="str">
        <f t="shared" si="15"/>
        <v>Магистральная ВОЛС</v>
      </c>
      <c r="V58" t="str">
        <f t="shared" si="31"/>
        <v>Нет</v>
      </c>
      <c r="W58" t="str">
        <f t="shared" si="31"/>
        <v>Нет</v>
      </c>
      <c r="X58" t="str">
        <f t="shared" si="31"/>
        <v>Нет</v>
      </c>
      <c r="Y58" t="str">
        <f t="shared" si="31"/>
        <v>Нет</v>
      </c>
      <c r="Z58" t="str">
        <f t="shared" si="31"/>
        <v>Нет</v>
      </c>
      <c r="AA58" t="str">
        <f>""</f>
        <v/>
      </c>
      <c r="AB58" t="str">
        <f t="shared" si="5"/>
        <v>Нет</v>
      </c>
      <c r="AC58" t="str">
        <f>"М 2.5.5 - ППК 2.5.8"</f>
        <v>М 2.5.5 - ППК 2.5.8</v>
      </c>
      <c r="AD58" t="str">
        <f t="shared" si="28"/>
        <v>01.02.2012</v>
      </c>
      <c r="AE58" t="str">
        <f>""</f>
        <v/>
      </c>
      <c r="AF58" t="str">
        <f>"[340480] М 2.5.5"</f>
        <v>[340480] М 2.5.5</v>
      </c>
      <c r="AG58" t="str">
        <f>"[340459] ГОК2.5.8.1 Курск, Майский Б-Р, 36  п. 2"</f>
        <v>[340459] ГОК2.5.8.1 Курск, Майский Б-Р, 36  п. 2</v>
      </c>
      <c r="AH58" t="str">
        <f>"М 2.5.5"</f>
        <v>М 2.5.5</v>
      </c>
      <c r="AI58" t="str">
        <f>"ППК 2.5.8"</f>
        <v>ППК 2.5.8</v>
      </c>
      <c r="AJ58" t="str">
        <f>""</f>
        <v/>
      </c>
      <c r="AK58" t="str">
        <f t="shared" si="11"/>
        <v>Нет</v>
      </c>
      <c r="AL58" t="str">
        <f>"51.728108 36.139205, 51.72843 36.139339, 51.728523 36.139419"</f>
        <v>51.728108 36.139205, 51.72843 36.139339, 51.728523 36.139419</v>
      </c>
      <c r="AM58" t="str">
        <f>"20000008047939"</f>
        <v>20000008047939</v>
      </c>
    </row>
    <row r="59" spans="1:39" x14ac:dyDescent="0.25">
      <c r="A59">
        <v>907</v>
      </c>
      <c r="B59" t="str">
        <f t="shared" si="0"/>
        <v>Курск</v>
      </c>
      <c r="C59">
        <v>807956</v>
      </c>
      <c r="D59" t="str">
        <f t="shared" si="1"/>
        <v>Оптический кабель</v>
      </c>
      <c r="E59" t="str">
        <f>"[46/1142] М2.7.2 - ГОК2.5.7.1 Курск, Бойцов 9 Дивизии, 187  п. 2"</f>
        <v>[46/1142] М2.7.2 - ГОК2.5.7.1 Курск, Бойцов 9 Дивизии, 187  п. 2</v>
      </c>
      <c r="F59" t="str">
        <f>"ДПТс-П-16А 2(6) 7кН (Мод:Кр,Нат)(Вол:Кр,Жел,Зел,..,Ор,Фиол)"</f>
        <v>ДПТс-П-16А 2(6) 7кН (Мод:Кр,Нат)(Вол:Кр,Жел,Зел,..,Ор,Фиол)</v>
      </c>
      <c r="G59" t="str">
        <f>""</f>
        <v/>
      </c>
      <c r="H59" t="str">
        <f t="shared" si="32"/>
        <v>МС 2.5</v>
      </c>
      <c r="I59">
        <v>28</v>
      </c>
      <c r="J59">
        <v>70</v>
      </c>
      <c r="K59">
        <v>40</v>
      </c>
      <c r="L59">
        <v>70</v>
      </c>
      <c r="M59" t="str">
        <f>"Внутри объектов"</f>
        <v>Внутри объектов</v>
      </c>
      <c r="N59" t="str">
        <f t="shared" si="33"/>
        <v>28.04.20122</v>
      </c>
      <c r="O59">
        <v>11</v>
      </c>
      <c r="P59">
        <v>5</v>
      </c>
      <c r="Q59" t="str">
        <f>""</f>
        <v/>
      </c>
      <c r="R59" t="str">
        <f>"Курск, Бойцов 9 Дивизии, 187"</f>
        <v>Курск, Бойцов 9 Дивизии, 187</v>
      </c>
      <c r="S59" t="str">
        <f>""</f>
        <v/>
      </c>
      <c r="T59" t="str">
        <f>"46/1142"</f>
        <v>46/1142</v>
      </c>
      <c r="U59" t="str">
        <f t="shared" si="15"/>
        <v>Магистральная ВОЛС</v>
      </c>
      <c r="V59" t="str">
        <f t="shared" si="31"/>
        <v>Нет</v>
      </c>
      <c r="W59" t="str">
        <f t="shared" si="31"/>
        <v>Нет</v>
      </c>
      <c r="X59" t="str">
        <f t="shared" si="31"/>
        <v>Нет</v>
      </c>
      <c r="Y59" t="str">
        <f t="shared" si="31"/>
        <v>Нет</v>
      </c>
      <c r="Z59" t="str">
        <f t="shared" si="31"/>
        <v>Нет</v>
      </c>
      <c r="AA59" t="str">
        <f>""</f>
        <v/>
      </c>
      <c r="AB59" t="str">
        <f t="shared" si="5"/>
        <v>Нет</v>
      </c>
      <c r="AC59" t="str">
        <f>"М 2.5.6 - ППК 2.5.7"</f>
        <v>М 2.5.6 - ППК 2.5.7</v>
      </c>
      <c r="AD59" t="str">
        <f t="shared" si="28"/>
        <v>01.02.2012</v>
      </c>
      <c r="AE59" t="str">
        <f>""</f>
        <v/>
      </c>
      <c r="AF59" t="str">
        <f>"[508466] М2.7.2"</f>
        <v>[508466] М2.7.2</v>
      </c>
      <c r="AG59" t="str">
        <f>"[340446] ГОК2.5.7.1 Курск, Бойцов 9 Дивизии, 187  п. 2"</f>
        <v>[340446] ГОК2.5.7.1 Курск, Бойцов 9 Дивизии, 187  п. 2</v>
      </c>
      <c r="AH59" t="str">
        <f>"М 2.5.6"</f>
        <v>М 2.5.6</v>
      </c>
      <c r="AI59" t="str">
        <f>"ППК 2.5.7"</f>
        <v>ППК 2.5.7</v>
      </c>
      <c r="AJ59" t="str">
        <f>""</f>
        <v/>
      </c>
      <c r="AK59" t="str">
        <f t="shared" si="11"/>
        <v>Нет</v>
      </c>
      <c r="AL59" t="str">
        <f>"51.726367 36.137879, 51.726337 36.137477"</f>
        <v>51.726367 36.137879, 51.726337 36.137477</v>
      </c>
      <c r="AM59" t="str">
        <f>"20000008004389"</f>
        <v>20000008004389</v>
      </c>
    </row>
    <row r="60" spans="1:39" x14ac:dyDescent="0.25">
      <c r="A60">
        <v>907</v>
      </c>
      <c r="B60" t="str">
        <f t="shared" si="0"/>
        <v>Курск</v>
      </c>
      <c r="C60">
        <v>807963</v>
      </c>
      <c r="D60" t="str">
        <f t="shared" si="1"/>
        <v>Оптический кабель</v>
      </c>
      <c r="E60" t="str">
        <f>"[46/1143] М2.7.2 - М 2.5.7"</f>
        <v>[46/1143] М2.7.2 - М 2.5.7</v>
      </c>
      <c r="F60" t="str">
        <f>"ДПТа-П-64А 6(6) 7кН (Кр,Жел,Зел,..,8-Фиол,9-Бел,..,Бир,Роз)"</f>
        <v>ДПТа-П-64А 6(6) 7кН (Кр,Жел,Зел,..,8-Фиол,9-Бел,..,Бир,Роз)</v>
      </c>
      <c r="G60" t="str">
        <f>""</f>
        <v/>
      </c>
      <c r="H60" t="str">
        <f t="shared" si="32"/>
        <v>МС 2.5</v>
      </c>
      <c r="I60">
        <v>442</v>
      </c>
      <c r="J60">
        <v>600</v>
      </c>
      <c r="K60">
        <v>140</v>
      </c>
      <c r="L60">
        <v>603</v>
      </c>
      <c r="M60" t="str">
        <f>"Воздушная трасса по стойкам"</f>
        <v>Воздушная трасса по стойкам</v>
      </c>
      <c r="N60" t="str">
        <f t="shared" si="33"/>
        <v>28.04.20122</v>
      </c>
      <c r="O60">
        <v>64</v>
      </c>
      <c r="P60">
        <v>64</v>
      </c>
      <c r="Q60" t="str">
        <f>""</f>
        <v/>
      </c>
      <c r="R60" t="str">
        <f>""</f>
        <v/>
      </c>
      <c r="S60" t="str">
        <f>""</f>
        <v/>
      </c>
      <c r="T60" t="str">
        <f>"46/1143"</f>
        <v>46/1143</v>
      </c>
      <c r="U60" t="str">
        <f t="shared" si="15"/>
        <v>Магистральная ВОЛС</v>
      </c>
      <c r="V60" t="str">
        <f t="shared" si="31"/>
        <v>Нет</v>
      </c>
      <c r="W60" t="str">
        <f t="shared" si="31"/>
        <v>Нет</v>
      </c>
      <c r="X60" t="str">
        <f t="shared" si="31"/>
        <v>Нет</v>
      </c>
      <c r="Y60" t="str">
        <f t="shared" si="31"/>
        <v>Нет</v>
      </c>
      <c r="Z60" t="str">
        <f t="shared" si="31"/>
        <v>Нет</v>
      </c>
      <c r="AA60" t="str">
        <f>""</f>
        <v/>
      </c>
      <c r="AB60" t="str">
        <f t="shared" si="5"/>
        <v>Нет</v>
      </c>
      <c r="AC60" t="str">
        <f>"М 2.5.6 - М 2.5.7"</f>
        <v>М 2.5.6 - М 2.5.7</v>
      </c>
      <c r="AD60" t="str">
        <f t="shared" si="28"/>
        <v>01.02.2012</v>
      </c>
      <c r="AE60" t="str">
        <f>""</f>
        <v/>
      </c>
      <c r="AF60" t="str">
        <f>"[508466] М2.7.2"</f>
        <v>[508466] М2.7.2</v>
      </c>
      <c r="AG60" t="str">
        <f>"[340472] М 2.5.7"</f>
        <v>[340472] М 2.5.7</v>
      </c>
      <c r="AH60" t="str">
        <f>"М 2.5.6"</f>
        <v>М 2.5.6</v>
      </c>
      <c r="AI60" t="str">
        <f>"М 2.5.7"</f>
        <v>М 2.5.7</v>
      </c>
      <c r="AJ60" t="str">
        <f>""</f>
        <v/>
      </c>
      <c r="AK60" t="str">
        <f t="shared" si="11"/>
        <v>Нет</v>
      </c>
      <c r="AL60" t="str">
        <f>"51.726381 36.137847, 51.726347 36.137127, 51.726334 36.136395, 51.725666 36.136393, 51.725446 36.135204, 51.724882 36.135197, 51.724732 36.135787, 51.724573 36.136184, 51.724443 36.136764"</f>
        <v>51.726381 36.137847, 51.726347 36.137127, 51.726334 36.136395, 51.725666 36.136393, 51.725446 36.135204, 51.724882 36.135197, 51.724732 36.135787, 51.724573 36.136184, 51.724443 36.136764</v>
      </c>
      <c r="AM60" t="str">
        <f>"20000008036619"</f>
        <v>20000008036619</v>
      </c>
    </row>
    <row r="61" spans="1:39" x14ac:dyDescent="0.25">
      <c r="A61">
        <v>907</v>
      </c>
      <c r="B61" t="str">
        <f t="shared" si="0"/>
        <v>Курск</v>
      </c>
      <c r="C61">
        <v>807968</v>
      </c>
      <c r="D61" t="str">
        <f t="shared" si="1"/>
        <v>Оптический кабель</v>
      </c>
      <c r="E61" t="str">
        <f>"[46/1144] М 2.5.7 - ГОК2.5.6.1 Курск, Бойцов 9 Дивизии, 193  п. 1"</f>
        <v>[46/1144] М 2.5.7 - ГОК2.5.6.1 Курск, Бойцов 9 Дивизии, 193  п. 1</v>
      </c>
      <c r="F61" t="str">
        <f>"ДПТс-П-16А 2(6) 7кН (Мод:Кр,Нат)(Вол:Кр,Жел,Зел,..,Ор,Фиол)"</f>
        <v>ДПТс-П-16А 2(6) 7кН (Мод:Кр,Нат)(Вол:Кр,Жел,Зел,..,Ор,Фиол)</v>
      </c>
      <c r="G61" t="str">
        <f>""</f>
        <v/>
      </c>
      <c r="H61" t="str">
        <f t="shared" si="32"/>
        <v>МС 2.5</v>
      </c>
      <c r="I61">
        <v>4</v>
      </c>
      <c r="J61">
        <v>70</v>
      </c>
      <c r="K61">
        <v>40</v>
      </c>
      <c r="L61">
        <v>70</v>
      </c>
      <c r="M61" t="str">
        <f>"Внутри объектов"</f>
        <v>Внутри объектов</v>
      </c>
      <c r="N61" t="str">
        <f t="shared" si="33"/>
        <v>28.04.20122</v>
      </c>
      <c r="O61">
        <v>10</v>
      </c>
      <c r="P61">
        <v>10</v>
      </c>
      <c r="Q61" t="str">
        <f>""</f>
        <v/>
      </c>
      <c r="R61" t="str">
        <f>"Курск, Бойцов 9 Дивизии, 193"</f>
        <v>Курск, Бойцов 9 Дивизии, 193</v>
      </c>
      <c r="S61" t="str">
        <f>""</f>
        <v/>
      </c>
      <c r="T61" t="str">
        <f>"46/1144"</f>
        <v>46/1144</v>
      </c>
      <c r="U61" t="str">
        <f t="shared" si="15"/>
        <v>Магистральная ВОЛС</v>
      </c>
      <c r="V61" t="str">
        <f t="shared" si="31"/>
        <v>Нет</v>
      </c>
      <c r="W61" t="str">
        <f t="shared" si="31"/>
        <v>Нет</v>
      </c>
      <c r="X61" t="str">
        <f t="shared" si="31"/>
        <v>Нет</v>
      </c>
      <c r="Y61" t="str">
        <f t="shared" si="31"/>
        <v>Нет</v>
      </c>
      <c r="Z61" t="str">
        <f t="shared" si="31"/>
        <v>Нет</v>
      </c>
      <c r="AA61" t="str">
        <f>""</f>
        <v/>
      </c>
      <c r="AB61" t="str">
        <f t="shared" si="5"/>
        <v>Нет</v>
      </c>
      <c r="AC61" t="str">
        <f>"М 2.5.7 - ППК 2.5.6"</f>
        <v>М 2.5.7 - ППК 2.5.6</v>
      </c>
      <c r="AD61" t="str">
        <f t="shared" si="28"/>
        <v>01.02.2012</v>
      </c>
      <c r="AE61" t="str">
        <f>""</f>
        <v/>
      </c>
      <c r="AF61" t="str">
        <f>"[340472] М 2.5.7"</f>
        <v>[340472] М 2.5.7</v>
      </c>
      <c r="AG61" t="str">
        <f>"[340433] ГОК2.5.6.1 Курск, Бойцов 9 Дивизии, 193  п. 1"</f>
        <v>[340433] ГОК2.5.6.1 Курск, Бойцов 9 Дивизии, 193  п. 1</v>
      </c>
      <c r="AH61" t="str">
        <f>"М 2.5.7"</f>
        <v>М 2.5.7</v>
      </c>
      <c r="AI61" t="str">
        <f>"ППК 2.5.6"</f>
        <v>ППК 2.5.6</v>
      </c>
      <c r="AJ61" t="str">
        <f>""</f>
        <v/>
      </c>
      <c r="AK61" t="str">
        <f t="shared" si="11"/>
        <v>Нет</v>
      </c>
      <c r="AL61" t="str">
        <f>"51.724443 36.136777, 51.724439 36.136827"</f>
        <v>51.724443 36.136777, 51.724439 36.136827</v>
      </c>
      <c r="AM61" t="str">
        <f>"20000008044498"</f>
        <v>20000008044498</v>
      </c>
    </row>
    <row r="62" spans="1:39" x14ac:dyDescent="0.25">
      <c r="A62">
        <v>907</v>
      </c>
      <c r="B62" t="str">
        <f t="shared" si="0"/>
        <v>Курск</v>
      </c>
      <c r="C62">
        <v>808943</v>
      </c>
      <c r="D62" t="str">
        <f t="shared" si="1"/>
        <v>Оптический кабель</v>
      </c>
      <c r="E62" t="str">
        <f>"[46/1166] Т 2.1 - Т 2.6"</f>
        <v>[46/1166] Т 2.1 - Т 2.6</v>
      </c>
      <c r="F62" t="str">
        <f>"ДПТа-П-64А 6(6) 7кН (Кр,Жел,Зел,..,8-Фиол,9-Бел,..,Бир,Роз)"</f>
        <v>ДПТа-П-64А 6(6) 7кН (Кр,Жел,Зел,..,8-Фиол,9-Бел,..,Бир,Роз)</v>
      </c>
      <c r="G62" t="str">
        <f>""</f>
        <v/>
      </c>
      <c r="H62" t="str">
        <f>"ТС"</f>
        <v>ТС</v>
      </c>
      <c r="I62">
        <v>553</v>
      </c>
      <c r="J62">
        <v>574.1</v>
      </c>
      <c r="K62">
        <v>18</v>
      </c>
      <c r="L62">
        <v>575.91999999999996</v>
      </c>
      <c r="M62" t="str">
        <f>"Опоры"</f>
        <v>Опоры</v>
      </c>
      <c r="N62" t="str">
        <f>"03.05.20122"</f>
        <v>03.05.20122</v>
      </c>
      <c r="O62">
        <v>64</v>
      </c>
      <c r="P62">
        <v>64</v>
      </c>
      <c r="Q62" t="str">
        <f>""</f>
        <v/>
      </c>
      <c r="R62" t="str">
        <f>""</f>
        <v/>
      </c>
      <c r="S62" t="str">
        <f>""</f>
        <v/>
      </c>
      <c r="T62" t="str">
        <f>"46/1166"</f>
        <v>46/1166</v>
      </c>
      <c r="U62" t="str">
        <f>"Транспортная ВОЛС"</f>
        <v>Транспортная ВОЛС</v>
      </c>
      <c r="V62" t="str">
        <f t="shared" ref="V62:Z71" si="34">"Нет"</f>
        <v>Нет</v>
      </c>
      <c r="W62" t="str">
        <f t="shared" si="34"/>
        <v>Нет</v>
      </c>
      <c r="X62" t="str">
        <f t="shared" si="34"/>
        <v>Нет</v>
      </c>
      <c r="Y62" t="str">
        <f t="shared" si="34"/>
        <v>Нет</v>
      </c>
      <c r="Z62" t="str">
        <f t="shared" si="34"/>
        <v>Нет</v>
      </c>
      <c r="AA62" t="str">
        <f>""</f>
        <v/>
      </c>
      <c r="AB62" t="str">
        <f t="shared" si="5"/>
        <v>Нет</v>
      </c>
      <c r="AC62" t="str">
        <f>"Т 2.1 - Т 2.2"</f>
        <v>Т 2.1 - Т 2.2</v>
      </c>
      <c r="AD62" t="str">
        <f>"12.12.2011"</f>
        <v>12.12.2011</v>
      </c>
      <c r="AE62" t="str">
        <f>""</f>
        <v/>
      </c>
      <c r="AF62" t="str">
        <f>"[342271] Т 2.1"</f>
        <v>[342271] Т 2.1</v>
      </c>
      <c r="AG62" t="str">
        <f>"[534894] Т 2.6"</f>
        <v>[534894] Т 2.6</v>
      </c>
      <c r="AH62" t="str">
        <f>"Т 2.1"</f>
        <v>Т 2.1</v>
      </c>
      <c r="AI62" t="str">
        <f>"Т 2.2"</f>
        <v>Т 2.2</v>
      </c>
      <c r="AJ62" t="str">
        <f>""</f>
        <v/>
      </c>
      <c r="AK62" t="str">
        <f t="shared" si="11"/>
        <v>Нет</v>
      </c>
      <c r="AL62" t="s">
        <v>13</v>
      </c>
      <c r="AM62" t="str">
        <f>"20000008036630"</f>
        <v>20000008036630</v>
      </c>
    </row>
    <row r="63" spans="1:39" x14ac:dyDescent="0.25">
      <c r="A63">
        <v>907</v>
      </c>
      <c r="B63" t="str">
        <f t="shared" si="0"/>
        <v>Курск</v>
      </c>
      <c r="C63">
        <v>808948</v>
      </c>
      <c r="D63" t="str">
        <f t="shared" si="1"/>
        <v>Оптический кабель</v>
      </c>
      <c r="E63" t="str">
        <f>"[46/1167] Т 2.2 - Т 2.3.2"</f>
        <v>[46/1167] Т 2.2 - Т 2.3.2</v>
      </c>
      <c r="F63" t="str">
        <f>"ДПТа-П-64А 6(6) 7кН (Кр,Жел,Зел,..,8-Фиол,9-Бел,..,Бир,Роз)"</f>
        <v>ДПТа-П-64А 6(6) 7кН (Кр,Жел,Зел,..,8-Фиол,9-Бел,..,Бир,Роз)</v>
      </c>
      <c r="G63" t="str">
        <f>""</f>
        <v/>
      </c>
      <c r="H63" t="str">
        <f>"ТС"</f>
        <v>ТС</v>
      </c>
      <c r="I63">
        <v>663</v>
      </c>
      <c r="J63">
        <v>807.21</v>
      </c>
      <c r="K63">
        <v>100</v>
      </c>
      <c r="L63">
        <v>813.67</v>
      </c>
      <c r="M63" t="str">
        <f>"Опоры"</f>
        <v>Опоры</v>
      </c>
      <c r="N63" t="str">
        <f>"03.05.20122"</f>
        <v>03.05.20122</v>
      </c>
      <c r="O63">
        <v>64</v>
      </c>
      <c r="P63">
        <v>64</v>
      </c>
      <c r="Q63" t="str">
        <f>""</f>
        <v/>
      </c>
      <c r="R63" t="str">
        <f>""</f>
        <v/>
      </c>
      <c r="S63" t="str">
        <f>""</f>
        <v/>
      </c>
      <c r="T63" t="str">
        <f>"46/1167"</f>
        <v>46/1167</v>
      </c>
      <c r="U63" t="str">
        <f>"Транспортная ВОЛС"</f>
        <v>Транспортная ВОЛС</v>
      </c>
      <c r="V63" t="str">
        <f t="shared" si="34"/>
        <v>Нет</v>
      </c>
      <c r="W63" t="str">
        <f t="shared" si="34"/>
        <v>Нет</v>
      </c>
      <c r="X63" t="str">
        <f t="shared" si="34"/>
        <v>Нет</v>
      </c>
      <c r="Y63" t="str">
        <f t="shared" si="34"/>
        <v>Нет</v>
      </c>
      <c r="Z63" t="str">
        <f t="shared" si="34"/>
        <v>Нет</v>
      </c>
      <c r="AA63" t="str">
        <f>""</f>
        <v/>
      </c>
      <c r="AB63" t="str">
        <f t="shared" si="5"/>
        <v>Нет</v>
      </c>
      <c r="AC63" t="str">
        <f>"Т 2.2 - Т 2.3"</f>
        <v>Т 2.2 - Т 2.3</v>
      </c>
      <c r="AD63" t="str">
        <f>"12.12.2011"</f>
        <v>12.12.2011</v>
      </c>
      <c r="AE63" t="str">
        <f>""</f>
        <v/>
      </c>
      <c r="AF63" t="str">
        <f>"[342267] Т 2.2"</f>
        <v>[342267] Т 2.2</v>
      </c>
      <c r="AG63" t="str">
        <f>"[537171] Т 2.3.2"</f>
        <v>[537171] Т 2.3.2</v>
      </c>
      <c r="AH63" t="str">
        <f>"Т 2.2"</f>
        <v>Т 2.2</v>
      </c>
      <c r="AI63" t="str">
        <f>"Т 2.3"</f>
        <v>Т 2.3</v>
      </c>
      <c r="AJ63" t="str">
        <f>""</f>
        <v/>
      </c>
      <c r="AK63" t="str">
        <f t="shared" si="11"/>
        <v>Нет</v>
      </c>
      <c r="AL63" t="s">
        <v>14</v>
      </c>
      <c r="AM63" t="str">
        <f>"20000008018759"</f>
        <v>20000008018759</v>
      </c>
    </row>
    <row r="64" spans="1:39" x14ac:dyDescent="0.25">
      <c r="A64">
        <v>907</v>
      </c>
      <c r="B64" t="str">
        <f t="shared" si="0"/>
        <v>Курск</v>
      </c>
      <c r="C64">
        <v>808963</v>
      </c>
      <c r="D64" t="str">
        <f t="shared" si="1"/>
        <v>Оптический кабель</v>
      </c>
      <c r="E64" t="str">
        <f>"[46/1169] Т 2.4 - ТОК3.2 Курск, Карла Маркса, 62 /21 п. 1"</f>
        <v>[46/1169] Т 2.4 - ТОК3.2 Курск, Карла Маркса, 62 /21 п. 1</v>
      </c>
      <c r="F64" t="str">
        <f>"ДПТа-П-64А 6(6) 7кН (Кр,Жел,Зел,..,8-Фиол,9-Бел,..,Бир,Роз)"</f>
        <v>ДПТа-П-64А 6(6) 7кН (Кр,Жел,Зел,..,8-Фиол,9-Бел,..,Бир,Роз)</v>
      </c>
      <c r="G64" t="str">
        <f>""</f>
        <v/>
      </c>
      <c r="H64" t="str">
        <f>"ТС"</f>
        <v>ТС</v>
      </c>
      <c r="I64">
        <v>286</v>
      </c>
      <c r="J64">
        <v>418</v>
      </c>
      <c r="K64">
        <v>115</v>
      </c>
      <c r="L64">
        <v>419</v>
      </c>
      <c r="M64" t="str">
        <f>"Опоры"</f>
        <v>Опоры</v>
      </c>
      <c r="N64" t="str">
        <f>"03.05.20122"</f>
        <v>03.05.20122</v>
      </c>
      <c r="O64">
        <v>64</v>
      </c>
      <c r="P64">
        <v>64</v>
      </c>
      <c r="Q64" t="str">
        <f>""</f>
        <v/>
      </c>
      <c r="R64" t="str">
        <f>"Курск, Карла Маркса, 62 /21"</f>
        <v>Курск, Карла Маркса, 62 /21</v>
      </c>
      <c r="S64" t="str">
        <f>""</f>
        <v/>
      </c>
      <c r="T64" t="str">
        <f>"46/1169"</f>
        <v>46/1169</v>
      </c>
      <c r="U64" t="str">
        <f>"Транспортная ВОЛС"</f>
        <v>Транспортная ВОЛС</v>
      </c>
      <c r="V64" t="str">
        <f t="shared" si="34"/>
        <v>Нет</v>
      </c>
      <c r="W64" t="str">
        <f t="shared" si="34"/>
        <v>Нет</v>
      </c>
      <c r="X64" t="str">
        <f t="shared" si="34"/>
        <v>Нет</v>
      </c>
      <c r="Y64" t="str">
        <f t="shared" si="34"/>
        <v>Нет</v>
      </c>
      <c r="Z64" t="str">
        <f t="shared" si="34"/>
        <v>Нет</v>
      </c>
      <c r="AA64" t="str">
        <f>""</f>
        <v/>
      </c>
      <c r="AB64" t="str">
        <f t="shared" si="5"/>
        <v>Нет</v>
      </c>
      <c r="AC64" t="str">
        <f>"Т 2.4 - МГС 3"</f>
        <v>Т 2.4 - МГС 3</v>
      </c>
      <c r="AD64" t="str">
        <f>"12.12.2011"</f>
        <v>12.12.2011</v>
      </c>
      <c r="AE64" t="str">
        <f>""</f>
        <v/>
      </c>
      <c r="AF64" t="str">
        <f>"[342259] Т 2.4"</f>
        <v>[342259] Т 2.4</v>
      </c>
      <c r="AG64" t="str">
        <f>"[342344] ТОК3.2 Курск, Карла Маркса, 62 /21 п. 1"</f>
        <v>[342344] ТОК3.2 Курск, Карла Маркса, 62 /21 п. 1</v>
      </c>
      <c r="AH64" t="str">
        <f>"Т 2.4"</f>
        <v>Т 2.4</v>
      </c>
      <c r="AI64" t="str">
        <f>"МГС 3"</f>
        <v>МГС 3</v>
      </c>
      <c r="AJ64" t="str">
        <f>""</f>
        <v/>
      </c>
      <c r="AK64" t="str">
        <f t="shared" si="11"/>
        <v>Нет</v>
      </c>
      <c r="AL64" t="str">
        <f>"51.759801 36.187103, 51.759708 36.186678, 51.759338 36.186871, 51.758913 36.18711, 51.758442 36.187391, 51.758343 36.187439, 51.758089 36.186436, 51.757986 36.186523, 51.75797 36.186561, 51.757983 36.186609"</f>
        <v>51.759801 36.187103, 51.759708 36.186678, 51.759338 36.186871, 51.758913 36.18711, 51.758442 36.187391, 51.758343 36.187439, 51.758089 36.186436, 51.757986 36.186523, 51.75797 36.186561, 51.757983 36.186609</v>
      </c>
      <c r="AM64" t="str">
        <f>"20000008018758"</f>
        <v>20000008018758</v>
      </c>
    </row>
    <row r="65" spans="1:39" x14ac:dyDescent="0.25">
      <c r="A65">
        <v>907</v>
      </c>
      <c r="B65" t="str">
        <f t="shared" si="0"/>
        <v>Курск</v>
      </c>
      <c r="C65">
        <v>809543</v>
      </c>
      <c r="D65" t="str">
        <f t="shared" si="1"/>
        <v>Оптический кабель</v>
      </c>
      <c r="E65" t="str">
        <f>"[46/1170] МОК3.1.1 Курск, Карла Маркса, 62 /21 п. 1 - М 3.1.1"</f>
        <v>[46/1170] МОК3.1.1 Курск, Карла Маркса, 62 /21 п. 1 - М 3.1.1</v>
      </c>
      <c r="F65" t="str">
        <f>"ДПТа-П-64А 6(6) 7кН (Кр,Жел,Зел,..,8-Фиол,9-Бел,..,Бир,Роз)"</f>
        <v>ДПТа-П-64А 6(6) 7кН (Кр,Жел,Зел,..,8-Фиол,9-Бел,..,Бир,Роз)</v>
      </c>
      <c r="G65" t="str">
        <f>""</f>
        <v/>
      </c>
      <c r="H65" t="str">
        <f t="shared" ref="H65:H76" si="35">"МС 3.1"</f>
        <v>МС 3.1</v>
      </c>
      <c r="I65">
        <v>508</v>
      </c>
      <c r="J65">
        <v>680</v>
      </c>
      <c r="K65">
        <v>160</v>
      </c>
      <c r="L65">
        <v>683</v>
      </c>
      <c r="M65" t="str">
        <f>"Опоры"</f>
        <v>Опоры</v>
      </c>
      <c r="N65" t="str">
        <f t="shared" ref="N65:N76" si="36">"05.05.20122"</f>
        <v>05.05.20122</v>
      </c>
      <c r="O65">
        <v>64</v>
      </c>
      <c r="P65">
        <v>64</v>
      </c>
      <c r="Q65" t="str">
        <f>"Курск, Карла Маркса, 62 /21"</f>
        <v>Курск, Карла Маркса, 62 /21</v>
      </c>
      <c r="R65" t="str">
        <f>""</f>
        <v/>
      </c>
      <c r="S65" t="str">
        <f>""</f>
        <v/>
      </c>
      <c r="T65" t="str">
        <f>"46/1170"</f>
        <v>46/1170</v>
      </c>
      <c r="U65" t="str">
        <f t="shared" ref="U65:U86" si="37">"Магистральная ВОЛС"</f>
        <v>Магистральная ВОЛС</v>
      </c>
      <c r="V65" t="str">
        <f t="shared" si="34"/>
        <v>Нет</v>
      </c>
      <c r="W65" t="str">
        <f t="shared" si="34"/>
        <v>Нет</v>
      </c>
      <c r="X65" t="str">
        <f t="shared" si="34"/>
        <v>Нет</v>
      </c>
      <c r="Y65" t="str">
        <f t="shared" si="34"/>
        <v>Нет</v>
      </c>
      <c r="Z65" t="str">
        <f t="shared" si="34"/>
        <v>Нет</v>
      </c>
      <c r="AA65" t="str">
        <f>""</f>
        <v/>
      </c>
      <c r="AB65" t="str">
        <f t="shared" si="5"/>
        <v>Нет</v>
      </c>
      <c r="AC65" t="str">
        <f>"МГС 3 - М 3.1.1"</f>
        <v>МГС 3 - М 3.1.1</v>
      </c>
      <c r="AD65" t="str">
        <f t="shared" ref="AD65:AD76" si="38">"02.02.2012"</f>
        <v>02.02.2012</v>
      </c>
      <c r="AE65" t="str">
        <f>""</f>
        <v/>
      </c>
      <c r="AF65" t="str">
        <f>"[361032] МОК3.1.1 Курск, Карла Маркса, 62 /21 п. 1"</f>
        <v>[361032] МОК3.1.1 Курск, Карла Маркса, 62 /21 п. 1</v>
      </c>
      <c r="AG65" t="str">
        <f>"[344808] М 3.1.1"</f>
        <v>[344808] М 3.1.1</v>
      </c>
      <c r="AH65" t="str">
        <f>"МГС 3"</f>
        <v>МГС 3</v>
      </c>
      <c r="AI65" t="str">
        <f>"М 3.1.1"</f>
        <v>М 3.1.1</v>
      </c>
      <c r="AJ65" t="str">
        <f>""</f>
        <v/>
      </c>
      <c r="AK65" t="str">
        <f t="shared" si="11"/>
        <v>Нет</v>
      </c>
      <c r="AL65" t="s">
        <v>15</v>
      </c>
      <c r="AM65" t="str">
        <f>"20000008031647"</f>
        <v>20000008031647</v>
      </c>
    </row>
    <row r="66" spans="1:39" x14ac:dyDescent="0.25">
      <c r="A66">
        <v>907</v>
      </c>
      <c r="B66" t="str">
        <f t="shared" ref="B66:B129" si="39">"Курск"</f>
        <v>Курск</v>
      </c>
      <c r="C66">
        <v>809563</v>
      </c>
      <c r="D66" t="str">
        <f t="shared" ref="D66:D129" si="40">"Оптический кабель"</f>
        <v>Оптический кабель</v>
      </c>
      <c r="E66" t="str">
        <f>"[46/1171] М 3.1.1 - ГОК3.1.1.1 Курск, Школьная, 5 /1 п. 2"</f>
        <v>[46/1171] М 3.1.1 - ГОК3.1.1.1 Курск, Школьная, 5 /1 п. 2</v>
      </c>
      <c r="F66" t="str">
        <f>"ДПТс-П-16А 2(6) 7кН (Мод:Кр,Нат)(Вол:Кр,Жел,Зел,..,Ор,Фиол)"</f>
        <v>ДПТс-П-16А 2(6) 7кН (Мод:Кр,Нат)(Вол:Кр,Жел,Зел,..,Ор,Фиол)</v>
      </c>
      <c r="G66" t="str">
        <f>""</f>
        <v/>
      </c>
      <c r="H66" t="str">
        <f t="shared" si="35"/>
        <v>МС 3.1</v>
      </c>
      <c r="I66">
        <v>39</v>
      </c>
      <c r="J66">
        <v>70</v>
      </c>
      <c r="K66">
        <v>30</v>
      </c>
      <c r="L66">
        <v>70</v>
      </c>
      <c r="M66" t="str">
        <f>"Воздушная трасса по стойкам"</f>
        <v>Воздушная трасса по стойкам</v>
      </c>
      <c r="N66" t="str">
        <f t="shared" si="36"/>
        <v>05.05.20122</v>
      </c>
      <c r="O66">
        <v>10</v>
      </c>
      <c r="P66">
        <v>10</v>
      </c>
      <c r="Q66" t="str">
        <f>""</f>
        <v/>
      </c>
      <c r="R66" t="str">
        <f>"Курск, Школьная, 5 /1"</f>
        <v>Курск, Школьная, 5 /1</v>
      </c>
      <c r="S66" t="str">
        <f>""</f>
        <v/>
      </c>
      <c r="T66" t="str">
        <f>"46/1171"</f>
        <v>46/1171</v>
      </c>
      <c r="U66" t="str">
        <f t="shared" si="37"/>
        <v>Магистральная ВОЛС</v>
      </c>
      <c r="V66" t="str">
        <f t="shared" si="34"/>
        <v>Нет</v>
      </c>
      <c r="W66" t="str">
        <f t="shared" si="34"/>
        <v>Нет</v>
      </c>
      <c r="X66" t="str">
        <f t="shared" si="34"/>
        <v>Нет</v>
      </c>
      <c r="Y66" t="str">
        <f t="shared" si="34"/>
        <v>Нет</v>
      </c>
      <c r="Z66" t="str">
        <f t="shared" si="34"/>
        <v>Нет</v>
      </c>
      <c r="AA66" t="str">
        <f>""</f>
        <v/>
      </c>
      <c r="AB66" t="str">
        <f t="shared" ref="AB66:AB129" si="41">"Нет"</f>
        <v>Нет</v>
      </c>
      <c r="AC66" t="str">
        <f>"М 3.1.1 - ППК 3.1.1"</f>
        <v>М 3.1.1 - ППК 3.1.1</v>
      </c>
      <c r="AD66" t="str">
        <f t="shared" si="38"/>
        <v>02.02.2012</v>
      </c>
      <c r="AE66" t="str">
        <f>""</f>
        <v/>
      </c>
      <c r="AF66" t="str">
        <f>"[344808] М 3.1.1"</f>
        <v>[344808] М 3.1.1</v>
      </c>
      <c r="AG66" t="str">
        <f>"[344763] ГОК3.1.1.1 Курск, Школьная, 5 /1 п. 2"</f>
        <v>[344763] ГОК3.1.1.1 Курск, Школьная, 5 /1 п. 2</v>
      </c>
      <c r="AH66" t="str">
        <f>"М 3.1.1"</f>
        <v>М 3.1.1</v>
      </c>
      <c r="AI66" t="str">
        <f>"ППК 3.1.1"</f>
        <v>ППК 3.1.1</v>
      </c>
      <c r="AJ66" t="str">
        <f>""</f>
        <v/>
      </c>
      <c r="AK66" t="str">
        <f t="shared" si="11"/>
        <v>Нет</v>
      </c>
      <c r="AL66" t="str">
        <f>"51.760425 36.183107, 51.760662 36.182699"</f>
        <v>51.760425 36.183107, 51.760662 36.182699</v>
      </c>
      <c r="AM66" t="str">
        <f>"20000008047936"</f>
        <v>20000008047936</v>
      </c>
    </row>
    <row r="67" spans="1:39" x14ac:dyDescent="0.25">
      <c r="A67">
        <v>907</v>
      </c>
      <c r="B67" t="str">
        <f t="shared" si="39"/>
        <v>Курск</v>
      </c>
      <c r="C67">
        <v>809583</v>
      </c>
      <c r="D67" t="str">
        <f t="shared" si="40"/>
        <v>Оптический кабель</v>
      </c>
      <c r="E67" t="str">
        <f>"[46/1172] М 3.1.1 - М 3.1.2"</f>
        <v>[46/1172] М 3.1.1 - М 3.1.2</v>
      </c>
      <c r="F67" t="str">
        <f>"ДПТа-П-64А 6(6) 7кН (Кр,Жел,Зел,..,8-Фиол,9-Бел,..,Бир,Роз)"</f>
        <v>ДПТа-П-64А 6(6) 7кН (Кр,Жел,Зел,..,8-Фиол,9-Бел,..,Бир,Роз)</v>
      </c>
      <c r="G67" t="str">
        <f>""</f>
        <v/>
      </c>
      <c r="H67" t="str">
        <f t="shared" si="35"/>
        <v>МС 3.1</v>
      </c>
      <c r="I67">
        <v>157</v>
      </c>
      <c r="J67">
        <v>176</v>
      </c>
      <c r="K67">
        <v>18</v>
      </c>
      <c r="L67">
        <v>177</v>
      </c>
      <c r="M67" t="str">
        <f>"Опоры"</f>
        <v>Опоры</v>
      </c>
      <c r="N67" t="str">
        <f t="shared" si="36"/>
        <v>05.05.20122</v>
      </c>
      <c r="O67">
        <v>64</v>
      </c>
      <c r="P67">
        <v>64</v>
      </c>
      <c r="Q67" t="str">
        <f>""</f>
        <v/>
      </c>
      <c r="R67" t="str">
        <f>""</f>
        <v/>
      </c>
      <c r="S67" t="str">
        <f>""</f>
        <v/>
      </c>
      <c r="T67" t="str">
        <f>"46/1172"</f>
        <v>46/1172</v>
      </c>
      <c r="U67" t="str">
        <f t="shared" si="37"/>
        <v>Магистральная ВОЛС</v>
      </c>
      <c r="V67" t="str">
        <f t="shared" si="34"/>
        <v>Нет</v>
      </c>
      <c r="W67" t="str">
        <f t="shared" si="34"/>
        <v>Нет</v>
      </c>
      <c r="X67" t="str">
        <f t="shared" si="34"/>
        <v>Нет</v>
      </c>
      <c r="Y67" t="str">
        <f t="shared" si="34"/>
        <v>Нет</v>
      </c>
      <c r="Z67" t="str">
        <f t="shared" si="34"/>
        <v>Нет</v>
      </c>
      <c r="AA67" t="str">
        <f>""</f>
        <v/>
      </c>
      <c r="AB67" t="str">
        <f t="shared" si="41"/>
        <v>Нет</v>
      </c>
      <c r="AC67" t="str">
        <f>"М 3.1.1 - М 3.1.2"</f>
        <v>М 3.1.1 - М 3.1.2</v>
      </c>
      <c r="AD67" t="str">
        <f t="shared" si="38"/>
        <v>02.02.2012</v>
      </c>
      <c r="AE67" t="str">
        <f>""</f>
        <v/>
      </c>
      <c r="AF67" t="str">
        <f>"[344808] М 3.1.1"</f>
        <v>[344808] М 3.1.1</v>
      </c>
      <c r="AG67" t="str">
        <f>"[344804] М 3.1.2"</f>
        <v>[344804] М 3.1.2</v>
      </c>
      <c r="AH67" t="str">
        <f>"М 3.1.1"</f>
        <v>М 3.1.1</v>
      </c>
      <c r="AI67" t="str">
        <f>"М 3.1.2"</f>
        <v>М 3.1.2</v>
      </c>
      <c r="AJ67" t="str">
        <f>""</f>
        <v/>
      </c>
      <c r="AK67" t="str">
        <f t="shared" si="11"/>
        <v>Нет</v>
      </c>
      <c r="AL67" t="str">
        <f>"51.760425 36.183107, 51.760579 36.183029, 51.760738 36.182949, 51.760911 36.18286, 51.761092 36.182758, 51.761273 36.182659, 51.761447 36.182562, 51.761613 36.182462, 51.761761 36.182375"</f>
        <v>51.760425 36.183107, 51.760579 36.183029, 51.760738 36.182949, 51.760911 36.18286, 51.761092 36.182758, 51.761273 36.182659, 51.761447 36.182562, 51.761613 36.182462, 51.761761 36.182375</v>
      </c>
      <c r="AM67" t="str">
        <f>"20000008031646"</f>
        <v>20000008031646</v>
      </c>
    </row>
    <row r="68" spans="1:39" x14ac:dyDescent="0.25">
      <c r="A68">
        <v>907</v>
      </c>
      <c r="B68" t="str">
        <f t="shared" si="39"/>
        <v>Курск</v>
      </c>
      <c r="C68">
        <v>809588</v>
      </c>
      <c r="D68" t="str">
        <f t="shared" si="40"/>
        <v>Оптический кабель</v>
      </c>
      <c r="E68" t="str">
        <f>"[46/1173] М 3.1.2 - ГОК3.1.2.1 Курск, Школьная, 5 /10 п. 2"</f>
        <v>[46/1173] М 3.1.2 - ГОК3.1.2.1 Курск, Школьная, 5 /10 п. 2</v>
      </c>
      <c r="F68" t="str">
        <f>"ДПТс-П-16А 2(6) 7кН (Мод:Кр,Нат)(Вол:Кр,Жел,Зел,..,Ор,Фиол)"</f>
        <v>ДПТс-П-16А 2(6) 7кН (Мод:Кр,Нат)(Вол:Кр,Жел,Зел,..,Ор,Фиол)</v>
      </c>
      <c r="G68" t="str">
        <f>""</f>
        <v/>
      </c>
      <c r="H68" t="str">
        <f t="shared" si="35"/>
        <v>МС 3.1</v>
      </c>
      <c r="I68">
        <v>231</v>
      </c>
      <c r="J68">
        <v>400</v>
      </c>
      <c r="K68">
        <v>150</v>
      </c>
      <c r="L68">
        <v>402</v>
      </c>
      <c r="M68" t="str">
        <f>"Опоры"</f>
        <v>Опоры</v>
      </c>
      <c r="N68" t="str">
        <f t="shared" si="36"/>
        <v>05.05.20122</v>
      </c>
      <c r="O68">
        <v>10</v>
      </c>
      <c r="P68">
        <v>10</v>
      </c>
      <c r="Q68" t="str">
        <f>""</f>
        <v/>
      </c>
      <c r="R68" t="str">
        <f>"Курск, Школьная, 5 /10"</f>
        <v>Курск, Школьная, 5 /10</v>
      </c>
      <c r="S68" t="str">
        <f>""</f>
        <v/>
      </c>
      <c r="T68" t="str">
        <f>"46/1173"</f>
        <v>46/1173</v>
      </c>
      <c r="U68" t="str">
        <f t="shared" si="37"/>
        <v>Магистральная ВОЛС</v>
      </c>
      <c r="V68" t="str">
        <f t="shared" si="34"/>
        <v>Нет</v>
      </c>
      <c r="W68" t="str">
        <f t="shared" si="34"/>
        <v>Нет</v>
      </c>
      <c r="X68" t="str">
        <f t="shared" si="34"/>
        <v>Нет</v>
      </c>
      <c r="Y68" t="str">
        <f t="shared" si="34"/>
        <v>Нет</v>
      </c>
      <c r="Z68" t="str">
        <f t="shared" si="34"/>
        <v>Нет</v>
      </c>
      <c r="AA68" t="str">
        <f>""</f>
        <v/>
      </c>
      <c r="AB68" t="str">
        <f t="shared" si="41"/>
        <v>Нет</v>
      </c>
      <c r="AC68" t="str">
        <f>"М 3.1.2 - ППК 3.1.2"</f>
        <v>М 3.1.2 - ППК 3.1.2</v>
      </c>
      <c r="AD68" t="str">
        <f t="shared" si="38"/>
        <v>02.02.2012</v>
      </c>
      <c r="AE68" t="str">
        <f>""</f>
        <v/>
      </c>
      <c r="AF68" t="str">
        <f>"[344804] М 3.1.2"</f>
        <v>[344804] М 3.1.2</v>
      </c>
      <c r="AG68" t="str">
        <f>"[344750] ГОК3.1.2.1 Курск, Школьная, 5 /10 п. 2"</f>
        <v>[344750] ГОК3.1.2.1 Курск, Школьная, 5 /10 п. 2</v>
      </c>
      <c r="AH68" t="str">
        <f>"М 3.1.2"</f>
        <v>М 3.1.2</v>
      </c>
      <c r="AI68" t="str">
        <f>"ППК 3.1.2"</f>
        <v>ППК 3.1.2</v>
      </c>
      <c r="AJ68" t="str">
        <f>""</f>
        <v/>
      </c>
      <c r="AK68" t="str">
        <f t="shared" si="11"/>
        <v>Нет</v>
      </c>
      <c r="AL68" t="str">
        <f>"51.761761 36.182375, 51.761672 36.181999, 51.761932 36.181793, 51.761773 36.181422, 51.761673 36.181028, 51.761641 36.180674, 51.761568 36.180288, 51.761905 36.180073, 51.761821 36.179845"</f>
        <v>51.761761 36.182375, 51.761672 36.181999, 51.761932 36.181793, 51.761773 36.181422, 51.761673 36.181028, 51.761641 36.180674, 51.761568 36.180288, 51.761905 36.180073, 51.761821 36.179845</v>
      </c>
      <c r="AM68" t="str">
        <f>"20000008047937"</f>
        <v>20000008047937</v>
      </c>
    </row>
    <row r="69" spans="1:39" x14ac:dyDescent="0.25">
      <c r="A69">
        <v>907</v>
      </c>
      <c r="B69" t="str">
        <f t="shared" si="39"/>
        <v>Курск</v>
      </c>
      <c r="C69">
        <v>809603</v>
      </c>
      <c r="D69" t="str">
        <f t="shared" si="40"/>
        <v>Оптический кабель</v>
      </c>
      <c r="E69" t="str">
        <f>"[46/1174] М 3.1.2 - М 3.1.10"</f>
        <v>[46/1174] М 3.1.2 - М 3.1.10</v>
      </c>
      <c r="F69" t="str">
        <f>"ДПТа-П-64А 6(6) 7кН (Кр,Жел,Зел,..,8-Фиол,9-Бел,..,Бир,Роз)"</f>
        <v>ДПТа-П-64А 6(6) 7кН (Кр,Жел,Зел,..,8-Фиол,9-Бел,..,Бир,Роз)</v>
      </c>
      <c r="G69" t="str">
        <f>""</f>
        <v/>
      </c>
      <c r="H69" t="str">
        <f t="shared" si="35"/>
        <v>МС 3.1</v>
      </c>
      <c r="I69">
        <v>116</v>
      </c>
      <c r="J69">
        <v>146</v>
      </c>
      <c r="K69">
        <v>30</v>
      </c>
      <c r="L69">
        <v>147</v>
      </c>
      <c r="M69" t="str">
        <f>"Опоры"</f>
        <v>Опоры</v>
      </c>
      <c r="N69" t="str">
        <f t="shared" si="36"/>
        <v>05.05.20122</v>
      </c>
      <c r="O69">
        <v>64</v>
      </c>
      <c r="P69">
        <v>64</v>
      </c>
      <c r="Q69" t="str">
        <f>""</f>
        <v/>
      </c>
      <c r="R69" t="str">
        <f>""</f>
        <v/>
      </c>
      <c r="S69" t="str">
        <f>""</f>
        <v/>
      </c>
      <c r="T69" t="str">
        <f>"46/1174"</f>
        <v>46/1174</v>
      </c>
      <c r="U69" t="str">
        <f t="shared" si="37"/>
        <v>Магистральная ВОЛС</v>
      </c>
      <c r="V69" t="str">
        <f t="shared" si="34"/>
        <v>Нет</v>
      </c>
      <c r="W69" t="str">
        <f t="shared" si="34"/>
        <v>Нет</v>
      </c>
      <c r="X69" t="str">
        <f t="shared" si="34"/>
        <v>Нет</v>
      </c>
      <c r="Y69" t="str">
        <f t="shared" si="34"/>
        <v>Нет</v>
      </c>
      <c r="Z69" t="str">
        <f t="shared" si="34"/>
        <v>Нет</v>
      </c>
      <c r="AA69" t="str">
        <f>""</f>
        <v/>
      </c>
      <c r="AB69" t="str">
        <f t="shared" si="41"/>
        <v>Нет</v>
      </c>
      <c r="AC69" t="str">
        <f>"М 3.1.2 - М 3.1.10"</f>
        <v>М 3.1.2 - М 3.1.10</v>
      </c>
      <c r="AD69" t="str">
        <f t="shared" si="38"/>
        <v>02.02.2012</v>
      </c>
      <c r="AE69" t="str">
        <f>""</f>
        <v/>
      </c>
      <c r="AF69" t="str">
        <f>"[344804] М 3.1.2"</f>
        <v>[344804] М 3.1.2</v>
      </c>
      <c r="AG69" t="str">
        <f>"[344800] М 3.1.10"</f>
        <v>[344800] М 3.1.10</v>
      </c>
      <c r="AH69" t="str">
        <f>"М 3.1.2"</f>
        <v>М 3.1.2</v>
      </c>
      <c r="AI69" t="str">
        <f>"М 3.1.10"</f>
        <v>М 3.1.10</v>
      </c>
      <c r="AJ69" t="str">
        <f>""</f>
        <v/>
      </c>
      <c r="AK69" t="str">
        <f t="shared" si="11"/>
        <v>Нет</v>
      </c>
      <c r="AL69" t="str">
        <f>"51.761761 36.182375, 51.76196 36.182289, 51.762179 36.182168, 51.762398 36.182058, 51.762619 36.181934, 51.762737 36.181812"</f>
        <v>51.761761 36.182375, 51.76196 36.182289, 51.762179 36.182168, 51.762398 36.182058, 51.762619 36.181934, 51.762737 36.181812</v>
      </c>
      <c r="AM69" t="str">
        <f>"20000008007464"</f>
        <v>20000008007464</v>
      </c>
    </row>
    <row r="70" spans="1:39" x14ac:dyDescent="0.25">
      <c r="A70">
        <v>907</v>
      </c>
      <c r="B70" t="str">
        <f t="shared" si="39"/>
        <v>Курск</v>
      </c>
      <c r="C70">
        <v>809608</v>
      </c>
      <c r="D70" t="str">
        <f t="shared" si="40"/>
        <v>Оптический кабель</v>
      </c>
      <c r="E70" t="str">
        <f>"[46/1175] М 3.1.10 - М 3.1.33"</f>
        <v>[46/1175] М 3.1.10 - М 3.1.33</v>
      </c>
      <c r="F70" t="str">
        <f>"ДПТа-П-64А 6(6) 7кН (Кр,Жел,Зел,..,8-Фиол,9-Бел,..,Бир,Роз)"</f>
        <v>ДПТа-П-64А 6(6) 7кН (Кр,Жел,Зел,..,8-Фиол,9-Бел,..,Бир,Роз)</v>
      </c>
      <c r="G70" t="str">
        <f>"Фактически, кабель имеет следующий порядок: (1-8 модули): Красн, Синий, Зелен, Натур, Желт, Розов, Фиолет, Бирюз."</f>
        <v>Фактически, кабель имеет следующий порядок: (1-8 модули): Красн, Синий, Зелен, Натур, Желт, Розов, Фиолет, Бирюз.</v>
      </c>
      <c r="H70" t="str">
        <f t="shared" si="35"/>
        <v>МС 3.1</v>
      </c>
      <c r="I70">
        <v>236</v>
      </c>
      <c r="J70">
        <v>297.95</v>
      </c>
      <c r="K70">
        <v>15</v>
      </c>
      <c r="L70">
        <v>298.99</v>
      </c>
      <c r="M70" t="str">
        <f>"Опоры"</f>
        <v>Опоры</v>
      </c>
      <c r="N70" t="str">
        <f t="shared" si="36"/>
        <v>05.05.20122</v>
      </c>
      <c r="O70">
        <v>64</v>
      </c>
      <c r="P70">
        <v>64</v>
      </c>
      <c r="Q70" t="str">
        <f>""</f>
        <v/>
      </c>
      <c r="R70" t="str">
        <f>""</f>
        <v/>
      </c>
      <c r="S70" t="str">
        <f>""</f>
        <v/>
      </c>
      <c r="T70" t="str">
        <f>"46/1175"</f>
        <v>46/1175</v>
      </c>
      <c r="U70" t="str">
        <f t="shared" si="37"/>
        <v>Магистральная ВОЛС</v>
      </c>
      <c r="V70" t="str">
        <f t="shared" si="34"/>
        <v>Нет</v>
      </c>
      <c r="W70" t="str">
        <f t="shared" si="34"/>
        <v>Нет</v>
      </c>
      <c r="X70" t="str">
        <f t="shared" si="34"/>
        <v>Нет</v>
      </c>
      <c r="Y70" t="str">
        <f t="shared" si="34"/>
        <v>Нет</v>
      </c>
      <c r="Z70" t="str">
        <f t="shared" si="34"/>
        <v>Нет</v>
      </c>
      <c r="AA70" t="str">
        <f>""</f>
        <v/>
      </c>
      <c r="AB70" t="str">
        <f t="shared" si="41"/>
        <v>Нет</v>
      </c>
      <c r="AC70" t="str">
        <f>"М 3.1.10 - М 3.1.3"</f>
        <v>М 3.1.10 - М 3.1.3</v>
      </c>
      <c r="AD70" t="str">
        <f t="shared" si="38"/>
        <v>02.02.2012</v>
      </c>
      <c r="AE70" t="str">
        <f>""</f>
        <v/>
      </c>
      <c r="AF70" t="str">
        <f>"[344800] М 3.1.10"</f>
        <v>[344800] М 3.1.10</v>
      </c>
      <c r="AG70" t="str">
        <f>"[803275] М 3.1.33"</f>
        <v>[803275] М 3.1.33</v>
      </c>
      <c r="AH70" t="str">
        <f>"М 3.1.10"</f>
        <v>М 3.1.10</v>
      </c>
      <c r="AI70" t="str">
        <f>"М 3.1.3"</f>
        <v>М 3.1.3</v>
      </c>
      <c r="AJ70" t="str">
        <f>""</f>
        <v/>
      </c>
      <c r="AK70" t="str">
        <f t="shared" si="11"/>
        <v>Нет</v>
      </c>
      <c r="AL70" t="str">
        <f>"51.762776 36.181727, 51.762691 36.18124, 51.762613 36.180794, 51.76252 36.180333, 51.762429 36.179853, 51.762317 36.179298, 51.762496 36.179126, 51.762742 36.178965, 51.762813 36.178907"</f>
        <v>51.762776 36.181727, 51.762691 36.18124, 51.762613 36.180794, 51.76252 36.180333, 51.762429 36.179853, 51.762317 36.179298, 51.762496 36.179126, 51.762742 36.178965, 51.762813 36.178907</v>
      </c>
      <c r="AM70" t="str">
        <f>"20000008026192"</f>
        <v>20000008026192</v>
      </c>
    </row>
    <row r="71" spans="1:39" x14ac:dyDescent="0.25">
      <c r="A71">
        <v>907</v>
      </c>
      <c r="B71" t="str">
        <f t="shared" si="39"/>
        <v>Курск</v>
      </c>
      <c r="C71">
        <v>809613</v>
      </c>
      <c r="D71" t="str">
        <f t="shared" si="40"/>
        <v>Оптический кабель</v>
      </c>
      <c r="E71" t="str">
        <f>"[46/1176] М 3.1.3 - ГОК3.1.3.1 Курск, Кавказская, 39  п. 2"</f>
        <v>[46/1176] М 3.1.3 - ГОК3.1.3.1 Курск, Кавказская, 39  п. 2</v>
      </c>
      <c r="F71" t="str">
        <f>"ДПТс-П-16А 2(6) 7кН (Мод:Кр,Нат)(Вол:Кр,Жел,Зел,..,Ор,Фиол)"</f>
        <v>ДПТс-П-16А 2(6) 7кН (Мод:Кр,Нат)(Вол:Кр,Жел,Зел,..,Ор,Фиол)</v>
      </c>
      <c r="G71" t="str">
        <f>""</f>
        <v/>
      </c>
      <c r="H71" t="str">
        <f t="shared" si="35"/>
        <v>МС 3.1</v>
      </c>
      <c r="I71">
        <v>591</v>
      </c>
      <c r="J71">
        <v>800</v>
      </c>
      <c r="K71">
        <v>180</v>
      </c>
      <c r="L71">
        <v>802</v>
      </c>
      <c r="M71" t="str">
        <f>"Опоры"</f>
        <v>Опоры</v>
      </c>
      <c r="N71" t="str">
        <f t="shared" si="36"/>
        <v>05.05.20122</v>
      </c>
      <c r="O71">
        <v>10</v>
      </c>
      <c r="P71">
        <v>10</v>
      </c>
      <c r="Q71" t="str">
        <f>""</f>
        <v/>
      </c>
      <c r="R71" t="str">
        <f>"Курск, Кавказская, 39"</f>
        <v>Курск, Кавказская, 39</v>
      </c>
      <c r="S71" t="str">
        <f>""</f>
        <v/>
      </c>
      <c r="T71" t="str">
        <f>"46/1176"</f>
        <v>46/1176</v>
      </c>
      <c r="U71" t="str">
        <f t="shared" si="37"/>
        <v>Магистральная ВОЛС</v>
      </c>
      <c r="V71" t="str">
        <f t="shared" si="34"/>
        <v>Нет</v>
      </c>
      <c r="W71" t="str">
        <f t="shared" si="34"/>
        <v>Нет</v>
      </c>
      <c r="X71" t="str">
        <f t="shared" si="34"/>
        <v>Нет</v>
      </c>
      <c r="Y71" t="str">
        <f t="shared" si="34"/>
        <v>Нет</v>
      </c>
      <c r="Z71" t="str">
        <f t="shared" si="34"/>
        <v>Нет</v>
      </c>
      <c r="AA71" t="str">
        <f>""</f>
        <v/>
      </c>
      <c r="AB71" t="str">
        <f t="shared" si="41"/>
        <v>Нет</v>
      </c>
      <c r="AC71" t="str">
        <f>"М 3.1.3 - ППК 3.1.3"</f>
        <v>М 3.1.3 - ППК 3.1.3</v>
      </c>
      <c r="AD71" t="str">
        <f t="shared" si="38"/>
        <v>02.02.2012</v>
      </c>
      <c r="AE71" t="str">
        <f>""</f>
        <v/>
      </c>
      <c r="AF71" t="str">
        <f>"[344796] М 3.1.3"</f>
        <v>[344796] М 3.1.3</v>
      </c>
      <c r="AG71" t="str">
        <f>"[344737] ГОК3.1.3.1 Курск, Кавказская, 39  п. 2"</f>
        <v>[344737] ГОК3.1.3.1 Курск, Кавказская, 39  п. 2</v>
      </c>
      <c r="AH71" t="str">
        <f>"М 3.1.3"</f>
        <v>М 3.1.3</v>
      </c>
      <c r="AI71" t="str">
        <f>"ППК 3.1.3"</f>
        <v>ППК 3.1.3</v>
      </c>
      <c r="AJ71" t="str">
        <f>""</f>
        <v/>
      </c>
      <c r="AK71" t="str">
        <f t="shared" si="11"/>
        <v>Нет</v>
      </c>
      <c r="AL71" t="s">
        <v>16</v>
      </c>
      <c r="AM71" t="str">
        <f>"20000008043857"</f>
        <v>20000008043857</v>
      </c>
    </row>
    <row r="72" spans="1:39" x14ac:dyDescent="0.25">
      <c r="A72">
        <v>907</v>
      </c>
      <c r="B72" t="str">
        <f t="shared" si="39"/>
        <v>Курск</v>
      </c>
      <c r="C72">
        <v>809623</v>
      </c>
      <c r="D72" t="str">
        <f t="shared" si="40"/>
        <v>Оптический кабель</v>
      </c>
      <c r="E72" t="str">
        <f>"[46/1177] М 3.1.3 - М 3.1.12"</f>
        <v>[46/1177] М 3.1.3 - М 3.1.12</v>
      </c>
      <c r="F72" t="str">
        <f>"ДПТа-П-64А 6(6) 7кН (Кр,Жел,Зел,..,8-Фиол,9-Бел,..,Бир,Роз)"</f>
        <v>ДПТа-П-64А 6(6) 7кН (Кр,Жел,Зел,..,8-Фиол,9-Бел,..,Бир,Роз)</v>
      </c>
      <c r="G72" t="str">
        <f>""</f>
        <v/>
      </c>
      <c r="H72" t="str">
        <f t="shared" si="35"/>
        <v>МС 3.1</v>
      </c>
      <c r="I72">
        <v>700</v>
      </c>
      <c r="J72">
        <v>765</v>
      </c>
      <c r="K72">
        <v>60</v>
      </c>
      <c r="L72">
        <v>768</v>
      </c>
      <c r="M72" t="str">
        <f>"Воздушная трасса по стойкам"</f>
        <v>Воздушная трасса по стойкам</v>
      </c>
      <c r="N72" t="str">
        <f t="shared" si="36"/>
        <v>05.05.20122</v>
      </c>
      <c r="O72">
        <v>64</v>
      </c>
      <c r="P72">
        <v>64</v>
      </c>
      <c r="Q72" t="str">
        <f>""</f>
        <v/>
      </c>
      <c r="R72" t="str">
        <f>""</f>
        <v/>
      </c>
      <c r="S72" t="str">
        <f>""</f>
        <v/>
      </c>
      <c r="T72" t="str">
        <f>"46/1177"</f>
        <v>46/1177</v>
      </c>
      <c r="U72" t="str">
        <f t="shared" si="37"/>
        <v>Магистральная ВОЛС</v>
      </c>
      <c r="V72" t="str">
        <f t="shared" ref="V72:Z81" si="42">"Нет"</f>
        <v>Нет</v>
      </c>
      <c r="W72" t="str">
        <f t="shared" si="42"/>
        <v>Нет</v>
      </c>
      <c r="X72" t="str">
        <f t="shared" si="42"/>
        <v>Нет</v>
      </c>
      <c r="Y72" t="str">
        <f t="shared" si="42"/>
        <v>Нет</v>
      </c>
      <c r="Z72" t="str">
        <f t="shared" si="42"/>
        <v>Нет</v>
      </c>
      <c r="AA72" t="str">
        <f>""</f>
        <v/>
      </c>
      <c r="AB72" t="str">
        <f t="shared" si="41"/>
        <v>Нет</v>
      </c>
      <c r="AC72" t="str">
        <f>"М 3.1.3 - М 3.1.12"</f>
        <v>М 3.1.3 - М 3.1.12</v>
      </c>
      <c r="AD72" t="str">
        <f t="shared" si="38"/>
        <v>02.02.2012</v>
      </c>
      <c r="AE72" t="str">
        <f>""</f>
        <v/>
      </c>
      <c r="AF72" t="str">
        <f>"[344796] М 3.1.3"</f>
        <v>[344796] М 3.1.3</v>
      </c>
      <c r="AG72" t="str">
        <f>"[344792] М 3.1.12"</f>
        <v>[344792] М 3.1.12</v>
      </c>
      <c r="AH72" t="str">
        <f>"М 3.1.3"</f>
        <v>М 3.1.3</v>
      </c>
      <c r="AI72" t="str">
        <f>"М 3.1.12"</f>
        <v>М 3.1.12</v>
      </c>
      <c r="AJ72" t="str">
        <f>""</f>
        <v/>
      </c>
      <c r="AK72" t="str">
        <f t="shared" si="11"/>
        <v>Нет</v>
      </c>
      <c r="AL72" t="s">
        <v>17</v>
      </c>
      <c r="AM72" t="str">
        <f>"20000008026191"</f>
        <v>20000008026191</v>
      </c>
    </row>
    <row r="73" spans="1:39" x14ac:dyDescent="0.25">
      <c r="A73">
        <v>907</v>
      </c>
      <c r="B73" t="str">
        <f t="shared" si="39"/>
        <v>Курск</v>
      </c>
      <c r="C73">
        <v>809628</v>
      </c>
      <c r="D73" t="str">
        <f t="shared" si="40"/>
        <v>Оптический кабель</v>
      </c>
      <c r="E73" t="str">
        <f>"[46/1178] М 3.1.12 - М 3.1.4"</f>
        <v>[46/1178] М 3.1.12 - М 3.1.4</v>
      </c>
      <c r="F73" t="str">
        <f>"ДПТа-П-64А 6(6) 7кН (Кр,Жел,Зел,..,8-Фиол,9-Бел,..,Бир,Роз)"</f>
        <v>ДПТа-П-64А 6(6) 7кН (Кр,Жел,Зел,..,8-Фиол,9-Бел,..,Бир,Роз)</v>
      </c>
      <c r="G73" t="str">
        <f>""</f>
        <v/>
      </c>
      <c r="H73" t="str">
        <f t="shared" si="35"/>
        <v>МС 3.1</v>
      </c>
      <c r="I73">
        <v>484</v>
      </c>
      <c r="J73">
        <v>525</v>
      </c>
      <c r="K73">
        <v>35</v>
      </c>
      <c r="L73">
        <v>527</v>
      </c>
      <c r="M73" t="str">
        <f>"Опоры"</f>
        <v>Опоры</v>
      </c>
      <c r="N73" t="str">
        <f t="shared" si="36"/>
        <v>05.05.20122</v>
      </c>
      <c r="O73">
        <v>64</v>
      </c>
      <c r="P73">
        <v>64</v>
      </c>
      <c r="Q73" t="str">
        <f>""</f>
        <v/>
      </c>
      <c r="R73" t="str">
        <f>""</f>
        <v/>
      </c>
      <c r="S73" t="str">
        <f>""</f>
        <v/>
      </c>
      <c r="T73" t="str">
        <f>"46/1178"</f>
        <v>46/1178</v>
      </c>
      <c r="U73" t="str">
        <f t="shared" si="37"/>
        <v>Магистральная ВОЛС</v>
      </c>
      <c r="V73" t="str">
        <f t="shared" si="42"/>
        <v>Нет</v>
      </c>
      <c r="W73" t="str">
        <f t="shared" si="42"/>
        <v>Нет</v>
      </c>
      <c r="X73" t="str">
        <f t="shared" si="42"/>
        <v>Нет</v>
      </c>
      <c r="Y73" t="str">
        <f t="shared" si="42"/>
        <v>Нет</v>
      </c>
      <c r="Z73" t="str">
        <f t="shared" si="42"/>
        <v>Нет</v>
      </c>
      <c r="AA73" t="str">
        <f>""</f>
        <v/>
      </c>
      <c r="AB73" t="str">
        <f t="shared" si="41"/>
        <v>Нет</v>
      </c>
      <c r="AC73" t="str">
        <f>"М 3.1.12 - М 3.1.4"</f>
        <v>М 3.1.12 - М 3.1.4</v>
      </c>
      <c r="AD73" t="str">
        <f t="shared" si="38"/>
        <v>02.02.2012</v>
      </c>
      <c r="AE73" t="str">
        <f>""</f>
        <v/>
      </c>
      <c r="AF73" t="str">
        <f>"[344792] М 3.1.12"</f>
        <v>[344792] М 3.1.12</v>
      </c>
      <c r="AG73" t="str">
        <f>"[344788] М 3.1.4"</f>
        <v>[344788] М 3.1.4</v>
      </c>
      <c r="AH73" t="str">
        <f>"М 3.1.12"</f>
        <v>М 3.1.12</v>
      </c>
      <c r="AI73" t="str">
        <f>"М 3.1.4"</f>
        <v>М 3.1.4</v>
      </c>
      <c r="AJ73" t="str">
        <f>""</f>
        <v/>
      </c>
      <c r="AK73" t="str">
        <f t="shared" si="11"/>
        <v>Нет</v>
      </c>
      <c r="AL73" t="s">
        <v>18</v>
      </c>
      <c r="AM73" t="str">
        <f>"20000008007460"</f>
        <v>20000008007460</v>
      </c>
    </row>
    <row r="74" spans="1:39" x14ac:dyDescent="0.25">
      <c r="A74">
        <v>907</v>
      </c>
      <c r="B74" t="str">
        <f t="shared" si="39"/>
        <v>Курск</v>
      </c>
      <c r="C74">
        <v>809643</v>
      </c>
      <c r="D74" t="str">
        <f t="shared" si="40"/>
        <v>Оптический кабель</v>
      </c>
      <c r="E74" t="str">
        <f>"[46/1180] МОК3.1.1 Курск, Карла Маркса, 62 /21 п. 1 - М 3.1.28"</f>
        <v>[46/1180] МОК3.1.1 Курск, Карла Маркса, 62 /21 п. 1 - М 3.1.28</v>
      </c>
      <c r="F74" t="str">
        <f>"ДПТа-П-64А 6(6) 7кН (Кр,Жел,Зел,..,8-Фиол,9-Бел,..,Бир,Роз)"</f>
        <v>ДПТа-П-64А 6(6) 7кН (Кр,Жел,Зел,..,8-Фиол,9-Бел,..,Бир,Роз)</v>
      </c>
      <c r="G74" t="str">
        <f>""</f>
        <v/>
      </c>
      <c r="H74" t="str">
        <f t="shared" si="35"/>
        <v>МС 3.1</v>
      </c>
      <c r="I74">
        <v>311</v>
      </c>
      <c r="J74">
        <v>410</v>
      </c>
      <c r="K74">
        <v>99</v>
      </c>
      <c r="L74">
        <v>411</v>
      </c>
      <c r="M74" t="str">
        <f>"Опоры"</f>
        <v>Опоры</v>
      </c>
      <c r="N74" t="str">
        <f t="shared" si="36"/>
        <v>05.05.20122</v>
      </c>
      <c r="O74">
        <v>64</v>
      </c>
      <c r="P74">
        <v>64</v>
      </c>
      <c r="Q74" t="str">
        <f>"Курск, Карла Маркса, 62 /21"</f>
        <v>Курск, Карла Маркса, 62 /21</v>
      </c>
      <c r="R74" t="str">
        <f>""</f>
        <v/>
      </c>
      <c r="S74" t="str">
        <f>""</f>
        <v/>
      </c>
      <c r="T74" t="str">
        <f>"46/1180"</f>
        <v>46/1180</v>
      </c>
      <c r="U74" t="str">
        <f t="shared" si="37"/>
        <v>Магистральная ВОЛС</v>
      </c>
      <c r="V74" t="str">
        <f t="shared" si="42"/>
        <v>Нет</v>
      </c>
      <c r="W74" t="str">
        <f t="shared" si="42"/>
        <v>Нет</v>
      </c>
      <c r="X74" t="str">
        <f t="shared" si="42"/>
        <v>Нет</v>
      </c>
      <c r="Y74" t="str">
        <f t="shared" si="42"/>
        <v>Нет</v>
      </c>
      <c r="Z74" t="str">
        <f t="shared" si="42"/>
        <v>Нет</v>
      </c>
      <c r="AA74" t="str">
        <f>""</f>
        <v/>
      </c>
      <c r="AB74" t="str">
        <f t="shared" si="41"/>
        <v>Нет</v>
      </c>
      <c r="AC74" t="str">
        <f>"МГС 3 - М 3.1.8"</f>
        <v>МГС 3 - М 3.1.8</v>
      </c>
      <c r="AD74" t="str">
        <f t="shared" si="38"/>
        <v>02.02.2012</v>
      </c>
      <c r="AE74" t="str">
        <f>""</f>
        <v/>
      </c>
      <c r="AF74" t="str">
        <f>"[361032] МОК3.1.1 Курск, Карла Маркса, 62 /21 п. 1"</f>
        <v>[361032] МОК3.1.1 Курск, Карла Маркса, 62 /21 п. 1</v>
      </c>
      <c r="AG74" t="str">
        <f>"[538986] М 3.1.28"</f>
        <v>[538986] М 3.1.28</v>
      </c>
      <c r="AH74" t="str">
        <f>"МГС 3"</f>
        <v>МГС 3</v>
      </c>
      <c r="AI74" t="str">
        <f>"М 3.1.8"</f>
        <v>М 3.1.8</v>
      </c>
      <c r="AJ74" t="str">
        <f>""</f>
        <v/>
      </c>
      <c r="AK74" t="str">
        <f t="shared" si="11"/>
        <v>Нет</v>
      </c>
      <c r="AL74" t="str">
        <f>"51.758119 36.18705, 51.75805 36.186552, 51.758269 36.187343, 51.758553 36.18717, 51.758861 36.187025, 51.759456 36.18672, 51.759516 36.187123, 51.759689 36.187007, 51.759932 36.186903"</f>
        <v>51.758119 36.18705, 51.75805 36.186552, 51.758269 36.187343, 51.758553 36.18717, 51.758861 36.187025, 51.759456 36.18672, 51.759516 36.187123, 51.759689 36.187007, 51.759932 36.186903</v>
      </c>
      <c r="AM74" t="str">
        <f>"20000007993358"</f>
        <v>20000007993358</v>
      </c>
    </row>
    <row r="75" spans="1:39" x14ac:dyDescent="0.25">
      <c r="A75">
        <v>907</v>
      </c>
      <c r="B75" t="str">
        <f t="shared" si="39"/>
        <v>Курск</v>
      </c>
      <c r="C75">
        <v>809648</v>
      </c>
      <c r="D75" t="str">
        <f t="shared" si="40"/>
        <v>Оптический кабель</v>
      </c>
      <c r="E75" t="str">
        <f>"[46/1181] М 3.1.8 - ГОК3.1.4.1 Курск, Карла Маркса, 72 /8 п. 2"</f>
        <v>[46/1181] М 3.1.8 - ГОК3.1.4.1 Курск, Карла Маркса, 72 /8 п. 2</v>
      </c>
      <c r="F75" t="str">
        <f>"ДПТс-П-16А 2(6) 7кН (Мод:Кр,Нат)(Вол:Кр,Жел,Зел,..,Ор,Фиол)"</f>
        <v>ДПТс-П-16А 2(6) 7кН (Мод:Кр,Нат)(Вол:Кр,Жел,Зел,..,Ор,Фиол)</v>
      </c>
      <c r="G75" t="str">
        <f>""</f>
        <v/>
      </c>
      <c r="H75" t="str">
        <f t="shared" si="35"/>
        <v>МС 3.1</v>
      </c>
      <c r="I75">
        <v>51</v>
      </c>
      <c r="J75">
        <v>120</v>
      </c>
      <c r="K75">
        <v>60</v>
      </c>
      <c r="L75">
        <v>121</v>
      </c>
      <c r="M75" t="str">
        <f>"Воздушная трасса по стойкам"</f>
        <v>Воздушная трасса по стойкам</v>
      </c>
      <c r="N75" t="str">
        <f t="shared" si="36"/>
        <v>05.05.20122</v>
      </c>
      <c r="O75">
        <v>10</v>
      </c>
      <c r="P75">
        <v>10</v>
      </c>
      <c r="Q75" t="str">
        <f>""</f>
        <v/>
      </c>
      <c r="R75" t="str">
        <f>"Курск, Карла Маркса, 72 /8"</f>
        <v>Курск, Карла Маркса, 72 /8</v>
      </c>
      <c r="S75" t="str">
        <f>""</f>
        <v/>
      </c>
      <c r="T75" t="str">
        <f>"46/1181"</f>
        <v>46/1181</v>
      </c>
      <c r="U75" t="str">
        <f t="shared" si="37"/>
        <v>Магистральная ВОЛС</v>
      </c>
      <c r="V75" t="str">
        <f t="shared" si="42"/>
        <v>Нет</v>
      </c>
      <c r="W75" t="str">
        <f t="shared" si="42"/>
        <v>Нет</v>
      </c>
      <c r="X75" t="str">
        <f t="shared" si="42"/>
        <v>Нет</v>
      </c>
      <c r="Y75" t="str">
        <f t="shared" si="42"/>
        <v>Нет</v>
      </c>
      <c r="Z75" t="str">
        <f t="shared" si="42"/>
        <v>Нет</v>
      </c>
      <c r="AA75" t="str">
        <f>""</f>
        <v/>
      </c>
      <c r="AB75" t="str">
        <f t="shared" si="41"/>
        <v>Нет</v>
      </c>
      <c r="AC75" t="str">
        <f>"М 3.1.8 - ППК 3.1.4"</f>
        <v>М 3.1.8 - ППК 3.1.4</v>
      </c>
      <c r="AD75" t="str">
        <f t="shared" si="38"/>
        <v>02.02.2012</v>
      </c>
      <c r="AE75" t="str">
        <f>""</f>
        <v/>
      </c>
      <c r="AF75" t="str">
        <f>"[344784] М 3.1.8"</f>
        <v>[344784] М 3.1.8</v>
      </c>
      <c r="AG75" t="str">
        <f>"[344711] ГОК3.1.4.1 Курск, Карла Маркса, 72 /8 п. 2"</f>
        <v>[344711] ГОК3.1.4.1 Курск, Карла Маркса, 72 /8 п. 2</v>
      </c>
      <c r="AH75" t="str">
        <f>"М 3.1.8"</f>
        <v>М 3.1.8</v>
      </c>
      <c r="AI75" t="str">
        <f>"ППК 3.1.4"</f>
        <v>ППК 3.1.4</v>
      </c>
      <c r="AJ75" t="str">
        <f>""</f>
        <v/>
      </c>
      <c r="AK75" t="str">
        <f t="shared" si="11"/>
        <v>Нет</v>
      </c>
      <c r="AL75" t="str">
        <f>"51.767744 36.181846, 51.767614 36.181862, 51.767521 36.181353"</f>
        <v>51.767744 36.181846, 51.767614 36.181862, 51.767521 36.181353</v>
      </c>
      <c r="AM75" t="str">
        <f>"20000008035110"</f>
        <v>20000008035110</v>
      </c>
    </row>
    <row r="76" spans="1:39" x14ac:dyDescent="0.25">
      <c r="A76">
        <v>907</v>
      </c>
      <c r="B76" t="str">
        <f t="shared" si="39"/>
        <v>Курск</v>
      </c>
      <c r="C76">
        <v>809668</v>
      </c>
      <c r="D76" t="str">
        <f t="shared" si="40"/>
        <v>Оптический кабель</v>
      </c>
      <c r="E76" t="str">
        <f>"[46/1183] М 3.1.11 - OK5.1 ППК 3.1.4 Курск, Карла Маркса, 72 /4 п. 3"</f>
        <v>[46/1183] М 3.1.11 - OK5.1 ППК 3.1.4 Курск, Карла Маркса, 72 /4 п. 3</v>
      </c>
      <c r="F76" t="str">
        <f>"ДПТс-П-16А 2(6) 7кН (Мод:Кр,Нат)(Вол:Кр,Жел,Зел,..,Ор,Фиол)"</f>
        <v>ДПТс-П-16А 2(6) 7кН (Мод:Кр,Нат)(Вол:Кр,Жел,Зел,..,Ор,Фиол)</v>
      </c>
      <c r="G76" t="str">
        <f>""</f>
        <v/>
      </c>
      <c r="H76" t="str">
        <f t="shared" si="35"/>
        <v>МС 3.1</v>
      </c>
      <c r="I76">
        <v>23</v>
      </c>
      <c r="J76">
        <v>25</v>
      </c>
      <c r="K76">
        <v>0</v>
      </c>
      <c r="L76">
        <v>25</v>
      </c>
      <c r="M76" t="str">
        <f>"Воздушная трасса по стойкам"</f>
        <v>Воздушная трасса по стойкам</v>
      </c>
      <c r="N76" t="str">
        <f t="shared" si="36"/>
        <v>05.05.20122</v>
      </c>
      <c r="O76">
        <v>8</v>
      </c>
      <c r="P76">
        <v>8</v>
      </c>
      <c r="Q76" t="str">
        <f>""</f>
        <v/>
      </c>
      <c r="R76" t="str">
        <f>"Курск, Карла Маркса, 72 /4"</f>
        <v>Курск, Карла Маркса, 72 /4</v>
      </c>
      <c r="S76" t="str">
        <f>""</f>
        <v/>
      </c>
      <c r="T76" t="str">
        <f>"46/1183"</f>
        <v>46/1183</v>
      </c>
      <c r="U76" t="str">
        <f t="shared" si="37"/>
        <v>Магистральная ВОЛС</v>
      </c>
      <c r="V76" t="str">
        <f t="shared" si="42"/>
        <v>Нет</v>
      </c>
      <c r="W76" t="str">
        <f t="shared" si="42"/>
        <v>Нет</v>
      </c>
      <c r="X76" t="str">
        <f t="shared" si="42"/>
        <v>Нет</v>
      </c>
      <c r="Y76" t="str">
        <f t="shared" si="42"/>
        <v>Нет</v>
      </c>
      <c r="Z76" t="str">
        <f t="shared" si="42"/>
        <v>Нет</v>
      </c>
      <c r="AA76" t="str">
        <f>""</f>
        <v/>
      </c>
      <c r="AB76" t="str">
        <f t="shared" si="41"/>
        <v>Нет</v>
      </c>
      <c r="AC76" t="str">
        <f>"М 3.1.11 - ППК 3.1.4 ОУ"</f>
        <v>М 3.1.11 - ППК 3.1.4 ОУ</v>
      </c>
      <c r="AD76" t="str">
        <f t="shared" si="38"/>
        <v>02.02.2012</v>
      </c>
      <c r="AE76" t="str">
        <f>""</f>
        <v/>
      </c>
      <c r="AF76" t="str">
        <f>"[344780] М 3.1.11"</f>
        <v>[344780] М 3.1.11</v>
      </c>
      <c r="AG76" t="str">
        <f>"[324833] OK5.1 ППК 3.1.4 Курск, Карла Маркса, 72 /4 п. 3"</f>
        <v>[324833] OK5.1 ППК 3.1.4 Курск, Карла Маркса, 72 /4 п. 3</v>
      </c>
      <c r="AH76" t="str">
        <f>"М 3.1.11"</f>
        <v>М 3.1.11</v>
      </c>
      <c r="AI76" t="str">
        <f>"ППК 3.1.4 ОУ"</f>
        <v>ППК 3.1.4 ОУ</v>
      </c>
      <c r="AJ76" t="str">
        <f>""</f>
        <v/>
      </c>
      <c r="AK76" t="str">
        <f t="shared" ref="AK76:AK139" si="43">"Нет"</f>
        <v>Нет</v>
      </c>
      <c r="AL76" t="str">
        <f>"51.770223 36.180537, 51.770034 36.180688"</f>
        <v>51.770223 36.180537, 51.770034 36.180688</v>
      </c>
      <c r="AM76" t="str">
        <f>"20000008004377"</f>
        <v>20000008004377</v>
      </c>
    </row>
    <row r="77" spans="1:39" x14ac:dyDescent="0.25">
      <c r="A77">
        <v>907</v>
      </c>
      <c r="B77" t="str">
        <f t="shared" si="39"/>
        <v>Курск</v>
      </c>
      <c r="C77">
        <v>811483</v>
      </c>
      <c r="D77" t="str">
        <f t="shared" si="40"/>
        <v>Оптический кабель</v>
      </c>
      <c r="E77" t="str">
        <f>"[46/1234] МОК1.3.1 Курск, Добролюбова, 22 а п. 1 - М 1.3.14"</f>
        <v>[46/1234] МОК1.3.1 Курск, Добролюбова, 22 а п. 1 - М 1.3.14</v>
      </c>
      <c r="F77" t="str">
        <f>"ДПТа-П-128А 8(9) 7кН (Вол:Кр,Жел,Зел,...,Лайм,Нат)"</f>
        <v>ДПТа-П-128А 8(9) 7кН (Вол:Кр,Жел,Зел,...,Лайм,Нат)</v>
      </c>
      <c r="G77" t="str">
        <f>""</f>
        <v/>
      </c>
      <c r="H77" t="str">
        <f t="shared" ref="H77:H84" si="44">"МС 1.3"</f>
        <v>МС 1.3</v>
      </c>
      <c r="I77">
        <v>443</v>
      </c>
      <c r="J77">
        <v>532.64</v>
      </c>
      <c r="K77">
        <v>88</v>
      </c>
      <c r="L77">
        <v>536</v>
      </c>
      <c r="M77" t="str">
        <f>"Опоры"</f>
        <v>Опоры</v>
      </c>
      <c r="N77" t="str">
        <f t="shared" ref="N77:N84" si="45">"14.05.20122"</f>
        <v>14.05.20122</v>
      </c>
      <c r="O77">
        <v>128</v>
      </c>
      <c r="P77">
        <v>128</v>
      </c>
      <c r="Q77" t="str">
        <f>"Курск, Добролюбова, 22 а"</f>
        <v>Курск, Добролюбова, 22 а</v>
      </c>
      <c r="R77" t="str">
        <f>""</f>
        <v/>
      </c>
      <c r="S77" t="str">
        <f>""</f>
        <v/>
      </c>
      <c r="T77" t="str">
        <f>"46/1234"</f>
        <v>46/1234</v>
      </c>
      <c r="U77" t="str">
        <f t="shared" si="37"/>
        <v>Магистральная ВОЛС</v>
      </c>
      <c r="V77" t="str">
        <f t="shared" si="42"/>
        <v>Нет</v>
      </c>
      <c r="W77" t="str">
        <f t="shared" si="42"/>
        <v>Нет</v>
      </c>
      <c r="X77" t="str">
        <f t="shared" si="42"/>
        <v>Нет</v>
      </c>
      <c r="Y77" t="str">
        <f t="shared" si="42"/>
        <v>Нет</v>
      </c>
      <c r="Z77" t="str">
        <f t="shared" si="42"/>
        <v>Нет</v>
      </c>
      <c r="AA77" t="str">
        <f>""</f>
        <v/>
      </c>
      <c r="AB77" t="str">
        <f t="shared" si="41"/>
        <v>Нет</v>
      </c>
      <c r="AC77" t="str">
        <f>"МГС 1 - М 1.3.14"</f>
        <v>МГС 1 - М 1.3.14</v>
      </c>
      <c r="AD77" t="str">
        <f t="shared" ref="AD77:AD84" si="46">"10.02.2012"</f>
        <v>10.02.2012</v>
      </c>
      <c r="AE77" t="str">
        <f>""</f>
        <v/>
      </c>
      <c r="AF77" t="str">
        <f>"[266057] МОК1.3.1 Курск, Добролюбова, 22 а п. 1"</f>
        <v>[266057] МОК1.3.1 Курск, Добролюбова, 22 а п. 1</v>
      </c>
      <c r="AG77" t="str">
        <f>"[350366] М 1.3.14"</f>
        <v>[350366] М 1.3.14</v>
      </c>
      <c r="AH77" t="str">
        <f>"МГС 1"</f>
        <v>МГС 1</v>
      </c>
      <c r="AI77" t="str">
        <f>"М 1.3.14"</f>
        <v>М 1.3.14</v>
      </c>
      <c r="AJ77" t="str">
        <f>""</f>
        <v/>
      </c>
      <c r="AK77" t="str">
        <f t="shared" si="43"/>
        <v>Нет</v>
      </c>
      <c r="AL77" t="s">
        <v>19</v>
      </c>
      <c r="AM77" t="str">
        <f>"20000008017076"</f>
        <v>20000008017076</v>
      </c>
    </row>
    <row r="78" spans="1:39" x14ac:dyDescent="0.25">
      <c r="A78">
        <v>907</v>
      </c>
      <c r="B78" t="str">
        <f t="shared" si="39"/>
        <v>Курск</v>
      </c>
      <c r="C78">
        <v>811503</v>
      </c>
      <c r="D78" t="str">
        <f t="shared" si="40"/>
        <v>Оптический кабель</v>
      </c>
      <c r="E78" t="str">
        <f>"[46/1235] М 1.3.14 - М 1.3.13"</f>
        <v>[46/1235] М 1.3.14 - М 1.3.13</v>
      </c>
      <c r="F78" t="str">
        <f>"ДПТа-П-128А 8(9) 7кН (Вол:Кр,Жел,Зел,...,Лайм,Нат)"</f>
        <v>ДПТа-П-128А 8(9) 7кН (Вол:Кр,Жел,Зел,...,Лайм,Нат)</v>
      </c>
      <c r="G78" t="str">
        <f>""</f>
        <v/>
      </c>
      <c r="H78" t="str">
        <f t="shared" si="44"/>
        <v>МС 1.3</v>
      </c>
      <c r="I78">
        <v>1495</v>
      </c>
      <c r="J78">
        <v>1608.75</v>
      </c>
      <c r="K78">
        <v>113</v>
      </c>
      <c r="L78">
        <v>1625</v>
      </c>
      <c r="M78" t="str">
        <f>"Опоры"</f>
        <v>Опоры</v>
      </c>
      <c r="N78" t="str">
        <f t="shared" si="45"/>
        <v>14.05.20122</v>
      </c>
      <c r="O78">
        <v>128</v>
      </c>
      <c r="P78">
        <v>128</v>
      </c>
      <c r="Q78" t="str">
        <f>""</f>
        <v/>
      </c>
      <c r="R78" t="str">
        <f>""</f>
        <v/>
      </c>
      <c r="S78" t="str">
        <f>""</f>
        <v/>
      </c>
      <c r="T78" t="str">
        <f>"46/1235"</f>
        <v>46/1235</v>
      </c>
      <c r="U78" t="str">
        <f t="shared" si="37"/>
        <v>Магистральная ВОЛС</v>
      </c>
      <c r="V78" t="str">
        <f t="shared" si="42"/>
        <v>Нет</v>
      </c>
      <c r="W78" t="str">
        <f t="shared" si="42"/>
        <v>Нет</v>
      </c>
      <c r="X78" t="str">
        <f t="shared" si="42"/>
        <v>Нет</v>
      </c>
      <c r="Y78" t="str">
        <f t="shared" si="42"/>
        <v>Нет</v>
      </c>
      <c r="Z78" t="str">
        <f t="shared" si="42"/>
        <v>Нет</v>
      </c>
      <c r="AA78" t="str">
        <f>""</f>
        <v/>
      </c>
      <c r="AB78" t="str">
        <f t="shared" si="41"/>
        <v>Нет</v>
      </c>
      <c r="AC78" t="str">
        <f>"М 1.3.14 - М 1.3.13"</f>
        <v>М 1.3.14 - М 1.3.13</v>
      </c>
      <c r="AD78" t="str">
        <f t="shared" si="46"/>
        <v>10.02.2012</v>
      </c>
      <c r="AE78" t="str">
        <f>""</f>
        <v/>
      </c>
      <c r="AF78" t="str">
        <f>"[350366] М 1.3.14"</f>
        <v>[350366] М 1.3.14</v>
      </c>
      <c r="AG78" t="str">
        <f>"[350362] М 1.3.13"</f>
        <v>[350362] М 1.3.13</v>
      </c>
      <c r="AH78" t="str">
        <f>"М 1.3.14"</f>
        <v>М 1.3.14</v>
      </c>
      <c r="AI78" t="str">
        <f>"М 1.3.13"</f>
        <v>М 1.3.13</v>
      </c>
      <c r="AJ78" t="str">
        <f>""</f>
        <v/>
      </c>
      <c r="AK78" t="str">
        <f t="shared" si="43"/>
        <v>Нет</v>
      </c>
      <c r="AL78" t="s">
        <v>20</v>
      </c>
      <c r="AM78" t="str">
        <f>"20000008045127"</f>
        <v>20000008045127</v>
      </c>
    </row>
    <row r="79" spans="1:39" x14ac:dyDescent="0.25">
      <c r="A79">
        <v>907</v>
      </c>
      <c r="B79" t="str">
        <f t="shared" si="39"/>
        <v>Курск</v>
      </c>
      <c r="C79">
        <v>811543</v>
      </c>
      <c r="D79" t="str">
        <f t="shared" si="40"/>
        <v>Оптический кабель</v>
      </c>
      <c r="E79" t="str">
        <f>"[46/1237] М 1.3.12 - М 1.3.11"</f>
        <v>[46/1237] М 1.3.12 - М 1.3.11</v>
      </c>
      <c r="F79" t="str">
        <f>"ДПТа-П-128А 8(9) 7кН (Вол:Кр,Жел,Зел,...,Лайм,Нат)"</f>
        <v>ДПТа-П-128А 8(9) 7кН (Вол:Кр,Жел,Зел,...,Лайм,Нат)</v>
      </c>
      <c r="G79" t="str">
        <f>""</f>
        <v/>
      </c>
      <c r="H79" t="str">
        <f t="shared" si="44"/>
        <v>МС 1.3</v>
      </c>
      <c r="I79">
        <v>1070</v>
      </c>
      <c r="J79">
        <v>1210.77</v>
      </c>
      <c r="K79">
        <v>110</v>
      </c>
      <c r="L79">
        <v>1223</v>
      </c>
      <c r="M79" t="str">
        <f>"Опоры"</f>
        <v>Опоры</v>
      </c>
      <c r="N79" t="str">
        <f t="shared" si="45"/>
        <v>14.05.20122</v>
      </c>
      <c r="O79">
        <v>128</v>
      </c>
      <c r="P79">
        <v>128</v>
      </c>
      <c r="Q79" t="str">
        <f>""</f>
        <v/>
      </c>
      <c r="R79" t="str">
        <f>""</f>
        <v/>
      </c>
      <c r="S79" t="str">
        <f>""</f>
        <v/>
      </c>
      <c r="T79" t="str">
        <f>"46/1237"</f>
        <v>46/1237</v>
      </c>
      <c r="U79" t="str">
        <f t="shared" si="37"/>
        <v>Магистральная ВОЛС</v>
      </c>
      <c r="V79" t="str">
        <f t="shared" si="42"/>
        <v>Нет</v>
      </c>
      <c r="W79" t="str">
        <f t="shared" si="42"/>
        <v>Нет</v>
      </c>
      <c r="X79" t="str">
        <f t="shared" si="42"/>
        <v>Нет</v>
      </c>
      <c r="Y79" t="str">
        <f t="shared" si="42"/>
        <v>Нет</v>
      </c>
      <c r="Z79" t="str">
        <f t="shared" si="42"/>
        <v>Нет</v>
      </c>
      <c r="AA79" t="str">
        <f>""</f>
        <v/>
      </c>
      <c r="AB79" t="str">
        <f t="shared" si="41"/>
        <v>Нет</v>
      </c>
      <c r="AC79" t="str">
        <f>"М 1.3.12 - М 1.3.11"</f>
        <v>М 1.3.12 - М 1.3.11</v>
      </c>
      <c r="AD79" t="str">
        <f t="shared" si="46"/>
        <v>10.02.2012</v>
      </c>
      <c r="AE79" t="str">
        <f>""</f>
        <v/>
      </c>
      <c r="AF79" t="str">
        <f>"[350358] М 1.3.12"</f>
        <v>[350358] М 1.3.12</v>
      </c>
      <c r="AG79" t="str">
        <f>"[350354] М 1.3.11"</f>
        <v>[350354] М 1.3.11</v>
      </c>
      <c r="AH79" t="str">
        <f>"М 1.3.12"</f>
        <v>М 1.3.12</v>
      </c>
      <c r="AI79" t="str">
        <f>"М 1.3.11"</f>
        <v>М 1.3.11</v>
      </c>
      <c r="AJ79" t="str">
        <f>""</f>
        <v/>
      </c>
      <c r="AK79" t="str">
        <f t="shared" si="43"/>
        <v>Нет</v>
      </c>
      <c r="AL79" t="s">
        <v>21</v>
      </c>
      <c r="AM79" t="str">
        <f>"20000008030953"</f>
        <v>20000008030953</v>
      </c>
    </row>
    <row r="80" spans="1:39" x14ac:dyDescent="0.25">
      <c r="A80">
        <v>907</v>
      </c>
      <c r="B80" t="str">
        <f t="shared" si="39"/>
        <v>Курск</v>
      </c>
      <c r="C80">
        <v>811555</v>
      </c>
      <c r="D80" t="str">
        <f t="shared" si="40"/>
        <v>Оптический кабель</v>
      </c>
      <c r="E80" t="str">
        <f>"[46/1240] М 1.3.9 - ГОК1.3.1.1 Курск, Заводская, 27  п. 1"</f>
        <v>[46/1240] М 1.3.9 - ГОК1.3.1.1 Курск, Заводская, 27  п. 1</v>
      </c>
      <c r="F80" t="str">
        <f>"ДПТс-П-16А 2(6) 7кН (Мод:Кр,Нат)(Вол:Кр,Жел,Зел,..,Ор,Фиол)"</f>
        <v>ДПТс-П-16А 2(6) 7кН (Мод:Кр,Нат)(Вол:Кр,Жел,Зел,..,Ор,Фиол)</v>
      </c>
      <c r="G80" t="str">
        <f>""</f>
        <v/>
      </c>
      <c r="H80" t="str">
        <f t="shared" si="44"/>
        <v>МС 1.3</v>
      </c>
      <c r="I80">
        <v>169</v>
      </c>
      <c r="J80">
        <v>229</v>
      </c>
      <c r="K80">
        <v>59</v>
      </c>
      <c r="L80">
        <v>232</v>
      </c>
      <c r="M80" t="str">
        <f>""</f>
        <v/>
      </c>
      <c r="N80" t="str">
        <f t="shared" si="45"/>
        <v>14.05.20122</v>
      </c>
      <c r="O80">
        <v>10</v>
      </c>
      <c r="P80">
        <v>10</v>
      </c>
      <c r="Q80" t="str">
        <f>""</f>
        <v/>
      </c>
      <c r="R80" t="str">
        <f>"Курск, Заводская, 27"</f>
        <v>Курск, Заводская, 27</v>
      </c>
      <c r="S80" t="str">
        <f>""</f>
        <v/>
      </c>
      <c r="T80" t="str">
        <f>"46/1240"</f>
        <v>46/1240</v>
      </c>
      <c r="U80" t="str">
        <f t="shared" si="37"/>
        <v>Магистральная ВОЛС</v>
      </c>
      <c r="V80" t="str">
        <f t="shared" si="42"/>
        <v>Нет</v>
      </c>
      <c r="W80" t="str">
        <f t="shared" si="42"/>
        <v>Нет</v>
      </c>
      <c r="X80" t="str">
        <f t="shared" si="42"/>
        <v>Нет</v>
      </c>
      <c r="Y80" t="str">
        <f t="shared" si="42"/>
        <v>Нет</v>
      </c>
      <c r="Z80" t="str">
        <f t="shared" si="42"/>
        <v>Нет</v>
      </c>
      <c r="AA80" t="str">
        <f>""</f>
        <v/>
      </c>
      <c r="AB80" t="str">
        <f t="shared" si="41"/>
        <v>Нет</v>
      </c>
      <c r="AC80" t="str">
        <f>"М 1.3.9 - ППК 1.3.1"</f>
        <v>М 1.3.9 - ППК 1.3.1</v>
      </c>
      <c r="AD80" t="str">
        <f t="shared" si="46"/>
        <v>10.02.2012</v>
      </c>
      <c r="AE80" t="str">
        <f>""</f>
        <v/>
      </c>
      <c r="AF80" t="str">
        <f>"[350346] М 1.3.9"</f>
        <v>[350346] М 1.3.9</v>
      </c>
      <c r="AG80" t="str">
        <f>"[350285] ГОК1.3.1.1 Курск, Заводская, 27  п. 1"</f>
        <v>[350285] ГОК1.3.1.1 Курск, Заводская, 27  п. 1</v>
      </c>
      <c r="AH80" t="str">
        <f>"М 1.3.9"</f>
        <v>М 1.3.9</v>
      </c>
      <c r="AI80" t="str">
        <f>"ППК 1.3.1"</f>
        <v>ППК 1.3.1</v>
      </c>
      <c r="AJ80" t="str">
        <f>""</f>
        <v/>
      </c>
      <c r="AK80" t="str">
        <f t="shared" si="43"/>
        <v>Нет</v>
      </c>
      <c r="AL80" t="str">
        <f>"51.704375 36.151253, 51.704155 36.151114, 51.703926 36.150974, 51.703693 36.150829, 51.703467 36.150684, 51.703241 36.150529, 51.703344 36.150067"</f>
        <v>51.704375 36.151253, 51.704155 36.151114, 51.703926 36.150974, 51.703693 36.150829, 51.703467 36.150684, 51.703241 36.150529, 51.703344 36.150067</v>
      </c>
      <c r="AM80" t="str">
        <f>"20000008039576"</f>
        <v>20000008039576</v>
      </c>
    </row>
    <row r="81" spans="1:39" x14ac:dyDescent="0.25">
      <c r="A81">
        <v>907</v>
      </c>
      <c r="B81" t="str">
        <f t="shared" si="39"/>
        <v>Курск</v>
      </c>
      <c r="C81">
        <v>811593</v>
      </c>
      <c r="D81" t="str">
        <f t="shared" si="40"/>
        <v>Оптический кабель</v>
      </c>
      <c r="E81" t="str">
        <f>"[46/1243] М 1.3.3 - ГОК1.3.3.1 Курск, Заводская, 41 а п. 2"</f>
        <v>[46/1243] М 1.3.3 - ГОК1.3.3.1 Курск, Заводская, 41 а п. 2</v>
      </c>
      <c r="F81" t="str">
        <f>"ДПТс-П-16А 2(6) 7кН (Мод:Кр,Нат)(Вол:Кр,Жел,Зел,..,Ор,Фиол)"</f>
        <v>ДПТс-П-16А 2(6) 7кН (Мод:Кр,Нат)(Вол:Кр,Жел,Зел,..,Ор,Фиол)</v>
      </c>
      <c r="G81" t="str">
        <f>""</f>
        <v/>
      </c>
      <c r="H81" t="str">
        <f t="shared" si="44"/>
        <v>МС 1.3</v>
      </c>
      <c r="I81">
        <v>78</v>
      </c>
      <c r="J81">
        <v>170</v>
      </c>
      <c r="K81">
        <v>80</v>
      </c>
      <c r="L81">
        <v>172</v>
      </c>
      <c r="M81" t="str">
        <f>""</f>
        <v/>
      </c>
      <c r="N81" t="str">
        <f t="shared" si="45"/>
        <v>14.05.20122</v>
      </c>
      <c r="O81">
        <v>10</v>
      </c>
      <c r="P81">
        <v>10</v>
      </c>
      <c r="Q81" t="str">
        <f>""</f>
        <v/>
      </c>
      <c r="R81" t="str">
        <f>"Курск, Заводская, 41 а"</f>
        <v>Курск, Заводская, 41 а</v>
      </c>
      <c r="S81" t="str">
        <f>""</f>
        <v/>
      </c>
      <c r="T81" t="str">
        <f>"46/1243"</f>
        <v>46/1243</v>
      </c>
      <c r="U81" t="str">
        <f t="shared" si="37"/>
        <v>Магистральная ВОЛС</v>
      </c>
      <c r="V81" t="str">
        <f t="shared" si="42"/>
        <v>Нет</v>
      </c>
      <c r="W81" t="str">
        <f t="shared" si="42"/>
        <v>Нет</v>
      </c>
      <c r="X81" t="str">
        <f t="shared" si="42"/>
        <v>Нет</v>
      </c>
      <c r="Y81" t="str">
        <f t="shared" si="42"/>
        <v>Нет</v>
      </c>
      <c r="Z81" t="str">
        <f t="shared" si="42"/>
        <v>Нет</v>
      </c>
      <c r="AA81" t="str">
        <f>""</f>
        <v/>
      </c>
      <c r="AB81" t="str">
        <f t="shared" si="41"/>
        <v>Нет</v>
      </c>
      <c r="AC81" t="str">
        <f>"М 1.3.3 - ППК 1.3.3"</f>
        <v>М 1.3.3 - ППК 1.3.3</v>
      </c>
      <c r="AD81" t="str">
        <f t="shared" si="46"/>
        <v>10.02.2012</v>
      </c>
      <c r="AE81" t="str">
        <f>""</f>
        <v/>
      </c>
      <c r="AF81" t="str">
        <f>"[350338] М 1.3.3"</f>
        <v>[350338] М 1.3.3</v>
      </c>
      <c r="AG81" t="str">
        <f>"[350272] ГОК1.3.3.1 Курск, Заводская, 41 а п. 2"</f>
        <v>[350272] ГОК1.3.3.1 Курск, Заводская, 41 а п. 2</v>
      </c>
      <c r="AH81" t="str">
        <f>"М 1.3.3"</f>
        <v>М 1.3.3</v>
      </c>
      <c r="AI81" t="str">
        <f>"ППК 1.3.3"</f>
        <v>ППК 1.3.3</v>
      </c>
      <c r="AJ81" t="str">
        <f>""</f>
        <v/>
      </c>
      <c r="AK81" t="str">
        <f t="shared" si="43"/>
        <v>Нет</v>
      </c>
      <c r="AL81" t="str">
        <f>"51.699361 36.147337, 51.699304 36.146452, 51.699348 36.146221"</f>
        <v>51.699361 36.147337, 51.699304 36.146452, 51.699348 36.146221</v>
      </c>
      <c r="AM81" t="str">
        <f>"20000008035581"</f>
        <v>20000008035581</v>
      </c>
    </row>
    <row r="82" spans="1:39" x14ac:dyDescent="0.25">
      <c r="A82">
        <v>907</v>
      </c>
      <c r="B82" t="str">
        <f t="shared" si="39"/>
        <v>Курск</v>
      </c>
      <c r="C82">
        <v>811628</v>
      </c>
      <c r="D82" t="str">
        <f t="shared" si="40"/>
        <v>Оптический кабель</v>
      </c>
      <c r="E82" t="str">
        <f>"[46/1247] М 1.3.5 - ГОК1.3.5.1 Курск, Дейнеки, 35  п. 2"</f>
        <v>[46/1247] М 1.3.5 - ГОК1.3.5.1 Курск, Дейнеки, 35  п. 2</v>
      </c>
      <c r="F82" t="str">
        <f>"ДПТс-П-16А 2(6) 7кН (Мод:Кр,Нат)(Вол:Кр,Жел,Зел,..,Ор,Фиол)"</f>
        <v>ДПТс-П-16А 2(6) 7кН (Мод:Кр,Нат)(Вол:Кр,Жел,Зел,..,Ор,Фиол)</v>
      </c>
      <c r="G82" t="str">
        <f>""</f>
        <v/>
      </c>
      <c r="H82" t="str">
        <f t="shared" si="44"/>
        <v>МС 1.3</v>
      </c>
      <c r="I82">
        <v>22</v>
      </c>
      <c r="J82">
        <v>69</v>
      </c>
      <c r="K82">
        <v>43</v>
      </c>
      <c r="L82">
        <v>70</v>
      </c>
      <c r="M82" t="str">
        <f>""</f>
        <v/>
      </c>
      <c r="N82" t="str">
        <f t="shared" si="45"/>
        <v>14.05.20122</v>
      </c>
      <c r="O82">
        <v>10</v>
      </c>
      <c r="P82">
        <v>10</v>
      </c>
      <c r="Q82" t="str">
        <f>""</f>
        <v/>
      </c>
      <c r="R82" t="str">
        <f>"Курск, Дейнеки, 35"</f>
        <v>Курск, Дейнеки, 35</v>
      </c>
      <c r="S82" t="str">
        <f>""</f>
        <v/>
      </c>
      <c r="T82" t="str">
        <f>"46/1247"</f>
        <v>46/1247</v>
      </c>
      <c r="U82" t="str">
        <f t="shared" si="37"/>
        <v>Магистральная ВОЛС</v>
      </c>
      <c r="V82" t="str">
        <f t="shared" ref="V82:Z87" si="47">"Нет"</f>
        <v>Нет</v>
      </c>
      <c r="W82" t="str">
        <f t="shared" si="47"/>
        <v>Нет</v>
      </c>
      <c r="X82" t="str">
        <f t="shared" si="47"/>
        <v>Нет</v>
      </c>
      <c r="Y82" t="str">
        <f t="shared" si="47"/>
        <v>Нет</v>
      </c>
      <c r="Z82" t="str">
        <f t="shared" si="47"/>
        <v>Нет</v>
      </c>
      <c r="AA82" t="str">
        <f>""</f>
        <v/>
      </c>
      <c r="AB82" t="str">
        <f t="shared" si="41"/>
        <v>Нет</v>
      </c>
      <c r="AC82" t="str">
        <f>"М 1.3.5 - ППК 1.3.5"</f>
        <v>М 1.3.5 - ППК 1.3.5</v>
      </c>
      <c r="AD82" t="str">
        <f t="shared" si="46"/>
        <v>10.02.2012</v>
      </c>
      <c r="AE82" t="str">
        <f>""</f>
        <v/>
      </c>
      <c r="AF82" t="str">
        <f>"[350330] М 1.3.5"</f>
        <v>[350330] М 1.3.5</v>
      </c>
      <c r="AG82" t="str">
        <f>"[350246] ГОК1.3.5.1 Курск, Дейнеки, 35  п. 2"</f>
        <v>[350246] ГОК1.3.5.1 Курск, Дейнеки, 35  п. 2</v>
      </c>
      <c r="AH82" t="str">
        <f>"М 1.3.5"</f>
        <v>М 1.3.5</v>
      </c>
      <c r="AI82" t="str">
        <f>"ППК 1.3.5"</f>
        <v>ППК 1.3.5</v>
      </c>
      <c r="AJ82" t="str">
        <f>""</f>
        <v/>
      </c>
      <c r="AK82" t="str">
        <f t="shared" si="43"/>
        <v>Нет</v>
      </c>
      <c r="AL82" t="str">
        <f>"51.697389 36.141313, 51.697193 36.141345"</f>
        <v>51.697389 36.141313, 51.697193 36.141345</v>
      </c>
      <c r="AM82" t="str">
        <f>"20000008004398"</f>
        <v>20000008004398</v>
      </c>
    </row>
    <row r="83" spans="1:39" x14ac:dyDescent="0.25">
      <c r="A83">
        <v>907</v>
      </c>
      <c r="B83" t="str">
        <f t="shared" si="39"/>
        <v>Курск</v>
      </c>
      <c r="C83">
        <v>811636</v>
      </c>
      <c r="D83" t="str">
        <f t="shared" si="40"/>
        <v>Оптический кабель</v>
      </c>
      <c r="E83" t="str">
        <f>"[46/1249] М 1.3.6 - ГОК1.3.6.1 Курск, Малышева, 2 /23 п. 1"</f>
        <v>[46/1249] М 1.3.6 - ГОК1.3.6.1 Курск, Малышева, 2 /23 п. 1</v>
      </c>
      <c r="F83" t="str">
        <f>"ДПТс-П-16А 2(6) 7кН (Мод:Кр,Нат)(Вол:Кр,Жел,Зел,..,Ор,Фиол)"</f>
        <v>ДПТс-П-16А 2(6) 7кН (Мод:Кр,Нат)(Вол:Кр,Жел,Зел,..,Ор,Фиол)</v>
      </c>
      <c r="G83" t="str">
        <f>""</f>
        <v/>
      </c>
      <c r="H83" t="str">
        <f t="shared" si="44"/>
        <v>МС 1.3</v>
      </c>
      <c r="I83">
        <v>16</v>
      </c>
      <c r="J83">
        <v>69</v>
      </c>
      <c r="K83">
        <v>40</v>
      </c>
      <c r="L83">
        <v>70</v>
      </c>
      <c r="M83" t="str">
        <f>""</f>
        <v/>
      </c>
      <c r="N83" t="str">
        <f t="shared" si="45"/>
        <v>14.05.20122</v>
      </c>
      <c r="O83">
        <v>10</v>
      </c>
      <c r="P83">
        <v>10</v>
      </c>
      <c r="Q83" t="str">
        <f>""</f>
        <v/>
      </c>
      <c r="R83" t="str">
        <f>"Курск, Малышева, 2 /23"</f>
        <v>Курск, Малышева, 2 /23</v>
      </c>
      <c r="S83" t="str">
        <f>""</f>
        <v/>
      </c>
      <c r="T83" t="str">
        <f>"46/1249"</f>
        <v>46/1249</v>
      </c>
      <c r="U83" t="str">
        <f t="shared" si="37"/>
        <v>Магистральная ВОЛС</v>
      </c>
      <c r="V83" t="str">
        <f t="shared" si="47"/>
        <v>Нет</v>
      </c>
      <c r="W83" t="str">
        <f t="shared" si="47"/>
        <v>Нет</v>
      </c>
      <c r="X83" t="str">
        <f t="shared" si="47"/>
        <v>Нет</v>
      </c>
      <c r="Y83" t="str">
        <f t="shared" si="47"/>
        <v>Нет</v>
      </c>
      <c r="Z83" t="str">
        <f t="shared" si="47"/>
        <v>Нет</v>
      </c>
      <c r="AA83" t="str">
        <f>""</f>
        <v/>
      </c>
      <c r="AB83" t="str">
        <f t="shared" si="41"/>
        <v>Нет</v>
      </c>
      <c r="AC83" t="str">
        <f>"М 1.3.6 - ППК 1.3.6"</f>
        <v>М 1.3.6 - ППК 1.3.6</v>
      </c>
      <c r="AD83" t="str">
        <f t="shared" si="46"/>
        <v>10.02.2012</v>
      </c>
      <c r="AE83" t="str">
        <f>""</f>
        <v/>
      </c>
      <c r="AF83" t="str">
        <f>"[350326] М 1.3.6"</f>
        <v>[350326] М 1.3.6</v>
      </c>
      <c r="AG83" t="str">
        <f>"[350233] ГОК1.3.6.1 Курск, Малышева, 2 /23 п. 1"</f>
        <v>[350233] ГОК1.3.6.1 Курск, Малышева, 2 /23 п. 1</v>
      </c>
      <c r="AH83" t="str">
        <f>"М 1.3.6"</f>
        <v>М 1.3.6</v>
      </c>
      <c r="AI83" t="str">
        <f>"ППК 1.3.6"</f>
        <v>ППК 1.3.6</v>
      </c>
      <c r="AJ83" t="str">
        <f>""</f>
        <v/>
      </c>
      <c r="AK83" t="str">
        <f t="shared" si="43"/>
        <v>Нет</v>
      </c>
      <c r="AL83" t="str">
        <f>"51.699484 36.140385, 51.699491 36.140615"</f>
        <v>51.699484 36.140385, 51.699491 36.140615</v>
      </c>
      <c r="AM83" t="str">
        <f>"20000008035580"</f>
        <v>20000008035580</v>
      </c>
    </row>
    <row r="84" spans="1:39" x14ac:dyDescent="0.25">
      <c r="A84">
        <v>907</v>
      </c>
      <c r="B84" t="str">
        <f t="shared" si="39"/>
        <v>Курск</v>
      </c>
      <c r="C84">
        <v>811644</v>
      </c>
      <c r="D84" t="str">
        <f t="shared" si="40"/>
        <v>Оптический кабель</v>
      </c>
      <c r="E84" t="str">
        <f>"[46/1250] М 1.3.6 - М 1.3.23"</f>
        <v>[46/1250] М 1.3.6 - М 1.3.23</v>
      </c>
      <c r="F84" t="str">
        <f>"ДПТа-П-64А 6(6) 7кН (Кр,Жел,Зел,..,8-Фиол,9-Бел,..,Бир,Роз)"</f>
        <v>ДПТа-П-64А 6(6) 7кН (Кр,Жел,Зел,..,8-Фиол,9-Бел,..,Бир,Роз)</v>
      </c>
      <c r="G84" t="str">
        <f>""</f>
        <v/>
      </c>
      <c r="H84" t="str">
        <f t="shared" si="44"/>
        <v>МС 1.3</v>
      </c>
      <c r="I84">
        <v>509</v>
      </c>
      <c r="J84">
        <v>568</v>
      </c>
      <c r="K84">
        <v>57.29</v>
      </c>
      <c r="L84">
        <v>574</v>
      </c>
      <c r="M84" t="str">
        <f>""</f>
        <v/>
      </c>
      <c r="N84" t="str">
        <f t="shared" si="45"/>
        <v>14.05.20122</v>
      </c>
      <c r="O84">
        <v>64</v>
      </c>
      <c r="P84">
        <v>64</v>
      </c>
      <c r="Q84" t="str">
        <f>""</f>
        <v/>
      </c>
      <c r="R84" t="str">
        <f>""</f>
        <v/>
      </c>
      <c r="S84" t="str">
        <f>""</f>
        <v/>
      </c>
      <c r="T84" t="str">
        <f>"46/1250"</f>
        <v>46/1250</v>
      </c>
      <c r="U84" t="str">
        <f t="shared" si="37"/>
        <v>Магистральная ВОЛС</v>
      </c>
      <c r="V84" t="str">
        <f t="shared" si="47"/>
        <v>Нет</v>
      </c>
      <c r="W84" t="str">
        <f t="shared" si="47"/>
        <v>Нет</v>
      </c>
      <c r="X84" t="str">
        <f t="shared" si="47"/>
        <v>Нет</v>
      </c>
      <c r="Y84" t="str">
        <f t="shared" si="47"/>
        <v>Нет</v>
      </c>
      <c r="Z84" t="str">
        <f t="shared" si="47"/>
        <v>Нет</v>
      </c>
      <c r="AA84" t="str">
        <f>""</f>
        <v/>
      </c>
      <c r="AB84" t="str">
        <f t="shared" si="41"/>
        <v>Нет</v>
      </c>
      <c r="AC84" t="str">
        <f>"М 1.3.6 - М 1.3.8"</f>
        <v>М 1.3.6 - М 1.3.8</v>
      </c>
      <c r="AD84" t="str">
        <f t="shared" si="46"/>
        <v>10.02.2012</v>
      </c>
      <c r="AE84" t="str">
        <f>""</f>
        <v/>
      </c>
      <c r="AF84" t="str">
        <f>"[350326] М 1.3.6"</f>
        <v>[350326] М 1.3.6</v>
      </c>
      <c r="AG84" t="str">
        <f>"[509666] М 1.3.23"</f>
        <v>[509666] М 1.3.23</v>
      </c>
      <c r="AH84" t="str">
        <f>"М 1.3.6"</f>
        <v>М 1.3.6</v>
      </c>
      <c r="AI84" t="str">
        <f>"М 1.3.23"</f>
        <v>М 1.3.23</v>
      </c>
      <c r="AJ84" t="str">
        <f>""</f>
        <v/>
      </c>
      <c r="AK84" t="str">
        <f t="shared" si="43"/>
        <v>Нет</v>
      </c>
      <c r="AL84" t="str">
        <f>"51.699484 36.140374, 51.69955 36.140513, 51.699594 36.140712, 51.69993 36.141463, 51.700166 36.141586, 51.701103 36.142203, 51.701419 36.143067, 51.701914 36.143389, 51.702194 36.143534, 51.703246 36.143523"</f>
        <v>51.699484 36.140374, 51.69955 36.140513, 51.699594 36.140712, 51.69993 36.141463, 51.700166 36.141586, 51.701103 36.142203, 51.701419 36.143067, 51.701914 36.143389, 51.702194 36.143534, 51.703246 36.143523</v>
      </c>
      <c r="AM84" t="str">
        <f>"20000008045597"</f>
        <v>20000008045597</v>
      </c>
    </row>
    <row r="85" spans="1:39" x14ac:dyDescent="0.25">
      <c r="A85">
        <v>907</v>
      </c>
      <c r="B85" t="str">
        <f t="shared" si="39"/>
        <v>Курск</v>
      </c>
      <c r="C85">
        <v>814723</v>
      </c>
      <c r="D85" t="str">
        <f t="shared" si="40"/>
        <v>Оптический кабель</v>
      </c>
      <c r="E85" t="str">
        <f>"[46/1287] МОК1.5.1 Курск, Добролюбова, 22 а п.  - М 1.5.1"</f>
        <v>[46/1287] МОК1.5.1 Курск, Добролюбова, 22 а п.  - М 1.5.1</v>
      </c>
      <c r="F85" t="str">
        <f>"ДПТа-П-64А 6(6) 7кН (Кр,Жел,Зел,..,8-Фиол,9-Бел,..,Бир,Роз)"</f>
        <v>ДПТа-П-64А 6(6) 7кН (Кр,Жел,Зел,..,8-Фиол,9-Бел,..,Бир,Роз)</v>
      </c>
      <c r="G85" t="str">
        <f>""</f>
        <v/>
      </c>
      <c r="H85" t="str">
        <f>"МС 1.5"</f>
        <v>МС 1.5</v>
      </c>
      <c r="I85">
        <v>886</v>
      </c>
      <c r="J85">
        <v>968.5</v>
      </c>
      <c r="K85">
        <v>81.099999999999994</v>
      </c>
      <c r="L85">
        <v>978</v>
      </c>
      <c r="M85" t="str">
        <f>"Опоры"</f>
        <v>Опоры</v>
      </c>
      <c r="N85" t="str">
        <f>"24.05.20122"</f>
        <v>24.05.20122</v>
      </c>
      <c r="O85">
        <v>64</v>
      </c>
      <c r="P85">
        <v>64</v>
      </c>
      <c r="Q85" t="str">
        <f>"Курск, Добролюбова, 22 а"</f>
        <v>Курск, Добролюбова, 22 а</v>
      </c>
      <c r="R85" t="str">
        <f>""</f>
        <v/>
      </c>
      <c r="S85" t="str">
        <f>""</f>
        <v/>
      </c>
      <c r="T85" t="str">
        <f>"46/1287"</f>
        <v>46/1287</v>
      </c>
      <c r="U85" t="str">
        <f t="shared" si="37"/>
        <v>Магистральная ВОЛС</v>
      </c>
      <c r="V85" t="str">
        <f t="shared" si="47"/>
        <v>Нет</v>
      </c>
      <c r="W85" t="str">
        <f t="shared" si="47"/>
        <v>Нет</v>
      </c>
      <c r="X85" t="str">
        <f t="shared" si="47"/>
        <v>Нет</v>
      </c>
      <c r="Y85" t="str">
        <f t="shared" si="47"/>
        <v>Нет</v>
      </c>
      <c r="Z85" t="str">
        <f t="shared" si="47"/>
        <v>Нет</v>
      </c>
      <c r="AA85" t="str">
        <f>""</f>
        <v/>
      </c>
      <c r="AB85" t="str">
        <f t="shared" si="41"/>
        <v>Нет</v>
      </c>
      <c r="AC85" t="str">
        <f>"КРС МС-1.5 - М 1.5.1"</f>
        <v>КРС МС-1.5 - М 1.5.1</v>
      </c>
      <c r="AD85" t="str">
        <f>"29.08.2011"</f>
        <v>29.08.2011</v>
      </c>
      <c r="AE85" t="str">
        <f>""</f>
        <v/>
      </c>
      <c r="AF85" t="str">
        <f>"[495935] МОК1.5.1 Курск, Добролюбова, 22 а п."</f>
        <v>[495935] МОК1.5.1 Курск, Добролюбова, 22 а п.</v>
      </c>
      <c r="AG85" t="str">
        <f>"[357683] М 1.5.1"</f>
        <v>[357683] М 1.5.1</v>
      </c>
      <c r="AH85" t="str">
        <f>"КРС МС-1.5"</f>
        <v>КРС МС-1.5</v>
      </c>
      <c r="AI85" t="str">
        <f>"М 1.5.1"</f>
        <v>М 1.5.1</v>
      </c>
      <c r="AJ85" t="str">
        <f>""</f>
        <v/>
      </c>
      <c r="AK85" t="str">
        <f t="shared" si="43"/>
        <v>Нет</v>
      </c>
      <c r="AL85" t="s">
        <v>22</v>
      </c>
      <c r="AM85" t="str">
        <f>"20000008040510"</f>
        <v>20000008040510</v>
      </c>
    </row>
    <row r="86" spans="1:39" x14ac:dyDescent="0.25">
      <c r="A86">
        <v>907</v>
      </c>
      <c r="B86" t="str">
        <f t="shared" si="39"/>
        <v>Курск</v>
      </c>
      <c r="C86">
        <v>814728</v>
      </c>
      <c r="D86" t="str">
        <f t="shared" si="40"/>
        <v>Оптический кабель</v>
      </c>
      <c r="E86" t="str">
        <f>"[46/1288] М 1.5.1 - М 1.5.2"</f>
        <v>[46/1288] М 1.5.1 - М 1.5.2</v>
      </c>
      <c r="F86" t="str">
        <f>"ДПТа-П-64А 6(6) 7кН (Кр,Жел,Зел,..,8-Фиол,9-Бел,..,Бир,Роз)"</f>
        <v>ДПТа-П-64А 6(6) 7кН (Кр,Жел,Зел,..,8-Фиол,9-Бел,..,Бир,Роз)</v>
      </c>
      <c r="G86" t="str">
        <f>""</f>
        <v/>
      </c>
      <c r="H86" t="str">
        <f>"МС 1.5"</f>
        <v>МС 1.5</v>
      </c>
      <c r="I86">
        <v>537</v>
      </c>
      <c r="J86">
        <v>647</v>
      </c>
      <c r="K86">
        <v>109</v>
      </c>
      <c r="L86">
        <v>647</v>
      </c>
      <c r="M86" t="str">
        <f>"Опоры"</f>
        <v>Опоры</v>
      </c>
      <c r="N86" t="str">
        <f>"24.05.20122"</f>
        <v>24.05.20122</v>
      </c>
      <c r="O86">
        <v>64</v>
      </c>
      <c r="P86">
        <v>64</v>
      </c>
      <c r="Q86" t="str">
        <f>""</f>
        <v/>
      </c>
      <c r="R86" t="str">
        <f>""</f>
        <v/>
      </c>
      <c r="S86" t="str">
        <f>""</f>
        <v/>
      </c>
      <c r="T86" t="str">
        <f>"46/1288"</f>
        <v>46/1288</v>
      </c>
      <c r="U86" t="str">
        <f t="shared" si="37"/>
        <v>Магистральная ВОЛС</v>
      </c>
      <c r="V86" t="str">
        <f t="shared" si="47"/>
        <v>Нет</v>
      </c>
      <c r="W86" t="str">
        <f t="shared" si="47"/>
        <v>Нет</v>
      </c>
      <c r="X86" t="str">
        <f t="shared" si="47"/>
        <v>Нет</v>
      </c>
      <c r="Y86" t="str">
        <f t="shared" si="47"/>
        <v>Нет</v>
      </c>
      <c r="Z86" t="str">
        <f t="shared" si="47"/>
        <v>Нет</v>
      </c>
      <c r="AA86" t="str">
        <f>""</f>
        <v/>
      </c>
      <c r="AB86" t="str">
        <f t="shared" si="41"/>
        <v>Нет</v>
      </c>
      <c r="AC86" t="str">
        <f>"М 1.5.1 - М 1.5.2"</f>
        <v>М 1.5.1 - М 1.5.2</v>
      </c>
      <c r="AD86" t="str">
        <f>"29.08.2011"</f>
        <v>29.08.2011</v>
      </c>
      <c r="AE86" t="str">
        <f>""</f>
        <v/>
      </c>
      <c r="AF86" t="str">
        <f>"[357683] М 1.5.1"</f>
        <v>[357683] М 1.5.1</v>
      </c>
      <c r="AG86" t="str">
        <f>"[357679] М 1.5.2"</f>
        <v>[357679] М 1.5.2</v>
      </c>
      <c r="AH86" t="str">
        <f>"М 1.5.1"</f>
        <v>М 1.5.1</v>
      </c>
      <c r="AI86" t="str">
        <f>"М 1.5.2"</f>
        <v>М 1.5.2</v>
      </c>
      <c r="AJ86" t="str">
        <f>""</f>
        <v/>
      </c>
      <c r="AK86" t="str">
        <f t="shared" si="43"/>
        <v>Нет</v>
      </c>
      <c r="AL86" t="s">
        <v>23</v>
      </c>
      <c r="AM86" t="str">
        <f>"20000008026208"</f>
        <v>20000008026208</v>
      </c>
    </row>
    <row r="87" spans="1:39" x14ac:dyDescent="0.25">
      <c r="A87">
        <v>907</v>
      </c>
      <c r="B87" t="str">
        <f t="shared" si="39"/>
        <v>Курск</v>
      </c>
      <c r="C87">
        <v>817443</v>
      </c>
      <c r="D87" t="str">
        <f t="shared" si="40"/>
        <v>Оптический кабель</v>
      </c>
      <c r="E87" t="str">
        <f>"[46/1381] ТОК1.4 Курск, Добролюбова, 22 а п.  - Т 4.1"</f>
        <v>[46/1381] ТОК1.4 Курск, Добролюбова, 22 а п.  - Т 4.1</v>
      </c>
      <c r="F87" t="str">
        <f>"ДПТа-П-64А 6(6) 7кН (Кр,Жел,Зел,..,8-Фиол,9-Бел,..,Бир,Роз)"</f>
        <v>ДПТа-П-64А 6(6) 7кН (Кр,Жел,Зел,..,8-Фиол,9-Бел,..,Бир,Роз)</v>
      </c>
      <c r="G87" t="str">
        <f>""</f>
        <v/>
      </c>
      <c r="H87" t="str">
        <f>"ТС"</f>
        <v>ТС</v>
      </c>
      <c r="I87">
        <v>487</v>
      </c>
      <c r="J87">
        <v>793</v>
      </c>
      <c r="K87">
        <v>283</v>
      </c>
      <c r="L87">
        <v>794</v>
      </c>
      <c r="M87" t="str">
        <f>"Опоры"</f>
        <v>Опоры</v>
      </c>
      <c r="N87" t="str">
        <f>"07.06.20122"</f>
        <v>07.06.20122</v>
      </c>
      <c r="O87">
        <v>64</v>
      </c>
      <c r="P87">
        <v>64</v>
      </c>
      <c r="Q87" t="str">
        <f>"Курск, Добролюбова, 22 а"</f>
        <v>Курск, Добролюбова, 22 а</v>
      </c>
      <c r="R87" t="str">
        <f>""</f>
        <v/>
      </c>
      <c r="S87" t="str">
        <f>""</f>
        <v/>
      </c>
      <c r="T87" t="str">
        <f>"46/1381"</f>
        <v>46/1381</v>
      </c>
      <c r="U87" t="str">
        <f>"Транспортная ВОЛС"</f>
        <v>Транспортная ВОЛС</v>
      </c>
      <c r="V87" t="str">
        <f t="shared" si="47"/>
        <v>Нет</v>
      </c>
      <c r="W87" t="str">
        <f t="shared" si="47"/>
        <v>Нет</v>
      </c>
      <c r="X87" t="str">
        <f t="shared" si="47"/>
        <v>Нет</v>
      </c>
      <c r="Y87" t="str">
        <f t="shared" si="47"/>
        <v>Нет</v>
      </c>
      <c r="Z87" t="str">
        <f t="shared" si="47"/>
        <v>Нет</v>
      </c>
      <c r="AA87" t="str">
        <f>""</f>
        <v/>
      </c>
      <c r="AB87" t="str">
        <f t="shared" si="41"/>
        <v>Нет</v>
      </c>
      <c r="AC87" t="str">
        <f>"Добролюбова, д.22а - Т 4.1"</f>
        <v>Добролюбова, д.22а - Т 4.1</v>
      </c>
      <c r="AD87" t="str">
        <f>"10.11.2011"</f>
        <v>10.11.2011</v>
      </c>
      <c r="AE87" t="str">
        <f>"ООО ""Элпек"""</f>
        <v>ООО "Элпек"</v>
      </c>
      <c r="AF87" t="str">
        <f>"[491092] ТОК1.4 Курск, Добролюбова, 22 а п."</f>
        <v>[491092] ТОК1.4 Курск, Добролюбова, 22 а п.</v>
      </c>
      <c r="AG87" t="str">
        <f>"[363649] Т 4.1"</f>
        <v>[363649] Т 4.1</v>
      </c>
      <c r="AH87" t="str">
        <f>"Добролюбова, д.22а"</f>
        <v>Добролюбова, д.22а</v>
      </c>
      <c r="AI87" t="str">
        <f>"Т 4.1"</f>
        <v>Т 4.1</v>
      </c>
      <c r="AJ87" t="str">
        <f>""</f>
        <v/>
      </c>
      <c r="AK87" t="str">
        <f t="shared" si="43"/>
        <v>Нет</v>
      </c>
      <c r="AL87" t="s">
        <v>24</v>
      </c>
      <c r="AM87" t="str">
        <f>"20000008036632"</f>
        <v>20000008036632</v>
      </c>
    </row>
    <row r="88" spans="1:39" x14ac:dyDescent="0.25">
      <c r="A88">
        <v>907</v>
      </c>
      <c r="B88" t="str">
        <f t="shared" si="39"/>
        <v>Курск</v>
      </c>
      <c r="C88">
        <v>818363</v>
      </c>
      <c r="D88" t="str">
        <f t="shared" si="40"/>
        <v>Оптический кабель</v>
      </c>
      <c r="E88" t="str">
        <f>"[46/1405] Т4.5 - Т 1.16"</f>
        <v>[46/1405] Т4.5 - Т 1.16</v>
      </c>
      <c r="F88" t="str">
        <f>"ДПТа-П-64А 6(6) 7кН (Кр,Жел,Зел,..,8-Фиол,9-Бел,..,Бир,Роз)"</f>
        <v>ДПТа-П-64А 6(6) 7кН (Кр,Жел,Зел,..,8-Фиол,9-Бел,..,Бир,Роз)</v>
      </c>
      <c r="G88" t="str">
        <f>""</f>
        <v/>
      </c>
      <c r="H88" t="str">
        <f>"ТС"</f>
        <v>ТС</v>
      </c>
      <c r="I88">
        <v>1508</v>
      </c>
      <c r="J88">
        <v>2059</v>
      </c>
      <c r="K88">
        <v>215</v>
      </c>
      <c r="M88" t="str">
        <f>"Опоры"</f>
        <v>Опоры</v>
      </c>
      <c r="N88" t="str">
        <f>"13.06.20122"</f>
        <v>13.06.20122</v>
      </c>
      <c r="O88">
        <v>64</v>
      </c>
      <c r="P88">
        <v>64</v>
      </c>
      <c r="Q88" t="str">
        <f>""</f>
        <v/>
      </c>
      <c r="R88" t="str">
        <f>""</f>
        <v/>
      </c>
      <c r="S88" t="str">
        <f>""</f>
        <v/>
      </c>
      <c r="T88" t="str">
        <f>"46/1405"</f>
        <v>46/1405</v>
      </c>
      <c r="U88" t="str">
        <f>"Транспортная ВОЛС"</f>
        <v>Транспортная ВОЛС</v>
      </c>
      <c r="V88" t="str">
        <f t="shared" ref="V88:Y107" si="48">"Нет"</f>
        <v>Нет</v>
      </c>
      <c r="W88" t="str">
        <f t="shared" si="48"/>
        <v>Нет</v>
      </c>
      <c r="X88" t="str">
        <f t="shared" si="48"/>
        <v>Нет</v>
      </c>
      <c r="Y88" t="str">
        <f t="shared" si="48"/>
        <v>Нет</v>
      </c>
      <c r="Z88" t="str">
        <f>"Да"</f>
        <v>Да</v>
      </c>
      <c r="AA88" t="str">
        <f>""</f>
        <v/>
      </c>
      <c r="AB88" t="str">
        <f t="shared" si="41"/>
        <v>Нет</v>
      </c>
      <c r="AC88" t="str">
        <f>"Т4.5 - МГС-5"</f>
        <v>Т4.5 - МГС-5</v>
      </c>
      <c r="AD88" t="str">
        <f>"10.11.2011"</f>
        <v>10.11.2011</v>
      </c>
      <c r="AE88" t="str">
        <f>"ООО ""Элпек"""</f>
        <v>ООО "Элпек"</v>
      </c>
      <c r="AF88" t="str">
        <f>"[363633] Т4.5"</f>
        <v>[363633] Т4.5</v>
      </c>
      <c r="AG88" t="str">
        <f>"[865210] Т 1.16"</f>
        <v>[865210] Т 1.16</v>
      </c>
      <c r="AH88" t="str">
        <f>"Т4.5"</f>
        <v>Т4.5</v>
      </c>
      <c r="AI88" t="str">
        <f>"МГС-5"</f>
        <v>МГС-5</v>
      </c>
      <c r="AJ88" t="str">
        <f>""</f>
        <v/>
      </c>
      <c r="AK88" t="str">
        <f t="shared" si="43"/>
        <v>Нет</v>
      </c>
      <c r="AL88" t="s">
        <v>25</v>
      </c>
      <c r="AM88" t="str">
        <f>"20000008031661"</f>
        <v>20000008031661</v>
      </c>
    </row>
    <row r="89" spans="1:39" x14ac:dyDescent="0.25">
      <c r="A89">
        <v>907</v>
      </c>
      <c r="B89" t="str">
        <f t="shared" si="39"/>
        <v>Курск</v>
      </c>
      <c r="C89">
        <v>818901</v>
      </c>
      <c r="D89" t="str">
        <f t="shared" si="40"/>
        <v>Оптический кабель</v>
      </c>
      <c r="E89" t="str">
        <f>"[46/1426] М 1.4.6 - ГОК1.4.8.1 Курск, Сумская, 37 б/1 п. 2"</f>
        <v>[46/1426] М 1.4.6 - ГОК1.4.8.1 Курск, Сумская, 37 б/1 п. 2</v>
      </c>
      <c r="F89" t="str">
        <f>"ДПТс-П-16А 2(6) 7кН (Мод:Кр,Нат)(Вол:Кр,Жел,Зел,..,Ор,Фиол)"</f>
        <v>ДПТс-П-16А 2(6) 7кН (Мод:Кр,Нат)(Вол:Кр,Жел,Зел,..,Ор,Фиол)</v>
      </c>
      <c r="G89" t="str">
        <f>""</f>
        <v/>
      </c>
      <c r="H89" t="str">
        <f>"МС 1.4"</f>
        <v>МС 1.4</v>
      </c>
      <c r="I89">
        <v>33</v>
      </c>
      <c r="J89">
        <v>69</v>
      </c>
      <c r="K89">
        <v>36</v>
      </c>
      <c r="L89">
        <v>70</v>
      </c>
      <c r="M89" t="str">
        <f>"Воздушная трасса по стойкам"</f>
        <v>Воздушная трасса по стойкам</v>
      </c>
      <c r="N89" t="str">
        <f t="shared" ref="N89:N95" si="49">"18.06.20122"</f>
        <v>18.06.20122</v>
      </c>
      <c r="O89">
        <v>10</v>
      </c>
      <c r="P89">
        <v>10</v>
      </c>
      <c r="Q89" t="str">
        <f>""</f>
        <v/>
      </c>
      <c r="R89" t="str">
        <f>"Курск, Сумская, 37 б/1"</f>
        <v>Курск, Сумская, 37 б/1</v>
      </c>
      <c r="S89" t="str">
        <f>""</f>
        <v/>
      </c>
      <c r="T89" t="str">
        <f>"46/1426"</f>
        <v>46/1426</v>
      </c>
      <c r="U89" t="str">
        <f t="shared" ref="U89:U120" si="50">"Магистральная ВОЛС"</f>
        <v>Магистральная ВОЛС</v>
      </c>
      <c r="V89" t="str">
        <f t="shared" si="48"/>
        <v>Нет</v>
      </c>
      <c r="W89" t="str">
        <f t="shared" si="48"/>
        <v>Нет</v>
      </c>
      <c r="X89" t="str">
        <f t="shared" si="48"/>
        <v>Нет</v>
      </c>
      <c r="Y89" t="str">
        <f t="shared" si="48"/>
        <v>Нет</v>
      </c>
      <c r="Z89" t="str">
        <f t="shared" ref="Z89:Z120" si="51">"Нет"</f>
        <v>Нет</v>
      </c>
      <c r="AA89" t="str">
        <f>""</f>
        <v/>
      </c>
      <c r="AB89" t="str">
        <f t="shared" si="41"/>
        <v>Нет</v>
      </c>
      <c r="AC89" t="str">
        <f>"М 1.4.6 - ППК 1.4.8"</f>
        <v>М 1.4.6 - ППК 1.4.8</v>
      </c>
      <c r="AD89" t="str">
        <f>"02.02.2012"</f>
        <v>02.02.2012</v>
      </c>
      <c r="AE89" t="str">
        <f>"ООО ""Спецстроймонтаж-36"""</f>
        <v>ООО "Спецстроймонтаж-36"</v>
      </c>
      <c r="AF89" t="str">
        <f>"[367122] М 1.4.6"</f>
        <v>[367122] М 1.4.6</v>
      </c>
      <c r="AG89" t="str">
        <f>"[367085] ГОК1.4.8.1 Курск, Сумская, 37 б/1 п. 2"</f>
        <v>[367085] ГОК1.4.8.1 Курск, Сумская, 37 б/1 п. 2</v>
      </c>
      <c r="AH89" t="str">
        <f>"М 1.4.6"</f>
        <v>М 1.4.6</v>
      </c>
      <c r="AI89" t="str">
        <f>"ППК 1.4.8"</f>
        <v>ППК 1.4.8</v>
      </c>
      <c r="AJ89" t="str">
        <f>""</f>
        <v/>
      </c>
      <c r="AK89" t="str">
        <f t="shared" si="43"/>
        <v>Нет</v>
      </c>
      <c r="AL89" t="str">
        <f>"51.711123 36.143324, 51.711398 36.143491"</f>
        <v>51.711123 36.143324, 51.711398 36.143491</v>
      </c>
      <c r="AM89" t="str">
        <f>"20000008030135"</f>
        <v>20000008030135</v>
      </c>
    </row>
    <row r="90" spans="1:39" x14ac:dyDescent="0.25">
      <c r="A90">
        <v>907</v>
      </c>
      <c r="B90" t="str">
        <f t="shared" si="39"/>
        <v>Курск</v>
      </c>
      <c r="C90">
        <v>819040</v>
      </c>
      <c r="D90" t="str">
        <f t="shared" si="40"/>
        <v>Оптический кабель</v>
      </c>
      <c r="E90" t="str">
        <f>"[46/1428] М 1.4.5 - ГОК1.4.7.1 Курск, Сумская, 42 а п. 2"</f>
        <v>[46/1428] М 1.4.5 - ГОК1.4.7.1 Курск, Сумская, 42 а п. 2</v>
      </c>
      <c r="F90" t="str">
        <f>"ДПТс-П-16А 2(6) 7кН (Мод:Кр,Нат)(Вол:Кр,Жел,Зел,..,Ор,Фиол)"</f>
        <v>ДПТс-П-16А 2(6) 7кН (Мод:Кр,Нат)(Вол:Кр,Жел,Зел,..,Ор,Фиол)</v>
      </c>
      <c r="G90" t="str">
        <f>""</f>
        <v/>
      </c>
      <c r="H90" t="str">
        <f>"МС 1.4"</f>
        <v>МС 1.4</v>
      </c>
      <c r="I90">
        <v>21</v>
      </c>
      <c r="J90">
        <v>61</v>
      </c>
      <c r="K90">
        <v>39</v>
      </c>
      <c r="L90">
        <v>62</v>
      </c>
      <c r="M90" t="str">
        <f>"Воздушная трасса по стойкам"</f>
        <v>Воздушная трасса по стойкам</v>
      </c>
      <c r="N90" t="str">
        <f t="shared" si="49"/>
        <v>18.06.20122</v>
      </c>
      <c r="O90">
        <v>10</v>
      </c>
      <c r="P90">
        <v>10</v>
      </c>
      <c r="Q90" t="str">
        <f>""</f>
        <v/>
      </c>
      <c r="R90" t="str">
        <f>"Курск, Сумская, 42 а"</f>
        <v>Курск, Сумская, 42 а</v>
      </c>
      <c r="S90" t="str">
        <f>""</f>
        <v/>
      </c>
      <c r="T90" t="str">
        <f>"46/1428"</f>
        <v>46/1428</v>
      </c>
      <c r="U90" t="str">
        <f t="shared" si="50"/>
        <v>Магистральная ВОЛС</v>
      </c>
      <c r="V90" t="str">
        <f t="shared" si="48"/>
        <v>Нет</v>
      </c>
      <c r="W90" t="str">
        <f t="shared" si="48"/>
        <v>Нет</v>
      </c>
      <c r="X90" t="str">
        <f t="shared" si="48"/>
        <v>Нет</v>
      </c>
      <c r="Y90" t="str">
        <f t="shared" si="48"/>
        <v>Нет</v>
      </c>
      <c r="Z90" t="str">
        <f t="shared" si="51"/>
        <v>Нет</v>
      </c>
      <c r="AA90" t="str">
        <f>""</f>
        <v/>
      </c>
      <c r="AB90" t="str">
        <f t="shared" si="41"/>
        <v>Нет</v>
      </c>
      <c r="AC90" t="str">
        <f>"М 1.4.5 - ППК 1.4.7"</f>
        <v>М 1.4.5 - ППК 1.4.7</v>
      </c>
      <c r="AD90" t="str">
        <f>"02.02.2012"</f>
        <v>02.02.2012</v>
      </c>
      <c r="AE90" t="str">
        <f>"Спецстроймонтаж - 36"</f>
        <v>Спецстроймонтаж - 36</v>
      </c>
      <c r="AF90" t="str">
        <f>"[367118] М 1.4.5"</f>
        <v>[367118] М 1.4.5</v>
      </c>
      <c r="AG90" t="str">
        <f>"[367072] ГОК1.4.7.1 Курск, Сумская, 42 а п. 2"</f>
        <v>[367072] ГОК1.4.7.1 Курск, Сумская, 42 а п. 2</v>
      </c>
      <c r="AH90" t="str">
        <f>"М 1.4.5"</f>
        <v>М 1.4.5</v>
      </c>
      <c r="AI90" t="str">
        <f>"ППК 1.4.7"</f>
        <v>ППК 1.4.7</v>
      </c>
      <c r="AJ90" t="str">
        <f>""</f>
        <v/>
      </c>
      <c r="AK90" t="str">
        <f t="shared" si="43"/>
        <v>Нет</v>
      </c>
      <c r="AL90" t="str">
        <f>"51.710172 36.142294, 51.710365 36.142316"</f>
        <v>51.710172 36.142294, 51.710365 36.142316</v>
      </c>
      <c r="AM90" t="str">
        <f>"20000008043847"</f>
        <v>20000008043847</v>
      </c>
    </row>
    <row r="91" spans="1:39" x14ac:dyDescent="0.25">
      <c r="A91">
        <v>907</v>
      </c>
      <c r="B91" t="str">
        <f t="shared" si="39"/>
        <v>Курск</v>
      </c>
      <c r="C91">
        <v>819218</v>
      </c>
      <c r="D91" t="str">
        <f t="shared" si="40"/>
        <v>Оптический кабель</v>
      </c>
      <c r="E91" t="str">
        <f>"[46/1431] М 1.4.3 - ГОК1.4.4.1 Курск, Ольшанского, 26 а п. 2"</f>
        <v>[46/1431] М 1.4.3 - ГОК1.4.4.1 Курск, Ольшанского, 26 а п. 2</v>
      </c>
      <c r="F91" t="str">
        <f>"ДПТс-П-16А 2(6) 7кН (Мод:Кр,Нат)(Вол:Кр,Жел,Зел,..,Ор,Фиол)"</f>
        <v>ДПТс-П-16А 2(6) 7кН (Мод:Кр,Нат)(Вол:Кр,Жел,Зел,..,Ор,Фиол)</v>
      </c>
      <c r="G91" t="str">
        <f>""</f>
        <v/>
      </c>
      <c r="H91" t="str">
        <f>"МС 1.4"</f>
        <v>МС 1.4</v>
      </c>
      <c r="I91">
        <v>296</v>
      </c>
      <c r="J91">
        <v>351</v>
      </c>
      <c r="K91">
        <v>52</v>
      </c>
      <c r="L91">
        <v>354</v>
      </c>
      <c r="M91" t="str">
        <f>"Воздушная трасса по стойкам"</f>
        <v>Воздушная трасса по стойкам</v>
      </c>
      <c r="N91" t="str">
        <f t="shared" si="49"/>
        <v>18.06.20122</v>
      </c>
      <c r="O91">
        <v>10</v>
      </c>
      <c r="P91">
        <v>10</v>
      </c>
      <c r="Q91" t="str">
        <f>""</f>
        <v/>
      </c>
      <c r="R91" t="str">
        <f>"Курск, Ольшанского, 26 а"</f>
        <v>Курск, Ольшанского, 26 а</v>
      </c>
      <c r="S91" t="str">
        <f>""</f>
        <v/>
      </c>
      <c r="T91" t="str">
        <f>"46/1431"</f>
        <v>46/1431</v>
      </c>
      <c r="U91" t="str">
        <f t="shared" si="50"/>
        <v>Магистральная ВОЛС</v>
      </c>
      <c r="V91" t="str">
        <f t="shared" si="48"/>
        <v>Нет</v>
      </c>
      <c r="W91" t="str">
        <f t="shared" si="48"/>
        <v>Нет</v>
      </c>
      <c r="X91" t="str">
        <f t="shared" si="48"/>
        <v>Нет</v>
      </c>
      <c r="Y91" t="str">
        <f t="shared" si="48"/>
        <v>Нет</v>
      </c>
      <c r="Z91" t="str">
        <f t="shared" si="51"/>
        <v>Нет</v>
      </c>
      <c r="AA91" t="str">
        <f>""</f>
        <v/>
      </c>
      <c r="AB91" t="str">
        <f t="shared" si="41"/>
        <v>Нет</v>
      </c>
      <c r="AC91" t="str">
        <f>"М 1.4.3 - ППК 1.4.4"</f>
        <v>М 1.4.3 - ППК 1.4.4</v>
      </c>
      <c r="AD91" t="str">
        <f>"19.05.2012"</f>
        <v>19.05.2012</v>
      </c>
      <c r="AE91" t="str">
        <f>"Спецстроймонтаж-36"</f>
        <v>Спецстроймонтаж-36</v>
      </c>
      <c r="AF91" t="str">
        <f>"[367114] М 1.4.3"</f>
        <v>[367114] М 1.4.3</v>
      </c>
      <c r="AG91" t="str">
        <f>"[367059] ГОК1.4.4.1 Курск, Ольшанского, 26 а п. 2"</f>
        <v>[367059] ГОК1.4.4.1 Курск, Ольшанского, 26 а п. 2</v>
      </c>
      <c r="AH91" t="str">
        <f>"М 1.4.3"</f>
        <v>М 1.4.3</v>
      </c>
      <c r="AI91" t="str">
        <f>"ППК 1.4.4"</f>
        <v>ППК 1.4.4</v>
      </c>
      <c r="AJ91" t="str">
        <f>""</f>
        <v/>
      </c>
      <c r="AK91" t="str">
        <f t="shared" si="43"/>
        <v>Нет</v>
      </c>
      <c r="AL91" t="str">
        <f>"51.707363 36.142284, 51.7071 36.141651, 51.706582 36.141297, 51.706529 36.1401, 51.706113 36.139827, 51.705887 36.139945, 51.705797 36.140234"</f>
        <v>51.707363 36.142284, 51.7071 36.141651, 51.706582 36.141297, 51.706529 36.1401, 51.706113 36.139827, 51.705887 36.139945, 51.705797 36.140234</v>
      </c>
      <c r="AM91" t="str">
        <f>"20000008047924"</f>
        <v>20000008047924</v>
      </c>
    </row>
    <row r="92" spans="1:39" x14ac:dyDescent="0.25">
      <c r="A92">
        <v>907</v>
      </c>
      <c r="B92" t="str">
        <f t="shared" si="39"/>
        <v>Курск</v>
      </c>
      <c r="C92">
        <v>819333</v>
      </c>
      <c r="D92" t="str">
        <f t="shared" si="40"/>
        <v>Оптический кабель</v>
      </c>
      <c r="E92" t="str">
        <f>"[46/1433] МОК3.4.1 Курск, Карла Маркса, 62 /21 п. 1 - М 3.4.1"</f>
        <v>[46/1433] МОК3.4.1 Курск, Карла Маркса, 62 /21 п. 1 - М 3.4.1</v>
      </c>
      <c r="F92" t="str">
        <f>"ДПТа-П-128А 8(9) 7кН (Вол:Кр,Жел,Зел,...,Лайм,Нат)"</f>
        <v>ДПТа-П-128А 8(9) 7кН (Вол:Кр,Жел,Зел,...,Лайм,Нат)</v>
      </c>
      <c r="G92" t="str">
        <f>""</f>
        <v/>
      </c>
      <c r="H92" t="str">
        <f>"МС 3.4"</f>
        <v>МС 3.4</v>
      </c>
      <c r="I92">
        <v>691</v>
      </c>
      <c r="J92">
        <v>840</v>
      </c>
      <c r="K92">
        <v>140</v>
      </c>
      <c r="L92">
        <v>842</v>
      </c>
      <c r="M92" t="str">
        <f>"Опоры"</f>
        <v>Опоры</v>
      </c>
      <c r="N92" t="str">
        <f t="shared" si="49"/>
        <v>18.06.20122</v>
      </c>
      <c r="O92">
        <v>128</v>
      </c>
      <c r="P92">
        <v>128</v>
      </c>
      <c r="Q92" t="str">
        <f>"Курск, Карла Маркса, 62 /21"</f>
        <v>Курск, Карла Маркса, 62 /21</v>
      </c>
      <c r="R92" t="str">
        <f>""</f>
        <v/>
      </c>
      <c r="S92" t="str">
        <f>""</f>
        <v/>
      </c>
      <c r="T92" t="str">
        <f>"46/1433"</f>
        <v>46/1433</v>
      </c>
      <c r="U92" t="str">
        <f t="shared" si="50"/>
        <v>Магистральная ВОЛС</v>
      </c>
      <c r="V92" t="str">
        <f t="shared" si="48"/>
        <v>Нет</v>
      </c>
      <c r="W92" t="str">
        <f t="shared" si="48"/>
        <v>Нет</v>
      </c>
      <c r="X92" t="str">
        <f t="shared" si="48"/>
        <v>Нет</v>
      </c>
      <c r="Y92" t="str">
        <f t="shared" si="48"/>
        <v>Нет</v>
      </c>
      <c r="Z92" t="str">
        <f t="shared" si="51"/>
        <v>Нет</v>
      </c>
      <c r="AA92" t="str">
        <f>""</f>
        <v/>
      </c>
      <c r="AB92" t="str">
        <f t="shared" si="41"/>
        <v>Нет</v>
      </c>
      <c r="AC92" t="str">
        <f>"КРС МС-3.4 - М 3.4.1"</f>
        <v>КРС МС-3.4 - М 3.4.1</v>
      </c>
      <c r="AD92" t="str">
        <f>"21.04.2012"</f>
        <v>21.04.2012</v>
      </c>
      <c r="AE92" t="str">
        <f>""</f>
        <v/>
      </c>
      <c r="AF92" t="str">
        <f>"[360899] МОК3.4.1 Курск, Карла Маркса, 62 /21 п. 1"</f>
        <v>[360899] МОК3.4.1 Курск, Карла Маркса, 62 /21 п. 1</v>
      </c>
      <c r="AG92" t="str">
        <f>"[367192] М 3.4.1"</f>
        <v>[367192] М 3.4.1</v>
      </c>
      <c r="AH92" t="str">
        <f>"КРС МС-3.4"</f>
        <v>КРС МС-3.4</v>
      </c>
      <c r="AI92" t="str">
        <f>"М 3.4.1"</f>
        <v>М 3.4.1</v>
      </c>
      <c r="AJ92" t="str">
        <f>""</f>
        <v/>
      </c>
      <c r="AK92" t="str">
        <f t="shared" si="43"/>
        <v>Нет</v>
      </c>
      <c r="AL92" t="s">
        <v>26</v>
      </c>
      <c r="AM92" t="str">
        <f>"20000008017074"</f>
        <v>20000008017074</v>
      </c>
    </row>
    <row r="93" spans="1:39" x14ac:dyDescent="0.25">
      <c r="A93">
        <v>907</v>
      </c>
      <c r="B93" t="str">
        <f t="shared" si="39"/>
        <v>Курск</v>
      </c>
      <c r="C93">
        <v>819339</v>
      </c>
      <c r="D93" t="str">
        <f t="shared" si="40"/>
        <v>Оптический кабель</v>
      </c>
      <c r="E93" t="str">
        <f>"[46/1435] М 1.4.2 - ГОК1.4.2.1 Курск, Ольшанского, 16 /11 п. 1"</f>
        <v>[46/1435] М 1.4.2 - ГОК1.4.2.1 Курск, Ольшанского, 16 /11 п. 1</v>
      </c>
      <c r="F93" t="str">
        <f>"ДПТс-П-16А 2(6) 7кН (Мод:Кр,Нат)(Вол:Кр,Жел,Зел,..,Ор,Фиол)"</f>
        <v>ДПТс-П-16А 2(6) 7кН (Мод:Кр,Нат)(Вол:Кр,Жел,Зел,..,Ор,Фиол)</v>
      </c>
      <c r="G93" t="str">
        <f>""</f>
        <v/>
      </c>
      <c r="H93" t="str">
        <f>"МС 1.4"</f>
        <v>МС 1.4</v>
      </c>
      <c r="I93">
        <v>17</v>
      </c>
      <c r="J93">
        <v>69</v>
      </c>
      <c r="K93">
        <v>51</v>
      </c>
      <c r="L93">
        <v>70</v>
      </c>
      <c r="M93" t="str">
        <f>"Воздушная трасса по стойкам"</f>
        <v>Воздушная трасса по стойкам</v>
      </c>
      <c r="N93" t="str">
        <f t="shared" si="49"/>
        <v>18.06.20122</v>
      </c>
      <c r="O93">
        <v>10</v>
      </c>
      <c r="P93">
        <v>10</v>
      </c>
      <c r="Q93" t="str">
        <f>""</f>
        <v/>
      </c>
      <c r="R93" t="str">
        <f>"Курск, Ольшанского, 16 /11"</f>
        <v>Курск, Ольшанского, 16 /11</v>
      </c>
      <c r="S93" t="str">
        <f>""</f>
        <v/>
      </c>
      <c r="T93" t="str">
        <f>"46/1435"</f>
        <v>46/1435</v>
      </c>
      <c r="U93" t="str">
        <f t="shared" si="50"/>
        <v>Магистральная ВОЛС</v>
      </c>
      <c r="V93" t="str">
        <f t="shared" si="48"/>
        <v>Нет</v>
      </c>
      <c r="W93" t="str">
        <f t="shared" si="48"/>
        <v>Нет</v>
      </c>
      <c r="X93" t="str">
        <f t="shared" si="48"/>
        <v>Нет</v>
      </c>
      <c r="Y93" t="str">
        <f t="shared" si="48"/>
        <v>Нет</v>
      </c>
      <c r="Z93" t="str">
        <f t="shared" si="51"/>
        <v>Нет</v>
      </c>
      <c r="AA93" t="str">
        <f>""</f>
        <v/>
      </c>
      <c r="AB93" t="str">
        <f t="shared" si="41"/>
        <v>Нет</v>
      </c>
      <c r="AC93" t="str">
        <f>"М 1.4.2 - ППК 1.4.2"</f>
        <v>М 1.4.2 - ППК 1.4.2</v>
      </c>
      <c r="AD93" t="str">
        <f>"02.02.2012"</f>
        <v>02.02.2012</v>
      </c>
      <c r="AE93" t="str">
        <f>"Спецстроймонтаж - 36"</f>
        <v>Спецстроймонтаж - 36</v>
      </c>
      <c r="AF93" t="str">
        <f>"[367110] М 1.4.2"</f>
        <v>[367110] М 1.4.2</v>
      </c>
      <c r="AG93" t="str">
        <f>"[367046] ГОК1.4.2.1 Курск, Ольшанского, 16 /11 п. 1"</f>
        <v>[367046] ГОК1.4.2.1 Курск, Ольшанского, 16 /11 п. 1</v>
      </c>
      <c r="AH93" t="str">
        <f>"М 1.4.2"</f>
        <v>М 1.4.2</v>
      </c>
      <c r="AI93" t="str">
        <f>"ППК 1.4.2"</f>
        <v>ППК 1.4.2</v>
      </c>
      <c r="AJ93" t="str">
        <f>""</f>
        <v/>
      </c>
      <c r="AK93" t="str">
        <f t="shared" si="43"/>
        <v>Нет</v>
      </c>
      <c r="AL93" t="str">
        <f>"51.706382 36.144467, 51.706239 36.144365"</f>
        <v>51.706382 36.144467, 51.706239 36.144365</v>
      </c>
      <c r="AM93" t="str">
        <f>"20000008039141"</f>
        <v>20000008039141</v>
      </c>
    </row>
    <row r="94" spans="1:39" x14ac:dyDescent="0.25">
      <c r="A94">
        <v>907</v>
      </c>
      <c r="B94" t="str">
        <f t="shared" si="39"/>
        <v>Курск</v>
      </c>
      <c r="C94">
        <v>819493</v>
      </c>
      <c r="D94" t="str">
        <f t="shared" si="40"/>
        <v>Оптический кабель</v>
      </c>
      <c r="E94" t="str">
        <f>"[46/1445] М 3.4.8 - ГОК3.4.6.1 Курск, Кати Зеленко, 6 г п. 1"</f>
        <v>[46/1445] М 3.4.8 - ГОК3.4.6.1 Курск, Кати Зеленко, 6 г п. 1</v>
      </c>
      <c r="F94" t="str">
        <f>"ДПТс-П-16А 2(6) 7кН (Мод:Кр,Нат)(Вол:Кр,Жел,Зел,..,Ор,Фиол)"</f>
        <v>ДПТс-П-16А 2(6) 7кН (Мод:Кр,Нат)(Вол:Кр,Жел,Зел,..,Ор,Фиол)</v>
      </c>
      <c r="G94" t="str">
        <f>""</f>
        <v/>
      </c>
      <c r="H94" t="str">
        <f>"МС 3.4"</f>
        <v>МС 3.4</v>
      </c>
      <c r="I94">
        <v>21</v>
      </c>
      <c r="J94">
        <v>50</v>
      </c>
      <c r="K94">
        <v>20</v>
      </c>
      <c r="L94">
        <v>50</v>
      </c>
      <c r="M94" t="str">
        <f>"Внутри объектов"</f>
        <v>Внутри объектов</v>
      </c>
      <c r="N94" t="str">
        <f t="shared" si="49"/>
        <v>18.06.20122</v>
      </c>
      <c r="O94">
        <v>10</v>
      </c>
      <c r="P94">
        <v>10</v>
      </c>
      <c r="Q94" t="str">
        <f>""</f>
        <v/>
      </c>
      <c r="R94" t="str">
        <f>"Курск, Кати Зеленко, 6 г"</f>
        <v>Курск, Кати Зеленко, 6 г</v>
      </c>
      <c r="S94" t="str">
        <f>""</f>
        <v/>
      </c>
      <c r="T94" t="str">
        <f>"46/1445"</f>
        <v>46/1445</v>
      </c>
      <c r="U94" t="str">
        <f t="shared" si="50"/>
        <v>Магистральная ВОЛС</v>
      </c>
      <c r="V94" t="str">
        <f t="shared" si="48"/>
        <v>Нет</v>
      </c>
      <c r="W94" t="str">
        <f t="shared" si="48"/>
        <v>Нет</v>
      </c>
      <c r="X94" t="str">
        <f t="shared" si="48"/>
        <v>Нет</v>
      </c>
      <c r="Y94" t="str">
        <f t="shared" si="48"/>
        <v>Нет</v>
      </c>
      <c r="Z94" t="str">
        <f t="shared" si="51"/>
        <v>Нет</v>
      </c>
      <c r="AA94" t="str">
        <f>""</f>
        <v/>
      </c>
      <c r="AB94" t="str">
        <f t="shared" si="41"/>
        <v>Нет</v>
      </c>
      <c r="AC94" t="str">
        <f>"М 3.4.8 - ППК 3.4.6"</f>
        <v>М 3.4.8 - ППК 3.4.6</v>
      </c>
      <c r="AD94" t="str">
        <f>"02.09.2011"</f>
        <v>02.09.2011</v>
      </c>
      <c r="AE94" t="str">
        <f>""</f>
        <v/>
      </c>
      <c r="AF94" t="str">
        <f>"[367164] М 3.4.8"</f>
        <v>[367164] М 3.4.8</v>
      </c>
      <c r="AG94" t="str">
        <f>"[367126] ГОК3.4.6.1 Курск, Кати Зеленко, 6 г п. 1"</f>
        <v>[367126] ГОК3.4.6.1 Курск, Кати Зеленко, 6 г п. 1</v>
      </c>
      <c r="AH94" t="str">
        <f>"М 3.4.8"</f>
        <v>М 3.4.8</v>
      </c>
      <c r="AI94" t="str">
        <f>"ППК 3.4.6"</f>
        <v>ППК 3.4.6</v>
      </c>
      <c r="AJ94" t="str">
        <f>""</f>
        <v/>
      </c>
      <c r="AK94" t="str">
        <f t="shared" si="43"/>
        <v>Нет</v>
      </c>
      <c r="AL94" t="str">
        <f>"51.740051 36.195281, 51.739859 36.195306"</f>
        <v>51.740051 36.195281, 51.739859 36.195306</v>
      </c>
      <c r="AM94" t="str">
        <f>"20000008047933"</f>
        <v>20000008047933</v>
      </c>
    </row>
    <row r="95" spans="1:39" x14ac:dyDescent="0.25">
      <c r="A95">
        <v>907</v>
      </c>
      <c r="B95" t="str">
        <f t="shared" si="39"/>
        <v>Курск</v>
      </c>
      <c r="C95">
        <v>819496</v>
      </c>
      <c r="D95" t="str">
        <f t="shared" si="40"/>
        <v>Оптический кабель</v>
      </c>
      <c r="E95" t="str">
        <f>"[46/1446] М 1.4.7 - ГОК1.4.3.1 Курск, Дейнеки, 19  п. 1"</f>
        <v>[46/1446] М 1.4.7 - ГОК1.4.3.1 Курск, Дейнеки, 19  п. 1</v>
      </c>
      <c r="F95" t="str">
        <f>"ДПТс-П-16А 2(6) 7кН (Мод:Кр,Нат)(Вол:Кр,Жел,Зел,..,Ор,Фиол)"</f>
        <v>ДПТс-П-16А 2(6) 7кН (Мод:Кр,Нат)(Вол:Кр,Жел,Зел,..,Ор,Фиол)</v>
      </c>
      <c r="G95" t="str">
        <f>""</f>
        <v/>
      </c>
      <c r="H95" t="str">
        <f>"МС 1.4"</f>
        <v>МС 1.4</v>
      </c>
      <c r="I95">
        <v>285</v>
      </c>
      <c r="J95">
        <v>330</v>
      </c>
      <c r="K95">
        <v>46</v>
      </c>
      <c r="L95">
        <v>333</v>
      </c>
      <c r="M95" t="str">
        <f>"Опоры"</f>
        <v>Опоры</v>
      </c>
      <c r="N95" t="str">
        <f t="shared" si="49"/>
        <v>18.06.20122</v>
      </c>
      <c r="O95">
        <v>16</v>
      </c>
      <c r="P95">
        <v>16</v>
      </c>
      <c r="Q95" t="str">
        <f>""</f>
        <v/>
      </c>
      <c r="R95" t="str">
        <f>"Курск, Дейнеки, 19"</f>
        <v>Курск, Дейнеки, 19</v>
      </c>
      <c r="S95" t="str">
        <f>""</f>
        <v/>
      </c>
      <c r="T95" t="str">
        <f>"46/1446"</f>
        <v>46/1446</v>
      </c>
      <c r="U95" t="str">
        <f t="shared" si="50"/>
        <v>Магистральная ВОЛС</v>
      </c>
      <c r="V95" t="str">
        <f t="shared" si="48"/>
        <v>Нет</v>
      </c>
      <c r="W95" t="str">
        <f t="shared" si="48"/>
        <v>Нет</v>
      </c>
      <c r="X95" t="str">
        <f t="shared" si="48"/>
        <v>Нет</v>
      </c>
      <c r="Y95" t="str">
        <f t="shared" si="48"/>
        <v>Нет</v>
      </c>
      <c r="Z95" t="str">
        <f t="shared" si="51"/>
        <v>Нет</v>
      </c>
      <c r="AA95" t="str">
        <f>""</f>
        <v/>
      </c>
      <c r="AB95" t="str">
        <f t="shared" si="41"/>
        <v>Нет</v>
      </c>
      <c r="AC95" t="str">
        <f>"М 1.4.7 - ППК 1.4.3"</f>
        <v>М 1.4.7 - ППК 1.4.3</v>
      </c>
      <c r="AD95" t="str">
        <f>"02.02.2012"</f>
        <v>02.02.2012</v>
      </c>
      <c r="AE95" t="str">
        <f>"ООО ""Спецстроймонтаж - 36"""</f>
        <v>ООО "Спецстроймонтаж - 36"</v>
      </c>
      <c r="AF95" t="str">
        <f>"[367102] М 1.4.7"</f>
        <v>[367102] М 1.4.7</v>
      </c>
      <c r="AG95" t="str">
        <f>"[367033] ГОК1.4.3.1 Курск, Дейнеки, 19  п. 1"</f>
        <v>[367033] ГОК1.4.3.1 Курск, Дейнеки, 19  п. 1</v>
      </c>
      <c r="AH95" t="str">
        <f>"М 1.4.7"</f>
        <v>М 1.4.7</v>
      </c>
      <c r="AI95" t="str">
        <f>"ППК 1.4.3"</f>
        <v>ППК 1.4.3</v>
      </c>
      <c r="AJ95" t="str">
        <f>""</f>
        <v/>
      </c>
      <c r="AK95" t="str">
        <f t="shared" si="43"/>
        <v>Нет</v>
      </c>
      <c r="AL95" t="str">
        <f>"51.705727 36.144747, 51.705734 36.144516, 51.705536 36.144387, 51.705335 36.144247, 51.705129 36.144105, 51.704921 36.143965, 51.704715 36.143827, 51.70451 36.143691, 51.704296 36.143564, 51.704087 36.143429, 51.703868 36.143277, 51.704032 36.142434"</f>
        <v>51.705727 36.144747, 51.705734 36.144516, 51.705536 36.144387, 51.705335 36.144247, 51.705129 36.144105, 51.704921 36.143965, 51.704715 36.143827, 51.70451 36.143691, 51.704296 36.143564, 51.704087 36.143429, 51.703868 36.143277, 51.704032 36.142434</v>
      </c>
      <c r="AM95" t="str">
        <f>"20000008043848"</f>
        <v>20000008043848</v>
      </c>
    </row>
    <row r="96" spans="1:39" x14ac:dyDescent="0.25">
      <c r="A96">
        <v>907</v>
      </c>
      <c r="B96" t="str">
        <f t="shared" si="39"/>
        <v>Курск</v>
      </c>
      <c r="C96">
        <v>820843</v>
      </c>
      <c r="D96" t="str">
        <f t="shared" si="40"/>
        <v>Оптический кабель</v>
      </c>
      <c r="E96" t="str">
        <f>"[46/1452] МОК5.1.1 Курск, Гагарина, 26 а п. 1 - М 5.1.1"</f>
        <v>[46/1452] МОК5.1.1 Курск, Гагарина, 26 а п. 1 - М 5.1.1</v>
      </c>
      <c r="F96" t="str">
        <f>"ДПТа-П-64А 6(6) 7кН (Кр,Жел,Зел,..,8-Фиол,9-Бел,..,Бир,Роз)"</f>
        <v>ДПТа-П-64А 6(6) 7кН (Кр,Жел,Зел,..,8-Фиол,9-Бел,..,Бир,Роз)</v>
      </c>
      <c r="G96" t="str">
        <f>""</f>
        <v/>
      </c>
      <c r="H96" t="str">
        <f t="shared" ref="H96:H106" si="52">"МС 5.1"</f>
        <v>МС 5.1</v>
      </c>
      <c r="I96">
        <v>71</v>
      </c>
      <c r="J96">
        <v>120</v>
      </c>
      <c r="K96">
        <v>49</v>
      </c>
      <c r="L96">
        <v>122</v>
      </c>
      <c r="M96" t="str">
        <f t="shared" ref="M96:M102" si="53">"Воздушная трасса по стойкам"</f>
        <v>Воздушная трасса по стойкам</v>
      </c>
      <c r="N96" t="str">
        <f t="shared" ref="N96:N102" si="54">"26.06.20122"</f>
        <v>26.06.20122</v>
      </c>
      <c r="O96">
        <v>64</v>
      </c>
      <c r="P96">
        <v>64</v>
      </c>
      <c r="Q96" t="str">
        <f>"Курск, Гагарина, 26 а"</f>
        <v>Курск, Гагарина, 26 а</v>
      </c>
      <c r="R96" t="str">
        <f>""</f>
        <v/>
      </c>
      <c r="S96" t="str">
        <f>""</f>
        <v/>
      </c>
      <c r="T96" t="str">
        <f>"46/1452"</f>
        <v>46/1452</v>
      </c>
      <c r="U96" t="str">
        <f t="shared" si="50"/>
        <v>Магистральная ВОЛС</v>
      </c>
      <c r="V96" t="str">
        <f t="shared" si="48"/>
        <v>Нет</v>
      </c>
      <c r="W96" t="str">
        <f t="shared" si="48"/>
        <v>Нет</v>
      </c>
      <c r="X96" t="str">
        <f t="shared" si="48"/>
        <v>Нет</v>
      </c>
      <c r="Y96" t="str">
        <f t="shared" si="48"/>
        <v>Нет</v>
      </c>
      <c r="Z96" t="str">
        <f t="shared" si="51"/>
        <v>Нет</v>
      </c>
      <c r="AA96" t="str">
        <f>""</f>
        <v/>
      </c>
      <c r="AB96" t="str">
        <f t="shared" si="41"/>
        <v>Нет</v>
      </c>
      <c r="AC96" t="str">
        <f>"КРС МС 5.1 - М 5.1.1"</f>
        <v>КРС МС 5.1 - М 5.1.1</v>
      </c>
      <c r="AD96" t="str">
        <f>"02.02.2012"</f>
        <v>02.02.2012</v>
      </c>
      <c r="AE96" t="str">
        <f t="shared" ref="AE96:AE106" si="55">"ООО ""Плюс Телеком"""</f>
        <v>ООО "Плюс Телеком"</v>
      </c>
      <c r="AF96" t="str">
        <f>"[365833] МОК5.1.1 Курск, Гагарина, 26 а п. 1"</f>
        <v>[365833] МОК5.1.1 Курск, Гагарина, 26 а п. 1</v>
      </c>
      <c r="AG96" t="str">
        <f>"[371965] М 5.1.1"</f>
        <v>[371965] М 5.1.1</v>
      </c>
      <c r="AH96" t="str">
        <f>"КРС МС 5.1"</f>
        <v>КРС МС 5.1</v>
      </c>
      <c r="AI96" t="str">
        <f>"М 5.1.1"</f>
        <v>М 5.1.1</v>
      </c>
      <c r="AJ96" t="str">
        <f>""</f>
        <v/>
      </c>
      <c r="AK96" t="str">
        <f t="shared" si="43"/>
        <v>Нет</v>
      </c>
      <c r="AL96" t="str">
        <f>"51.669578 36.131904, 51.669561 36.132059, 51.669435 36.132655, 51.669305 36.132767"</f>
        <v>51.669578 36.131904, 51.669561 36.132059, 51.669435 36.132655, 51.669305 36.132767</v>
      </c>
      <c r="AM96" t="str">
        <f>"20000008040065"</f>
        <v>20000008040065</v>
      </c>
    </row>
    <row r="97" spans="1:39" x14ac:dyDescent="0.25">
      <c r="A97">
        <v>907</v>
      </c>
      <c r="B97" t="str">
        <f t="shared" si="39"/>
        <v>Курск</v>
      </c>
      <c r="C97">
        <v>820933</v>
      </c>
      <c r="D97" t="str">
        <f t="shared" si="40"/>
        <v>Оптический кабель</v>
      </c>
      <c r="E97" t="str">
        <f>"[46/1453] М 5.1.1 - ГОК5.1.1.1 Курск, Гагарина, 26 а п. 1"</f>
        <v>[46/1453] М 5.1.1 - ГОК5.1.1.1 Курск, Гагарина, 26 а п. 1</v>
      </c>
      <c r="F97" t="str">
        <f>"ДПТс-П-16А 2(6) 7кН (Мод:Кр,Нат)(Вол:Кр,Жел,Зел,..,Ор,Фиол)"</f>
        <v>ДПТс-П-16А 2(6) 7кН (Мод:Кр,Нат)(Вол:Кр,Жел,Зел,..,Ор,Фиол)</v>
      </c>
      <c r="G97" t="str">
        <f>""</f>
        <v/>
      </c>
      <c r="H97" t="str">
        <f t="shared" si="52"/>
        <v>МС 5.1</v>
      </c>
      <c r="I97">
        <v>40</v>
      </c>
      <c r="J97">
        <v>70</v>
      </c>
      <c r="K97">
        <v>30</v>
      </c>
      <c r="L97">
        <v>71</v>
      </c>
      <c r="M97" t="str">
        <f t="shared" si="53"/>
        <v>Воздушная трасса по стойкам</v>
      </c>
      <c r="N97" t="str">
        <f t="shared" si="54"/>
        <v>26.06.20122</v>
      </c>
      <c r="O97">
        <v>10</v>
      </c>
      <c r="P97">
        <v>10</v>
      </c>
      <c r="Q97" t="str">
        <f>""</f>
        <v/>
      </c>
      <c r="R97" t="str">
        <f>"Курск, Гагарина, 26 а"</f>
        <v>Курск, Гагарина, 26 а</v>
      </c>
      <c r="S97" t="str">
        <f>""</f>
        <v/>
      </c>
      <c r="T97" t="str">
        <f>"46/1453"</f>
        <v>46/1453</v>
      </c>
      <c r="U97" t="str">
        <f t="shared" si="50"/>
        <v>Магистральная ВОЛС</v>
      </c>
      <c r="V97" t="str">
        <f t="shared" si="48"/>
        <v>Нет</v>
      </c>
      <c r="W97" t="str">
        <f t="shared" si="48"/>
        <v>Нет</v>
      </c>
      <c r="X97" t="str">
        <f t="shared" si="48"/>
        <v>Нет</v>
      </c>
      <c r="Y97" t="str">
        <f t="shared" si="48"/>
        <v>Нет</v>
      </c>
      <c r="Z97" t="str">
        <f t="shared" si="51"/>
        <v>Нет</v>
      </c>
      <c r="AA97" t="str">
        <f>""</f>
        <v/>
      </c>
      <c r="AB97" t="str">
        <f t="shared" si="41"/>
        <v>Нет</v>
      </c>
      <c r="AC97" t="str">
        <f>"М 5.1.1 - ППК 5.1.1"</f>
        <v>М 5.1.1 - ППК 5.1.1</v>
      </c>
      <c r="AD97" t="str">
        <f>"02.02.2012"</f>
        <v>02.02.2012</v>
      </c>
      <c r="AE97" t="str">
        <f t="shared" si="55"/>
        <v>ООО "Плюс Телеком"</v>
      </c>
      <c r="AF97" t="str">
        <f>"[371965] М 5.1.1"</f>
        <v>[371965] М 5.1.1</v>
      </c>
      <c r="AG97" t="str">
        <f>"[371924] ГОК5.1.1.1 Курск, Гагарина, 26 а п. 1"</f>
        <v>[371924] ГОК5.1.1.1 Курск, Гагарина, 26 а п. 1</v>
      </c>
      <c r="AH97" t="str">
        <f>"М 5.1.1"</f>
        <v>М 5.1.1</v>
      </c>
      <c r="AI97" t="str">
        <f>"ППК 5.1.1"</f>
        <v>ППК 5.1.1</v>
      </c>
      <c r="AJ97" t="str">
        <f>""</f>
        <v/>
      </c>
      <c r="AK97" t="str">
        <f t="shared" si="43"/>
        <v>Нет</v>
      </c>
      <c r="AL97" t="str">
        <f>"51.669278 36.132756, 51.669408 36.132563, 51.669451 36.132279"</f>
        <v>51.669278 36.132756, 51.669408 36.132563, 51.669451 36.132279</v>
      </c>
      <c r="AM97" t="str">
        <f>"20000008047927"</f>
        <v>20000008047927</v>
      </c>
    </row>
    <row r="98" spans="1:39" x14ac:dyDescent="0.25">
      <c r="A98">
        <v>907</v>
      </c>
      <c r="B98" t="str">
        <f t="shared" si="39"/>
        <v>Курск</v>
      </c>
      <c r="C98">
        <v>821043</v>
      </c>
      <c r="D98" t="str">
        <f t="shared" si="40"/>
        <v>Оптический кабель</v>
      </c>
      <c r="E98" t="str">
        <f>"[46/1455] М 5.1.2 - ГОК5.1.2.1 Курск, Энергетиков, 9  п. 2"</f>
        <v>[46/1455] М 5.1.2 - ГОК5.1.2.1 Курск, Энергетиков, 9  п. 2</v>
      </c>
      <c r="F98" t="str">
        <f>"ДПТс-П-16А 2(6) 7кН (Мод:Кр,Нат)(Вол:Кр,Жел,Зел,..,Ор,Фиол)"</f>
        <v>ДПТс-П-16А 2(6) 7кН (Мод:Кр,Нат)(Вол:Кр,Жел,Зел,..,Ор,Фиол)</v>
      </c>
      <c r="G98" t="str">
        <f>""</f>
        <v/>
      </c>
      <c r="H98" t="str">
        <f t="shared" si="52"/>
        <v>МС 5.1</v>
      </c>
      <c r="I98">
        <v>30</v>
      </c>
      <c r="J98">
        <v>70</v>
      </c>
      <c r="K98">
        <v>40</v>
      </c>
      <c r="L98">
        <v>71</v>
      </c>
      <c r="M98" t="str">
        <f t="shared" si="53"/>
        <v>Воздушная трасса по стойкам</v>
      </c>
      <c r="N98" t="str">
        <f t="shared" si="54"/>
        <v>26.06.20122</v>
      </c>
      <c r="O98">
        <v>10</v>
      </c>
      <c r="P98">
        <v>10</v>
      </c>
      <c r="Q98" t="str">
        <f>""</f>
        <v/>
      </c>
      <c r="R98" t="str">
        <f>"Курск, Энергетиков, 9"</f>
        <v>Курск, Энергетиков, 9</v>
      </c>
      <c r="S98" t="str">
        <f>""</f>
        <v/>
      </c>
      <c r="T98" t="str">
        <f>"46/1455"</f>
        <v>46/1455</v>
      </c>
      <c r="U98" t="str">
        <f t="shared" si="50"/>
        <v>Магистральная ВОЛС</v>
      </c>
      <c r="V98" t="str">
        <f t="shared" si="48"/>
        <v>Нет</v>
      </c>
      <c r="W98" t="str">
        <f t="shared" si="48"/>
        <v>Нет</v>
      </c>
      <c r="X98" t="str">
        <f t="shared" si="48"/>
        <v>Нет</v>
      </c>
      <c r="Y98" t="str">
        <f t="shared" si="48"/>
        <v>Нет</v>
      </c>
      <c r="Z98" t="str">
        <f t="shared" si="51"/>
        <v>Нет</v>
      </c>
      <c r="AA98" t="str">
        <f>""</f>
        <v/>
      </c>
      <c r="AB98" t="str">
        <f t="shared" si="41"/>
        <v>Нет</v>
      </c>
      <c r="AC98" t="str">
        <f>"М 5.1.2 - ППК 5.1.2"</f>
        <v>М 5.1.2 - ППК 5.1.2</v>
      </c>
      <c r="AD98" t="str">
        <f>"02.02.2012"</f>
        <v>02.02.2012</v>
      </c>
      <c r="AE98" t="str">
        <f t="shared" si="55"/>
        <v>ООО "Плюс Телеком"</v>
      </c>
      <c r="AF98" t="str">
        <f>"[371961] М 5.1.2"</f>
        <v>[371961] М 5.1.2</v>
      </c>
      <c r="AG98" t="str">
        <f>"[371911] ГОК5.1.2.1 Курск, Энергетиков, 9  п. 2"</f>
        <v>[371911] ГОК5.1.2.1 Курск, Энергетиков, 9  п. 2</v>
      </c>
      <c r="AH98" t="str">
        <f>"М 5.1.2"</f>
        <v>М 5.1.2</v>
      </c>
      <c r="AI98" t="str">
        <f>"ППК 5.1.2"</f>
        <v>ППК 5.1.2</v>
      </c>
      <c r="AJ98" t="str">
        <f>""</f>
        <v/>
      </c>
      <c r="AK98" t="str">
        <f t="shared" si="43"/>
        <v>Нет</v>
      </c>
      <c r="AL98" t="str">
        <f>"51.667039 36.132928, 51.666899 36.133298"</f>
        <v>51.667039 36.132928, 51.666899 36.133298</v>
      </c>
      <c r="AM98" t="str">
        <f>"20000008035105"</f>
        <v>20000008035105</v>
      </c>
    </row>
    <row r="99" spans="1:39" x14ac:dyDescent="0.25">
      <c r="A99">
        <v>907</v>
      </c>
      <c r="B99" t="str">
        <f t="shared" si="39"/>
        <v>Курск</v>
      </c>
      <c r="C99">
        <v>821143</v>
      </c>
      <c r="D99" t="str">
        <f t="shared" si="40"/>
        <v>Оптический кабель</v>
      </c>
      <c r="E99" t="str">
        <f>"[46/1457] М 5.1.3 - ГОК5.1.3.1 Курск, Энергетиков, 1 /41 п. 6"</f>
        <v>[46/1457] М 5.1.3 - ГОК5.1.3.1 Курск, Энергетиков, 1 /41 п. 6</v>
      </c>
      <c r="F99" t="str">
        <f>"ДПТс-П-16А 2(6) 7кН (Мод:Кр,Нат)(Вол:Кр,Жел,Зел,..,Ор,Фиол)"</f>
        <v>ДПТс-П-16А 2(6) 7кН (Мод:Кр,Нат)(Вол:Кр,Жел,Зел,..,Ор,Фиол)</v>
      </c>
      <c r="G99" t="str">
        <f>""</f>
        <v/>
      </c>
      <c r="H99" t="str">
        <f t="shared" si="52"/>
        <v>МС 5.1</v>
      </c>
      <c r="I99">
        <v>18</v>
      </c>
      <c r="J99">
        <v>70</v>
      </c>
      <c r="K99">
        <v>51</v>
      </c>
      <c r="L99">
        <v>71</v>
      </c>
      <c r="M99" t="str">
        <f t="shared" si="53"/>
        <v>Воздушная трасса по стойкам</v>
      </c>
      <c r="N99" t="str">
        <f t="shared" si="54"/>
        <v>26.06.20122</v>
      </c>
      <c r="O99">
        <v>10</v>
      </c>
      <c r="P99">
        <v>10</v>
      </c>
      <c r="Q99" t="str">
        <f>""</f>
        <v/>
      </c>
      <c r="R99" t="str">
        <f>"Курск, Энергетиков, 1 /41"</f>
        <v>Курск, Энергетиков, 1 /41</v>
      </c>
      <c r="S99" t="str">
        <f>""</f>
        <v/>
      </c>
      <c r="T99" t="str">
        <f>"46/1457"</f>
        <v>46/1457</v>
      </c>
      <c r="U99" t="str">
        <f t="shared" si="50"/>
        <v>Магистральная ВОЛС</v>
      </c>
      <c r="V99" t="str">
        <f t="shared" si="48"/>
        <v>Нет</v>
      </c>
      <c r="W99" t="str">
        <f t="shared" si="48"/>
        <v>Нет</v>
      </c>
      <c r="X99" t="str">
        <f t="shared" si="48"/>
        <v>Нет</v>
      </c>
      <c r="Y99" t="str">
        <f t="shared" si="48"/>
        <v>Нет</v>
      </c>
      <c r="Z99" t="str">
        <f t="shared" si="51"/>
        <v>Нет</v>
      </c>
      <c r="AA99" t="str">
        <f>""</f>
        <v/>
      </c>
      <c r="AB99" t="str">
        <f t="shared" si="41"/>
        <v>Нет</v>
      </c>
      <c r="AC99" t="str">
        <f>"М 5.1.3 - ППК 5.1.3"</f>
        <v>М 5.1.3 - ППК 5.1.3</v>
      </c>
      <c r="AD99" t="str">
        <f>"02.02.2012"</f>
        <v>02.02.2012</v>
      </c>
      <c r="AE99" t="str">
        <f t="shared" si="55"/>
        <v>ООО "Плюс Телеком"</v>
      </c>
      <c r="AF99" t="str">
        <f>"[371957] М 5.1.3"</f>
        <v>[371957] М 5.1.3</v>
      </c>
      <c r="AG99" t="str">
        <f>"[371898] ГОК5.1.3.1 Курск, Энергетиков, 1 /41 п. 6"</f>
        <v>[371898] ГОК5.1.3.1 Курск, Энергетиков, 1 /41 п. 6</v>
      </c>
      <c r="AH99" t="str">
        <f>"М 5.1.3"</f>
        <v>М 5.1.3</v>
      </c>
      <c r="AI99" t="str">
        <f>"ППК 5.1.3"</f>
        <v>ППК 5.1.3</v>
      </c>
      <c r="AJ99" t="str">
        <f>""</f>
        <v/>
      </c>
      <c r="AK99" t="str">
        <f t="shared" si="43"/>
        <v>Нет</v>
      </c>
      <c r="AL99" t="str">
        <f>"51.665941 36.136946, 51.665851 36.137166"</f>
        <v>51.665941 36.136946, 51.665851 36.137166</v>
      </c>
      <c r="AM99" t="str">
        <f>"20000008030144"</f>
        <v>20000008030144</v>
      </c>
    </row>
    <row r="100" spans="1:39" x14ac:dyDescent="0.25">
      <c r="A100">
        <v>907</v>
      </c>
      <c r="B100" t="str">
        <f t="shared" si="39"/>
        <v>Курск</v>
      </c>
      <c r="C100">
        <v>821368</v>
      </c>
      <c r="D100" t="str">
        <f t="shared" si="40"/>
        <v>Оптический кабель</v>
      </c>
      <c r="E100" t="str">
        <f>"[46/1461] М 5.1.4 - ГОК5.1.4.1 Курск, Кулакова Пр-Кт, 9  п. 1"</f>
        <v>[46/1461] М 5.1.4 - ГОК5.1.4.1 Курск, Кулакова Пр-Кт, 9  п. 1</v>
      </c>
      <c r="F100" t="str">
        <f>"ДПТс-П-16А 2(6) 7кН (Мод:Кр,Нат)(Вол:Кр,Жел,Зел,..,Ор,Фиол)"</f>
        <v>ДПТс-П-16А 2(6) 7кН (Мод:Кр,Нат)(Вол:Кр,Жел,Зел,..,Ор,Фиол)</v>
      </c>
      <c r="G100" t="str">
        <f>""</f>
        <v/>
      </c>
      <c r="H100" t="str">
        <f t="shared" si="52"/>
        <v>МС 5.1</v>
      </c>
      <c r="I100">
        <v>10</v>
      </c>
      <c r="J100">
        <v>70</v>
      </c>
      <c r="K100">
        <v>59</v>
      </c>
      <c r="L100">
        <v>71</v>
      </c>
      <c r="M100" t="str">
        <f t="shared" si="53"/>
        <v>Воздушная трасса по стойкам</v>
      </c>
      <c r="N100" t="str">
        <f t="shared" si="54"/>
        <v>26.06.20122</v>
      </c>
      <c r="O100">
        <v>10</v>
      </c>
      <c r="P100">
        <v>10</v>
      </c>
      <c r="Q100" t="str">
        <f>""</f>
        <v/>
      </c>
      <c r="R100" t="str">
        <f>"Курск, Кулакова Пр-Кт, 9"</f>
        <v>Курск, Кулакова Пр-Кт, 9</v>
      </c>
      <c r="S100" t="str">
        <f>""</f>
        <v/>
      </c>
      <c r="T100" t="str">
        <f>"46/1461"</f>
        <v>46/1461</v>
      </c>
      <c r="U100" t="str">
        <f t="shared" si="50"/>
        <v>Магистральная ВОЛС</v>
      </c>
      <c r="V100" t="str">
        <f t="shared" si="48"/>
        <v>Нет</v>
      </c>
      <c r="W100" t="str">
        <f t="shared" si="48"/>
        <v>Нет</v>
      </c>
      <c r="X100" t="str">
        <f t="shared" si="48"/>
        <v>Нет</v>
      </c>
      <c r="Y100" t="str">
        <f t="shared" si="48"/>
        <v>Нет</v>
      </c>
      <c r="Z100" t="str">
        <f t="shared" si="51"/>
        <v>Нет</v>
      </c>
      <c r="AA100" t="str">
        <f>""</f>
        <v/>
      </c>
      <c r="AB100" t="str">
        <f t="shared" si="41"/>
        <v>Нет</v>
      </c>
      <c r="AC100" t="str">
        <f>"М 5.1.4 - ППК 5.1.4"</f>
        <v>М 5.1.4 - ППК 5.1.4</v>
      </c>
      <c r="AD100" t="str">
        <f>"10.05.2012"</f>
        <v>10.05.2012</v>
      </c>
      <c r="AE100" t="str">
        <f t="shared" si="55"/>
        <v>ООО "Плюс Телеком"</v>
      </c>
      <c r="AF100" t="str">
        <f>"[371953] М 5.1.4"</f>
        <v>[371953] М 5.1.4</v>
      </c>
      <c r="AG100" t="str">
        <f>"[371885] ГОК5.1.4.1 Курск, Кулакова Пр-Кт, 9  п. 1"</f>
        <v>[371885] ГОК5.1.4.1 Курск, Кулакова Пр-Кт, 9  п. 1</v>
      </c>
      <c r="AH100" t="str">
        <f>"М 5.1.4"</f>
        <v>М 5.1.4</v>
      </c>
      <c r="AI100" t="str">
        <f>"ППК 5.1.4"</f>
        <v>ППК 5.1.4</v>
      </c>
      <c r="AJ100" t="str">
        <f>""</f>
        <v/>
      </c>
      <c r="AK100" t="str">
        <f t="shared" si="43"/>
        <v>Нет</v>
      </c>
      <c r="AL100" t="str">
        <f>"51.669468 36.140186, 51.669494 36.140326"</f>
        <v>51.669468 36.140186, 51.669494 36.140326</v>
      </c>
      <c r="AM100" t="str">
        <f>"20000008039146"</f>
        <v>20000008039146</v>
      </c>
    </row>
    <row r="101" spans="1:39" x14ac:dyDescent="0.25">
      <c r="A101">
        <v>907</v>
      </c>
      <c r="B101" t="str">
        <f t="shared" si="39"/>
        <v>Курск</v>
      </c>
      <c r="C101">
        <v>821503</v>
      </c>
      <c r="D101" t="str">
        <f t="shared" si="40"/>
        <v>Оптический кабель</v>
      </c>
      <c r="E101" t="str">
        <f>"[46/1463] М 5.1.5 - ГОК5.1.5.1 Курск, Кулакова Пр-Кт, 7  п. 8"</f>
        <v>[46/1463] М 5.1.5 - ГОК5.1.5.1 Курск, Кулакова Пр-Кт, 7  п. 8</v>
      </c>
      <c r="F101" t="str">
        <f>"ДПТа-П-64А 6(6) 7кН (Кр,Жел,Зел,..,8-Фиол,9-Бел,..,Бир,Роз)"</f>
        <v>ДПТа-П-64А 6(6) 7кН (Кр,Жел,Зел,..,8-Фиол,9-Бел,..,Бир,Роз)</v>
      </c>
      <c r="G101" t="str">
        <f>""</f>
        <v/>
      </c>
      <c r="H101" t="str">
        <f t="shared" si="52"/>
        <v>МС 5.1</v>
      </c>
      <c r="I101">
        <v>72</v>
      </c>
      <c r="J101">
        <v>100</v>
      </c>
      <c r="K101">
        <v>28</v>
      </c>
      <c r="L101">
        <v>102</v>
      </c>
      <c r="M101" t="str">
        <f t="shared" si="53"/>
        <v>Воздушная трасса по стойкам</v>
      </c>
      <c r="N101" t="str">
        <f t="shared" si="54"/>
        <v>26.06.20122</v>
      </c>
      <c r="O101">
        <v>10</v>
      </c>
      <c r="P101">
        <v>10</v>
      </c>
      <c r="Q101" t="str">
        <f>""</f>
        <v/>
      </c>
      <c r="R101" t="str">
        <f>"Курск, Кулакова Пр-Кт, 7"</f>
        <v>Курск, Кулакова Пр-Кт, 7</v>
      </c>
      <c r="S101" t="str">
        <f>""</f>
        <v/>
      </c>
      <c r="T101" t="str">
        <f>"46/1463"</f>
        <v>46/1463</v>
      </c>
      <c r="U101" t="str">
        <f t="shared" si="50"/>
        <v>Магистральная ВОЛС</v>
      </c>
      <c r="V101" t="str">
        <f t="shared" si="48"/>
        <v>Нет</v>
      </c>
      <c r="W101" t="str">
        <f t="shared" si="48"/>
        <v>Нет</v>
      </c>
      <c r="X101" t="str">
        <f t="shared" si="48"/>
        <v>Нет</v>
      </c>
      <c r="Y101" t="str">
        <f t="shared" si="48"/>
        <v>Нет</v>
      </c>
      <c r="Z101" t="str">
        <f t="shared" si="51"/>
        <v>Нет</v>
      </c>
      <c r="AA101" t="str">
        <f>""</f>
        <v/>
      </c>
      <c r="AB101" t="str">
        <f t="shared" si="41"/>
        <v>Нет</v>
      </c>
      <c r="AC101" t="str">
        <f>"М 5.1.5 - ППК 5.1.5"</f>
        <v>М 5.1.5 - ППК 5.1.5</v>
      </c>
      <c r="AD101" t="str">
        <f>"02.02.2012"</f>
        <v>02.02.2012</v>
      </c>
      <c r="AE101" t="str">
        <f t="shared" si="55"/>
        <v>ООО "Плюс Телеком"</v>
      </c>
      <c r="AF101" t="str">
        <f>"[371949] М 5.1.5"</f>
        <v>[371949] М 5.1.5</v>
      </c>
      <c r="AG101" t="str">
        <f>"[371872] ГОК5.1.5.1 Курск, Кулакова Пр-Кт, 7  п. 8"</f>
        <v>[371872] ГОК5.1.5.1 Курск, Кулакова Пр-Кт, 7  п. 8</v>
      </c>
      <c r="AH101" t="str">
        <f>"М 5.1.5"</f>
        <v>М 5.1.5</v>
      </c>
      <c r="AI101" t="str">
        <f>"ППК 5.1.5"</f>
        <v>ППК 5.1.5</v>
      </c>
      <c r="AJ101" t="str">
        <f>""</f>
        <v/>
      </c>
      <c r="AK101" t="str">
        <f t="shared" si="43"/>
        <v>Нет</v>
      </c>
      <c r="AL101" t="str">
        <f>"51.670486 36.141281, 51.669897 36.140851"</f>
        <v>51.670486 36.141281, 51.669897 36.140851</v>
      </c>
      <c r="AM101" t="str">
        <f>"20000008007454"</f>
        <v>20000008007454</v>
      </c>
    </row>
    <row r="102" spans="1:39" x14ac:dyDescent="0.25">
      <c r="A102">
        <v>907</v>
      </c>
      <c r="B102" t="str">
        <f t="shared" si="39"/>
        <v>Курск</v>
      </c>
      <c r="C102">
        <v>821682</v>
      </c>
      <c r="D102" t="str">
        <f t="shared" si="40"/>
        <v>Оптический кабель</v>
      </c>
      <c r="E102" t="str">
        <f>"[46/1473] М 5.1.6 - ГОК5.1.6.1 Курск, Серегина, 19  п. 3"</f>
        <v>[46/1473] М 5.1.6 - ГОК5.1.6.1 Курск, Серегина, 19  п. 3</v>
      </c>
      <c r="F102" t="str">
        <f>"ДПТс-П-16А 2(6) 7кН (Мод:Кр,Нат)(Вол:Кр,Жел,Зел,..,Ор,Фиол)"</f>
        <v>ДПТс-П-16А 2(6) 7кН (Мод:Кр,Нат)(Вол:Кр,Жел,Зел,..,Ор,Фиол)</v>
      </c>
      <c r="G102" t="str">
        <f>""</f>
        <v/>
      </c>
      <c r="H102" t="str">
        <f t="shared" si="52"/>
        <v>МС 5.1</v>
      </c>
      <c r="I102">
        <v>117</v>
      </c>
      <c r="J102">
        <v>170</v>
      </c>
      <c r="K102">
        <v>53</v>
      </c>
      <c r="L102">
        <v>173</v>
      </c>
      <c r="M102" t="str">
        <f t="shared" si="53"/>
        <v>Воздушная трасса по стойкам</v>
      </c>
      <c r="N102" t="str">
        <f t="shared" si="54"/>
        <v>26.06.20122</v>
      </c>
      <c r="O102">
        <v>10</v>
      </c>
      <c r="P102">
        <v>10</v>
      </c>
      <c r="Q102" t="str">
        <f>""</f>
        <v/>
      </c>
      <c r="R102" t="str">
        <f>"Курск, Серегина, 19"</f>
        <v>Курск, Серегина, 19</v>
      </c>
      <c r="S102" t="str">
        <f>""</f>
        <v/>
      </c>
      <c r="T102" t="str">
        <f>"46/1473"</f>
        <v>46/1473</v>
      </c>
      <c r="U102" t="str">
        <f t="shared" si="50"/>
        <v>Магистральная ВОЛС</v>
      </c>
      <c r="V102" t="str">
        <f t="shared" si="48"/>
        <v>Нет</v>
      </c>
      <c r="W102" t="str">
        <f t="shared" si="48"/>
        <v>Нет</v>
      </c>
      <c r="X102" t="str">
        <f t="shared" si="48"/>
        <v>Нет</v>
      </c>
      <c r="Y102" t="str">
        <f t="shared" si="48"/>
        <v>Нет</v>
      </c>
      <c r="Z102" t="str">
        <f t="shared" si="51"/>
        <v>Нет</v>
      </c>
      <c r="AA102" t="str">
        <f>""</f>
        <v/>
      </c>
      <c r="AB102" t="str">
        <f t="shared" si="41"/>
        <v>Нет</v>
      </c>
      <c r="AC102" t="str">
        <f>"М 5.1.6 - ППК 5.1.6"</f>
        <v>М 5.1.6 - ППК 5.1.6</v>
      </c>
      <c r="AD102" t="str">
        <f>"15.05.2012"</f>
        <v>15.05.2012</v>
      </c>
      <c r="AE102" t="str">
        <f t="shared" si="55"/>
        <v>ООО "Плюс Телеком"</v>
      </c>
      <c r="AF102" t="str">
        <f>"[371945] М 5.1.6"</f>
        <v>[371945] М 5.1.6</v>
      </c>
      <c r="AG102" t="str">
        <f>"[371859] ГОК5.1.6.1 Курск, Серегина, 19  п. 3"</f>
        <v>[371859] ГОК5.1.6.1 Курск, Серегина, 19  п. 3</v>
      </c>
      <c r="AH102" t="str">
        <f>"М 5.1.6"</f>
        <v>М 5.1.6</v>
      </c>
      <c r="AI102" t="str">
        <f>"ППК 5.1.6"</f>
        <v>ППК 5.1.6</v>
      </c>
      <c r="AJ102" t="str">
        <f>""</f>
        <v/>
      </c>
      <c r="AK102" t="str">
        <f t="shared" si="43"/>
        <v>Нет</v>
      </c>
      <c r="AL102" t="str">
        <f>"51.671451 36.137622, 51.670912 36.137289, 51.670725 36.137354, 51.670459 36.137198"</f>
        <v>51.671451 36.137622, 51.670912 36.137289, 51.670725 36.137354, 51.670459 36.137198</v>
      </c>
      <c r="AM102" t="str">
        <f>"20000008024515"</f>
        <v>20000008024515</v>
      </c>
    </row>
    <row r="103" spans="1:39" x14ac:dyDescent="0.25">
      <c r="A103">
        <v>907</v>
      </c>
      <c r="B103" t="str">
        <f t="shared" si="39"/>
        <v>Курск</v>
      </c>
      <c r="C103">
        <v>821833</v>
      </c>
      <c r="D103" t="str">
        <f t="shared" si="40"/>
        <v>Оптический кабель</v>
      </c>
      <c r="E103" t="str">
        <f>"[46/1481] М 5.1.7 - М 5.1.8"</f>
        <v>[46/1481] М 5.1.7 - М 5.1.8</v>
      </c>
      <c r="F103" t="str">
        <f>"ДПТа-П-64А 6(6) 7кН (Кр,Жел,Зел,..,8-Фиол,9-Бел,..,Бир,Роз)"</f>
        <v>ДПТа-П-64А 6(6) 7кН (Кр,Жел,Зел,..,8-Фиол,9-Бел,..,Бир,Роз)</v>
      </c>
      <c r="G103" t="str">
        <f>""</f>
        <v/>
      </c>
      <c r="H103" t="str">
        <f t="shared" si="52"/>
        <v>МС 5.1</v>
      </c>
      <c r="I103">
        <v>349</v>
      </c>
      <c r="J103">
        <v>600</v>
      </c>
      <c r="K103">
        <v>250</v>
      </c>
      <c r="L103">
        <v>612</v>
      </c>
      <c r="M103" t="str">
        <f>"Опоры"</f>
        <v>Опоры</v>
      </c>
      <c r="N103" t="str">
        <f>"27.06.20122"</f>
        <v>27.06.20122</v>
      </c>
      <c r="O103">
        <v>64</v>
      </c>
      <c r="P103">
        <v>64</v>
      </c>
      <c r="Q103" t="str">
        <f>""</f>
        <v/>
      </c>
      <c r="R103" t="str">
        <f>""</f>
        <v/>
      </c>
      <c r="S103" t="str">
        <f>""</f>
        <v/>
      </c>
      <c r="T103" t="str">
        <f>"46/1481"</f>
        <v>46/1481</v>
      </c>
      <c r="U103" t="str">
        <f t="shared" si="50"/>
        <v>Магистральная ВОЛС</v>
      </c>
      <c r="V103" t="str">
        <f t="shared" si="48"/>
        <v>Нет</v>
      </c>
      <c r="W103" t="str">
        <f t="shared" si="48"/>
        <v>Нет</v>
      </c>
      <c r="X103" t="str">
        <f t="shared" si="48"/>
        <v>Нет</v>
      </c>
      <c r="Y103" t="str">
        <f t="shared" si="48"/>
        <v>Нет</v>
      </c>
      <c r="Z103" t="str">
        <f t="shared" si="51"/>
        <v>Нет</v>
      </c>
      <c r="AA103" t="str">
        <f>""</f>
        <v/>
      </c>
      <c r="AB103" t="str">
        <f t="shared" si="41"/>
        <v>Нет</v>
      </c>
      <c r="AC103" t="str">
        <f>"М 5.1.7 - М 5.1.8"</f>
        <v>М 5.1.7 - М 5.1.8</v>
      </c>
      <c r="AD103" t="str">
        <f>"18.05.2012"</f>
        <v>18.05.2012</v>
      </c>
      <c r="AE103" t="str">
        <f t="shared" si="55"/>
        <v>ООО "Плюс Телеком"</v>
      </c>
      <c r="AF103" t="str">
        <f>"[371941] М 5.1.7"</f>
        <v>[371941] М 5.1.7</v>
      </c>
      <c r="AG103" t="str">
        <f>"[371937] М 5.1.8"</f>
        <v>[371937] М 5.1.8</v>
      </c>
      <c r="AH103" t="str">
        <f>"М 5.1.7"</f>
        <v>М 5.1.7</v>
      </c>
      <c r="AI103" t="str">
        <f>"М 5.1.8"</f>
        <v>М 5.1.8</v>
      </c>
      <c r="AJ103" t="str">
        <f>""</f>
        <v/>
      </c>
      <c r="AK103" t="str">
        <f t="shared" si="43"/>
        <v>Нет</v>
      </c>
      <c r="AL103" t="str">
        <f>"51.671467 36.136608, 51.67159 36.13693, 51.671777 36.136656, 51.671923 36.136115, 51.672056 36.135567, 51.672203 36.134988, 51.672153 36.134564, 51.671956 36.134773, 51.671803 36.134151, 51.671401 36.133395"</f>
        <v>51.671467 36.136608, 51.67159 36.13693, 51.671777 36.136656, 51.671923 36.136115, 51.672056 36.135567, 51.672203 36.134988, 51.672153 36.134564, 51.671956 36.134773, 51.671803 36.134151, 51.671401 36.133395</v>
      </c>
      <c r="AM103" t="str">
        <f>"20000008007452"</f>
        <v>20000008007452</v>
      </c>
    </row>
    <row r="104" spans="1:39" x14ac:dyDescent="0.25">
      <c r="A104">
        <v>907</v>
      </c>
      <c r="B104" t="str">
        <f t="shared" si="39"/>
        <v>Курск</v>
      </c>
      <c r="C104">
        <v>821908</v>
      </c>
      <c r="D104" t="str">
        <f t="shared" si="40"/>
        <v>Оптический кабель</v>
      </c>
      <c r="E104" t="str">
        <f>"[46/1482] М 5.1.8 - ГОК5.1.7.1 Курск, Серегина, 18 б п. 2"</f>
        <v>[46/1482] М 5.1.8 - ГОК5.1.7.1 Курск, Серегина, 18 б п. 2</v>
      </c>
      <c r="F104" t="str">
        <f>"ДПТс-П-16А 2(6) 7кН (Мод:Кр,Нат)(Вол:Кр,Жел,Зел,..,Ор,Фиол)"</f>
        <v>ДПТс-П-16А 2(6) 7кН (Мод:Кр,Нат)(Вол:Кр,Жел,Зел,..,Ор,Фиол)</v>
      </c>
      <c r="G104" t="str">
        <f>""</f>
        <v/>
      </c>
      <c r="H104" t="str">
        <f t="shared" si="52"/>
        <v>МС 5.1</v>
      </c>
      <c r="I104">
        <v>82</v>
      </c>
      <c r="J104">
        <v>200</v>
      </c>
      <c r="K104">
        <v>117</v>
      </c>
      <c r="L104">
        <v>204</v>
      </c>
      <c r="M104" t="str">
        <f>"Воздушная трасса по стойкам"</f>
        <v>Воздушная трасса по стойкам</v>
      </c>
      <c r="N104" t="str">
        <f>"27.06.20122"</f>
        <v>27.06.20122</v>
      </c>
      <c r="O104">
        <v>10</v>
      </c>
      <c r="P104">
        <v>10</v>
      </c>
      <c r="Q104" t="str">
        <f>""</f>
        <v/>
      </c>
      <c r="R104" t="str">
        <f>"Курск, Серегина, 18 б"</f>
        <v>Курск, Серегина, 18 б</v>
      </c>
      <c r="S104" t="str">
        <f>""</f>
        <v/>
      </c>
      <c r="T104" t="str">
        <f>"46/1482"</f>
        <v>46/1482</v>
      </c>
      <c r="U104" t="str">
        <f t="shared" si="50"/>
        <v>Магистральная ВОЛС</v>
      </c>
      <c r="V104" t="str">
        <f t="shared" si="48"/>
        <v>Нет</v>
      </c>
      <c r="W104" t="str">
        <f t="shared" si="48"/>
        <v>Нет</v>
      </c>
      <c r="X104" t="str">
        <f t="shared" si="48"/>
        <v>Нет</v>
      </c>
      <c r="Y104" t="str">
        <f t="shared" si="48"/>
        <v>Нет</v>
      </c>
      <c r="Z104" t="str">
        <f t="shared" si="51"/>
        <v>Нет</v>
      </c>
      <c r="AA104" t="str">
        <f>""</f>
        <v/>
      </c>
      <c r="AB104" t="str">
        <f t="shared" si="41"/>
        <v>Нет</v>
      </c>
      <c r="AC104" t="str">
        <f>"М 5.1.8 - ППК 5.1.7"</f>
        <v>М 5.1.8 - ППК 5.1.7</v>
      </c>
      <c r="AD104" t="str">
        <f>"02.02.2012"</f>
        <v>02.02.2012</v>
      </c>
      <c r="AE104" t="str">
        <f t="shared" si="55"/>
        <v>ООО "Плюс Телеком"</v>
      </c>
      <c r="AF104" t="str">
        <f>"[371937] М 5.1.8"</f>
        <v>[371937] М 5.1.8</v>
      </c>
      <c r="AG104" t="str">
        <f>"[371846] ГОК5.1.7.1 Курск, Серегина, 18 б п. 2"</f>
        <v>[371846] ГОК5.1.7.1 Курск, Серегина, 18 б п. 2</v>
      </c>
      <c r="AH104" t="str">
        <f>"М 5.1.8"</f>
        <v>М 5.1.8</v>
      </c>
      <c r="AI104" t="str">
        <f>"ППК 5.1.7"</f>
        <v>ППК 5.1.7</v>
      </c>
      <c r="AJ104" t="str">
        <f>""</f>
        <v/>
      </c>
      <c r="AK104" t="str">
        <f t="shared" si="43"/>
        <v>Нет</v>
      </c>
      <c r="AL104" t="str">
        <f>"51.671407 36.133395, 51.67195 36.133567, 51.671876 36.133845"</f>
        <v>51.671407 36.133395, 51.67195 36.133567, 51.671876 36.133845</v>
      </c>
      <c r="AM104" t="str">
        <f>"20000008004363"</f>
        <v>20000008004363</v>
      </c>
    </row>
    <row r="105" spans="1:39" x14ac:dyDescent="0.25">
      <c r="A105">
        <v>907</v>
      </c>
      <c r="B105" t="str">
        <f t="shared" si="39"/>
        <v>Курск</v>
      </c>
      <c r="C105">
        <v>821936</v>
      </c>
      <c r="D105" t="str">
        <f t="shared" si="40"/>
        <v>Оптический кабель</v>
      </c>
      <c r="E105" t="str">
        <f>"[46/1483] М 5.1.8 - ГОК5.1.8.1 Курск, Гагарина, 22 а п. 3"</f>
        <v>[46/1483] М 5.1.8 - ГОК5.1.8.1 Курск, Гагарина, 22 а п. 3</v>
      </c>
      <c r="F105" t="str">
        <f>"ДПТс-П-16А 2(6) 7кН (Мод:Кр,Нат)(Вол:Кр,Жел,Зел,..,Ор,Фиол)"</f>
        <v>ДПТс-П-16А 2(6) 7кН (Мод:Кр,Нат)(Вол:Кр,Жел,Зел,..,Ор,Фиол)</v>
      </c>
      <c r="G105" t="str">
        <f>""</f>
        <v/>
      </c>
      <c r="H105" t="str">
        <f t="shared" si="52"/>
        <v>МС 5.1</v>
      </c>
      <c r="I105">
        <v>19</v>
      </c>
      <c r="J105">
        <v>70</v>
      </c>
      <c r="K105">
        <v>50</v>
      </c>
      <c r="L105">
        <v>71</v>
      </c>
      <c r="M105" t="str">
        <f>"Воздушная трасса по стойкам"</f>
        <v>Воздушная трасса по стойкам</v>
      </c>
      <c r="N105" t="str">
        <f>"27.06.20122"</f>
        <v>27.06.20122</v>
      </c>
      <c r="O105">
        <v>10</v>
      </c>
      <c r="P105">
        <v>10</v>
      </c>
      <c r="Q105" t="str">
        <f>""</f>
        <v/>
      </c>
      <c r="R105" t="str">
        <f>"Курск, Гагарина, 22 а"</f>
        <v>Курск, Гагарина, 22 а</v>
      </c>
      <c r="S105" t="str">
        <f>""</f>
        <v/>
      </c>
      <c r="T105" t="str">
        <f>"46/1483"</f>
        <v>46/1483</v>
      </c>
      <c r="U105" t="str">
        <f t="shared" si="50"/>
        <v>Магистральная ВОЛС</v>
      </c>
      <c r="V105" t="str">
        <f t="shared" si="48"/>
        <v>Нет</v>
      </c>
      <c r="W105" t="str">
        <f t="shared" si="48"/>
        <v>Нет</v>
      </c>
      <c r="X105" t="str">
        <f t="shared" si="48"/>
        <v>Нет</v>
      </c>
      <c r="Y105" t="str">
        <f t="shared" si="48"/>
        <v>Нет</v>
      </c>
      <c r="Z105" t="str">
        <f t="shared" si="51"/>
        <v>Нет</v>
      </c>
      <c r="AA105" t="str">
        <f>""</f>
        <v/>
      </c>
      <c r="AB105" t="str">
        <f t="shared" si="41"/>
        <v>Нет</v>
      </c>
      <c r="AC105" t="str">
        <f>"М 5.1.8 - ППК 5.1.8"</f>
        <v>М 5.1.8 - ППК 5.1.8</v>
      </c>
      <c r="AD105" t="str">
        <f>"02.02.2012"</f>
        <v>02.02.2012</v>
      </c>
      <c r="AE105" t="str">
        <f t="shared" si="55"/>
        <v>ООО "Плюс Телеком"</v>
      </c>
      <c r="AF105" t="str">
        <f>"[371937] М 5.1.8"</f>
        <v>[371937] М 5.1.8</v>
      </c>
      <c r="AG105" t="str">
        <f>"[371833] ГОК5.1.8.1 Курск, Гагарина, 22 а п. 3"</f>
        <v>[371833] ГОК5.1.8.1 Курск, Гагарина, 22 а п. 3</v>
      </c>
      <c r="AH105" t="str">
        <f>"М 5.1.8"</f>
        <v>М 5.1.8</v>
      </c>
      <c r="AI105" t="str">
        <f>"ППК 5.1.8"</f>
        <v>ППК 5.1.8</v>
      </c>
      <c r="AJ105" t="str">
        <f>""</f>
        <v/>
      </c>
      <c r="AK105" t="str">
        <f t="shared" si="43"/>
        <v>Нет</v>
      </c>
      <c r="AL105" t="str">
        <f>"51.671404 36.133411, 51.671241 36.133314"</f>
        <v>51.671404 36.133411, 51.671241 36.133314</v>
      </c>
      <c r="AM105" t="str">
        <f>"20000008035104"</f>
        <v>20000008035104</v>
      </c>
    </row>
    <row r="106" spans="1:39" x14ac:dyDescent="0.25">
      <c r="A106">
        <v>907</v>
      </c>
      <c r="B106" t="str">
        <f t="shared" si="39"/>
        <v>Курск</v>
      </c>
      <c r="C106">
        <v>821955</v>
      </c>
      <c r="D106" t="str">
        <f t="shared" si="40"/>
        <v>Оптический кабель</v>
      </c>
      <c r="E106" t="str">
        <f>"[46/1484] М 5.1.8 - МОК5.1.1 Курск, Гагарина, 26 а п. 1"</f>
        <v>[46/1484] М 5.1.8 - МОК5.1.1 Курск, Гагарина, 26 а п. 1</v>
      </c>
      <c r="F106" t="str">
        <f>"ДПТа-П-64А 6(6) 7кН (Кр,Жел,Зел,..,8-Фиол,9-Бел,..,Бир,Роз)"</f>
        <v>ДПТа-П-64А 6(6) 7кН (Кр,Жел,Зел,..,8-Фиол,9-Бел,..,Бир,Роз)</v>
      </c>
      <c r="G106" t="str">
        <f>""</f>
        <v/>
      </c>
      <c r="H106" t="str">
        <f t="shared" si="52"/>
        <v>МС 5.1</v>
      </c>
      <c r="I106">
        <v>252</v>
      </c>
      <c r="J106">
        <v>350</v>
      </c>
      <c r="K106">
        <v>0</v>
      </c>
      <c r="L106">
        <v>357</v>
      </c>
      <c r="M106" t="str">
        <f>"Воздушная трасса по стойкам"</f>
        <v>Воздушная трасса по стойкам</v>
      </c>
      <c r="N106" t="str">
        <f>"27.06.20122"</f>
        <v>27.06.20122</v>
      </c>
      <c r="O106">
        <v>64</v>
      </c>
      <c r="P106">
        <v>64</v>
      </c>
      <c r="Q106" t="str">
        <f>""</f>
        <v/>
      </c>
      <c r="R106" t="str">
        <f>"Курск, Гагарина, 26 а"</f>
        <v>Курск, Гагарина, 26 а</v>
      </c>
      <c r="S106" t="str">
        <f>""</f>
        <v/>
      </c>
      <c r="T106" t="str">
        <f>"46/1484"</f>
        <v>46/1484</v>
      </c>
      <c r="U106" t="str">
        <f t="shared" si="50"/>
        <v>Магистральная ВОЛС</v>
      </c>
      <c r="V106" t="str">
        <f t="shared" si="48"/>
        <v>Нет</v>
      </c>
      <c r="W106" t="str">
        <f t="shared" si="48"/>
        <v>Нет</v>
      </c>
      <c r="X106" t="str">
        <f t="shared" si="48"/>
        <v>Нет</v>
      </c>
      <c r="Y106" t="str">
        <f t="shared" si="48"/>
        <v>Нет</v>
      </c>
      <c r="Z106" t="str">
        <f t="shared" si="51"/>
        <v>Нет</v>
      </c>
      <c r="AA106" t="str">
        <f>""</f>
        <v/>
      </c>
      <c r="AB106" t="str">
        <f t="shared" si="41"/>
        <v>Нет</v>
      </c>
      <c r="AC106" t="str">
        <f>"М 5.1.8 - КРС МС 5.1"</f>
        <v>М 5.1.8 - КРС МС 5.1</v>
      </c>
      <c r="AD106" t="str">
        <f>"02.02.2012"</f>
        <v>02.02.2012</v>
      </c>
      <c r="AE106" t="str">
        <f t="shared" si="55"/>
        <v>ООО "Плюс Телеком"</v>
      </c>
      <c r="AF106" t="str">
        <f>"[371937] М 5.1.8"</f>
        <v>[371937] М 5.1.8</v>
      </c>
      <c r="AG106" t="str">
        <f>"[365833] МОК5.1.1 Курск, Гагарина, 26 а п. 1"</f>
        <v>[365833] МОК5.1.1 Курск, Гагарина, 26 а п. 1</v>
      </c>
      <c r="AH106" t="str">
        <f>"М 5.1.8"</f>
        <v>М 5.1.8</v>
      </c>
      <c r="AI106" t="str">
        <f>"КРС МС 5.1"</f>
        <v>КРС МС 5.1</v>
      </c>
      <c r="AJ106" t="str">
        <f>""</f>
        <v/>
      </c>
      <c r="AK106" t="str">
        <f t="shared" si="43"/>
        <v>Нет</v>
      </c>
      <c r="AL106" t="str">
        <f>"51.671401 36.133395, 51.670802 36.133003, 51.670512 36.133159, 51.670176 36.13296, 51.669814 36.132735, 51.669578 36.131909"</f>
        <v>51.671401 36.133395, 51.670802 36.133003, 51.670512 36.133159, 51.670176 36.13296, 51.669814 36.132735, 51.669578 36.131909</v>
      </c>
      <c r="AM106" t="str">
        <f>"20000008007451"</f>
        <v>20000008007451</v>
      </c>
    </row>
    <row r="107" spans="1:39" x14ac:dyDescent="0.25">
      <c r="A107">
        <v>907</v>
      </c>
      <c r="B107" t="str">
        <f t="shared" si="39"/>
        <v>Курск</v>
      </c>
      <c r="C107">
        <v>824063</v>
      </c>
      <c r="D107" t="str">
        <f t="shared" si="40"/>
        <v>Оптический кабель</v>
      </c>
      <c r="E107" t="str">
        <f>"[46/1504] МОК5.2.1 Курск, Гагарина, 26 а п. 1 - М 5.2.1"</f>
        <v>[46/1504] МОК5.2.1 Курск, Гагарина, 26 а п. 1 - М 5.2.1</v>
      </c>
      <c r="F107" t="str">
        <f>"ДПТа-П-128А 8(9) 7кН (Вол:Кр,Жел,Зел,...,Лайм,Нат)"</f>
        <v>ДПТа-П-128А 8(9) 7кН (Вол:Кр,Жел,Зел,...,Лайм,Нат)</v>
      </c>
      <c r="G107" t="str">
        <f>""</f>
        <v/>
      </c>
      <c r="H107" t="str">
        <f t="shared" ref="H107:H121" si="56">"МС 5.2"</f>
        <v>МС 5.2</v>
      </c>
      <c r="I107">
        <v>688</v>
      </c>
      <c r="J107">
        <v>842</v>
      </c>
      <c r="K107">
        <v>120</v>
      </c>
      <c r="L107">
        <v>844</v>
      </c>
      <c r="M107" t="str">
        <f>"Опоры"</f>
        <v>Опоры</v>
      </c>
      <c r="N107" t="str">
        <f t="shared" ref="N107:N121" si="57">"20.07.20122"</f>
        <v>20.07.20122</v>
      </c>
      <c r="O107">
        <v>128</v>
      </c>
      <c r="P107">
        <v>128</v>
      </c>
      <c r="Q107" t="str">
        <f>"Курск, Гагарина, 26 а"</f>
        <v>Курск, Гагарина, 26 а</v>
      </c>
      <c r="R107" t="str">
        <f>""</f>
        <v/>
      </c>
      <c r="S107" t="str">
        <f>""</f>
        <v/>
      </c>
      <c r="T107" t="str">
        <f>"46/1504"</f>
        <v>46/1504</v>
      </c>
      <c r="U107" t="str">
        <f t="shared" si="50"/>
        <v>Магистральная ВОЛС</v>
      </c>
      <c r="V107" t="str">
        <f t="shared" si="48"/>
        <v>Нет</v>
      </c>
      <c r="W107" t="str">
        <f t="shared" si="48"/>
        <v>Нет</v>
      </c>
      <c r="X107" t="str">
        <f t="shared" si="48"/>
        <v>Нет</v>
      </c>
      <c r="Y107" t="str">
        <f t="shared" si="48"/>
        <v>Нет</v>
      </c>
      <c r="Z107" t="str">
        <f t="shared" si="51"/>
        <v>Нет</v>
      </c>
      <c r="AA107" t="str">
        <f>""</f>
        <v/>
      </c>
      <c r="AB107" t="str">
        <f t="shared" si="41"/>
        <v>Нет</v>
      </c>
      <c r="AC107" t="str">
        <f>"МС-5.2 - М 5.2.1"</f>
        <v>МС-5.2 - М 5.2.1</v>
      </c>
      <c r="AD107" t="str">
        <f>"28.04.2012"</f>
        <v>28.04.2012</v>
      </c>
      <c r="AE107" t="str">
        <f>""</f>
        <v/>
      </c>
      <c r="AF107" t="str">
        <f>"[365966] МОК5.2.1 Курск, Гагарина, 26 а п. 1"</f>
        <v>[365966] МОК5.2.1 Курск, Гагарина, 26 а п. 1</v>
      </c>
      <c r="AG107" t="str">
        <f>"[382833] М 5.2.1"</f>
        <v>[382833] М 5.2.1</v>
      </c>
      <c r="AH107" t="str">
        <f>"МС-5.2"</f>
        <v>МС-5.2</v>
      </c>
      <c r="AI107" t="str">
        <f>"М 5.2.1"</f>
        <v>М 5.2.1</v>
      </c>
      <c r="AJ107" t="str">
        <f>""</f>
        <v/>
      </c>
      <c r="AK107" t="str">
        <f t="shared" si="43"/>
        <v>Нет</v>
      </c>
      <c r="AL107" t="s">
        <v>27</v>
      </c>
      <c r="AM107" t="str">
        <f>"20000008036098"</f>
        <v>20000008036098</v>
      </c>
    </row>
    <row r="108" spans="1:39" x14ac:dyDescent="0.25">
      <c r="A108">
        <v>907</v>
      </c>
      <c r="B108" t="str">
        <f t="shared" si="39"/>
        <v>Курск</v>
      </c>
      <c r="C108">
        <v>824083</v>
      </c>
      <c r="D108" t="str">
        <f t="shared" si="40"/>
        <v>Оптический кабель</v>
      </c>
      <c r="E108" t="str">
        <f>"[46/1507] М 5.2.3 - ГОК5.2.1.1 Курск, Парковая, 10  п. 2"</f>
        <v>[46/1507] М 5.2.3 - ГОК5.2.1.1 Курск, Парковая, 10  п. 2</v>
      </c>
      <c r="F108" t="str">
        <f>"ДПТс-П-16А 2(6) 7кН (Мод:Кр,Нат)(Вол:Кр,Жел,Зел,..,Ор,Фиол)"</f>
        <v>ДПТс-П-16А 2(6) 7кН (Мод:Кр,Нат)(Вол:Кр,Жел,Зел,..,Ор,Фиол)</v>
      </c>
      <c r="G108" t="str">
        <f>""</f>
        <v/>
      </c>
      <c r="H108" t="str">
        <f t="shared" si="56"/>
        <v>МС 5.2</v>
      </c>
      <c r="I108">
        <v>50</v>
      </c>
      <c r="J108">
        <v>149</v>
      </c>
      <c r="K108">
        <v>80</v>
      </c>
      <c r="L108">
        <v>150</v>
      </c>
      <c r="M108" t="str">
        <f>"Воздушная трасса по стойкам"</f>
        <v>Воздушная трасса по стойкам</v>
      </c>
      <c r="N108" t="str">
        <f t="shared" si="57"/>
        <v>20.07.20122</v>
      </c>
      <c r="O108">
        <v>10</v>
      </c>
      <c r="P108">
        <v>10</v>
      </c>
      <c r="Q108" t="str">
        <f>""</f>
        <v/>
      </c>
      <c r="R108" t="str">
        <f>"Курск, Парковая, 10"</f>
        <v>Курск, Парковая, 10</v>
      </c>
      <c r="S108" t="str">
        <f>""</f>
        <v/>
      </c>
      <c r="T108" t="str">
        <f>"46/1507"</f>
        <v>46/1507</v>
      </c>
      <c r="U108" t="str">
        <f t="shared" si="50"/>
        <v>Магистральная ВОЛС</v>
      </c>
      <c r="V108" t="str">
        <f t="shared" ref="V108:Y127" si="58">"Нет"</f>
        <v>Нет</v>
      </c>
      <c r="W108" t="str">
        <f t="shared" si="58"/>
        <v>Нет</v>
      </c>
      <c r="X108" t="str">
        <f t="shared" si="58"/>
        <v>Нет</v>
      </c>
      <c r="Y108" t="str">
        <f t="shared" si="58"/>
        <v>Нет</v>
      </c>
      <c r="Z108" t="str">
        <f t="shared" si="51"/>
        <v>Нет</v>
      </c>
      <c r="AA108" t="str">
        <f>""</f>
        <v/>
      </c>
      <c r="AB108" t="str">
        <f t="shared" si="41"/>
        <v>Нет</v>
      </c>
      <c r="AC108" t="str">
        <f>"М 5.2.3 - ППК 5.2.1"</f>
        <v>М 5.2.3 - ППК 5.2.1</v>
      </c>
      <c r="AD108" t="str">
        <f>"31.03.2012"</f>
        <v>31.03.2012</v>
      </c>
      <c r="AE108" t="str">
        <f>""</f>
        <v/>
      </c>
      <c r="AF108" t="str">
        <f>"[382825] М 5.2.3"</f>
        <v>[382825] М 5.2.3</v>
      </c>
      <c r="AG108" t="str">
        <f>"[382776] ГОК5.2.1.1 Курск, Парковая, 10  п. 2"</f>
        <v>[382776] ГОК5.2.1.1 Курск, Парковая, 10  п. 2</v>
      </c>
      <c r="AH108" t="str">
        <f>"М 5.2.3"</f>
        <v>М 5.2.3</v>
      </c>
      <c r="AI108" t="str">
        <f>"ППК 5.2.1"</f>
        <v>ППК 5.2.1</v>
      </c>
      <c r="AJ108" t="str">
        <f>""</f>
        <v/>
      </c>
      <c r="AK108" t="str">
        <f t="shared" si="43"/>
        <v>Нет</v>
      </c>
      <c r="AL108" t="str">
        <f>"51.671274 36.147745, 51.670972 36.148276"</f>
        <v>51.671274 36.147745, 51.670972 36.148276</v>
      </c>
      <c r="AM108" t="str">
        <f>"20000008043843"</f>
        <v>20000008043843</v>
      </c>
    </row>
    <row r="109" spans="1:39" x14ac:dyDescent="0.25">
      <c r="A109">
        <v>907</v>
      </c>
      <c r="B109" t="str">
        <f t="shared" si="39"/>
        <v>Курск</v>
      </c>
      <c r="C109">
        <v>824094</v>
      </c>
      <c r="D109" t="str">
        <f t="shared" si="40"/>
        <v>Оптический кабель</v>
      </c>
      <c r="E109" t="str">
        <f>"[46/1510] М 5.2.12 - OK2.2 ППК 5.2.2 Курск, Краснополянская, 3 а п. 1"</f>
        <v>[46/1510] М 5.2.12 - OK2.2 ППК 5.2.2 Курск, Краснополянская, 3 а п. 1</v>
      </c>
      <c r="F109" t="str">
        <f>"ДПТс-П-08А 1(6) 7кН (Кр,Жел,Зел,Син,Кор,Чер,Ор,Фиол)"</f>
        <v>ДПТс-П-08А 1(6) 7кН (Кр,Жел,Зел,Син,Кор,Чер,Ор,Фиол)</v>
      </c>
      <c r="G109" t="str">
        <f>""</f>
        <v/>
      </c>
      <c r="H109" t="str">
        <f t="shared" si="56"/>
        <v>МС 5.2</v>
      </c>
      <c r="I109">
        <v>72</v>
      </c>
      <c r="J109">
        <v>72</v>
      </c>
      <c r="K109">
        <v>0</v>
      </c>
      <c r="L109">
        <v>73</v>
      </c>
      <c r="M109" t="str">
        <f>"Воздушная трасса по стойкам"</f>
        <v>Воздушная трасса по стойкам</v>
      </c>
      <c r="N109" t="str">
        <f t="shared" si="57"/>
        <v>20.07.20122</v>
      </c>
      <c r="O109">
        <v>8</v>
      </c>
      <c r="P109">
        <v>8</v>
      </c>
      <c r="Q109" t="str">
        <f>""</f>
        <v/>
      </c>
      <c r="R109" t="str">
        <f>"Курск, Краснополянская, 3 а"</f>
        <v>Курск, Краснополянская, 3 а</v>
      </c>
      <c r="S109" t="str">
        <f>""</f>
        <v/>
      </c>
      <c r="T109" t="str">
        <f>"46/1510"</f>
        <v>46/1510</v>
      </c>
      <c r="U109" t="str">
        <f t="shared" si="50"/>
        <v>Магистральная ВОЛС</v>
      </c>
      <c r="V109" t="str">
        <f t="shared" si="58"/>
        <v>Нет</v>
      </c>
      <c r="W109" t="str">
        <f t="shared" si="58"/>
        <v>Нет</v>
      </c>
      <c r="X109" t="str">
        <f t="shared" si="58"/>
        <v>Нет</v>
      </c>
      <c r="Y109" t="str">
        <f t="shared" si="58"/>
        <v>Нет</v>
      </c>
      <c r="Z109" t="str">
        <f t="shared" si="51"/>
        <v>Нет</v>
      </c>
      <c r="AA109" t="str">
        <f>""</f>
        <v/>
      </c>
      <c r="AB109" t="str">
        <f t="shared" si="41"/>
        <v>Нет</v>
      </c>
      <c r="AC109" t="str">
        <f>"М 5.2.12 - ППК 5.2.2 ОУ2"</f>
        <v>М 5.2.12 - ППК 5.2.2 ОУ2</v>
      </c>
      <c r="AD109" t="str">
        <f>"28.04.2012"</f>
        <v>28.04.2012</v>
      </c>
      <c r="AE109" t="str">
        <f>""</f>
        <v/>
      </c>
      <c r="AF109" t="str">
        <f>"[382817] М 5.2.12"</f>
        <v>[382817] М 5.2.12</v>
      </c>
      <c r="AG109" t="str">
        <f>"[382737] OK2.2 ППК 5.2.2 Курск, Краснополянская, 3 а п. 1"</f>
        <v>[382737] OK2.2 ППК 5.2.2 Курск, Краснополянская, 3 а п. 1</v>
      </c>
      <c r="AH109" t="str">
        <f>"М 5.2.12"</f>
        <v>М 5.2.12</v>
      </c>
      <c r="AI109" t="str">
        <f>"ППК 5.2.2 ОУ2"</f>
        <v>ППК 5.2.2 ОУ2</v>
      </c>
      <c r="AJ109" t="str">
        <f>""</f>
        <v/>
      </c>
      <c r="AK109" t="str">
        <f t="shared" si="43"/>
        <v>Нет</v>
      </c>
      <c r="AL109" t="str">
        <f>"51.673749 36.154692, 51.673922 36.154756, 51.674085 36.154847, 51.674185 36.154402"</f>
        <v>51.673749 36.154692, 51.673922 36.154756, 51.674085 36.154847, 51.674185 36.154402</v>
      </c>
      <c r="AM109" t="str">
        <f>"20000008037619"</f>
        <v>20000008037619</v>
      </c>
    </row>
    <row r="110" spans="1:39" x14ac:dyDescent="0.25">
      <c r="A110">
        <v>907</v>
      </c>
      <c r="B110" t="str">
        <f t="shared" si="39"/>
        <v>Курск</v>
      </c>
      <c r="C110">
        <v>824108</v>
      </c>
      <c r="D110" t="str">
        <f t="shared" si="40"/>
        <v>Оптический кабель</v>
      </c>
      <c r="E110" t="str">
        <f>"[46/1512] М 5.2.5 - ГОК5.2.2.1 Курск, Черняховского, 27  п. 1"</f>
        <v>[46/1512] М 5.2.5 - ГОК5.2.2.1 Курск, Черняховского, 27  п. 1</v>
      </c>
      <c r="F110" t="str">
        <f>"ДПТс-П-16А 2(6) 7кН (Мод:Кр,Нат)(Вол:Кр,Жел,Зел,..,Ор,Фиол)"</f>
        <v>ДПТс-П-16А 2(6) 7кН (Мод:Кр,Нат)(Вол:Кр,Жел,Зел,..,Ор,Фиол)</v>
      </c>
      <c r="G110" t="str">
        <f>""</f>
        <v/>
      </c>
      <c r="H110" t="str">
        <f t="shared" si="56"/>
        <v>МС 5.2</v>
      </c>
      <c r="I110">
        <v>279</v>
      </c>
      <c r="J110">
        <v>446</v>
      </c>
      <c r="K110">
        <v>140</v>
      </c>
      <c r="L110">
        <v>448</v>
      </c>
      <c r="M110" t="str">
        <f>"Опоры"</f>
        <v>Опоры</v>
      </c>
      <c r="N110" t="str">
        <f t="shared" si="57"/>
        <v>20.07.20122</v>
      </c>
      <c r="O110">
        <v>10</v>
      </c>
      <c r="P110">
        <v>10</v>
      </c>
      <c r="Q110" t="str">
        <f>""</f>
        <v/>
      </c>
      <c r="R110" t="str">
        <f>"Курск, Черняховского, 27"</f>
        <v>Курск, Черняховского, 27</v>
      </c>
      <c r="S110" t="str">
        <f>""</f>
        <v/>
      </c>
      <c r="T110" t="str">
        <f>"46/1512"</f>
        <v>46/1512</v>
      </c>
      <c r="U110" t="str">
        <f t="shared" si="50"/>
        <v>Магистральная ВОЛС</v>
      </c>
      <c r="V110" t="str">
        <f t="shared" si="58"/>
        <v>Нет</v>
      </c>
      <c r="W110" t="str">
        <f t="shared" si="58"/>
        <v>Нет</v>
      </c>
      <c r="X110" t="str">
        <f t="shared" si="58"/>
        <v>Нет</v>
      </c>
      <c r="Y110" t="str">
        <f t="shared" si="58"/>
        <v>Нет</v>
      </c>
      <c r="Z110" t="str">
        <f t="shared" si="51"/>
        <v>Нет</v>
      </c>
      <c r="AA110" t="str">
        <f>""</f>
        <v/>
      </c>
      <c r="AB110" t="str">
        <f t="shared" si="41"/>
        <v>Нет</v>
      </c>
      <c r="AC110" t="str">
        <f>"М 5.2.5 - ППК 5.2.2"</f>
        <v>М 5.2.5 - ППК 5.2.2</v>
      </c>
      <c r="AD110" t="str">
        <f>"27.04.2012"</f>
        <v>27.04.2012</v>
      </c>
      <c r="AE110" t="str">
        <f>""</f>
        <v/>
      </c>
      <c r="AF110" t="str">
        <f>"[382813] М 5.2.5"</f>
        <v>[382813] М 5.2.5</v>
      </c>
      <c r="AG110" t="str">
        <f>"[382763] ГОК5.2.2.1 Курск, Черняховского, 27  п. 1"</f>
        <v>[382763] ГОК5.2.2.1 Курск, Черняховского, 27  п. 1</v>
      </c>
      <c r="AH110" t="str">
        <f>"М 5.2.5"</f>
        <v>М 5.2.5</v>
      </c>
      <c r="AI110" t="str">
        <f>"ППК 5.2.2"</f>
        <v>ППК 5.2.2</v>
      </c>
      <c r="AJ110" t="str">
        <f>""</f>
        <v/>
      </c>
      <c r="AK110" t="str">
        <f t="shared" si="43"/>
        <v>Нет</v>
      </c>
      <c r="AL110" t="str">
        <f>"51.674579 36.15058, 51.674548 36.150802, 51.674478 36.15121, 51.674418 36.151569, 51.674372 36.151955, 51.674305 36.152353, 51.674246 36.152716, 51.674195 36.153088, 51.673972 36.153082, 51.673869 36.153721, 51.673806 36.15415"</f>
        <v>51.674579 36.15058, 51.674548 36.150802, 51.674478 36.15121, 51.674418 36.151569, 51.674372 36.151955, 51.674305 36.152353, 51.674246 36.152716, 51.674195 36.153088, 51.673972 36.153082, 51.673869 36.153721, 51.673806 36.15415</v>
      </c>
      <c r="AM110" t="str">
        <f>"20000008043846"</f>
        <v>20000008043846</v>
      </c>
    </row>
    <row r="111" spans="1:39" x14ac:dyDescent="0.25">
      <c r="A111">
        <v>907</v>
      </c>
      <c r="B111" t="str">
        <f t="shared" si="39"/>
        <v>Курск</v>
      </c>
      <c r="C111">
        <v>824111</v>
      </c>
      <c r="D111" t="str">
        <f t="shared" si="40"/>
        <v>Оптический кабель</v>
      </c>
      <c r="E111" t="str">
        <f>"[46/1513] М 5.2.5 - ГОК5.2.3.1 Курск, Черняховского, 4 а п. 2"</f>
        <v>[46/1513] М 5.2.5 - ГОК5.2.3.1 Курск, Черняховского, 4 а п. 2</v>
      </c>
      <c r="F111" t="str">
        <f>"ДПТс-П-16А 2(6) 7кН (Мод:Кр,Нат)(Вол:Кр,Жел,Зел,..,Ор,Фиол)"</f>
        <v>ДПТс-П-16А 2(6) 7кН (Мод:Кр,Нат)(Вол:Кр,Жел,Зел,..,Ор,Фиол)</v>
      </c>
      <c r="G111" t="str">
        <f>""</f>
        <v/>
      </c>
      <c r="H111" t="str">
        <f t="shared" si="56"/>
        <v>МС 5.2</v>
      </c>
      <c r="I111">
        <v>96</v>
      </c>
      <c r="J111">
        <v>198</v>
      </c>
      <c r="K111">
        <v>100</v>
      </c>
      <c r="L111">
        <v>200</v>
      </c>
      <c r="M111" t="str">
        <f>"Воздушная трасса по стойкам"</f>
        <v>Воздушная трасса по стойкам</v>
      </c>
      <c r="N111" t="str">
        <f t="shared" si="57"/>
        <v>20.07.20122</v>
      </c>
      <c r="O111">
        <v>10</v>
      </c>
      <c r="P111">
        <v>10</v>
      </c>
      <c r="Q111" t="str">
        <f>""</f>
        <v/>
      </c>
      <c r="R111" t="str">
        <f>"Курск, Черняховского, 4 а"</f>
        <v>Курск, Черняховского, 4 а</v>
      </c>
      <c r="S111" t="str">
        <f>""</f>
        <v/>
      </c>
      <c r="T111" t="str">
        <f>"46/1513"</f>
        <v>46/1513</v>
      </c>
      <c r="U111" t="str">
        <f t="shared" si="50"/>
        <v>Магистральная ВОЛС</v>
      </c>
      <c r="V111" t="str">
        <f t="shared" si="58"/>
        <v>Нет</v>
      </c>
      <c r="W111" t="str">
        <f t="shared" si="58"/>
        <v>Нет</v>
      </c>
      <c r="X111" t="str">
        <f t="shared" si="58"/>
        <v>Нет</v>
      </c>
      <c r="Y111" t="str">
        <f t="shared" si="58"/>
        <v>Нет</v>
      </c>
      <c r="Z111" t="str">
        <f t="shared" si="51"/>
        <v>Нет</v>
      </c>
      <c r="AA111" t="str">
        <f>""</f>
        <v/>
      </c>
      <c r="AB111" t="str">
        <f t="shared" si="41"/>
        <v>Нет</v>
      </c>
      <c r="AC111" t="str">
        <f>"М 5.2.5 - ППК 5.2.3"</f>
        <v>М 5.2.5 - ППК 5.2.3</v>
      </c>
      <c r="AD111" t="str">
        <f t="shared" ref="AD111:AD121" si="59">"28.04.2012"</f>
        <v>28.04.2012</v>
      </c>
      <c r="AE111" t="str">
        <f>""</f>
        <v/>
      </c>
      <c r="AF111" t="str">
        <f>"[382813] М 5.2.5"</f>
        <v>[382813] М 5.2.5</v>
      </c>
      <c r="AG111" t="str">
        <f>"[382750] ГОК5.2.3.1 Курск, Черняховского, 4 а п. 2"</f>
        <v>[382750] ГОК5.2.3.1 Курск, Черняховского, 4 а п. 2</v>
      </c>
      <c r="AH111" t="str">
        <f>"М 5.2.5"</f>
        <v>М 5.2.5</v>
      </c>
      <c r="AI111" t="str">
        <f>"ППК 5.2.3"</f>
        <v>ППК 5.2.3</v>
      </c>
      <c r="AJ111" t="str">
        <f>""</f>
        <v/>
      </c>
      <c r="AK111" t="str">
        <f t="shared" si="43"/>
        <v>Нет</v>
      </c>
      <c r="AL111" t="str">
        <f>"51.674579 36.15058, 51.674837 36.150523, 51.675087 36.150647, 51.675429 36.150572"</f>
        <v>51.674579 36.15058, 51.674837 36.150523, 51.675087 36.150647, 51.675429 36.150572</v>
      </c>
      <c r="AM111" t="str">
        <f>"20000008043844"</f>
        <v>20000008043844</v>
      </c>
    </row>
    <row r="112" spans="1:39" x14ac:dyDescent="0.25">
      <c r="A112">
        <v>907</v>
      </c>
      <c r="B112" t="str">
        <f t="shared" si="39"/>
        <v>Курск</v>
      </c>
      <c r="C112">
        <v>824123</v>
      </c>
      <c r="D112" t="str">
        <f t="shared" si="40"/>
        <v>Оптический кабель</v>
      </c>
      <c r="E112" t="str">
        <f>"[46/1515] М 5.2.6 - ОК6.3 ППК 5.2.3 Курск, Элеваторный Проезд, 5  п. 6"</f>
        <v>[46/1515] М 5.2.6 - ОК6.3 ППК 5.2.3 Курск, Элеваторный Проезд, 5  п. 6</v>
      </c>
      <c r="F112" t="str">
        <f>"ДПТс-П-08А 1(6) 7кН (Кр,Жел,Зел,Син,Кор,Чер,Ор,Фиол)"</f>
        <v>ДПТс-П-08А 1(6) 7кН (Кр,Жел,Зел,Син,Кор,Чер,Ор,Фиол)</v>
      </c>
      <c r="G112" t="str">
        <f>""</f>
        <v/>
      </c>
      <c r="H112" t="str">
        <f t="shared" si="56"/>
        <v>МС 5.2</v>
      </c>
      <c r="I112">
        <v>284</v>
      </c>
      <c r="J112">
        <v>406</v>
      </c>
      <c r="K112">
        <v>100</v>
      </c>
      <c r="L112">
        <v>408</v>
      </c>
      <c r="M112" t="str">
        <f>"Воздушная трасса по стойкам"</f>
        <v>Воздушная трасса по стойкам</v>
      </c>
      <c r="N112" t="str">
        <f t="shared" si="57"/>
        <v>20.07.20122</v>
      </c>
      <c r="O112">
        <v>8</v>
      </c>
      <c r="P112">
        <v>8</v>
      </c>
      <c r="Q112" t="str">
        <f>""</f>
        <v/>
      </c>
      <c r="R112" t="str">
        <f>"Курск, Элеваторный Проезд, 5"</f>
        <v>Курск, Элеваторный Проезд, 5</v>
      </c>
      <c r="S112" t="str">
        <f>""</f>
        <v/>
      </c>
      <c r="T112" t="str">
        <f>"46/1515"</f>
        <v>46/1515</v>
      </c>
      <c r="U112" t="str">
        <f t="shared" si="50"/>
        <v>Магистральная ВОЛС</v>
      </c>
      <c r="V112" t="str">
        <f t="shared" si="58"/>
        <v>Нет</v>
      </c>
      <c r="W112" t="str">
        <f t="shared" si="58"/>
        <v>Нет</v>
      </c>
      <c r="X112" t="str">
        <f t="shared" si="58"/>
        <v>Нет</v>
      </c>
      <c r="Y112" t="str">
        <f t="shared" si="58"/>
        <v>Нет</v>
      </c>
      <c r="Z112" t="str">
        <f t="shared" si="51"/>
        <v>Нет</v>
      </c>
      <c r="AA112" t="str">
        <f>""</f>
        <v/>
      </c>
      <c r="AB112" t="str">
        <f t="shared" si="41"/>
        <v>Нет</v>
      </c>
      <c r="AC112" t="str">
        <f>"М 5.2.6 - ППК 5.2.3 ОУ6"</f>
        <v>М 5.2.6 - ППК 5.2.3 ОУ6</v>
      </c>
      <c r="AD112" t="str">
        <f t="shared" si="59"/>
        <v>28.04.2012</v>
      </c>
      <c r="AE112" t="str">
        <f>""</f>
        <v/>
      </c>
      <c r="AF112" t="str">
        <f>"[382809] М 5.2.6"</f>
        <v>[382809] М 5.2.6</v>
      </c>
      <c r="AG112" t="str">
        <f>"[382724] ОК6.3 ППК 5.2.3 Курск, Элеваторный Проезд, 5  п. 6"</f>
        <v>[382724] ОК6.3 ППК 5.2.3 Курск, Элеваторный Проезд, 5  п. 6</v>
      </c>
      <c r="AH112" t="str">
        <f>"М 5.2.6"</f>
        <v>М 5.2.6</v>
      </c>
      <c r="AI112" t="str">
        <f>"ППК 5.2.3 ОУ6"</f>
        <v>ППК 5.2.3 ОУ6</v>
      </c>
      <c r="AJ112" t="str">
        <f>""</f>
        <v/>
      </c>
      <c r="AK112" t="str">
        <f t="shared" si="43"/>
        <v>Нет</v>
      </c>
      <c r="AL112" t="str">
        <f>"51.675093 36.147179, 51.675153 36.147686, 51.675326 36.147804, 51.675499 36.147841, 51.675809 36.147836, 51.675922 36.147814, 51.676234 36.148061, 51.676401 36.148211, 51.676607 36.148335, 51.677056 36.149086"</f>
        <v>51.675093 36.147179, 51.675153 36.147686, 51.675326 36.147804, 51.675499 36.147841, 51.675809 36.147836, 51.675922 36.147814, 51.676234 36.148061, 51.676401 36.148211, 51.676607 36.148335, 51.677056 36.149086</v>
      </c>
      <c r="AM112" t="str">
        <f>"20000007997401"</f>
        <v>20000007997401</v>
      </c>
    </row>
    <row r="113" spans="1:39" x14ac:dyDescent="0.25">
      <c r="A113">
        <v>907</v>
      </c>
      <c r="B113" t="str">
        <f t="shared" si="39"/>
        <v>Курск</v>
      </c>
      <c r="C113">
        <v>824131</v>
      </c>
      <c r="D113" t="str">
        <f t="shared" si="40"/>
        <v>Оптический кабель</v>
      </c>
      <c r="E113" t="str">
        <f>"[46/1517] М 5.2.7 - ГОК5.2.4.1 Курск, Кулакова Пр-Кт, 3  п. 10"</f>
        <v>[46/1517] М 5.2.7 - ГОК5.2.4.1 Курск, Кулакова Пр-Кт, 3  п. 10</v>
      </c>
      <c r="F113" t="str">
        <f>"ДПТс-П-16А 2(6) 7кН (Мод:Кр,Нат)(Вол:Кр,Жел,Зел,..,Ор,Фиол)"</f>
        <v>ДПТс-П-16А 2(6) 7кН (Мод:Кр,Нат)(Вол:Кр,Жел,Зел,..,Ор,Фиол)</v>
      </c>
      <c r="G113" t="str">
        <f>""</f>
        <v/>
      </c>
      <c r="H113" t="str">
        <f t="shared" si="56"/>
        <v>МС 5.2</v>
      </c>
      <c r="I113">
        <v>107</v>
      </c>
      <c r="J113">
        <v>107</v>
      </c>
      <c r="K113">
        <v>0</v>
      </c>
      <c r="L113">
        <v>108</v>
      </c>
      <c r="M113" t="str">
        <f>"Воздушная трасса по стойкам"</f>
        <v>Воздушная трасса по стойкам</v>
      </c>
      <c r="N113" t="str">
        <f t="shared" si="57"/>
        <v>20.07.20122</v>
      </c>
      <c r="O113">
        <v>11</v>
      </c>
      <c r="P113">
        <v>10</v>
      </c>
      <c r="Q113" t="str">
        <f>""</f>
        <v/>
      </c>
      <c r="R113" t="str">
        <f>"Курск, Кулакова Пр-Кт, 3"</f>
        <v>Курск, Кулакова Пр-Кт, 3</v>
      </c>
      <c r="S113" t="str">
        <f>""</f>
        <v/>
      </c>
      <c r="T113" t="str">
        <f>"46/1517"</f>
        <v>46/1517</v>
      </c>
      <c r="U113" t="str">
        <f t="shared" si="50"/>
        <v>Магистральная ВОЛС</v>
      </c>
      <c r="V113" t="str">
        <f t="shared" si="58"/>
        <v>Нет</v>
      </c>
      <c r="W113" t="str">
        <f t="shared" si="58"/>
        <v>Нет</v>
      </c>
      <c r="X113" t="str">
        <f t="shared" si="58"/>
        <v>Нет</v>
      </c>
      <c r="Y113" t="str">
        <f t="shared" si="58"/>
        <v>Нет</v>
      </c>
      <c r="Z113" t="str">
        <f t="shared" si="51"/>
        <v>Нет</v>
      </c>
      <c r="AA113" t="str">
        <f>""</f>
        <v/>
      </c>
      <c r="AB113" t="str">
        <f t="shared" si="41"/>
        <v>Нет</v>
      </c>
      <c r="AC113" t="str">
        <f>"М 5.2.7 - ППК 5.2.4"</f>
        <v>М 5.2.7 - ППК 5.2.4</v>
      </c>
      <c r="AD113" t="str">
        <f t="shared" si="59"/>
        <v>28.04.2012</v>
      </c>
      <c r="AE113" t="str">
        <f>""</f>
        <v/>
      </c>
      <c r="AF113" t="str">
        <f>"[518886] М 5.2.7"</f>
        <v>[518886] М 5.2.7</v>
      </c>
      <c r="AG113" t="str">
        <f>"[382711] ГОК5.2.4.1 Курск, Кулакова Пр-Кт, 3  п. 10"</f>
        <v>[382711] ГОК5.2.4.1 Курск, Кулакова Пр-Кт, 3  п. 10</v>
      </c>
      <c r="AH113" t="str">
        <f>"М 5.2.7"</f>
        <v>М 5.2.7</v>
      </c>
      <c r="AI113" t="str">
        <f>"ППК 5.2.4"</f>
        <v>ППК 5.2.4</v>
      </c>
      <c r="AJ113" t="str">
        <f>""</f>
        <v/>
      </c>
      <c r="AK113" t="str">
        <f t="shared" si="43"/>
        <v>Нет</v>
      </c>
      <c r="AL113" t="str">
        <f>"51.675729 36.14414, 51.676254 36.144547, 51.676427 36.145084"</f>
        <v>51.675729 36.14414, 51.676254 36.144547, 51.676427 36.145084</v>
      </c>
      <c r="AM113" t="str">
        <f>"20000008014279"</f>
        <v>20000008014279</v>
      </c>
    </row>
    <row r="114" spans="1:39" x14ac:dyDescent="0.25">
      <c r="A114">
        <v>907</v>
      </c>
      <c r="B114" t="str">
        <f t="shared" si="39"/>
        <v>Курск</v>
      </c>
      <c r="C114">
        <v>824134</v>
      </c>
      <c r="D114" t="str">
        <f t="shared" si="40"/>
        <v>Оптический кабель</v>
      </c>
      <c r="E114" t="str">
        <f>"[46/1518] М 5.2.7 - М 5.2.8"</f>
        <v>[46/1518] М 5.2.7 - М 5.2.8</v>
      </c>
      <c r="F114" t="str">
        <f>"ДПТа-П-64А 6(6) 7кН (Кр,Жел,Зел,..,8-Фиол,9-Бел,..,Бир,Роз)"</f>
        <v>ДПТа-П-64А 6(6) 7кН (Кр,Жел,Зел,..,8-Фиол,9-Бел,..,Бир,Роз)</v>
      </c>
      <c r="G114" t="str">
        <f>""</f>
        <v/>
      </c>
      <c r="H114" t="str">
        <f t="shared" si="56"/>
        <v>МС 5.2</v>
      </c>
      <c r="I114">
        <v>331</v>
      </c>
      <c r="J114">
        <v>442</v>
      </c>
      <c r="K114">
        <v>0</v>
      </c>
      <c r="L114">
        <v>444</v>
      </c>
      <c r="M114" t="str">
        <f>"Опоры"</f>
        <v>Опоры</v>
      </c>
      <c r="N114" t="str">
        <f t="shared" si="57"/>
        <v>20.07.20122</v>
      </c>
      <c r="O114">
        <v>64</v>
      </c>
      <c r="P114">
        <v>64</v>
      </c>
      <c r="Q114" t="str">
        <f>""</f>
        <v/>
      </c>
      <c r="R114" t="str">
        <f>""</f>
        <v/>
      </c>
      <c r="S114" t="str">
        <f>""</f>
        <v/>
      </c>
      <c r="T114" t="str">
        <f>"46/1518"</f>
        <v>46/1518</v>
      </c>
      <c r="U114" t="str">
        <f t="shared" si="50"/>
        <v>Магистральная ВОЛС</v>
      </c>
      <c r="V114" t="str">
        <f t="shared" si="58"/>
        <v>Нет</v>
      </c>
      <c r="W114" t="str">
        <f t="shared" si="58"/>
        <v>Нет</v>
      </c>
      <c r="X114" t="str">
        <f t="shared" si="58"/>
        <v>Нет</v>
      </c>
      <c r="Y114" t="str">
        <f t="shared" si="58"/>
        <v>Нет</v>
      </c>
      <c r="Z114" t="str">
        <f t="shared" si="51"/>
        <v>Нет</v>
      </c>
      <c r="AA114" t="str">
        <f>""</f>
        <v/>
      </c>
      <c r="AB114" t="str">
        <f t="shared" si="41"/>
        <v>Нет</v>
      </c>
      <c r="AC114" t="str">
        <f>"М 5.2.7 - М 5.2.8"</f>
        <v>М 5.2.7 - М 5.2.8</v>
      </c>
      <c r="AD114" t="str">
        <f t="shared" si="59"/>
        <v>28.04.2012</v>
      </c>
      <c r="AE114" t="str">
        <f>""</f>
        <v/>
      </c>
      <c r="AF114" t="str">
        <f>"[518886] М 5.2.7"</f>
        <v>[518886] М 5.2.7</v>
      </c>
      <c r="AG114" t="str">
        <f>"[382801] М 5.2.8"</f>
        <v>[382801] М 5.2.8</v>
      </c>
      <c r="AH114" t="str">
        <f>"М 5.2.7"</f>
        <v>М 5.2.7</v>
      </c>
      <c r="AI114" t="str">
        <f>"М 5.2.8"</f>
        <v>М 5.2.8</v>
      </c>
      <c r="AJ114" t="str">
        <f>""</f>
        <v/>
      </c>
      <c r="AK114" t="str">
        <f t="shared" si="43"/>
        <v>Нет</v>
      </c>
      <c r="AL114" t="str">
        <f>"51.675723 36.144134, 51.675785 36.143877, 51.675988 36.144011, 51.676214 36.144156, 51.676374 36.143641, 51.676617 36.142917, 51.67678 36.142273, 51.676797 36.141997, 51.676604 36.141948, 51.676407 36.141814, 51.676181 36.141702, 51.675978 36.141546"</f>
        <v>51.675723 36.144134, 51.675785 36.143877, 51.675988 36.144011, 51.676214 36.144156, 51.676374 36.143641, 51.676617 36.142917, 51.67678 36.142273, 51.676797 36.141997, 51.676604 36.141948, 51.676407 36.141814, 51.676181 36.141702, 51.675978 36.141546</v>
      </c>
      <c r="AM114" t="str">
        <f>"20000008007446"</f>
        <v>20000008007446</v>
      </c>
    </row>
    <row r="115" spans="1:39" x14ac:dyDescent="0.25">
      <c r="A115">
        <v>907</v>
      </c>
      <c r="B115" t="str">
        <f t="shared" si="39"/>
        <v>Курск</v>
      </c>
      <c r="C115">
        <v>824144</v>
      </c>
      <c r="D115" t="str">
        <f t="shared" si="40"/>
        <v>Оптический кабель</v>
      </c>
      <c r="E115" t="str">
        <f>"[46/1520] М 5.2.8 - ГОК5.2.5.1 Курск, Серегина, 47 а п. 3"</f>
        <v>[46/1520] М 5.2.8 - ГОК5.2.5.1 Курск, Серегина, 47 а п. 3</v>
      </c>
      <c r="F115" t="str">
        <f>"ДПТс-П-16А 2(6) 7кН (Мод:Кр,Нат)(Вол:Кр,Жел,Зел,..,Ор,Фиол)"</f>
        <v>ДПТс-П-16А 2(6) 7кН (Мод:Кр,Нат)(Вол:Кр,Жел,Зел,..,Ор,Фиол)</v>
      </c>
      <c r="G115" t="str">
        <f>""</f>
        <v/>
      </c>
      <c r="H115" t="str">
        <f t="shared" si="56"/>
        <v>МС 5.2</v>
      </c>
      <c r="I115">
        <v>267</v>
      </c>
      <c r="J115">
        <v>270</v>
      </c>
      <c r="K115">
        <v>0</v>
      </c>
      <c r="L115">
        <v>272</v>
      </c>
      <c r="M115" t="str">
        <f>"Опоры"</f>
        <v>Опоры</v>
      </c>
      <c r="N115" t="str">
        <f t="shared" si="57"/>
        <v>20.07.20122</v>
      </c>
      <c r="O115">
        <v>10</v>
      </c>
      <c r="P115">
        <v>10</v>
      </c>
      <c r="Q115" t="str">
        <f>""</f>
        <v/>
      </c>
      <c r="R115" t="str">
        <f>"Курск, Серегина, 47 а"</f>
        <v>Курск, Серегина, 47 а</v>
      </c>
      <c r="S115" t="str">
        <f>""</f>
        <v/>
      </c>
      <c r="T115" t="str">
        <f>"46/1520"</f>
        <v>46/1520</v>
      </c>
      <c r="U115" t="str">
        <f t="shared" si="50"/>
        <v>Магистральная ВОЛС</v>
      </c>
      <c r="V115" t="str">
        <f t="shared" si="58"/>
        <v>Нет</v>
      </c>
      <c r="W115" t="str">
        <f t="shared" si="58"/>
        <v>Нет</v>
      </c>
      <c r="X115" t="str">
        <f t="shared" si="58"/>
        <v>Нет</v>
      </c>
      <c r="Y115" t="str">
        <f t="shared" si="58"/>
        <v>Нет</v>
      </c>
      <c r="Z115" t="str">
        <f t="shared" si="51"/>
        <v>Нет</v>
      </c>
      <c r="AA115" t="str">
        <f>""</f>
        <v/>
      </c>
      <c r="AB115" t="str">
        <f t="shared" si="41"/>
        <v>Нет</v>
      </c>
      <c r="AC115" t="str">
        <f>"М 5.2.8 - ППК 5.2.5"</f>
        <v>М 5.2.8 - ППК 5.2.5</v>
      </c>
      <c r="AD115" t="str">
        <f t="shared" si="59"/>
        <v>28.04.2012</v>
      </c>
      <c r="AE115" t="str">
        <f>""</f>
        <v/>
      </c>
      <c r="AF115" t="str">
        <f>"[382801] М 5.2.8"</f>
        <v>[382801] М 5.2.8</v>
      </c>
      <c r="AG115" t="str">
        <f>"[382633] ГОК5.2.5.1 Курск, Серегина, 47 а п. 3"</f>
        <v>[382633] ГОК5.2.5.1 Курск, Серегина, 47 а п. 3</v>
      </c>
      <c r="AH115" t="str">
        <f>"М 5.2.8"</f>
        <v>М 5.2.8</v>
      </c>
      <c r="AI115" t="str">
        <f>"ППК 5.2.5"</f>
        <v>ППК 5.2.5</v>
      </c>
      <c r="AJ115" t="str">
        <f>""</f>
        <v/>
      </c>
      <c r="AK115" t="str">
        <f t="shared" si="43"/>
        <v>Нет</v>
      </c>
      <c r="AL115" t="str">
        <f>"51.675978 36.141546, 51.676181 36.141702, 51.676407 36.141814, 51.676604 36.141948, 51.676797 36.141997, 51.676763 36.142241, 51.676604 36.142884, 51.677046 36.143308, 51.677449 36.143577"</f>
        <v>51.675978 36.141546, 51.676181 36.141702, 51.676407 36.141814, 51.676604 36.141948, 51.676797 36.141997, 51.676763 36.142241, 51.676604 36.142884, 51.677046 36.143308, 51.677449 36.143577</v>
      </c>
      <c r="AM115" t="str">
        <f>"20000008047923"</f>
        <v>20000008047923</v>
      </c>
    </row>
    <row r="116" spans="1:39" x14ac:dyDescent="0.25">
      <c r="A116">
        <v>907</v>
      </c>
      <c r="B116" t="str">
        <f t="shared" si="39"/>
        <v>Курск</v>
      </c>
      <c r="C116">
        <v>824147</v>
      </c>
      <c r="D116" t="str">
        <f t="shared" si="40"/>
        <v>Оптический кабель</v>
      </c>
      <c r="E116" t="str">
        <f>"[46/1521] М 5.2.10 - ГОК5.2.7.1 Курск, Серегина, 31  п. 3"</f>
        <v>[46/1521] М 5.2.10 - ГОК5.2.7.1 Курск, Серегина, 31  п. 3</v>
      </c>
      <c r="F116" t="str">
        <f>"ДПТс-П-16А 2(6) 7кН (Мод:Кр,Нат)(Вол:Кр,Жел,Зел,..,Ор,Фиол)"</f>
        <v>ДПТс-П-16А 2(6) 7кН (Мод:Кр,Нат)(Вол:Кр,Жел,Зел,..,Ор,Фиол)</v>
      </c>
      <c r="G116" t="str">
        <f>""</f>
        <v/>
      </c>
      <c r="H116" t="str">
        <f t="shared" si="56"/>
        <v>МС 5.2</v>
      </c>
      <c r="I116">
        <v>104</v>
      </c>
      <c r="J116">
        <v>170</v>
      </c>
      <c r="K116">
        <v>65</v>
      </c>
      <c r="L116">
        <v>171</v>
      </c>
      <c r="M116" t="str">
        <f>"Воздушная трасса по стойкам"</f>
        <v>Воздушная трасса по стойкам</v>
      </c>
      <c r="N116" t="str">
        <f t="shared" si="57"/>
        <v>20.07.20122</v>
      </c>
      <c r="O116">
        <v>10</v>
      </c>
      <c r="P116">
        <v>10</v>
      </c>
      <c r="Q116" t="str">
        <f>""</f>
        <v/>
      </c>
      <c r="R116" t="str">
        <f>"Курск, Серегина, 31"</f>
        <v>Курск, Серегина, 31</v>
      </c>
      <c r="S116" t="str">
        <f>""</f>
        <v/>
      </c>
      <c r="T116" t="str">
        <f>"46/1521"</f>
        <v>46/1521</v>
      </c>
      <c r="U116" t="str">
        <f t="shared" si="50"/>
        <v>Магистральная ВОЛС</v>
      </c>
      <c r="V116" t="str">
        <f t="shared" si="58"/>
        <v>Нет</v>
      </c>
      <c r="W116" t="str">
        <f t="shared" si="58"/>
        <v>Нет</v>
      </c>
      <c r="X116" t="str">
        <f t="shared" si="58"/>
        <v>Нет</v>
      </c>
      <c r="Y116" t="str">
        <f t="shared" si="58"/>
        <v>Нет</v>
      </c>
      <c r="Z116" t="str">
        <f t="shared" si="51"/>
        <v>Нет</v>
      </c>
      <c r="AA116" t="str">
        <f>""</f>
        <v/>
      </c>
      <c r="AB116" t="str">
        <f t="shared" si="41"/>
        <v>Нет</v>
      </c>
      <c r="AC116" t="str">
        <f>"М 5.2.9 - ППК 5.2.7"</f>
        <v>М 5.2.9 - ППК 5.2.7</v>
      </c>
      <c r="AD116" t="str">
        <f t="shared" si="59"/>
        <v>28.04.2012</v>
      </c>
      <c r="AE116" t="str">
        <f>""</f>
        <v/>
      </c>
      <c r="AF116" t="str">
        <f>"[382793] М 5.2.10"</f>
        <v>[382793] М 5.2.10</v>
      </c>
      <c r="AG116" t="str">
        <f>"[382698] ГОК5.2.7.1 Курск, Серегина, 31  п. 3"</f>
        <v>[382698] ГОК5.2.7.1 Курск, Серегина, 31  п. 3</v>
      </c>
      <c r="AH116" t="str">
        <f>"М 5.2.9"</f>
        <v>М 5.2.9</v>
      </c>
      <c r="AI116" t="str">
        <f>"ППК 5.2.7"</f>
        <v>ППК 5.2.7</v>
      </c>
      <c r="AJ116" t="str">
        <f>""</f>
        <v/>
      </c>
      <c r="AK116" t="str">
        <f t="shared" si="43"/>
        <v>Нет</v>
      </c>
      <c r="AL116" t="str">
        <f>"51.673843 36.138884, 51.67401 36.139029, 51.674415 36.140041"</f>
        <v>51.673843 36.138884, 51.67401 36.139029, 51.674415 36.140041</v>
      </c>
      <c r="AM116" t="str">
        <f>"20000008004358"</f>
        <v>20000008004358</v>
      </c>
    </row>
    <row r="117" spans="1:39" x14ac:dyDescent="0.25">
      <c r="A117">
        <v>907</v>
      </c>
      <c r="B117" t="str">
        <f t="shared" si="39"/>
        <v>Курск</v>
      </c>
      <c r="C117">
        <v>824183</v>
      </c>
      <c r="D117" t="str">
        <f t="shared" si="40"/>
        <v>Оптический кабель</v>
      </c>
      <c r="E117" t="str">
        <f>"[46/1522] М 5.2.9 - ГОК5.2.9.1 Курск, Ламоновская 1-Я, 2  п. 2"</f>
        <v>[46/1522] М 5.2.9 - ГОК5.2.9.1 Курск, Ламоновская 1-Я, 2  п. 2</v>
      </c>
      <c r="F117" t="str">
        <f>"ДПТс-П-16А 2(6) 7кН (Мод:Кр,Нат)(Вол:Кр,Жел,Зел,..,Ор,Фиол)"</f>
        <v>ДПТс-П-16А 2(6) 7кН (Мод:Кр,Нат)(Вол:Кр,Жел,Зел,..,Ор,Фиол)</v>
      </c>
      <c r="G117" t="str">
        <f>""</f>
        <v/>
      </c>
      <c r="H117" t="str">
        <f t="shared" si="56"/>
        <v>МС 5.2</v>
      </c>
      <c r="I117">
        <v>502</v>
      </c>
      <c r="J117">
        <v>500</v>
      </c>
      <c r="K117">
        <v>0</v>
      </c>
      <c r="L117">
        <v>503</v>
      </c>
      <c r="M117" t="str">
        <f>"Опоры"</f>
        <v>Опоры</v>
      </c>
      <c r="N117" t="str">
        <f t="shared" si="57"/>
        <v>20.07.20122</v>
      </c>
      <c r="O117">
        <v>10</v>
      </c>
      <c r="P117">
        <v>10</v>
      </c>
      <c r="Q117" t="str">
        <f>""</f>
        <v/>
      </c>
      <c r="R117" t="str">
        <f>"Курск, Ламоновская 1-Я, 2"</f>
        <v>Курск, Ламоновская 1-Я, 2</v>
      </c>
      <c r="S117" t="str">
        <f>""</f>
        <v/>
      </c>
      <c r="T117" t="str">
        <f>"46/1522"</f>
        <v>46/1522</v>
      </c>
      <c r="U117" t="str">
        <f t="shared" si="50"/>
        <v>Магистральная ВОЛС</v>
      </c>
      <c r="V117" t="str">
        <f t="shared" si="58"/>
        <v>Нет</v>
      </c>
      <c r="W117" t="str">
        <f t="shared" si="58"/>
        <v>Нет</v>
      </c>
      <c r="X117" t="str">
        <f t="shared" si="58"/>
        <v>Нет</v>
      </c>
      <c r="Y117" t="str">
        <f t="shared" si="58"/>
        <v>Нет</v>
      </c>
      <c r="Z117" t="str">
        <f t="shared" si="51"/>
        <v>Нет</v>
      </c>
      <c r="AA117" t="str">
        <f>""</f>
        <v/>
      </c>
      <c r="AB117" t="str">
        <f t="shared" si="41"/>
        <v>Нет</v>
      </c>
      <c r="AC117" t="str">
        <f>"М 5.2.9 - ППК 5.2.9"</f>
        <v>М 5.2.9 - ППК 5.2.9</v>
      </c>
      <c r="AD117" t="str">
        <f t="shared" si="59"/>
        <v>28.04.2012</v>
      </c>
      <c r="AE117" t="str">
        <f>""</f>
        <v/>
      </c>
      <c r="AF117" t="str">
        <f>"[382797] М 5.2.9"</f>
        <v>[382797] М 5.2.9</v>
      </c>
      <c r="AG117" t="str">
        <f>"[382685] ГОК5.2.9.1 Курск, Ламоновская 1-Я, 2  п. 2"</f>
        <v>[382685] ГОК5.2.9.1 Курск, Ламоновская 1-Я, 2  п. 2</v>
      </c>
      <c r="AH117" t="str">
        <f>"М 5.2.9"</f>
        <v>М 5.2.9</v>
      </c>
      <c r="AI117" t="str">
        <f>"ППК 5.2.9"</f>
        <v>ППК 5.2.9</v>
      </c>
      <c r="AJ117" t="str">
        <f>""</f>
        <v/>
      </c>
      <c r="AK117" t="str">
        <f t="shared" si="43"/>
        <v>Нет</v>
      </c>
      <c r="AL117" t="s">
        <v>28</v>
      </c>
      <c r="AM117" t="str">
        <f>"20000008014278"</f>
        <v>20000008014278</v>
      </c>
    </row>
    <row r="118" spans="1:39" x14ac:dyDescent="0.25">
      <c r="A118">
        <v>907</v>
      </c>
      <c r="B118" t="str">
        <f t="shared" si="39"/>
        <v>Курск</v>
      </c>
      <c r="C118">
        <v>824213</v>
      </c>
      <c r="D118" t="str">
        <f t="shared" si="40"/>
        <v>Оптический кабель</v>
      </c>
      <c r="E118" t="str">
        <f>"[46/1525] М 5.2.11 - ОК3.2 ППК5.2.8 Курск, Кулакова Пр-Кт, 5  п. 2"</f>
        <v>[46/1525] М 5.2.11 - ОК3.2 ППК5.2.8 Курск, Кулакова Пр-Кт, 5  п. 2</v>
      </c>
      <c r="F118" t="str">
        <f>"ДПТс-П-16А 2(6) 7кН (Мод:Кр,Нат)(Вол:Кр,Жел,Зел,..,Ор,Фиол)"</f>
        <v>ДПТс-П-16А 2(6) 7кН (Мод:Кр,Нат)(Вол:Кр,Жел,Зел,..,Ор,Фиол)</v>
      </c>
      <c r="G118" t="str">
        <f>""</f>
        <v/>
      </c>
      <c r="H118" t="str">
        <f t="shared" si="56"/>
        <v>МС 5.2</v>
      </c>
      <c r="I118">
        <v>394</v>
      </c>
      <c r="J118">
        <v>594</v>
      </c>
      <c r="K118">
        <v>198</v>
      </c>
      <c r="L118">
        <v>596</v>
      </c>
      <c r="M118" t="str">
        <f>"Опоры"</f>
        <v>Опоры</v>
      </c>
      <c r="N118" t="str">
        <f t="shared" si="57"/>
        <v>20.07.20122</v>
      </c>
      <c r="O118">
        <v>10</v>
      </c>
      <c r="P118">
        <v>10</v>
      </c>
      <c r="Q118" t="str">
        <f>""</f>
        <v/>
      </c>
      <c r="R118" t="str">
        <f>"Курск, Кулакова Пр-Кт, 5"</f>
        <v>Курск, Кулакова Пр-Кт, 5</v>
      </c>
      <c r="S118" t="str">
        <f>""</f>
        <v/>
      </c>
      <c r="T118" t="str">
        <f>"46/1525"</f>
        <v>46/1525</v>
      </c>
      <c r="U118" t="str">
        <f t="shared" si="50"/>
        <v>Магистральная ВОЛС</v>
      </c>
      <c r="V118" t="str">
        <f t="shared" si="58"/>
        <v>Нет</v>
      </c>
      <c r="W118" t="str">
        <f t="shared" si="58"/>
        <v>Нет</v>
      </c>
      <c r="X118" t="str">
        <f t="shared" si="58"/>
        <v>Нет</v>
      </c>
      <c r="Y118" t="str">
        <f t="shared" si="58"/>
        <v>Нет</v>
      </c>
      <c r="Z118" t="str">
        <f t="shared" si="51"/>
        <v>Нет</v>
      </c>
      <c r="AA118" t="str">
        <f>""</f>
        <v/>
      </c>
      <c r="AB118" t="str">
        <f t="shared" si="41"/>
        <v>Нет</v>
      </c>
      <c r="AC118" t="str">
        <f>"М 5.2.11 - ППК 5.2.8"</f>
        <v>М 5.2.11 - ППК 5.2.8</v>
      </c>
      <c r="AD118" t="str">
        <f t="shared" si="59"/>
        <v>28.04.2012</v>
      </c>
      <c r="AE118" t="str">
        <f>""</f>
        <v/>
      </c>
      <c r="AF118" t="str">
        <f>"[382789] М 5.2.11"</f>
        <v>[382789] М 5.2.11</v>
      </c>
      <c r="AG118" t="str">
        <f>"[382672] ОК3.2 ППК5.2.8 Курск, Кулакова Пр-Кт, 5  п. 2"</f>
        <v>[382672] ОК3.2 ППК5.2.8 Курск, Кулакова Пр-Кт, 5  п. 2</v>
      </c>
      <c r="AH118" t="str">
        <f>"М 5.2.11"</f>
        <v>М 5.2.11</v>
      </c>
      <c r="AI118" t="str">
        <f>"ППК 5.2.8"</f>
        <v>ППК 5.2.8</v>
      </c>
      <c r="AJ118" t="str">
        <f>""</f>
        <v/>
      </c>
      <c r="AK118" t="str">
        <f t="shared" si="43"/>
        <v>Нет</v>
      </c>
      <c r="AL118" t="s">
        <v>29</v>
      </c>
      <c r="AM118" t="str">
        <f>"20000008043845"</f>
        <v>20000008043845</v>
      </c>
    </row>
    <row r="119" spans="1:39" x14ac:dyDescent="0.25">
      <c r="A119">
        <v>907</v>
      </c>
      <c r="B119" t="str">
        <f t="shared" si="39"/>
        <v>Курск</v>
      </c>
      <c r="C119">
        <v>824216</v>
      </c>
      <c r="D119" t="str">
        <f t="shared" si="40"/>
        <v>Оптический кабель</v>
      </c>
      <c r="E119" t="str">
        <f>"[46/1526] ОК3.2 ППК5.2.8 Курск, Кулакова Пр-Кт, 5  п. 2 - ГОК5.2.8.1 Курск, Кулакова Пр-Кт, 5  п. 10"</f>
        <v>[46/1526] ОК3.2 ППК5.2.8 Курск, Кулакова Пр-Кт, 5  п. 2 - ГОК5.2.8.1 Курск, Кулакова Пр-Кт, 5  п. 10</v>
      </c>
      <c r="F119" t="str">
        <f>"ДПТс-П-08А 1(6) 7кН (Кр,Жел,Зел,Син,Кор,Чер,Ор,Фиол)"</f>
        <v>ДПТс-П-08А 1(6) 7кН (Кр,Жел,Зел,Син,Кор,Чер,Ор,Фиол)</v>
      </c>
      <c r="G119" t="str">
        <f>""</f>
        <v/>
      </c>
      <c r="H119" t="str">
        <f t="shared" si="56"/>
        <v>МС 5.2</v>
      </c>
      <c r="I119">
        <v>195</v>
      </c>
      <c r="J119">
        <v>317</v>
      </c>
      <c r="K119">
        <v>120</v>
      </c>
      <c r="L119">
        <v>318</v>
      </c>
      <c r="M119" t="str">
        <f>"Воздушная трасса по стойкам"</f>
        <v>Воздушная трасса по стойкам</v>
      </c>
      <c r="N119" t="str">
        <f t="shared" si="57"/>
        <v>20.07.20122</v>
      </c>
      <c r="O119">
        <v>8</v>
      </c>
      <c r="P119">
        <v>6</v>
      </c>
      <c r="Q119" t="str">
        <f>"Курск, Кулакова Пр-Кт, 5"</f>
        <v>Курск, Кулакова Пр-Кт, 5</v>
      </c>
      <c r="R119" t="str">
        <f>"Курск, Кулакова Пр-Кт, 5"</f>
        <v>Курск, Кулакова Пр-Кт, 5</v>
      </c>
      <c r="S119" t="str">
        <f>""</f>
        <v/>
      </c>
      <c r="T119" t="str">
        <f>"46/1526"</f>
        <v>46/1526</v>
      </c>
      <c r="U119" t="str">
        <f t="shared" si="50"/>
        <v>Магистральная ВОЛС</v>
      </c>
      <c r="V119" t="str">
        <f t="shared" si="58"/>
        <v>Нет</v>
      </c>
      <c r="W119" t="str">
        <f t="shared" si="58"/>
        <v>Нет</v>
      </c>
      <c r="X119" t="str">
        <f t="shared" si="58"/>
        <v>Нет</v>
      </c>
      <c r="Y119" t="str">
        <f t="shared" si="58"/>
        <v>Нет</v>
      </c>
      <c r="Z119" t="str">
        <f t="shared" si="51"/>
        <v>Нет</v>
      </c>
      <c r="AA119" t="str">
        <f>""</f>
        <v/>
      </c>
      <c r="AB119" t="str">
        <f t="shared" si="41"/>
        <v>Нет</v>
      </c>
      <c r="AC119" t="str">
        <f>"ППК 5.2.8 - ППК 5.2.8 ОУ3"</f>
        <v>ППК 5.2.8 - ППК 5.2.8 ОУ3</v>
      </c>
      <c r="AD119" t="str">
        <f t="shared" si="59"/>
        <v>28.04.2012</v>
      </c>
      <c r="AE119" t="str">
        <f>""</f>
        <v/>
      </c>
      <c r="AF119" t="str">
        <f>"[382672] ОК3.2 ППК5.2.8 Курск, Кулакова Пр-Кт, 5  п. 2"</f>
        <v>[382672] ОК3.2 ППК5.2.8 Курск, Кулакова Пр-Кт, 5  п. 2</v>
      </c>
      <c r="AG119" t="str">
        <f>"[382659] ГОК5.2.8.1 Курск, Кулакова Пр-Кт, 5  п. 10"</f>
        <v>[382659] ГОК5.2.8.1 Курск, Кулакова Пр-Кт, 5  п. 10</v>
      </c>
      <c r="AH119" t="str">
        <f>"ППК 5.2.8"</f>
        <v>ППК 5.2.8</v>
      </c>
      <c r="AI119" t="str">
        <f>"ППК 5.2.8 ОУ3"</f>
        <v>ППК 5.2.8 ОУ3</v>
      </c>
      <c r="AJ119" t="str">
        <f>""</f>
        <v/>
      </c>
      <c r="AK119" t="str">
        <f t="shared" si="43"/>
        <v>Нет</v>
      </c>
      <c r="AL119" t="str">
        <f>"51.67323 36.143083, 51.674874 36.144086"</f>
        <v>51.67323 36.143083, 51.674874 36.144086</v>
      </c>
      <c r="AM119" t="str">
        <f>"20000008020173"</f>
        <v>20000008020173</v>
      </c>
    </row>
    <row r="120" spans="1:39" x14ac:dyDescent="0.25">
      <c r="A120">
        <v>907</v>
      </c>
      <c r="B120" t="str">
        <f t="shared" si="39"/>
        <v>Курск</v>
      </c>
      <c r="C120">
        <v>824222</v>
      </c>
      <c r="D120" t="str">
        <f t="shared" si="40"/>
        <v>Оптический кабель</v>
      </c>
      <c r="E120" t="str">
        <f>"[46/1527] М 5.2.4 - OK6.2 ППК 5.2.1 Курск, Обоянская, 13 а п. 2"</f>
        <v>[46/1527] М 5.2.4 - OK6.2 ППК 5.2.1 Курск, Обоянская, 13 а п. 2</v>
      </c>
      <c r="F120" t="str">
        <f>"ДПТс-П-16А 2(6) 7кН (Мод:Кр,Нат)(Вол:Кр,Жел,Зел,..,Ор,Фиол)"</f>
        <v>ДПТс-П-16А 2(6) 7кН (Мод:Кр,Нат)(Вол:Кр,Жел,Зел,..,Ор,Фиол)</v>
      </c>
      <c r="G120" t="str">
        <f>""</f>
        <v/>
      </c>
      <c r="H120" t="str">
        <f t="shared" si="56"/>
        <v>МС 5.2</v>
      </c>
      <c r="I120">
        <v>89</v>
      </c>
      <c r="J120">
        <v>160</v>
      </c>
      <c r="K120">
        <v>60</v>
      </c>
      <c r="L120">
        <v>160</v>
      </c>
      <c r="M120" t="str">
        <f>"Воздушная трасса по стойкам"</f>
        <v>Воздушная трасса по стойкам</v>
      </c>
      <c r="N120" t="str">
        <f t="shared" si="57"/>
        <v>20.07.20122</v>
      </c>
      <c r="O120">
        <v>8</v>
      </c>
      <c r="P120">
        <v>8</v>
      </c>
      <c r="Q120" t="str">
        <f>""</f>
        <v/>
      </c>
      <c r="R120" t="str">
        <f>"Курск, Обоянская, 13 а"</f>
        <v>Курск, Обоянская, 13 а</v>
      </c>
      <c r="S120" t="str">
        <f>""</f>
        <v/>
      </c>
      <c r="T120" t="str">
        <f>"46/1527"</f>
        <v>46/1527</v>
      </c>
      <c r="U120" t="str">
        <f t="shared" si="50"/>
        <v>Магистральная ВОЛС</v>
      </c>
      <c r="V120" t="str">
        <f t="shared" si="58"/>
        <v>Нет</v>
      </c>
      <c r="W120" t="str">
        <f t="shared" si="58"/>
        <v>Нет</v>
      </c>
      <c r="X120" t="str">
        <f t="shared" si="58"/>
        <v>Нет</v>
      </c>
      <c r="Y120" t="str">
        <f t="shared" si="58"/>
        <v>Нет</v>
      </c>
      <c r="Z120" t="str">
        <f t="shared" si="51"/>
        <v>Нет</v>
      </c>
      <c r="AA120" t="str">
        <f>""</f>
        <v/>
      </c>
      <c r="AB120" t="str">
        <f t="shared" si="41"/>
        <v>Нет</v>
      </c>
      <c r="AC120" t="str">
        <f>"М 5.2.4 - ППК 5.2.1 ОУ6"</f>
        <v>М 5.2.4 - ППК 5.2.1 ОУ6</v>
      </c>
      <c r="AD120" t="str">
        <f t="shared" si="59"/>
        <v>28.04.2012</v>
      </c>
      <c r="AE120" t="str">
        <f>""</f>
        <v/>
      </c>
      <c r="AF120" t="str">
        <f>"[382821] М 5.2.4"</f>
        <v>[382821] М 5.2.4</v>
      </c>
      <c r="AG120" t="str">
        <f>"[382646] OK6.2 ППК 5.2.1 Курск, Обоянская, 13 а п. 2"</f>
        <v>[382646] OK6.2 ППК 5.2.1 Курск, Обоянская, 13 а п. 2</v>
      </c>
      <c r="AH120" t="str">
        <f>"М 5.2.4"</f>
        <v>М 5.2.4</v>
      </c>
      <c r="AI120" t="str">
        <f>"ППК 5.2.1 ОУ6"</f>
        <v>ППК 5.2.1 ОУ6</v>
      </c>
      <c r="AJ120" t="str">
        <f>""</f>
        <v/>
      </c>
      <c r="AK120" t="str">
        <f t="shared" si="43"/>
        <v>Нет</v>
      </c>
      <c r="AL120" t="str">
        <f>"51.671936 36.151714, 51.671783 36.151183, 51.671614 36.151087, 51.671371 36.150936"</f>
        <v>51.671936 36.151714, 51.671783 36.151183, 51.671614 36.151087, 51.671371 36.150936</v>
      </c>
      <c r="AM120" t="str">
        <f>"20000008030134"</f>
        <v>20000008030134</v>
      </c>
    </row>
    <row r="121" spans="1:39" x14ac:dyDescent="0.25">
      <c r="A121">
        <v>907</v>
      </c>
      <c r="B121" t="str">
        <f t="shared" si="39"/>
        <v>Курск</v>
      </c>
      <c r="C121">
        <v>824225</v>
      </c>
      <c r="D121" t="str">
        <f t="shared" si="40"/>
        <v>Оптический кабель</v>
      </c>
      <c r="E121" t="str">
        <f>"[46/1528] М 5.2.11 - МОК5.2.2 Курск, Гагарина, 26 а п. "</f>
        <v xml:space="preserve">[46/1528] М 5.2.11 - МОК5.2.2 Курск, Гагарина, 26 а п. </v>
      </c>
      <c r="F121" t="str">
        <f>"ДПТа-П-64А 6(6) 7кН (Кр,Жел,Зел,..,8-Фиол,9-Бел,..,Бир,Роз)"</f>
        <v>ДПТа-П-64А 6(6) 7кН (Кр,Жел,Зел,..,8-Фиол,9-Бел,..,Бир,Роз)</v>
      </c>
      <c r="G121" t="str">
        <f>""</f>
        <v/>
      </c>
      <c r="H121" t="str">
        <f t="shared" si="56"/>
        <v>МС 5.2</v>
      </c>
      <c r="I121">
        <v>754</v>
      </c>
      <c r="J121">
        <v>950</v>
      </c>
      <c r="K121">
        <v>120</v>
      </c>
      <c r="L121">
        <v>953</v>
      </c>
      <c r="M121" t="str">
        <f>"Опоры"</f>
        <v>Опоры</v>
      </c>
      <c r="N121" t="str">
        <f t="shared" si="57"/>
        <v>20.07.20122</v>
      </c>
      <c r="O121">
        <v>64</v>
      </c>
      <c r="P121">
        <v>64</v>
      </c>
      <c r="Q121" t="str">
        <f>""</f>
        <v/>
      </c>
      <c r="R121" t="str">
        <f>"Курск, Гагарина, 26 а"</f>
        <v>Курск, Гагарина, 26 а</v>
      </c>
      <c r="S121" t="str">
        <f>""</f>
        <v/>
      </c>
      <c r="T121" t="str">
        <f>"46/1528"</f>
        <v>46/1528</v>
      </c>
      <c r="U121" t="str">
        <f t="shared" ref="U121:U150" si="60">"Магистральная ВОЛС"</f>
        <v>Магистральная ВОЛС</v>
      </c>
      <c r="V121" t="str">
        <f t="shared" si="58"/>
        <v>Нет</v>
      </c>
      <c r="W121" t="str">
        <f t="shared" si="58"/>
        <v>Нет</v>
      </c>
      <c r="X121" t="str">
        <f t="shared" si="58"/>
        <v>Нет</v>
      </c>
      <c r="Y121" t="str">
        <f t="shared" si="58"/>
        <v>Нет</v>
      </c>
      <c r="Z121" t="str">
        <f t="shared" ref="Z121:Z152" si="61">"Нет"</f>
        <v>Нет</v>
      </c>
      <c r="AA121" t="str">
        <f>""</f>
        <v/>
      </c>
      <c r="AB121" t="str">
        <f t="shared" si="41"/>
        <v>Нет</v>
      </c>
      <c r="AC121" t="str">
        <f>"М 5.2.11 - МС-5.2 обратка"</f>
        <v>М 5.2.11 - МС-5.2 обратка</v>
      </c>
      <c r="AD121" t="str">
        <f t="shared" si="59"/>
        <v>28.04.2012</v>
      </c>
      <c r="AE121" t="str">
        <f>""</f>
        <v/>
      </c>
      <c r="AF121" t="str">
        <f>"[382789] М 5.2.11"</f>
        <v>[382789] М 5.2.11</v>
      </c>
      <c r="AG121" t="str">
        <f>"[484315] МОК5.2.2 Курск, Гагарина, 26 а п."</f>
        <v>[484315] МОК5.2.2 Курск, Гагарина, 26 а п.</v>
      </c>
      <c r="AH121" t="str">
        <f>"М 5.2.11"</f>
        <v>М 5.2.11</v>
      </c>
      <c r="AI121" t="str">
        <f>"МС-5.2 обратка"</f>
        <v>МС-5.2 обратка</v>
      </c>
      <c r="AJ121" t="str">
        <f>""</f>
        <v/>
      </c>
      <c r="AK121" t="str">
        <f t="shared" si="43"/>
        <v>Нет</v>
      </c>
      <c r="AL121" t="s">
        <v>30</v>
      </c>
      <c r="AM121" t="str">
        <f>"20000008045139"</f>
        <v>20000008045139</v>
      </c>
    </row>
    <row r="122" spans="1:39" x14ac:dyDescent="0.25">
      <c r="A122">
        <v>907</v>
      </c>
      <c r="B122" t="str">
        <f t="shared" si="39"/>
        <v>Курск</v>
      </c>
      <c r="C122">
        <v>828303</v>
      </c>
      <c r="D122" t="str">
        <f t="shared" si="40"/>
        <v>Оптический кабель</v>
      </c>
      <c r="E122" t="str">
        <f>"[46/1566] МОК3.2.1 Курск, Карла Маркса, 62 /21 п. 1 - М 3.2.1"</f>
        <v>[46/1566] МОК3.2.1 Курск, Карла Маркса, 62 /21 п. 1 - М 3.2.1</v>
      </c>
      <c r="F122" t="str">
        <f>"ДПТа-П-64А 6(6) 7кН (Кр,Жел,Зел,..,8-Фиол,9-Бел,..,Бир,Роз)"</f>
        <v>ДПТа-П-64А 6(6) 7кН (Кр,Жел,Зел,..,8-Фиол,9-Бел,..,Бир,Роз)</v>
      </c>
      <c r="G122" t="str">
        <f>""</f>
        <v/>
      </c>
      <c r="H122" t="str">
        <f t="shared" ref="H122:H128" si="62">"МС 3.2"</f>
        <v>МС 3.2</v>
      </c>
      <c r="I122">
        <v>102</v>
      </c>
      <c r="J122">
        <v>170</v>
      </c>
      <c r="K122">
        <v>60</v>
      </c>
      <c r="L122">
        <v>172</v>
      </c>
      <c r="M122" t="str">
        <f>"Воздушная трасса по стойкам"</f>
        <v>Воздушная трасса по стойкам</v>
      </c>
      <c r="N122" t="str">
        <f t="shared" ref="N122:N128" si="63">"09.08.20122"</f>
        <v>09.08.20122</v>
      </c>
      <c r="O122">
        <v>64</v>
      </c>
      <c r="P122">
        <v>64</v>
      </c>
      <c r="Q122" t="str">
        <f>"Курск, Карла Маркса, 62 /21"</f>
        <v>Курск, Карла Маркса, 62 /21</v>
      </c>
      <c r="R122" t="str">
        <f>""</f>
        <v/>
      </c>
      <c r="S122" t="str">
        <f>""</f>
        <v/>
      </c>
      <c r="T122" t="str">
        <f>"46/1566"</f>
        <v>46/1566</v>
      </c>
      <c r="U122" t="str">
        <f t="shared" si="60"/>
        <v>Магистральная ВОЛС</v>
      </c>
      <c r="V122" t="str">
        <f t="shared" si="58"/>
        <v>Нет</v>
      </c>
      <c r="W122" t="str">
        <f t="shared" si="58"/>
        <v>Нет</v>
      </c>
      <c r="X122" t="str">
        <f t="shared" si="58"/>
        <v>Нет</v>
      </c>
      <c r="Y122" t="str">
        <f t="shared" si="58"/>
        <v>Нет</v>
      </c>
      <c r="Z122" t="str">
        <f t="shared" si="61"/>
        <v>Нет</v>
      </c>
      <c r="AA122" t="str">
        <f>""</f>
        <v/>
      </c>
      <c r="AB122" t="str">
        <f t="shared" si="41"/>
        <v>Нет</v>
      </c>
      <c r="AC122" t="str">
        <f>"КРС МС-3.2 - М 3.2.1"</f>
        <v>КРС МС-3.2 - М 3.2.1</v>
      </c>
      <c r="AD122" t="str">
        <f>"02.02.2012"</f>
        <v>02.02.2012</v>
      </c>
      <c r="AE122" t="str">
        <f>""</f>
        <v/>
      </c>
      <c r="AF122" t="str">
        <f>"[360633] МОК3.2.1 Курск, Карла Маркса, 62 /21 п. 1"</f>
        <v>[360633] МОК3.2.1 Курск, Карла Маркса, 62 /21 п. 1</v>
      </c>
      <c r="AG122" t="str">
        <f>"[390143] М 3.2.1"</f>
        <v>[390143] М 3.2.1</v>
      </c>
      <c r="AH122" t="str">
        <f>"КРС МС-3.2"</f>
        <v>КРС МС-3.2</v>
      </c>
      <c r="AI122" t="str">
        <f>"М 3.2.1"</f>
        <v>М 3.2.1</v>
      </c>
      <c r="AJ122" t="str">
        <f>""</f>
        <v/>
      </c>
      <c r="AK122" t="str">
        <f t="shared" si="43"/>
        <v>Нет</v>
      </c>
      <c r="AL122" t="str">
        <f>"51.758085 36.187069, 51.758441 36.187026, 51.758975 36.186736"</f>
        <v>51.758085 36.187069, 51.758441 36.187026, 51.758975 36.186736</v>
      </c>
      <c r="AM122" t="str">
        <f>"20000008036128"</f>
        <v>20000008036128</v>
      </c>
    </row>
    <row r="123" spans="1:39" x14ac:dyDescent="0.25">
      <c r="A123">
        <v>907</v>
      </c>
      <c r="B123" t="str">
        <f t="shared" si="39"/>
        <v>Курск</v>
      </c>
      <c r="C123">
        <v>828328</v>
      </c>
      <c r="D123" t="str">
        <f t="shared" si="40"/>
        <v>Оптический кабель</v>
      </c>
      <c r="E123" t="str">
        <f>"[46/1569] М 3.2.3 - ГОК3.2.2.1 Курск, Карла Маркса, 69 а п. 1"</f>
        <v>[46/1569] М 3.2.3 - ГОК3.2.2.1 Курск, Карла Маркса, 69 а п. 1</v>
      </c>
      <c r="F123" t="str">
        <f>"ДПТс-П-16А 2(6) 7кН (Мод:Кр,Нат)(Вол:Кр,Жел,Зел,..,Ор,Фиол)"</f>
        <v>ДПТс-П-16А 2(6) 7кН (Мод:Кр,Нат)(Вол:Кр,Жел,Зел,..,Ор,Фиол)</v>
      </c>
      <c r="G123" t="str">
        <f>""</f>
        <v/>
      </c>
      <c r="H123" t="str">
        <f t="shared" si="62"/>
        <v>МС 3.2</v>
      </c>
      <c r="I123">
        <v>116</v>
      </c>
      <c r="J123">
        <v>171</v>
      </c>
      <c r="K123">
        <v>40</v>
      </c>
      <c r="L123">
        <v>172</v>
      </c>
      <c r="M123" t="str">
        <f>"Опоры"</f>
        <v>Опоры</v>
      </c>
      <c r="N123" t="str">
        <f t="shared" si="63"/>
        <v>09.08.20122</v>
      </c>
      <c r="O123">
        <v>10</v>
      </c>
      <c r="P123">
        <v>10</v>
      </c>
      <c r="Q123" t="str">
        <f>""</f>
        <v/>
      </c>
      <c r="R123" t="str">
        <f>"Курск, Карла Маркса, 69 а"</f>
        <v>Курск, Карла Маркса, 69 а</v>
      </c>
      <c r="S123" t="str">
        <f>""</f>
        <v/>
      </c>
      <c r="T123" t="str">
        <f>"46/1569"</f>
        <v>46/1569</v>
      </c>
      <c r="U123" t="str">
        <f t="shared" si="60"/>
        <v>Магистральная ВОЛС</v>
      </c>
      <c r="V123" t="str">
        <f t="shared" si="58"/>
        <v>Нет</v>
      </c>
      <c r="W123" t="str">
        <f t="shared" si="58"/>
        <v>Нет</v>
      </c>
      <c r="X123" t="str">
        <f t="shared" si="58"/>
        <v>Нет</v>
      </c>
      <c r="Y123" t="str">
        <f t="shared" si="58"/>
        <v>Нет</v>
      </c>
      <c r="Z123" t="str">
        <f t="shared" si="61"/>
        <v>Нет</v>
      </c>
      <c r="AA123" t="str">
        <f>""</f>
        <v/>
      </c>
      <c r="AB123" t="str">
        <f t="shared" si="41"/>
        <v>Нет</v>
      </c>
      <c r="AC123" t="str">
        <f>"М 3.2.3 - ППК 3.2.2"</f>
        <v>М 3.2.3 - ППК 3.2.2</v>
      </c>
      <c r="AD123" t="str">
        <f>"01.09.2011"</f>
        <v>01.09.2011</v>
      </c>
      <c r="AE123" t="str">
        <f>""</f>
        <v/>
      </c>
      <c r="AF123" t="str">
        <f>"[390135] М 3.2.3"</f>
        <v>[390135] М 3.2.3</v>
      </c>
      <c r="AG123" t="str">
        <f>"[390098] ГОК3.2.2.1 Курск, Карла Маркса, 69 а п. 1"</f>
        <v>[390098] ГОК3.2.2.1 Курск, Карла Маркса, 69 а п. 1</v>
      </c>
      <c r="AH123" t="str">
        <f>"М 3.2.3"</f>
        <v>М 3.2.3</v>
      </c>
      <c r="AI123" t="str">
        <f>"ППК 3.2.2"</f>
        <v>ППК 3.2.2</v>
      </c>
      <c r="AJ123" t="str">
        <f>""</f>
        <v/>
      </c>
      <c r="AK123" t="str">
        <f t="shared" si="43"/>
        <v>Нет</v>
      </c>
      <c r="AL123" t="str">
        <f>"51.761748 36.190765, 51.761817 36.190405, 51.761877 36.19003, 51.761535 36.190019, 51.761309 36.189992"</f>
        <v>51.761748 36.190765, 51.761817 36.190405, 51.761877 36.19003, 51.761535 36.190019, 51.761309 36.189992</v>
      </c>
      <c r="AM123" t="str">
        <f>"20000008014291"</f>
        <v>20000008014291</v>
      </c>
    </row>
    <row r="124" spans="1:39" x14ac:dyDescent="0.25">
      <c r="A124">
        <v>907</v>
      </c>
      <c r="B124" t="str">
        <f t="shared" si="39"/>
        <v>Курск</v>
      </c>
      <c r="C124">
        <v>828336</v>
      </c>
      <c r="D124" t="str">
        <f t="shared" si="40"/>
        <v>Оптический кабель</v>
      </c>
      <c r="E124" t="str">
        <f>"[46/1571] М 3.2.4 - ГОК3.2.4.1 Курск, Хуторская, 12 г п. 2"</f>
        <v>[46/1571] М 3.2.4 - ГОК3.2.4.1 Курск, Хуторская, 12 г п. 2</v>
      </c>
      <c r="F124" t="str">
        <f>"ДПТс-П-16А 2(6) 7кН (Мод:Кр,Нат)(Вол:Кр,Жел,Зел,..,Ор,Фиол)"</f>
        <v>ДПТс-П-16А 2(6) 7кН (Мод:Кр,Нат)(Вол:Кр,Жел,Зел,..,Ор,Фиол)</v>
      </c>
      <c r="G124" t="str">
        <f>""</f>
        <v/>
      </c>
      <c r="H124" t="str">
        <f t="shared" si="62"/>
        <v>МС 3.2</v>
      </c>
      <c r="I124">
        <v>49</v>
      </c>
      <c r="J124">
        <v>69</v>
      </c>
      <c r="K124">
        <v>19</v>
      </c>
      <c r="L124">
        <v>70</v>
      </c>
      <c r="M124" t="str">
        <f>"Воздушная трасса по стойкам"</f>
        <v>Воздушная трасса по стойкам</v>
      </c>
      <c r="N124" t="str">
        <f t="shared" si="63"/>
        <v>09.08.20122</v>
      </c>
      <c r="O124">
        <v>10</v>
      </c>
      <c r="P124">
        <v>10</v>
      </c>
      <c r="Q124" t="str">
        <f>""</f>
        <v/>
      </c>
      <c r="R124" t="str">
        <f>"Курск, Хуторская, 12 г"</f>
        <v>Курск, Хуторская, 12 г</v>
      </c>
      <c r="S124" t="str">
        <f>""</f>
        <v/>
      </c>
      <c r="T124" t="str">
        <f>"46/1571"</f>
        <v>46/1571</v>
      </c>
      <c r="U124" t="str">
        <f t="shared" si="60"/>
        <v>Магистральная ВОЛС</v>
      </c>
      <c r="V124" t="str">
        <f t="shared" si="58"/>
        <v>Нет</v>
      </c>
      <c r="W124" t="str">
        <f t="shared" si="58"/>
        <v>Нет</v>
      </c>
      <c r="X124" t="str">
        <f t="shared" si="58"/>
        <v>Нет</v>
      </c>
      <c r="Y124" t="str">
        <f t="shared" si="58"/>
        <v>Нет</v>
      </c>
      <c r="Z124" t="str">
        <f t="shared" si="61"/>
        <v>Нет</v>
      </c>
      <c r="AA124" t="str">
        <f>""</f>
        <v/>
      </c>
      <c r="AB124" t="str">
        <f t="shared" si="41"/>
        <v>Нет</v>
      </c>
      <c r="AC124" t="str">
        <f>"М 3.2.4 - ППК 3.2.4"</f>
        <v>М 3.2.4 - ППК 3.2.4</v>
      </c>
      <c r="AD124" t="str">
        <f>"02.09.2011"</f>
        <v>02.09.2011</v>
      </c>
      <c r="AE124" t="str">
        <f>""</f>
        <v/>
      </c>
      <c r="AF124" t="str">
        <f>"[390131] М 3.2.4"</f>
        <v>[390131] М 3.2.4</v>
      </c>
      <c r="AG124" t="str">
        <f>"[390085] ГОК3.2.4.1 Курск, Хуторская, 12 г п. 2"</f>
        <v>[390085] ГОК3.2.4.1 Курск, Хуторская, 12 г п. 2</v>
      </c>
      <c r="AH124" t="str">
        <f>"М 3.2.4"</f>
        <v>М 3.2.4</v>
      </c>
      <c r="AI124" t="str">
        <f>"ППК 3.2.4"</f>
        <v>ППК 3.2.4</v>
      </c>
      <c r="AJ124" t="str">
        <f>""</f>
        <v/>
      </c>
      <c r="AK124" t="str">
        <f t="shared" si="43"/>
        <v>Нет</v>
      </c>
      <c r="AL124" t="str">
        <f>"51.760068 36.192926, 51.760459 36.192594"</f>
        <v>51.760068 36.192926, 51.760459 36.192594</v>
      </c>
      <c r="AM124" t="str">
        <f>"20000008035565"</f>
        <v>20000008035565</v>
      </c>
    </row>
    <row r="125" spans="1:39" x14ac:dyDescent="0.25">
      <c r="A125">
        <v>907</v>
      </c>
      <c r="B125" t="str">
        <f t="shared" si="39"/>
        <v>Курск</v>
      </c>
      <c r="C125">
        <v>828344</v>
      </c>
      <c r="D125" t="str">
        <f t="shared" si="40"/>
        <v>Оптический кабель</v>
      </c>
      <c r="E125" t="str">
        <f>"[46/1573] М 3.2.5 - ГОК3.2.5.1 Курск, Хуторская, 10  п. 3"</f>
        <v>[46/1573] М 3.2.5 - ГОК3.2.5.1 Курск, Хуторская, 10  п. 3</v>
      </c>
      <c r="F125" t="str">
        <f>"ДПТс-П-16А 2(6) 7кН (Мод:Кр,Нат)(Вол:Кр,Жел,Зел,..,Ор,Фиол)"</f>
        <v>ДПТс-П-16А 2(6) 7кН (Мод:Кр,Нат)(Вол:Кр,Жел,Зел,..,Ор,Фиол)</v>
      </c>
      <c r="G125" t="str">
        <f>""</f>
        <v/>
      </c>
      <c r="H125" t="str">
        <f t="shared" si="62"/>
        <v>МС 3.2</v>
      </c>
      <c r="I125">
        <v>77</v>
      </c>
      <c r="J125">
        <v>100</v>
      </c>
      <c r="K125">
        <v>20</v>
      </c>
      <c r="L125">
        <v>100</v>
      </c>
      <c r="M125" t="str">
        <f>"Воздушная трасса по стойкам"</f>
        <v>Воздушная трасса по стойкам</v>
      </c>
      <c r="N125" t="str">
        <f t="shared" si="63"/>
        <v>09.08.20122</v>
      </c>
      <c r="O125">
        <v>11</v>
      </c>
      <c r="P125">
        <v>11</v>
      </c>
      <c r="Q125" t="str">
        <f>""</f>
        <v/>
      </c>
      <c r="R125" t="str">
        <f>"Курск, Хуторская, 10"</f>
        <v>Курск, Хуторская, 10</v>
      </c>
      <c r="S125" t="str">
        <f>""</f>
        <v/>
      </c>
      <c r="T125" t="str">
        <f>"46/1573"</f>
        <v>46/1573</v>
      </c>
      <c r="U125" t="str">
        <f t="shared" si="60"/>
        <v>Магистральная ВОЛС</v>
      </c>
      <c r="V125" t="str">
        <f t="shared" si="58"/>
        <v>Нет</v>
      </c>
      <c r="W125" t="str">
        <f t="shared" si="58"/>
        <v>Нет</v>
      </c>
      <c r="X125" t="str">
        <f t="shared" si="58"/>
        <v>Нет</v>
      </c>
      <c r="Y125" t="str">
        <f t="shared" si="58"/>
        <v>Нет</v>
      </c>
      <c r="Z125" t="str">
        <f t="shared" si="61"/>
        <v>Нет</v>
      </c>
      <c r="AA125" t="str">
        <f>""</f>
        <v/>
      </c>
      <c r="AB125" t="str">
        <f t="shared" si="41"/>
        <v>Нет</v>
      </c>
      <c r="AC125" t="str">
        <f>"М 3.2.5 - ППК 3.2.5"</f>
        <v>М 3.2.5 - ППК 3.2.5</v>
      </c>
      <c r="AD125" t="str">
        <f>"02.09.2011"</f>
        <v>02.09.2011</v>
      </c>
      <c r="AE125" t="str">
        <f>""</f>
        <v/>
      </c>
      <c r="AF125" t="str">
        <f>"[390127] М 3.2.5"</f>
        <v>[390127] М 3.2.5</v>
      </c>
      <c r="AG125" t="str">
        <f>"[390072] ГОК3.2.5.1 Курск, Хуторская, 10  п. 3"</f>
        <v>[390072] ГОК3.2.5.1 Курск, Хуторская, 10  п. 3</v>
      </c>
      <c r="AH125" t="str">
        <f>"М 3.2.5"</f>
        <v>М 3.2.5</v>
      </c>
      <c r="AI125" t="str">
        <f>"ППК 3.2.5"</f>
        <v>ППК 3.2.5</v>
      </c>
      <c r="AJ125" t="str">
        <f>""</f>
        <v/>
      </c>
      <c r="AK125" t="str">
        <f t="shared" si="43"/>
        <v>Нет</v>
      </c>
      <c r="AL125" t="str">
        <f>"51.759032 36.192406, 51.759158 36.193506"</f>
        <v>51.759032 36.192406, 51.759158 36.193506</v>
      </c>
      <c r="AM125" t="str">
        <f>"20000008044495"</f>
        <v>20000008044495</v>
      </c>
    </row>
    <row r="126" spans="1:39" x14ac:dyDescent="0.25">
      <c r="A126">
        <v>907</v>
      </c>
      <c r="B126" t="str">
        <f t="shared" si="39"/>
        <v>Курск</v>
      </c>
      <c r="C126">
        <v>828352</v>
      </c>
      <c r="D126" t="str">
        <f t="shared" si="40"/>
        <v>Оптический кабель</v>
      </c>
      <c r="E126" t="str">
        <f>"[46/1575] М 3.2.6 - OK4.2 ППК 3.2.5 Курск, Карла Маркса, 55  п. 2"</f>
        <v>[46/1575] М 3.2.6 - OK4.2 ППК 3.2.5 Курск, Карла Маркса, 55  п. 2</v>
      </c>
      <c r="F126" t="str">
        <f>"ДПТс-П-08А 1(6) 7кН (Кр,Жел,Зел,Син,Кор,Чер,Ор,Фиол)"</f>
        <v>ДПТс-П-08А 1(6) 7кН (Кр,Жел,Зел,Син,Кор,Чер,Ор,Фиол)</v>
      </c>
      <c r="G126" t="str">
        <f>""</f>
        <v/>
      </c>
      <c r="H126" t="str">
        <f t="shared" si="62"/>
        <v>МС 3.2</v>
      </c>
      <c r="I126">
        <v>269</v>
      </c>
      <c r="J126">
        <v>345</v>
      </c>
      <c r="K126">
        <v>70</v>
      </c>
      <c r="L126">
        <v>347</v>
      </c>
      <c r="M126" t="str">
        <f>"Опоры"</f>
        <v>Опоры</v>
      </c>
      <c r="N126" t="str">
        <f t="shared" si="63"/>
        <v>09.08.20122</v>
      </c>
      <c r="O126">
        <v>8</v>
      </c>
      <c r="P126">
        <v>8</v>
      </c>
      <c r="Q126" t="str">
        <f>""</f>
        <v/>
      </c>
      <c r="R126" t="str">
        <f>"Курск, Карла Маркса, 55"</f>
        <v>Курск, Карла Маркса, 55</v>
      </c>
      <c r="S126" t="str">
        <f>""</f>
        <v/>
      </c>
      <c r="T126" t="str">
        <f>"46/1575"</f>
        <v>46/1575</v>
      </c>
      <c r="U126" t="str">
        <f t="shared" si="60"/>
        <v>Магистральная ВОЛС</v>
      </c>
      <c r="V126" t="str">
        <f t="shared" si="58"/>
        <v>Нет</v>
      </c>
      <c r="W126" t="str">
        <f t="shared" si="58"/>
        <v>Нет</v>
      </c>
      <c r="X126" t="str">
        <f t="shared" si="58"/>
        <v>Нет</v>
      </c>
      <c r="Y126" t="str">
        <f t="shared" si="58"/>
        <v>Нет</v>
      </c>
      <c r="Z126" t="str">
        <f t="shared" si="61"/>
        <v>Нет</v>
      </c>
      <c r="AA126" t="str">
        <f>""</f>
        <v/>
      </c>
      <c r="AB126" t="str">
        <f t="shared" si="41"/>
        <v>Нет</v>
      </c>
      <c r="AC126" t="str">
        <f>"М 3.2.6 - ППК 3.2.5 ОУ"</f>
        <v>М 3.2.6 - ППК 3.2.5 ОУ</v>
      </c>
      <c r="AD126" t="str">
        <f>"02.09.2011"</f>
        <v>02.09.2011</v>
      </c>
      <c r="AE126" t="str">
        <f>""</f>
        <v/>
      </c>
      <c r="AF126" t="str">
        <f>"[390123] М 3.2.6"</f>
        <v>[390123] М 3.2.6</v>
      </c>
      <c r="AG126" t="str">
        <f>"[332459] OK4.2 ППК 3.2.5 Курск, Карла Маркса, 55  п. 2"</f>
        <v>[332459] OK4.2 ППК 3.2.5 Курск, Карла Маркса, 55  п. 2</v>
      </c>
      <c r="AH126" t="str">
        <f>"М 3.2.6"</f>
        <v>М 3.2.6</v>
      </c>
      <c r="AI126" t="str">
        <f>"ППК 3.2.5 ОУ"</f>
        <v>ППК 3.2.5 ОУ</v>
      </c>
      <c r="AJ126" t="str">
        <f>""</f>
        <v/>
      </c>
      <c r="AK126" t="str">
        <f t="shared" si="43"/>
        <v>Нет</v>
      </c>
      <c r="AL126" t="str">
        <f>"51.757162 36.192508, 51.757096 36.192149, 51.757019 36.191768, 51.756946 36.191403, 51.756883 36.191022, 51.756777 36.190593, 51.757 36.190475, 51.757269 36.190335, 51.757435 36.189896, 51.757342 36.189381"</f>
        <v>51.757162 36.192508, 51.757096 36.192149, 51.757019 36.191768, 51.756946 36.191403, 51.756883 36.191022, 51.756777 36.190593, 51.757 36.190475, 51.757269 36.190335, 51.757435 36.189896, 51.757342 36.189381</v>
      </c>
      <c r="AM126" t="str">
        <f>"20000008033882"</f>
        <v>20000008033882</v>
      </c>
    </row>
    <row r="127" spans="1:39" x14ac:dyDescent="0.25">
      <c r="A127">
        <v>907</v>
      </c>
      <c r="B127" t="str">
        <f t="shared" si="39"/>
        <v>Курск</v>
      </c>
      <c r="C127">
        <v>828364</v>
      </c>
      <c r="D127" t="str">
        <f t="shared" si="40"/>
        <v>Оптический кабель</v>
      </c>
      <c r="E127" t="str">
        <f>"[46/1577] М 3.2.7 - М 3.2.8"</f>
        <v>[46/1577] М 3.2.7 - М 3.2.8</v>
      </c>
      <c r="F127" t="str">
        <f>"ДПТа-П-64А 6(6) 7кН (Кр,Жел,Зел,..,8-Фиол,9-Бел,..,Бир,Роз)"</f>
        <v>ДПТа-П-64А 6(6) 7кН (Кр,Жел,Зел,..,8-Фиол,9-Бел,..,Бир,Роз)</v>
      </c>
      <c r="G127" t="str">
        <f>""</f>
        <v/>
      </c>
      <c r="H127" t="str">
        <f t="shared" si="62"/>
        <v>МС 3.2</v>
      </c>
      <c r="I127">
        <v>718</v>
      </c>
      <c r="J127">
        <v>839</v>
      </c>
      <c r="K127">
        <v>100</v>
      </c>
      <c r="L127">
        <v>840</v>
      </c>
      <c r="M127" t="str">
        <f>"Опоры"</f>
        <v>Опоры</v>
      </c>
      <c r="N127" t="str">
        <f t="shared" si="63"/>
        <v>09.08.20122</v>
      </c>
      <c r="O127">
        <v>64</v>
      </c>
      <c r="P127">
        <v>64</v>
      </c>
      <c r="Q127" t="str">
        <f>""</f>
        <v/>
      </c>
      <c r="R127" t="str">
        <f>""</f>
        <v/>
      </c>
      <c r="S127" t="str">
        <f>""</f>
        <v/>
      </c>
      <c r="T127" t="str">
        <f>"46/1577"</f>
        <v>46/1577</v>
      </c>
      <c r="U127" t="str">
        <f t="shared" si="60"/>
        <v>Магистральная ВОЛС</v>
      </c>
      <c r="V127" t="str">
        <f t="shared" si="58"/>
        <v>Нет</v>
      </c>
      <c r="W127" t="str">
        <f t="shared" si="58"/>
        <v>Нет</v>
      </c>
      <c r="X127" t="str">
        <f t="shared" si="58"/>
        <v>Нет</v>
      </c>
      <c r="Y127" t="str">
        <f t="shared" si="58"/>
        <v>Нет</v>
      </c>
      <c r="Z127" t="str">
        <f t="shared" si="61"/>
        <v>Нет</v>
      </c>
      <c r="AA127" t="str">
        <f>""</f>
        <v/>
      </c>
      <c r="AB127" t="str">
        <f t="shared" si="41"/>
        <v>Нет</v>
      </c>
      <c r="AC127" t="str">
        <f>"М 3.2.7 - М 3.2.8"</f>
        <v>М 3.2.7 - М 3.2.8</v>
      </c>
      <c r="AD127" t="str">
        <f>"02.02.2012"</f>
        <v>02.02.2012</v>
      </c>
      <c r="AE127" t="str">
        <f>""</f>
        <v/>
      </c>
      <c r="AF127" t="str">
        <f>"[390119] М 3.2.7"</f>
        <v>[390119] М 3.2.7</v>
      </c>
      <c r="AG127" t="str">
        <f>"[390115] М 3.2.8"</f>
        <v>[390115] М 3.2.8</v>
      </c>
      <c r="AH127" t="str">
        <f>"М 3.2.7"</f>
        <v>М 3.2.7</v>
      </c>
      <c r="AI127" t="str">
        <f>"М 3.2.8"</f>
        <v>М 3.2.8</v>
      </c>
      <c r="AJ127" t="str">
        <f>""</f>
        <v/>
      </c>
      <c r="AK127" t="str">
        <f t="shared" si="43"/>
        <v>Нет</v>
      </c>
      <c r="AL127" t="s">
        <v>31</v>
      </c>
      <c r="AM127" t="str">
        <f>"20000008017097"</f>
        <v>20000008017097</v>
      </c>
    </row>
    <row r="128" spans="1:39" x14ac:dyDescent="0.25">
      <c r="A128">
        <v>907</v>
      </c>
      <c r="B128" t="str">
        <f t="shared" si="39"/>
        <v>Курск</v>
      </c>
      <c r="C128">
        <v>828369</v>
      </c>
      <c r="D128" t="str">
        <f t="shared" si="40"/>
        <v>Оптический кабель</v>
      </c>
      <c r="E128" t="str">
        <f>"[46/1578] М 3.2.8 - ГОК3.2.8.1 Курск, Пушкарная 1-Я, 47  п. 3"</f>
        <v>[46/1578] М 3.2.8 - ГОК3.2.8.1 Курск, Пушкарная 1-Я, 47  п. 3</v>
      </c>
      <c r="F128" t="str">
        <f>"ДПТс-П-16А 2(6) 7кН (Мод:Кр,Нат)(Вол:Кр,Жел,Зел,..,Ор,Фиол)"</f>
        <v>ДПТс-П-16А 2(6) 7кН (Мод:Кр,Нат)(Вол:Кр,Жел,Зел,..,Ор,Фиол)</v>
      </c>
      <c r="G128" t="str">
        <f>""</f>
        <v/>
      </c>
      <c r="H128" t="str">
        <f t="shared" si="62"/>
        <v>МС 3.2</v>
      </c>
      <c r="I128">
        <v>35</v>
      </c>
      <c r="J128">
        <v>67</v>
      </c>
      <c r="K128">
        <v>30</v>
      </c>
      <c r="L128">
        <v>68</v>
      </c>
      <c r="M128" t="str">
        <f>"Воздушная трасса по стойкам"</f>
        <v>Воздушная трасса по стойкам</v>
      </c>
      <c r="N128" t="str">
        <f t="shared" si="63"/>
        <v>09.08.20122</v>
      </c>
      <c r="O128">
        <v>10</v>
      </c>
      <c r="P128">
        <v>10</v>
      </c>
      <c r="Q128" t="str">
        <f>""</f>
        <v/>
      </c>
      <c r="R128" t="str">
        <f>"Курск, Пушкарная 1-Я, 47"</f>
        <v>Курск, Пушкарная 1-Я, 47</v>
      </c>
      <c r="S128" t="str">
        <f>""</f>
        <v/>
      </c>
      <c r="T128" t="str">
        <f>"46/1578"</f>
        <v>46/1578</v>
      </c>
      <c r="U128" t="str">
        <f t="shared" si="60"/>
        <v>Магистральная ВОЛС</v>
      </c>
      <c r="V128" t="str">
        <f t="shared" ref="V128:Y147" si="64">"Нет"</f>
        <v>Нет</v>
      </c>
      <c r="W128" t="str">
        <f t="shared" si="64"/>
        <v>Нет</v>
      </c>
      <c r="X128" t="str">
        <f t="shared" si="64"/>
        <v>Нет</v>
      </c>
      <c r="Y128" t="str">
        <f t="shared" si="64"/>
        <v>Нет</v>
      </c>
      <c r="Z128" t="str">
        <f t="shared" si="61"/>
        <v>Нет</v>
      </c>
      <c r="AA128" t="str">
        <f>""</f>
        <v/>
      </c>
      <c r="AB128" t="str">
        <f t="shared" si="41"/>
        <v>Нет</v>
      </c>
      <c r="AC128" t="str">
        <f>"М 3.2.8 - ППК 3.2.8"</f>
        <v>М 3.2.8 - ППК 3.2.8</v>
      </c>
      <c r="AD128" t="str">
        <f>"02.09.2011"</f>
        <v>02.09.2011</v>
      </c>
      <c r="AE128" t="str">
        <f>""</f>
        <v/>
      </c>
      <c r="AF128" t="str">
        <f>"[390115] М 3.2.8"</f>
        <v>[390115] М 3.2.8</v>
      </c>
      <c r="AG128" t="str">
        <f>"[390059] ГОК3.2.8.1 Курск, Пушкарная 1-Я, 47  п. 3"</f>
        <v>[390059] ГОК3.2.8.1 Курск, Пушкарная 1-Я, 47  п. 3</v>
      </c>
      <c r="AH128" t="str">
        <f>"М 3.2.8"</f>
        <v>М 3.2.8</v>
      </c>
      <c r="AI128" t="str">
        <f>"ППК 3.2.8"</f>
        <v>ППК 3.2.8</v>
      </c>
      <c r="AJ128" t="str">
        <f>""</f>
        <v/>
      </c>
      <c r="AK128" t="str">
        <f t="shared" si="43"/>
        <v>Нет</v>
      </c>
      <c r="AL128" t="str">
        <f>"51.754672 36.181286, 51.754957 36.181087"</f>
        <v>51.754672 36.181286, 51.754957 36.181087</v>
      </c>
      <c r="AM128" t="str">
        <f>"20000008030148"</f>
        <v>20000008030148</v>
      </c>
    </row>
    <row r="129" spans="1:39" x14ac:dyDescent="0.25">
      <c r="A129">
        <v>907</v>
      </c>
      <c r="B129" t="str">
        <f t="shared" si="39"/>
        <v>Курск</v>
      </c>
      <c r="C129">
        <v>829283</v>
      </c>
      <c r="D129" t="str">
        <f t="shared" si="40"/>
        <v>Оптический кабель</v>
      </c>
      <c r="E129" t="str">
        <f>"[46/1581] МОК5.4.1 Курск, Гагарина, 26 а п. 1 - М 5.4.1"</f>
        <v>[46/1581] МОК5.4.1 Курск, Гагарина, 26 а п. 1 - М 5.4.1</v>
      </c>
      <c r="F129" t="str">
        <f>"ДПТа-П-128А 8(9) 7кН (Вол:Кр,Жел,Зел,...,Лайм,Нат)"</f>
        <v>ДПТа-П-128А 8(9) 7кН (Вол:Кр,Жел,Зел,...,Лайм,Нат)</v>
      </c>
      <c r="G129" t="str">
        <f>""</f>
        <v/>
      </c>
      <c r="H129" t="str">
        <f t="shared" ref="H129:H150" si="65">"МС 5.4"</f>
        <v>МС 5.4</v>
      </c>
      <c r="I129">
        <v>792</v>
      </c>
      <c r="J129">
        <v>1135</v>
      </c>
      <c r="K129">
        <v>318</v>
      </c>
      <c r="L129">
        <v>1139</v>
      </c>
      <c r="M129" t="str">
        <f t="shared" ref="M129:M134" si="66">"Опоры"</f>
        <v>Опоры</v>
      </c>
      <c r="N129" t="str">
        <f t="shared" ref="N129:N150" si="67">"10.08.20122"</f>
        <v>10.08.20122</v>
      </c>
      <c r="O129">
        <v>128</v>
      </c>
      <c r="P129">
        <v>128</v>
      </c>
      <c r="Q129" t="str">
        <f>"Курск, Гагарина, 26 а"</f>
        <v>Курск, Гагарина, 26 а</v>
      </c>
      <c r="R129" t="str">
        <f>""</f>
        <v/>
      </c>
      <c r="S129" t="str">
        <f>""</f>
        <v/>
      </c>
      <c r="T129" t="str">
        <f>"46/1581"</f>
        <v>46/1581</v>
      </c>
      <c r="U129" t="str">
        <f t="shared" si="60"/>
        <v>Магистральная ВОЛС</v>
      </c>
      <c r="V129" t="str">
        <f t="shared" si="64"/>
        <v>Нет</v>
      </c>
      <c r="W129" t="str">
        <f t="shared" si="64"/>
        <v>Нет</v>
      </c>
      <c r="X129" t="str">
        <f t="shared" si="64"/>
        <v>Нет</v>
      </c>
      <c r="Y129" t="str">
        <f t="shared" si="64"/>
        <v>Нет</v>
      </c>
      <c r="Z129" t="str">
        <f t="shared" si="61"/>
        <v>Нет</v>
      </c>
      <c r="AA129" t="str">
        <f>""</f>
        <v/>
      </c>
      <c r="AB129" t="str">
        <f t="shared" si="41"/>
        <v>Нет</v>
      </c>
      <c r="AC129" t="str">
        <f>"КРС МС - 5.4 - М 5.4.1"</f>
        <v>КРС МС - 5.4 - М 5.4.1</v>
      </c>
      <c r="AD129" t="str">
        <f t="shared" ref="AD129:AD137" si="68">"19.06.2011"</f>
        <v>19.06.2011</v>
      </c>
      <c r="AE129" t="str">
        <f>""</f>
        <v/>
      </c>
      <c r="AF129" t="str">
        <f>"[366232] МОК5.4.1 Курск, Гагарина, 26 а п. 1"</f>
        <v>[366232] МОК5.4.1 Курск, Гагарина, 26 а п. 1</v>
      </c>
      <c r="AG129" t="str">
        <f>"[391967] М 5.4.1"</f>
        <v>[391967] М 5.4.1</v>
      </c>
      <c r="AH129" t="str">
        <f>"КРС МС - 5.4"</f>
        <v>КРС МС - 5.4</v>
      </c>
      <c r="AI129" t="str">
        <f>"М 5.4.1"</f>
        <v>М 5.4.1</v>
      </c>
      <c r="AJ129" t="str">
        <f>""</f>
        <v/>
      </c>
      <c r="AK129" t="str">
        <f t="shared" si="43"/>
        <v>Нет</v>
      </c>
      <c r="AL129" t="s">
        <v>32</v>
      </c>
      <c r="AM129" t="str">
        <f>"20000008005982"</f>
        <v>20000008005982</v>
      </c>
    </row>
    <row r="130" spans="1:39" x14ac:dyDescent="0.25">
      <c r="A130">
        <v>907</v>
      </c>
      <c r="B130" t="str">
        <f t="shared" ref="B130:B193" si="69">"Курск"</f>
        <v>Курск</v>
      </c>
      <c r="C130">
        <v>829303</v>
      </c>
      <c r="D130" t="str">
        <f t="shared" ref="D130:D193" si="70">"Оптический кабель"</f>
        <v>Оптический кабель</v>
      </c>
      <c r="E130" t="str">
        <f>"[46/1582] М 5.4.1 - М 5.4.2"</f>
        <v>[46/1582] М 5.4.1 - М 5.4.2</v>
      </c>
      <c r="F130" t="str">
        <f>"ДПТа-П-128А 8(9) 7кН (Вол:Кр,Жел,Зел,...,Лайм,Нат)"</f>
        <v>ДПТа-П-128А 8(9) 7кН (Вол:Кр,Жел,Зел,...,Лайм,Нат)</v>
      </c>
      <c r="G130" t="str">
        <f>""</f>
        <v/>
      </c>
      <c r="H130" t="str">
        <f t="shared" si="65"/>
        <v>МС 5.4</v>
      </c>
      <c r="I130">
        <v>1092</v>
      </c>
      <c r="J130">
        <v>1100</v>
      </c>
      <c r="K130">
        <v>0</v>
      </c>
      <c r="L130">
        <v>1107</v>
      </c>
      <c r="M130" t="str">
        <f t="shared" si="66"/>
        <v>Опоры</v>
      </c>
      <c r="N130" t="str">
        <f t="shared" si="67"/>
        <v>10.08.20122</v>
      </c>
      <c r="O130">
        <v>128</v>
      </c>
      <c r="P130">
        <v>128</v>
      </c>
      <c r="Q130" t="str">
        <f>""</f>
        <v/>
      </c>
      <c r="R130" t="str">
        <f>""</f>
        <v/>
      </c>
      <c r="S130" t="str">
        <f>""</f>
        <v/>
      </c>
      <c r="T130" t="str">
        <f>"46/1582"</f>
        <v>46/1582</v>
      </c>
      <c r="U130" t="str">
        <f t="shared" si="60"/>
        <v>Магистральная ВОЛС</v>
      </c>
      <c r="V130" t="str">
        <f t="shared" si="64"/>
        <v>Нет</v>
      </c>
      <c r="W130" t="str">
        <f t="shared" si="64"/>
        <v>Нет</v>
      </c>
      <c r="X130" t="str">
        <f t="shared" si="64"/>
        <v>Нет</v>
      </c>
      <c r="Y130" t="str">
        <f t="shared" si="64"/>
        <v>Нет</v>
      </c>
      <c r="Z130" t="str">
        <f t="shared" si="61"/>
        <v>Нет</v>
      </c>
      <c r="AA130" t="str">
        <f>""</f>
        <v/>
      </c>
      <c r="AB130" t="str">
        <f t="shared" ref="AB130:AB193" si="71">"Нет"</f>
        <v>Нет</v>
      </c>
      <c r="AC130" t="str">
        <f>"М 5.4.1 - М 5.4.2"</f>
        <v>М 5.4.1 - М 5.4.2</v>
      </c>
      <c r="AD130" t="str">
        <f t="shared" si="68"/>
        <v>19.06.2011</v>
      </c>
      <c r="AE130" t="str">
        <f>""</f>
        <v/>
      </c>
      <c r="AF130" t="str">
        <f>"[391967] М 5.4.1"</f>
        <v>[391967] М 5.4.1</v>
      </c>
      <c r="AG130" t="str">
        <f>"[391963] М 5.4.2"</f>
        <v>[391963] М 5.4.2</v>
      </c>
      <c r="AH130" t="str">
        <f>"М 5.4.1"</f>
        <v>М 5.4.1</v>
      </c>
      <c r="AI130" t="str">
        <f>"М 5.4.2"</f>
        <v>М 5.4.2</v>
      </c>
      <c r="AJ130" t="str">
        <f>""</f>
        <v/>
      </c>
      <c r="AK130" t="str">
        <f t="shared" si="43"/>
        <v>Нет</v>
      </c>
      <c r="AL130" t="s">
        <v>33</v>
      </c>
      <c r="AM130" t="str">
        <f>"20000008025414"</f>
        <v>20000008025414</v>
      </c>
    </row>
    <row r="131" spans="1:39" x14ac:dyDescent="0.25">
      <c r="A131">
        <v>907</v>
      </c>
      <c r="B131" t="str">
        <f t="shared" si="69"/>
        <v>Курск</v>
      </c>
      <c r="C131">
        <v>829344</v>
      </c>
      <c r="D131" t="str">
        <f t="shared" si="70"/>
        <v>Оптический кабель</v>
      </c>
      <c r="E131" t="str">
        <f>"[46/1583] М 5.4.2 - М 5.4.3"</f>
        <v>[46/1583] М 5.4.2 - М 5.4.3</v>
      </c>
      <c r="F131" t="str">
        <f>"ДПТа-П-128А 8(9) 7кН (Вол:Кр,Жел,Зел,...,Лайм,Нат)"</f>
        <v>ДПТа-П-128А 8(9) 7кН (Вол:Кр,Жел,Зел,...,Лайм,Нат)</v>
      </c>
      <c r="G131" t="str">
        <f>""</f>
        <v/>
      </c>
      <c r="H131" t="str">
        <f t="shared" si="65"/>
        <v>МС 5.4</v>
      </c>
      <c r="I131">
        <v>1014</v>
      </c>
      <c r="J131">
        <v>1100</v>
      </c>
      <c r="K131">
        <v>80</v>
      </c>
      <c r="L131">
        <v>1110</v>
      </c>
      <c r="M131" t="str">
        <f t="shared" si="66"/>
        <v>Опоры</v>
      </c>
      <c r="N131" t="str">
        <f t="shared" si="67"/>
        <v>10.08.20122</v>
      </c>
      <c r="O131">
        <v>128</v>
      </c>
      <c r="P131">
        <v>128</v>
      </c>
      <c r="Q131" t="str">
        <f>""</f>
        <v/>
      </c>
      <c r="R131" t="str">
        <f>""</f>
        <v/>
      </c>
      <c r="S131" t="str">
        <f>""</f>
        <v/>
      </c>
      <c r="T131" t="str">
        <f>"46/1583"</f>
        <v>46/1583</v>
      </c>
      <c r="U131" t="str">
        <f t="shared" si="60"/>
        <v>Магистральная ВОЛС</v>
      </c>
      <c r="V131" t="str">
        <f t="shared" si="64"/>
        <v>Нет</v>
      </c>
      <c r="W131" t="str">
        <f t="shared" si="64"/>
        <v>Нет</v>
      </c>
      <c r="X131" t="str">
        <f t="shared" si="64"/>
        <v>Нет</v>
      </c>
      <c r="Y131" t="str">
        <f t="shared" si="64"/>
        <v>Нет</v>
      </c>
      <c r="Z131" t="str">
        <f t="shared" si="61"/>
        <v>Нет</v>
      </c>
      <c r="AA131" t="str">
        <f>""</f>
        <v/>
      </c>
      <c r="AB131" t="str">
        <f t="shared" si="71"/>
        <v>Нет</v>
      </c>
      <c r="AC131" t="str">
        <f>"М 5.4.2 - М 5.4.3"</f>
        <v>М 5.4.2 - М 5.4.3</v>
      </c>
      <c r="AD131" t="str">
        <f t="shared" si="68"/>
        <v>19.06.2011</v>
      </c>
      <c r="AE131" t="str">
        <f>""</f>
        <v/>
      </c>
      <c r="AF131" t="str">
        <f>"[391963] М 5.4.2"</f>
        <v>[391963] М 5.4.2</v>
      </c>
      <c r="AG131" t="str">
        <f>"[391959] М 5.4.3"</f>
        <v>[391959] М 5.4.3</v>
      </c>
      <c r="AH131" t="str">
        <f>"М 5.4.2"</f>
        <v>М 5.4.2</v>
      </c>
      <c r="AI131" t="str">
        <f>"М 5.4.3"</f>
        <v>М 5.4.3</v>
      </c>
      <c r="AJ131" t="str">
        <f>""</f>
        <v/>
      </c>
      <c r="AK131" t="str">
        <f t="shared" si="43"/>
        <v>Нет</v>
      </c>
      <c r="AL131" t="s">
        <v>34</v>
      </c>
      <c r="AM131" t="str">
        <f>"20000008036099"</f>
        <v>20000008036099</v>
      </c>
    </row>
    <row r="132" spans="1:39" x14ac:dyDescent="0.25">
      <c r="A132">
        <v>907</v>
      </c>
      <c r="B132" t="str">
        <f t="shared" si="69"/>
        <v>Курск</v>
      </c>
      <c r="C132">
        <v>829348</v>
      </c>
      <c r="D132" t="str">
        <f t="shared" si="70"/>
        <v>Оптический кабель</v>
      </c>
      <c r="E132" t="str">
        <f>"[46/1584] М 5.4.3 - ГОК5.4.1.1 Курск, Ленинского Комсомола Пр-Кт, 57  п. 1"</f>
        <v>[46/1584] М 5.4.3 - ГОК5.4.1.1 Курск, Ленинского Комсомола Пр-Кт, 57  п. 1</v>
      </c>
      <c r="F132" t="str">
        <f>"ДПТс-П-16А 2(6) 7кН (Мод:Кр,Нат)(Вол:Кр,Жел,Зел,..,Ор,Фиол)"</f>
        <v>ДПТс-П-16А 2(6) 7кН (Мод:Кр,Нат)(Вол:Кр,Жел,Зел,..,Ор,Фиол)</v>
      </c>
      <c r="G132" t="str">
        <f>""</f>
        <v/>
      </c>
      <c r="H132" t="str">
        <f t="shared" si="65"/>
        <v>МС 5.4</v>
      </c>
      <c r="I132">
        <v>65</v>
      </c>
      <c r="J132">
        <v>175</v>
      </c>
      <c r="K132">
        <v>109</v>
      </c>
      <c r="L132">
        <v>176</v>
      </c>
      <c r="M132" t="str">
        <f t="shared" si="66"/>
        <v>Опоры</v>
      </c>
      <c r="N132" t="str">
        <f t="shared" si="67"/>
        <v>10.08.20122</v>
      </c>
      <c r="O132">
        <v>10</v>
      </c>
      <c r="P132">
        <v>10</v>
      </c>
      <c r="Q132" t="str">
        <f>""</f>
        <v/>
      </c>
      <c r="R132" t="str">
        <f>"Курск, Ленинского Комсомола Пр-Кт, 57"</f>
        <v>Курск, Ленинского Комсомола Пр-Кт, 57</v>
      </c>
      <c r="S132" t="str">
        <f>""</f>
        <v/>
      </c>
      <c r="T132" t="str">
        <f>"46/1584"</f>
        <v>46/1584</v>
      </c>
      <c r="U132" t="str">
        <f t="shared" si="60"/>
        <v>Магистральная ВОЛС</v>
      </c>
      <c r="V132" t="str">
        <f t="shared" si="64"/>
        <v>Нет</v>
      </c>
      <c r="W132" t="str">
        <f t="shared" si="64"/>
        <v>Нет</v>
      </c>
      <c r="X132" t="str">
        <f t="shared" si="64"/>
        <v>Нет</v>
      </c>
      <c r="Y132" t="str">
        <f t="shared" si="64"/>
        <v>Нет</v>
      </c>
      <c r="Z132" t="str">
        <f t="shared" si="61"/>
        <v>Нет</v>
      </c>
      <c r="AA132" t="str">
        <f>""</f>
        <v/>
      </c>
      <c r="AB132" t="str">
        <f t="shared" si="71"/>
        <v>Нет</v>
      </c>
      <c r="AC132" t="str">
        <f>"М 5.4.3 - ППК 5.4.1"</f>
        <v>М 5.4.3 - ППК 5.4.1</v>
      </c>
      <c r="AD132" t="str">
        <f t="shared" si="68"/>
        <v>19.06.2011</v>
      </c>
      <c r="AE132" t="str">
        <f>""</f>
        <v/>
      </c>
      <c r="AF132" t="str">
        <f>"[391959] М 5.4.3"</f>
        <v>[391959] М 5.4.3</v>
      </c>
      <c r="AG132" t="str">
        <f>"[391898] ГОК5.4.1.1 Курск, Ленинского Комсомола Пр-Кт, 57  п. 1"</f>
        <v>[391898] ГОК5.4.1.1 Курск, Ленинского Комсомола Пр-Кт, 57  п. 1</v>
      </c>
      <c r="AH132" t="str">
        <f>"М 5.4.3"</f>
        <v>М 5.4.3</v>
      </c>
      <c r="AI132" t="str">
        <f>"ППК 5.4.1"</f>
        <v>ППК 5.4.1</v>
      </c>
      <c r="AJ132" t="str">
        <f>""</f>
        <v/>
      </c>
      <c r="AK132" t="str">
        <f t="shared" si="43"/>
        <v>Нет</v>
      </c>
      <c r="AL132" t="str">
        <f>"51.66657 36.10617, 51.666843 36.106192, 51.667039 36.106583"</f>
        <v>51.66657 36.10617, 51.666843 36.106192, 51.667039 36.106583</v>
      </c>
      <c r="AM132" t="str">
        <f>"20000008047926"</f>
        <v>20000008047926</v>
      </c>
    </row>
    <row r="133" spans="1:39" x14ac:dyDescent="0.25">
      <c r="A133">
        <v>907</v>
      </c>
      <c r="B133" t="str">
        <f t="shared" si="69"/>
        <v>Курск</v>
      </c>
      <c r="C133">
        <v>829363</v>
      </c>
      <c r="D133" t="str">
        <f t="shared" si="70"/>
        <v>Оптический кабель</v>
      </c>
      <c r="E133" t="str">
        <f>"[46/1585] М 5.4.3 - М 5.4.4"</f>
        <v>[46/1585] М 5.4.3 - М 5.4.4</v>
      </c>
      <c r="F133" t="str">
        <f>"ДПТа-П-128А 8(9) 7кН (Вол:Кр,Жел,Зел,...,Лайм,Нат)"</f>
        <v>ДПТа-П-128А 8(9) 7кН (Вол:Кр,Жел,Зел,...,Лайм,Нат)</v>
      </c>
      <c r="G133" t="str">
        <f>""</f>
        <v/>
      </c>
      <c r="H133" t="str">
        <f t="shared" si="65"/>
        <v>МС 5.4</v>
      </c>
      <c r="I133">
        <v>786</v>
      </c>
      <c r="J133">
        <v>960</v>
      </c>
      <c r="K133">
        <v>160</v>
      </c>
      <c r="L133">
        <v>963</v>
      </c>
      <c r="M133" t="str">
        <f t="shared" si="66"/>
        <v>Опоры</v>
      </c>
      <c r="N133" t="str">
        <f t="shared" si="67"/>
        <v>10.08.20122</v>
      </c>
      <c r="O133">
        <v>128</v>
      </c>
      <c r="P133">
        <v>128</v>
      </c>
      <c r="Q133" t="str">
        <f>""</f>
        <v/>
      </c>
      <c r="R133" t="str">
        <f>""</f>
        <v/>
      </c>
      <c r="S133" t="str">
        <f>""</f>
        <v/>
      </c>
      <c r="T133" t="str">
        <f>"46/1585"</f>
        <v>46/1585</v>
      </c>
      <c r="U133" t="str">
        <f t="shared" si="60"/>
        <v>Магистральная ВОЛС</v>
      </c>
      <c r="V133" t="str">
        <f t="shared" si="64"/>
        <v>Нет</v>
      </c>
      <c r="W133" t="str">
        <f t="shared" si="64"/>
        <v>Нет</v>
      </c>
      <c r="X133" t="str">
        <f t="shared" si="64"/>
        <v>Нет</v>
      </c>
      <c r="Y133" t="str">
        <f t="shared" si="64"/>
        <v>Нет</v>
      </c>
      <c r="Z133" t="str">
        <f t="shared" si="61"/>
        <v>Нет</v>
      </c>
      <c r="AA133" t="str">
        <f>""</f>
        <v/>
      </c>
      <c r="AB133" t="str">
        <f t="shared" si="71"/>
        <v>Нет</v>
      </c>
      <c r="AC133" t="str">
        <f>"М 5.4.3 - М 5.4.4"</f>
        <v>М 5.4.3 - М 5.4.4</v>
      </c>
      <c r="AD133" t="str">
        <f t="shared" si="68"/>
        <v>19.06.2011</v>
      </c>
      <c r="AE133" t="str">
        <f>""</f>
        <v/>
      </c>
      <c r="AF133" t="str">
        <f>"[391959] М 5.4.3"</f>
        <v>[391959] М 5.4.3</v>
      </c>
      <c r="AG133" t="str">
        <f>"[391955] М 5.4.4"</f>
        <v>[391955] М 5.4.4</v>
      </c>
      <c r="AH133" t="str">
        <f>"М 5.4.3"</f>
        <v>М 5.4.3</v>
      </c>
      <c r="AI133" t="str">
        <f>"М 5.4.4"</f>
        <v>М 5.4.4</v>
      </c>
      <c r="AJ133" t="str">
        <f>""</f>
        <v/>
      </c>
      <c r="AK133" t="str">
        <f t="shared" si="43"/>
        <v>Нет</v>
      </c>
      <c r="AL133" t="s">
        <v>35</v>
      </c>
      <c r="AM133" t="str">
        <f>"20000008030950"</f>
        <v>20000008030950</v>
      </c>
    </row>
    <row r="134" spans="1:39" x14ac:dyDescent="0.25">
      <c r="A134">
        <v>907</v>
      </c>
      <c r="B134" t="str">
        <f t="shared" si="69"/>
        <v>Курск</v>
      </c>
      <c r="C134">
        <v>829383</v>
      </c>
      <c r="D134" t="str">
        <f t="shared" si="70"/>
        <v>Оптический кабель</v>
      </c>
      <c r="E134" t="str">
        <f>"[46/1586] М 5.4.4 - М 5.4.5"</f>
        <v>[46/1586] М 5.4.4 - М 5.4.5</v>
      </c>
      <c r="F134" t="str">
        <f>"ДПТа-П-128А 8(9) 7кН (Вол:Кр,Жел,Зел,...,Лайм,Нат)"</f>
        <v>ДПТа-П-128А 8(9) 7кН (Вол:Кр,Жел,Зел,...,Лайм,Нат)</v>
      </c>
      <c r="G134" t="str">
        <f>""</f>
        <v/>
      </c>
      <c r="H134" t="str">
        <f t="shared" si="65"/>
        <v>МС 5.4</v>
      </c>
      <c r="I134">
        <v>271</v>
      </c>
      <c r="J134">
        <v>340</v>
      </c>
      <c r="K134">
        <v>69</v>
      </c>
      <c r="L134">
        <v>342</v>
      </c>
      <c r="M134" t="str">
        <f t="shared" si="66"/>
        <v>Опоры</v>
      </c>
      <c r="N134" t="str">
        <f t="shared" si="67"/>
        <v>10.08.20122</v>
      </c>
      <c r="O134">
        <v>128</v>
      </c>
      <c r="P134">
        <v>128</v>
      </c>
      <c r="Q134" t="str">
        <f>""</f>
        <v/>
      </c>
      <c r="R134" t="str">
        <f>""</f>
        <v/>
      </c>
      <c r="S134" t="str">
        <f>""</f>
        <v/>
      </c>
      <c r="T134" t="str">
        <f>"46/1586"</f>
        <v>46/1586</v>
      </c>
      <c r="U134" t="str">
        <f t="shared" si="60"/>
        <v>Магистральная ВОЛС</v>
      </c>
      <c r="V134" t="str">
        <f t="shared" si="64"/>
        <v>Нет</v>
      </c>
      <c r="W134" t="str">
        <f t="shared" si="64"/>
        <v>Нет</v>
      </c>
      <c r="X134" t="str">
        <f t="shared" si="64"/>
        <v>Нет</v>
      </c>
      <c r="Y134" t="str">
        <f t="shared" si="64"/>
        <v>Нет</v>
      </c>
      <c r="Z134" t="str">
        <f t="shared" si="61"/>
        <v>Нет</v>
      </c>
      <c r="AA134" t="str">
        <f>""</f>
        <v/>
      </c>
      <c r="AB134" t="str">
        <f t="shared" si="71"/>
        <v>Нет</v>
      </c>
      <c r="AC134" t="str">
        <f>"М 5.4.4 - М 5.4.5"</f>
        <v>М 5.4.4 - М 5.4.5</v>
      </c>
      <c r="AD134" t="str">
        <f t="shared" si="68"/>
        <v>19.06.2011</v>
      </c>
      <c r="AE134" t="str">
        <f>""</f>
        <v/>
      </c>
      <c r="AF134" t="str">
        <f>"[391955] М 5.4.4"</f>
        <v>[391955] М 5.4.4</v>
      </c>
      <c r="AG134" t="str">
        <f>"[391951] М 5.4.5"</f>
        <v>[391951] М 5.4.5</v>
      </c>
      <c r="AH134" t="str">
        <f>"М 5.4.4"</f>
        <v>М 5.4.4</v>
      </c>
      <c r="AI134" t="str">
        <f>"М 5.4.5"</f>
        <v>М 5.4.5</v>
      </c>
      <c r="AJ134" t="str">
        <f>""</f>
        <v/>
      </c>
      <c r="AK134" t="str">
        <f t="shared" si="43"/>
        <v>Нет</v>
      </c>
      <c r="AL134" t="str">
        <f>"51.667891 36.094964, 51.667894 36.094542, 51.667906 36.094028, 51.667918 36.093509, 51.667934 36.092977, 51.667945 36.092481, 51.667955 36.092027, 51.667969 36.091558, 51.667987 36.091043"</f>
        <v>51.667891 36.094964, 51.667894 36.094542, 51.667906 36.094028, 51.667918 36.093509, 51.667934 36.092977, 51.667945 36.092481, 51.667955 36.092027, 51.667969 36.091558, 51.667987 36.091043</v>
      </c>
      <c r="AM134" t="str">
        <f>"20000008045123"</f>
        <v>20000008045123</v>
      </c>
    </row>
    <row r="135" spans="1:39" x14ac:dyDescent="0.25">
      <c r="A135">
        <v>907</v>
      </c>
      <c r="B135" t="str">
        <f t="shared" si="69"/>
        <v>Курск</v>
      </c>
      <c r="C135">
        <v>829386</v>
      </c>
      <c r="D135" t="str">
        <f t="shared" si="70"/>
        <v>Оптический кабель</v>
      </c>
      <c r="E135" t="str">
        <f>"[46/1587] М 5.4.4 - ГОК5.4.2.1 Курск, Ленинского Комсомола Пр-Кт, 50  п. 1"</f>
        <v>[46/1587] М 5.4.4 - ГОК5.4.2.1 Курск, Ленинского Комсомола Пр-Кт, 50  п. 1</v>
      </c>
      <c r="F135" t="str">
        <f>"ДПТс-П-16А 2(6) 7кН (Мод:Кр,Нат)(Вол:Кр,Жел,Зел,..,Ор,Фиол)"</f>
        <v>ДПТс-П-16А 2(6) 7кН (Мод:Кр,Нат)(Вол:Кр,Жел,Зел,..,Ор,Фиол)</v>
      </c>
      <c r="G135" t="str">
        <f>""</f>
        <v/>
      </c>
      <c r="H135" t="str">
        <f t="shared" si="65"/>
        <v>МС 5.4</v>
      </c>
      <c r="I135">
        <v>93</v>
      </c>
      <c r="J135">
        <v>175</v>
      </c>
      <c r="K135">
        <v>70</v>
      </c>
      <c r="L135">
        <v>177</v>
      </c>
      <c r="M135" t="str">
        <f>"Воздушная трасса по стойкам"</f>
        <v>Воздушная трасса по стойкам</v>
      </c>
      <c r="N135" t="str">
        <f t="shared" si="67"/>
        <v>10.08.20122</v>
      </c>
      <c r="O135">
        <v>10</v>
      </c>
      <c r="P135">
        <v>10</v>
      </c>
      <c r="Q135" t="str">
        <f>""</f>
        <v/>
      </c>
      <c r="R135" t="str">
        <f>"Курск, Ленинского Комсомола Пр-Кт, 50"</f>
        <v>Курск, Ленинского Комсомола Пр-Кт, 50</v>
      </c>
      <c r="S135" t="str">
        <f>""</f>
        <v/>
      </c>
      <c r="T135" t="str">
        <f>"46/1587"</f>
        <v>46/1587</v>
      </c>
      <c r="U135" t="str">
        <f t="shared" si="60"/>
        <v>Магистральная ВОЛС</v>
      </c>
      <c r="V135" t="str">
        <f t="shared" si="64"/>
        <v>Нет</v>
      </c>
      <c r="W135" t="str">
        <f t="shared" si="64"/>
        <v>Нет</v>
      </c>
      <c r="X135" t="str">
        <f t="shared" si="64"/>
        <v>Нет</v>
      </c>
      <c r="Y135" t="str">
        <f t="shared" si="64"/>
        <v>Нет</v>
      </c>
      <c r="Z135" t="str">
        <f t="shared" si="61"/>
        <v>Нет</v>
      </c>
      <c r="AA135" t="str">
        <f>""</f>
        <v/>
      </c>
      <c r="AB135" t="str">
        <f t="shared" si="71"/>
        <v>Нет</v>
      </c>
      <c r="AC135" t="str">
        <f>"М 5.4.4 - ППК 5.4.2"</f>
        <v>М 5.4.4 - ППК 5.4.2</v>
      </c>
      <c r="AD135" t="str">
        <f t="shared" si="68"/>
        <v>19.06.2011</v>
      </c>
      <c r="AE135" t="str">
        <f>""</f>
        <v/>
      </c>
      <c r="AF135" t="str">
        <f>"[391955] М 5.4.4"</f>
        <v>[391955] М 5.4.4</v>
      </c>
      <c r="AG135" t="str">
        <f>"[391885] ГОК5.4.2.1 Курск, Ленинского Комсомола Пр-Кт, 50  п. 1"</f>
        <v>[391885] ГОК5.4.2.1 Курск, Ленинского Комсомола Пр-Кт, 50  п. 1</v>
      </c>
      <c r="AH135" t="str">
        <f>"М 5.4.4"</f>
        <v>М 5.4.4</v>
      </c>
      <c r="AI135" t="str">
        <f>"ППК 5.4.2"</f>
        <v>ППК 5.4.2</v>
      </c>
      <c r="AJ135" t="str">
        <f>""</f>
        <v/>
      </c>
      <c r="AK135" t="str">
        <f t="shared" si="43"/>
        <v>Нет</v>
      </c>
      <c r="AL135" t="str">
        <f>"51.667881 36.094964, 51.667355 36.095366, 51.667102 36.095388"</f>
        <v>51.667881 36.094964, 51.667355 36.095366, 51.667102 36.095388</v>
      </c>
      <c r="AM135" t="str">
        <f>"20000008004361"</f>
        <v>20000008004361</v>
      </c>
    </row>
    <row r="136" spans="1:39" x14ac:dyDescent="0.25">
      <c r="A136">
        <v>907</v>
      </c>
      <c r="B136" t="str">
        <f t="shared" si="69"/>
        <v>Курск</v>
      </c>
      <c r="C136">
        <v>829389</v>
      </c>
      <c r="D136" t="str">
        <f t="shared" si="70"/>
        <v>Оптический кабель</v>
      </c>
      <c r="E136" t="str">
        <f>"[46/1588] М 5.4.5 - ГОК5.4.3.1 Курск, Ленинского Комсомола Пр-Кт, 54  п. 2"</f>
        <v>[46/1588] М 5.4.5 - ГОК5.4.3.1 Курск, Ленинского Комсомола Пр-Кт, 54  п. 2</v>
      </c>
      <c r="F136" t="str">
        <f>"ДПТс-П-16А 2(6) 7кН (Мод:Кр,Нат)(Вол:Кр,Жел,Зел,..,Ор,Фиол)"</f>
        <v>ДПТс-П-16А 2(6) 7кН (Мод:Кр,Нат)(Вол:Кр,Жел,Зел,..,Ор,Фиол)</v>
      </c>
      <c r="G136" t="str">
        <f>""</f>
        <v/>
      </c>
      <c r="H136" t="str">
        <f t="shared" si="65"/>
        <v>МС 5.4</v>
      </c>
      <c r="I136">
        <v>89</v>
      </c>
      <c r="J136">
        <v>155</v>
      </c>
      <c r="K136">
        <v>60</v>
      </c>
      <c r="L136">
        <v>156</v>
      </c>
      <c r="M136" t="str">
        <f>"Воздушная трасса по стойкам"</f>
        <v>Воздушная трасса по стойкам</v>
      </c>
      <c r="N136" t="str">
        <f t="shared" si="67"/>
        <v>10.08.20122</v>
      </c>
      <c r="O136">
        <v>10</v>
      </c>
      <c r="P136">
        <v>10</v>
      </c>
      <c r="Q136" t="str">
        <f>""</f>
        <v/>
      </c>
      <c r="R136" t="str">
        <f>"Курск, Ленинского Комсомола Пр-Кт, 54"</f>
        <v>Курск, Ленинского Комсомола Пр-Кт, 54</v>
      </c>
      <c r="S136" t="str">
        <f>""</f>
        <v/>
      </c>
      <c r="T136" t="str">
        <f>"46/1588"</f>
        <v>46/1588</v>
      </c>
      <c r="U136" t="str">
        <f t="shared" si="60"/>
        <v>Магистральная ВОЛС</v>
      </c>
      <c r="V136" t="str">
        <f t="shared" si="64"/>
        <v>Нет</v>
      </c>
      <c r="W136" t="str">
        <f t="shared" si="64"/>
        <v>Нет</v>
      </c>
      <c r="X136" t="str">
        <f t="shared" si="64"/>
        <v>Нет</v>
      </c>
      <c r="Y136" t="str">
        <f t="shared" si="64"/>
        <v>Нет</v>
      </c>
      <c r="Z136" t="str">
        <f t="shared" si="61"/>
        <v>Нет</v>
      </c>
      <c r="AA136" t="str">
        <f>""</f>
        <v/>
      </c>
      <c r="AB136" t="str">
        <f t="shared" si="71"/>
        <v>Нет</v>
      </c>
      <c r="AC136" t="str">
        <f>"М 5.4.5 - ППК 5.4.3"</f>
        <v>М 5.4.5 - ППК 5.4.3</v>
      </c>
      <c r="AD136" t="str">
        <f t="shared" si="68"/>
        <v>19.06.2011</v>
      </c>
      <c r="AE136" t="str">
        <f>""</f>
        <v/>
      </c>
      <c r="AF136" t="str">
        <f>"[391951] М 5.4.5"</f>
        <v>[391951] М 5.4.5</v>
      </c>
      <c r="AG136" t="str">
        <f>"[391872] ГОК5.4.3.1 Курск, Ленинского Комсомола Пр-Кт, 54  п. 2"</f>
        <v>[391872] ГОК5.4.3.1 Курск, Ленинского Комсомола Пр-Кт, 54  п. 2</v>
      </c>
      <c r="AH136" t="str">
        <f>"М 5.4.5"</f>
        <v>М 5.4.5</v>
      </c>
      <c r="AI136" t="str">
        <f>"ППК 5.4.3"</f>
        <v>ППК 5.4.3</v>
      </c>
      <c r="AJ136" t="str">
        <f>""</f>
        <v/>
      </c>
      <c r="AK136" t="str">
        <f t="shared" si="43"/>
        <v>Нет</v>
      </c>
      <c r="AL136" t="str">
        <f>"51.667991 36.091016, 51.667753 36.09094, 51.667425 36.090978, 51.667405 36.090608"</f>
        <v>51.667991 36.091016, 51.667753 36.09094, 51.667425 36.090978, 51.667405 36.090608</v>
      </c>
      <c r="AM136" t="str">
        <f>"20000008030142"</f>
        <v>20000008030142</v>
      </c>
    </row>
    <row r="137" spans="1:39" x14ac:dyDescent="0.25">
      <c r="A137">
        <v>907</v>
      </c>
      <c r="B137" t="str">
        <f t="shared" si="69"/>
        <v>Курск</v>
      </c>
      <c r="C137">
        <v>829392</v>
      </c>
      <c r="D137" t="str">
        <f t="shared" si="70"/>
        <v>Оптический кабель</v>
      </c>
      <c r="E137" t="str">
        <f>"[46/1589] М 5.4.5 - М 5.4.6"</f>
        <v>[46/1589] М 5.4.5 - М 5.4.6</v>
      </c>
      <c r="F137" t="str">
        <f>"ДПТа-П-128А 8(9) 7кН (Вол:Кр,Жел,Зел,...,Лайм,Нат)"</f>
        <v>ДПТа-П-128А 8(9) 7кН (Вол:Кр,Жел,Зел,...,Лайм,Нат)</v>
      </c>
      <c r="G137" t="str">
        <f>"Участок МС-5.4"</f>
        <v>Участок МС-5.4</v>
      </c>
      <c r="H137" t="str">
        <f t="shared" si="65"/>
        <v>МС 5.4</v>
      </c>
      <c r="I137">
        <v>863</v>
      </c>
      <c r="J137">
        <v>1000</v>
      </c>
      <c r="K137">
        <v>130</v>
      </c>
      <c r="L137">
        <v>1005</v>
      </c>
      <c r="M137" t="str">
        <f>"Опоры"</f>
        <v>Опоры</v>
      </c>
      <c r="N137" t="str">
        <f t="shared" si="67"/>
        <v>10.08.20122</v>
      </c>
      <c r="O137">
        <v>128</v>
      </c>
      <c r="P137">
        <v>128</v>
      </c>
      <c r="Q137" t="str">
        <f>""</f>
        <v/>
      </c>
      <c r="R137" t="str">
        <f>""</f>
        <v/>
      </c>
      <c r="S137" t="str">
        <f>""</f>
        <v/>
      </c>
      <c r="T137" t="str">
        <f>"46/1589"</f>
        <v>46/1589</v>
      </c>
      <c r="U137" t="str">
        <f t="shared" si="60"/>
        <v>Магистральная ВОЛС</v>
      </c>
      <c r="V137" t="str">
        <f t="shared" si="64"/>
        <v>Нет</v>
      </c>
      <c r="W137" t="str">
        <f t="shared" si="64"/>
        <v>Нет</v>
      </c>
      <c r="X137" t="str">
        <f t="shared" si="64"/>
        <v>Нет</v>
      </c>
      <c r="Y137" t="str">
        <f t="shared" si="64"/>
        <v>Нет</v>
      </c>
      <c r="Z137" t="str">
        <f t="shared" si="61"/>
        <v>Нет</v>
      </c>
      <c r="AA137" t="str">
        <f>""</f>
        <v/>
      </c>
      <c r="AB137" t="str">
        <f t="shared" si="71"/>
        <v>Нет</v>
      </c>
      <c r="AC137" t="str">
        <f>"М 5.4.5 - М 5.4.6"</f>
        <v>М 5.4.5 - М 5.4.6</v>
      </c>
      <c r="AD137" t="str">
        <f t="shared" si="68"/>
        <v>19.06.2011</v>
      </c>
      <c r="AE137" t="str">
        <f>""</f>
        <v/>
      </c>
      <c r="AF137" t="str">
        <f>"[391951] М 5.4.5"</f>
        <v>[391951] М 5.4.5</v>
      </c>
      <c r="AG137" t="str">
        <f>"[391947] М 5.4.6"</f>
        <v>[391947] М 5.4.6</v>
      </c>
      <c r="AH137" t="str">
        <f>"М 5.4.5"</f>
        <v>М 5.4.5</v>
      </c>
      <c r="AI137" t="str">
        <f>"М 5.4.6"</f>
        <v>М 5.4.6</v>
      </c>
      <c r="AJ137" t="str">
        <f>""</f>
        <v/>
      </c>
      <c r="AK137" t="str">
        <f t="shared" si="43"/>
        <v>Нет</v>
      </c>
      <c r="AL137" t="s">
        <v>36</v>
      </c>
      <c r="AM137" t="str">
        <f>"20000008005981"</f>
        <v>20000008005981</v>
      </c>
    </row>
    <row r="138" spans="1:39" x14ac:dyDescent="0.25">
      <c r="A138">
        <v>907</v>
      </c>
      <c r="B138" t="str">
        <f t="shared" si="69"/>
        <v>Курск</v>
      </c>
      <c r="C138">
        <v>829395</v>
      </c>
      <c r="D138" t="str">
        <f t="shared" si="70"/>
        <v>Оптический кабель</v>
      </c>
      <c r="E138" t="str">
        <f>"[46/1590] М 5.4.6 - М 5.4.7"</f>
        <v>[46/1590] М 5.4.6 - М 5.4.7</v>
      </c>
      <c r="F138" t="str">
        <f>"ДПТа-П-64А 6(6) 7кН (Кр,Жел,Зел,..,8-Фиол,9-Бел,..,Бир,Роз)"</f>
        <v>ДПТа-П-64А 6(6) 7кН (Кр,Жел,Зел,..,8-Фиол,9-Бел,..,Бир,Роз)</v>
      </c>
      <c r="G138" t="str">
        <f>""</f>
        <v/>
      </c>
      <c r="H138" t="str">
        <f t="shared" si="65"/>
        <v>МС 5.4</v>
      </c>
      <c r="I138">
        <v>68</v>
      </c>
      <c r="J138">
        <v>70</v>
      </c>
      <c r="K138">
        <v>0</v>
      </c>
      <c r="L138">
        <v>70</v>
      </c>
      <c r="M138" t="str">
        <f>"Воздушная трасса по стойкам"</f>
        <v>Воздушная трасса по стойкам</v>
      </c>
      <c r="N138" t="str">
        <f t="shared" si="67"/>
        <v>10.08.20122</v>
      </c>
      <c r="O138">
        <v>64</v>
      </c>
      <c r="P138">
        <v>64</v>
      </c>
      <c r="Q138" t="str">
        <f>""</f>
        <v/>
      </c>
      <c r="R138" t="str">
        <f>""</f>
        <v/>
      </c>
      <c r="S138" t="str">
        <f>""</f>
        <v/>
      </c>
      <c r="T138" t="str">
        <f>"46/1590"</f>
        <v>46/1590</v>
      </c>
      <c r="U138" t="str">
        <f t="shared" si="60"/>
        <v>Магистральная ВОЛС</v>
      </c>
      <c r="V138" t="str">
        <f t="shared" si="64"/>
        <v>Нет</v>
      </c>
      <c r="W138" t="str">
        <f t="shared" si="64"/>
        <v>Нет</v>
      </c>
      <c r="X138" t="str">
        <f t="shared" si="64"/>
        <v>Нет</v>
      </c>
      <c r="Y138" t="str">
        <f t="shared" si="64"/>
        <v>Нет</v>
      </c>
      <c r="Z138" t="str">
        <f t="shared" si="61"/>
        <v>Нет</v>
      </c>
      <c r="AA138" t="str">
        <f>""</f>
        <v/>
      </c>
      <c r="AB138" t="str">
        <f t="shared" si="71"/>
        <v>Нет</v>
      </c>
      <c r="AC138" t="str">
        <f>"М 5.4.6 - М 5.4.7"</f>
        <v>М 5.4.6 - М 5.4.7</v>
      </c>
      <c r="AD138" t="str">
        <f>"29.08.2011"</f>
        <v>29.08.2011</v>
      </c>
      <c r="AE138" t="str">
        <f>""</f>
        <v/>
      </c>
      <c r="AF138" t="str">
        <f>"[391947] М 5.4.6"</f>
        <v>[391947] М 5.4.6</v>
      </c>
      <c r="AG138" t="str">
        <f>"[391943] М 5.4.7"</f>
        <v>[391943] М 5.4.7</v>
      </c>
      <c r="AH138" t="str">
        <f>"М 5.4.6"</f>
        <v>М 5.4.6</v>
      </c>
      <c r="AI138" t="str">
        <f>"М 5.4.7"</f>
        <v>М 5.4.7</v>
      </c>
      <c r="AJ138" t="str">
        <f>""</f>
        <v/>
      </c>
      <c r="AK138" t="str">
        <f t="shared" si="43"/>
        <v>Нет</v>
      </c>
      <c r="AL138" t="str">
        <f>"51.667957 36.078458, 51.668403 36.078243, 51.66855 36.078249"</f>
        <v>51.667957 36.078458, 51.668403 36.078243, 51.66855 36.078249</v>
      </c>
      <c r="AM138" t="str">
        <f>"20000008017091"</f>
        <v>20000008017091</v>
      </c>
    </row>
    <row r="139" spans="1:39" x14ac:dyDescent="0.25">
      <c r="A139">
        <v>907</v>
      </c>
      <c r="B139" t="str">
        <f t="shared" si="69"/>
        <v>Курск</v>
      </c>
      <c r="C139">
        <v>829403</v>
      </c>
      <c r="D139" t="str">
        <f t="shared" si="70"/>
        <v>Оптический кабель</v>
      </c>
      <c r="E139" t="str">
        <f>"[46/1591] М 5.4.7 - ГОК5.4.4.1 Курск, Ленинского Комсомола Пр-Кт, 85  п. 2"</f>
        <v>[46/1591] М 5.4.7 - ГОК5.4.4.1 Курск, Ленинского Комсомола Пр-Кт, 85  п. 2</v>
      </c>
      <c r="F139" t="str">
        <f>"ДПТс-П-16А 2(6) 7кН (Мод:Кр,Нат)(Вол:Кр,Жел,Зел,..,Ор,Фиол)"</f>
        <v>ДПТс-П-16А 2(6) 7кН (Мод:Кр,Нат)(Вол:Кр,Жел,Зел,..,Ор,Фиол)</v>
      </c>
      <c r="G139" t="str">
        <f>""</f>
        <v/>
      </c>
      <c r="H139" t="str">
        <f t="shared" si="65"/>
        <v>МС 5.4</v>
      </c>
      <c r="I139">
        <v>127</v>
      </c>
      <c r="J139">
        <v>200</v>
      </c>
      <c r="K139">
        <v>70</v>
      </c>
      <c r="L139">
        <v>202</v>
      </c>
      <c r="M139" t="str">
        <f>"Воздушная трасса по стойкам"</f>
        <v>Воздушная трасса по стойкам</v>
      </c>
      <c r="N139" t="str">
        <f t="shared" si="67"/>
        <v>10.08.20122</v>
      </c>
      <c r="O139">
        <v>10</v>
      </c>
      <c r="P139">
        <v>10</v>
      </c>
      <c r="Q139" t="str">
        <f>""</f>
        <v/>
      </c>
      <c r="R139" t="str">
        <f>"Курск, Ленинского Комсомола Пр-Кт, 85"</f>
        <v>Курск, Ленинского Комсомола Пр-Кт, 85</v>
      </c>
      <c r="S139" t="str">
        <f>""</f>
        <v/>
      </c>
      <c r="T139" t="str">
        <f>"46/1591"</f>
        <v>46/1591</v>
      </c>
      <c r="U139" t="str">
        <f t="shared" si="60"/>
        <v>Магистральная ВОЛС</v>
      </c>
      <c r="V139" t="str">
        <f t="shared" si="64"/>
        <v>Нет</v>
      </c>
      <c r="W139" t="str">
        <f t="shared" si="64"/>
        <v>Нет</v>
      </c>
      <c r="X139" t="str">
        <f t="shared" si="64"/>
        <v>Нет</v>
      </c>
      <c r="Y139" t="str">
        <f t="shared" si="64"/>
        <v>Нет</v>
      </c>
      <c r="Z139" t="str">
        <f t="shared" si="61"/>
        <v>Нет</v>
      </c>
      <c r="AA139" t="str">
        <f>""</f>
        <v/>
      </c>
      <c r="AB139" t="str">
        <f t="shared" si="71"/>
        <v>Нет</v>
      </c>
      <c r="AC139" t="str">
        <f>"М 5.4.7 - ППК 5.4.4"</f>
        <v>М 5.4.7 - ППК 5.4.4</v>
      </c>
      <c r="AD139" t="str">
        <f t="shared" ref="AD139:AD150" si="72">"19.06.2011"</f>
        <v>19.06.2011</v>
      </c>
      <c r="AE139" t="str">
        <f>""</f>
        <v/>
      </c>
      <c r="AF139" t="str">
        <f>"[391943] М 5.4.7"</f>
        <v>[391943] М 5.4.7</v>
      </c>
      <c r="AG139" t="str">
        <f>"[391859] ГОК5.4.4.1 Курск, Ленинского Комсомола Пр-Кт, 85  п. 2"</f>
        <v>[391859] ГОК5.4.4.1 Курск, Ленинского Комсомола Пр-Кт, 85  п. 2</v>
      </c>
      <c r="AH139" t="str">
        <f>"М 5.4.7"</f>
        <v>М 5.4.7</v>
      </c>
      <c r="AI139" t="str">
        <f>"ППК 5.4.4"</f>
        <v>ППК 5.4.4</v>
      </c>
      <c r="AJ139" t="str">
        <f>""</f>
        <v/>
      </c>
      <c r="AK139" t="str">
        <f t="shared" si="43"/>
        <v>Нет</v>
      </c>
      <c r="AL139" t="str">
        <f>"51.66856 36.078254, 51.668536 36.078592, 51.66854 36.079289, 51.668639 36.079434, 51.668643 36.080019"</f>
        <v>51.66856 36.078254, 51.668536 36.078592, 51.66854 36.079289, 51.668639 36.079434, 51.668643 36.080019</v>
      </c>
      <c r="AM139" t="str">
        <f>"20000008030141"</f>
        <v>20000008030141</v>
      </c>
    </row>
    <row r="140" spans="1:39" x14ac:dyDescent="0.25">
      <c r="A140">
        <v>907</v>
      </c>
      <c r="B140" t="str">
        <f t="shared" si="69"/>
        <v>Курск</v>
      </c>
      <c r="C140">
        <v>829423</v>
      </c>
      <c r="D140" t="str">
        <f t="shared" si="70"/>
        <v>Оптический кабель</v>
      </c>
      <c r="E140" t="str">
        <f>"[46/1592] М 5.4.7 - ГОК5.4.5.1 Курск, Ленинского Комсомола Пр-Кт, 91  п. 2"</f>
        <v>[46/1592] М 5.4.7 - ГОК5.4.5.1 Курск, Ленинского Комсомола Пр-Кт, 91  п. 2</v>
      </c>
      <c r="F140" t="str">
        <f>"ДПТс-П-16А 2(6) 7кН (Мод:Кр,Нат)(Вол:Кр,Жел,Зел,..,Ор,Фиол)"</f>
        <v>ДПТс-П-16А 2(6) 7кН (Мод:Кр,Нат)(Вол:Кр,Жел,Зел,..,Ор,Фиол)</v>
      </c>
      <c r="G140" t="str">
        <f>""</f>
        <v/>
      </c>
      <c r="H140" t="str">
        <f t="shared" si="65"/>
        <v>МС 5.4</v>
      </c>
      <c r="I140">
        <v>45</v>
      </c>
      <c r="J140">
        <v>135</v>
      </c>
      <c r="K140">
        <v>80</v>
      </c>
      <c r="L140">
        <v>136</v>
      </c>
      <c r="M140" t="str">
        <f>"Воздушная трасса по стойкам"</f>
        <v>Воздушная трасса по стойкам</v>
      </c>
      <c r="N140" t="str">
        <f t="shared" si="67"/>
        <v>10.08.20122</v>
      </c>
      <c r="O140">
        <v>10</v>
      </c>
      <c r="P140">
        <v>10</v>
      </c>
      <c r="Q140" t="str">
        <f>""</f>
        <v/>
      </c>
      <c r="R140" t="str">
        <f>"Курск, Ленинского Комсомола Пр-Кт, 91"</f>
        <v>Курск, Ленинского Комсомола Пр-Кт, 91</v>
      </c>
      <c r="S140" t="str">
        <f>""</f>
        <v/>
      </c>
      <c r="T140" t="str">
        <f>"46/1592"</f>
        <v>46/1592</v>
      </c>
      <c r="U140" t="str">
        <f t="shared" si="60"/>
        <v>Магистральная ВОЛС</v>
      </c>
      <c r="V140" t="str">
        <f t="shared" si="64"/>
        <v>Нет</v>
      </c>
      <c r="W140" t="str">
        <f t="shared" si="64"/>
        <v>Нет</v>
      </c>
      <c r="X140" t="str">
        <f t="shared" si="64"/>
        <v>Нет</v>
      </c>
      <c r="Y140" t="str">
        <f t="shared" si="64"/>
        <v>Нет</v>
      </c>
      <c r="Z140" t="str">
        <f t="shared" si="61"/>
        <v>Нет</v>
      </c>
      <c r="AA140" t="str">
        <f>""</f>
        <v/>
      </c>
      <c r="AB140" t="str">
        <f t="shared" si="71"/>
        <v>Нет</v>
      </c>
      <c r="AC140" t="str">
        <f>"М 5.4.7 - ППК 5.4.5"</f>
        <v>М 5.4.7 - ППК 5.4.5</v>
      </c>
      <c r="AD140" t="str">
        <f t="shared" si="72"/>
        <v>19.06.2011</v>
      </c>
      <c r="AE140" t="str">
        <f>""</f>
        <v/>
      </c>
      <c r="AF140" t="str">
        <f>"[391943] М 5.4.7"</f>
        <v>[391943] М 5.4.7</v>
      </c>
      <c r="AG140" t="str">
        <f>"[391846] ГОК5.4.5.1 Курск, Ленинского Комсомола Пр-Кт, 91  п. 2"</f>
        <v>[391846] ГОК5.4.5.1 Курск, Ленинского Комсомола Пр-Кт, 91  п. 2</v>
      </c>
      <c r="AH140" t="str">
        <f>"М 5.4.7"</f>
        <v>М 5.4.7</v>
      </c>
      <c r="AI140" t="str">
        <f>"ППК 5.4.5"</f>
        <v>ППК 5.4.5</v>
      </c>
      <c r="AJ140" t="str">
        <f>""</f>
        <v/>
      </c>
      <c r="AK140" t="str">
        <f t="shared" ref="AK140:AK203" si="73">"Нет"</f>
        <v>Нет</v>
      </c>
      <c r="AL140" t="str">
        <f>"51.668556 36.078222, 51.668513 36.077573"</f>
        <v>51.668556 36.078222, 51.668513 36.077573</v>
      </c>
      <c r="AM140" t="str">
        <f>"20000008024512"</f>
        <v>20000008024512</v>
      </c>
    </row>
    <row r="141" spans="1:39" x14ac:dyDescent="0.25">
      <c r="A141">
        <v>907</v>
      </c>
      <c r="B141" t="str">
        <f t="shared" si="69"/>
        <v>Курск</v>
      </c>
      <c r="C141">
        <v>829443</v>
      </c>
      <c r="D141" t="str">
        <f t="shared" si="70"/>
        <v>Оптический кабель</v>
      </c>
      <c r="E141" t="str">
        <f>"[46/1593] М 5.4.7 - М 5.4.8"</f>
        <v>[46/1593] М 5.4.7 - М 5.4.8</v>
      </c>
      <c r="F141" t="str">
        <f>"ДПТа-П-64А 6(6) 7кН (Кр,Жел,Зел,..,8-Фиол,9-Бел,..,Бир,Роз)"</f>
        <v>ДПТа-П-64А 6(6) 7кН (Кр,Жел,Зел,..,8-Фиол,9-Бел,..,Бир,Роз)</v>
      </c>
      <c r="G141" t="str">
        <f>""</f>
        <v/>
      </c>
      <c r="H141" t="str">
        <f t="shared" si="65"/>
        <v>МС 5.4</v>
      </c>
      <c r="I141">
        <v>569</v>
      </c>
      <c r="J141">
        <v>650</v>
      </c>
      <c r="K141">
        <v>80</v>
      </c>
      <c r="L141">
        <v>653</v>
      </c>
      <c r="M141" t="str">
        <f>"Опоры"</f>
        <v>Опоры</v>
      </c>
      <c r="N141" t="str">
        <f t="shared" si="67"/>
        <v>10.08.20122</v>
      </c>
      <c r="O141">
        <v>64</v>
      </c>
      <c r="P141">
        <v>64</v>
      </c>
      <c r="Q141" t="str">
        <f>""</f>
        <v/>
      </c>
      <c r="R141" t="str">
        <f>""</f>
        <v/>
      </c>
      <c r="S141" t="str">
        <f>""</f>
        <v/>
      </c>
      <c r="T141" t="str">
        <f>"46/1593"</f>
        <v>46/1593</v>
      </c>
      <c r="U141" t="str">
        <f t="shared" si="60"/>
        <v>Магистральная ВОЛС</v>
      </c>
      <c r="V141" t="str">
        <f t="shared" si="64"/>
        <v>Нет</v>
      </c>
      <c r="W141" t="str">
        <f t="shared" si="64"/>
        <v>Нет</v>
      </c>
      <c r="X141" t="str">
        <f t="shared" si="64"/>
        <v>Нет</v>
      </c>
      <c r="Y141" t="str">
        <f t="shared" si="64"/>
        <v>Нет</v>
      </c>
      <c r="Z141" t="str">
        <f t="shared" si="61"/>
        <v>Нет</v>
      </c>
      <c r="AA141" t="str">
        <f>""</f>
        <v/>
      </c>
      <c r="AB141" t="str">
        <f t="shared" si="71"/>
        <v>Нет</v>
      </c>
      <c r="AC141" t="str">
        <f>"М 5.4.7 - М 5.4.8"</f>
        <v>М 5.4.7 - М 5.4.8</v>
      </c>
      <c r="AD141" t="str">
        <f t="shared" si="72"/>
        <v>19.06.2011</v>
      </c>
      <c r="AE141" t="str">
        <f>""</f>
        <v/>
      </c>
      <c r="AF141" t="str">
        <f>"[391943] М 5.4.7"</f>
        <v>[391943] М 5.4.7</v>
      </c>
      <c r="AG141" t="str">
        <f>"[391939] М 5.4.8"</f>
        <v>[391939] М 5.4.8</v>
      </c>
      <c r="AH141" t="str">
        <f>"М 5.4.7"</f>
        <v>М 5.4.7</v>
      </c>
      <c r="AI141" t="str">
        <f>"М 5.4.8"</f>
        <v>М 5.4.8</v>
      </c>
      <c r="AJ141" t="str">
        <f>""</f>
        <v/>
      </c>
      <c r="AK141" t="str">
        <f t="shared" si="73"/>
        <v>Нет</v>
      </c>
      <c r="AL141" t="s">
        <v>37</v>
      </c>
      <c r="AM141" t="str">
        <f>"20000007993294"</f>
        <v>20000007993294</v>
      </c>
    </row>
    <row r="142" spans="1:39" x14ac:dyDescent="0.25">
      <c r="A142">
        <v>907</v>
      </c>
      <c r="B142" t="str">
        <f t="shared" si="69"/>
        <v>Курск</v>
      </c>
      <c r="C142">
        <v>829448</v>
      </c>
      <c r="D142" t="str">
        <f t="shared" si="70"/>
        <v>Оптический кабель</v>
      </c>
      <c r="E142" t="str">
        <f>"[46/1594] М 5.4.8 - ГОК5.4.6.1 Курск, Юности, 22  п. 2"</f>
        <v>[46/1594] М 5.4.8 - ГОК5.4.6.1 Курск, Юности, 22  п. 2</v>
      </c>
      <c r="F142" t="str">
        <f>"ДПТс-П-16А 2(6) 7кН (Мод:Кр,Нат)(Вол:Кр,Жел,Зел,..,Ор,Фиол)"</f>
        <v>ДПТс-П-16А 2(6) 7кН (Мод:Кр,Нат)(Вол:Кр,Жел,Зел,..,Ор,Фиол)</v>
      </c>
      <c r="G142" t="str">
        <f>""</f>
        <v/>
      </c>
      <c r="H142" t="str">
        <f t="shared" si="65"/>
        <v>МС 5.4</v>
      </c>
      <c r="I142">
        <v>74</v>
      </c>
      <c r="J142">
        <v>115</v>
      </c>
      <c r="K142">
        <v>34</v>
      </c>
      <c r="L142">
        <v>115</v>
      </c>
      <c r="M142" t="str">
        <f>"Воздушная трасса по стойкам"</f>
        <v>Воздушная трасса по стойкам</v>
      </c>
      <c r="N142" t="str">
        <f t="shared" si="67"/>
        <v>10.08.20122</v>
      </c>
      <c r="O142">
        <v>10</v>
      </c>
      <c r="P142">
        <v>10</v>
      </c>
      <c r="Q142" t="str">
        <f>""</f>
        <v/>
      </c>
      <c r="R142" t="str">
        <f>"Курск, Юности, 22"</f>
        <v>Курск, Юности, 22</v>
      </c>
      <c r="S142" t="str">
        <f>""</f>
        <v/>
      </c>
      <c r="T142" t="str">
        <f>"46/1594"</f>
        <v>46/1594</v>
      </c>
      <c r="U142" t="str">
        <f t="shared" si="60"/>
        <v>Магистральная ВОЛС</v>
      </c>
      <c r="V142" t="str">
        <f t="shared" si="64"/>
        <v>Нет</v>
      </c>
      <c r="W142" t="str">
        <f t="shared" si="64"/>
        <v>Нет</v>
      </c>
      <c r="X142" t="str">
        <f t="shared" si="64"/>
        <v>Нет</v>
      </c>
      <c r="Y142" t="str">
        <f t="shared" si="64"/>
        <v>Нет</v>
      </c>
      <c r="Z142" t="str">
        <f t="shared" si="61"/>
        <v>Нет</v>
      </c>
      <c r="AA142" t="str">
        <f>""</f>
        <v/>
      </c>
      <c r="AB142" t="str">
        <f t="shared" si="71"/>
        <v>Нет</v>
      </c>
      <c r="AC142" t="str">
        <f>"М 5.4.8 - ППК 5.4.6"</f>
        <v>М 5.4.8 - ППК 5.4.6</v>
      </c>
      <c r="AD142" t="str">
        <f t="shared" si="72"/>
        <v>19.06.2011</v>
      </c>
      <c r="AE142" t="str">
        <f>""</f>
        <v/>
      </c>
      <c r="AF142" t="str">
        <f>"[391939] М 5.4.8"</f>
        <v>[391939] М 5.4.8</v>
      </c>
      <c r="AG142" t="str">
        <f>"[391833] ГОК5.4.6.1 Курск, Юности, 22  п. 2"</f>
        <v>[391833] ГОК5.4.6.1 Курск, Юности, 22  п. 2</v>
      </c>
      <c r="AH142" t="str">
        <f>"М 5.4.8"</f>
        <v>М 5.4.8</v>
      </c>
      <c r="AI142" t="str">
        <f>"ППК 5.4.6"</f>
        <v>ППК 5.4.6</v>
      </c>
      <c r="AJ142" t="str">
        <f>""</f>
        <v/>
      </c>
      <c r="AK142" t="str">
        <f t="shared" si="73"/>
        <v>Нет</v>
      </c>
      <c r="AL142" t="str">
        <f>"51.670729 36.082567, 51.670715 36.082068, 51.670656 36.08225, 51.670429 36.08224"</f>
        <v>51.670729 36.082567, 51.670715 36.082068, 51.670656 36.08225, 51.670429 36.08224</v>
      </c>
      <c r="AM142" t="str">
        <f>"20000008014281"</f>
        <v>20000008014281</v>
      </c>
    </row>
    <row r="143" spans="1:39" x14ac:dyDescent="0.25">
      <c r="A143">
        <v>907</v>
      </c>
      <c r="B143" t="str">
        <f t="shared" si="69"/>
        <v>Курск</v>
      </c>
      <c r="C143">
        <v>829451</v>
      </c>
      <c r="D143" t="str">
        <f t="shared" si="70"/>
        <v>Оптический кабель</v>
      </c>
      <c r="E143" t="str">
        <f>"[46/1595] М 5.4.8 - М 5.4.9"</f>
        <v>[46/1595] М 5.4.8 - М 5.4.9</v>
      </c>
      <c r="F143" t="str">
        <f>"ДПТа-П-64А 6(6) 7кН (Кр,Жел,Зел,..,8-Фиол,9-Бел,..,Бир,Роз)"</f>
        <v>ДПТа-П-64А 6(6) 7кН (Кр,Жел,Зел,..,8-Фиол,9-Бел,..,Бир,Роз)</v>
      </c>
      <c r="G143" t="str">
        <f>""</f>
        <v/>
      </c>
      <c r="H143" t="str">
        <f t="shared" si="65"/>
        <v>МС 5.4</v>
      </c>
      <c r="I143">
        <v>442</v>
      </c>
      <c r="J143">
        <v>470</v>
      </c>
      <c r="K143">
        <v>24</v>
      </c>
      <c r="L143">
        <v>472</v>
      </c>
      <c r="M143" t="str">
        <f t="shared" ref="M143:M153" si="74">"Опоры"</f>
        <v>Опоры</v>
      </c>
      <c r="N143" t="str">
        <f t="shared" si="67"/>
        <v>10.08.20122</v>
      </c>
      <c r="O143">
        <v>64</v>
      </c>
      <c r="P143">
        <v>64</v>
      </c>
      <c r="Q143" t="str">
        <f>""</f>
        <v/>
      </c>
      <c r="R143" t="str">
        <f>""</f>
        <v/>
      </c>
      <c r="S143" t="str">
        <f>""</f>
        <v/>
      </c>
      <c r="T143" t="str">
        <f>"46/1595"</f>
        <v>46/1595</v>
      </c>
      <c r="U143" t="str">
        <f t="shared" si="60"/>
        <v>Магистральная ВОЛС</v>
      </c>
      <c r="V143" t="str">
        <f t="shared" si="64"/>
        <v>Нет</v>
      </c>
      <c r="W143" t="str">
        <f t="shared" si="64"/>
        <v>Нет</v>
      </c>
      <c r="X143" t="str">
        <f t="shared" si="64"/>
        <v>Нет</v>
      </c>
      <c r="Y143" t="str">
        <f t="shared" si="64"/>
        <v>Нет</v>
      </c>
      <c r="Z143" t="str">
        <f t="shared" si="61"/>
        <v>Нет</v>
      </c>
      <c r="AA143" t="str">
        <f>""</f>
        <v/>
      </c>
      <c r="AB143" t="str">
        <f t="shared" si="71"/>
        <v>Нет</v>
      </c>
      <c r="AC143" t="str">
        <f>"М 5.4.8 - М 5.4.9"</f>
        <v>М 5.4.8 - М 5.4.9</v>
      </c>
      <c r="AD143" t="str">
        <f t="shared" si="72"/>
        <v>19.06.2011</v>
      </c>
      <c r="AE143" t="str">
        <f>""</f>
        <v/>
      </c>
      <c r="AF143" t="str">
        <f>"[391939] М 5.4.8"</f>
        <v>[391939] М 5.4.8</v>
      </c>
      <c r="AG143" t="str">
        <f>"[391935] М 5.4.9"</f>
        <v>[391935] М 5.4.9</v>
      </c>
      <c r="AH143" t="str">
        <f>"М 5.4.8"</f>
        <v>М 5.4.8</v>
      </c>
      <c r="AI143" t="str">
        <f>"М 5.4.9"</f>
        <v>М 5.4.9</v>
      </c>
      <c r="AJ143" t="str">
        <f>""</f>
        <v/>
      </c>
      <c r="AK143" t="str">
        <f t="shared" si="73"/>
        <v>Нет</v>
      </c>
      <c r="AL143" t="s">
        <v>38</v>
      </c>
      <c r="AM143" t="str">
        <f>"20000007993302"</f>
        <v>20000007993302</v>
      </c>
    </row>
    <row r="144" spans="1:39" x14ac:dyDescent="0.25">
      <c r="A144">
        <v>907</v>
      </c>
      <c r="B144" t="str">
        <f t="shared" si="69"/>
        <v>Курск</v>
      </c>
      <c r="C144">
        <v>829456</v>
      </c>
      <c r="D144" t="str">
        <f t="shared" si="70"/>
        <v>Оптический кабель</v>
      </c>
      <c r="E144" t="str">
        <f>"[46/1596] М 5.4.9 - М 5.4.16"</f>
        <v>[46/1596] М 5.4.9 - М 5.4.16</v>
      </c>
      <c r="F144" t="str">
        <f>"ДПТа-П-64А 6(6) 7кН (Кр,Жел,Зел,..,8-Фиол,9-Бел,..,Бир,Роз)"</f>
        <v>ДПТа-П-64А 6(6) 7кН (Кр,Жел,Зел,..,8-Фиол,9-Бел,..,Бир,Роз)</v>
      </c>
      <c r="G144" t="str">
        <f>""</f>
        <v/>
      </c>
      <c r="H144" t="str">
        <f t="shared" si="65"/>
        <v>МС 5.4</v>
      </c>
      <c r="I144">
        <v>102</v>
      </c>
      <c r="J144">
        <v>145</v>
      </c>
      <c r="K144">
        <v>40</v>
      </c>
      <c r="L144">
        <v>146</v>
      </c>
      <c r="M144" t="str">
        <f t="shared" si="74"/>
        <v>Опоры</v>
      </c>
      <c r="N144" t="str">
        <f t="shared" si="67"/>
        <v>10.08.20122</v>
      </c>
      <c r="O144">
        <v>64</v>
      </c>
      <c r="P144">
        <v>64</v>
      </c>
      <c r="Q144" t="str">
        <f>""</f>
        <v/>
      </c>
      <c r="R144" t="str">
        <f>""</f>
        <v/>
      </c>
      <c r="S144" t="str">
        <f>""</f>
        <v/>
      </c>
      <c r="T144" t="str">
        <f>"46/1596"</f>
        <v>46/1596</v>
      </c>
      <c r="U144" t="str">
        <f t="shared" si="60"/>
        <v>Магистральная ВОЛС</v>
      </c>
      <c r="V144" t="str">
        <f t="shared" si="64"/>
        <v>Нет</v>
      </c>
      <c r="W144" t="str">
        <f t="shared" si="64"/>
        <v>Нет</v>
      </c>
      <c r="X144" t="str">
        <f t="shared" si="64"/>
        <v>Нет</v>
      </c>
      <c r="Y144" t="str">
        <f t="shared" si="64"/>
        <v>Нет</v>
      </c>
      <c r="Z144" t="str">
        <f t="shared" si="61"/>
        <v>Нет</v>
      </c>
      <c r="AA144" t="str">
        <f>""</f>
        <v/>
      </c>
      <c r="AB144" t="str">
        <f t="shared" si="71"/>
        <v>Нет</v>
      </c>
      <c r="AC144" t="str">
        <f>"М 5.4.9 - М 5.4.16"</f>
        <v>М 5.4.9 - М 5.4.16</v>
      </c>
      <c r="AD144" t="str">
        <f t="shared" si="72"/>
        <v>19.06.2011</v>
      </c>
      <c r="AE144" t="str">
        <f>""</f>
        <v/>
      </c>
      <c r="AF144" t="str">
        <f>"[391935] М 5.4.9"</f>
        <v>[391935] М 5.4.9</v>
      </c>
      <c r="AG144" t="str">
        <f>"[391931] М 5.4.16"</f>
        <v>[391931] М 5.4.16</v>
      </c>
      <c r="AH144" t="str">
        <f>"М 5.4.9"</f>
        <v>М 5.4.9</v>
      </c>
      <c r="AI144" t="str">
        <f>"М 5.4.16"</f>
        <v>М 5.4.16</v>
      </c>
      <c r="AJ144" t="str">
        <f>""</f>
        <v/>
      </c>
      <c r="AK144" t="str">
        <f t="shared" si="73"/>
        <v>Нет</v>
      </c>
      <c r="AL144" t="str">
        <f>"51.671827 36.088672, 51.671723 36.08835, 51.67165 36.087985, 51.67159 36.087631, 51.671451 36.087336"</f>
        <v>51.671827 36.088672, 51.671723 36.08835, 51.67165 36.087985, 51.67159 36.087631, 51.671451 36.087336</v>
      </c>
      <c r="AM144" t="str">
        <f>"20000007993298"</f>
        <v>20000007993298</v>
      </c>
    </row>
    <row r="145" spans="1:39" x14ac:dyDescent="0.25">
      <c r="A145">
        <v>907</v>
      </c>
      <c r="B145" t="str">
        <f t="shared" si="69"/>
        <v>Курск</v>
      </c>
      <c r="C145">
        <v>829461</v>
      </c>
      <c r="D145" t="str">
        <f t="shared" si="70"/>
        <v>Оптический кабель</v>
      </c>
      <c r="E145" t="str">
        <f>"[46/1597] М 5.4.9 - М 5.4.14"</f>
        <v>[46/1597] М 5.4.9 - М 5.4.14</v>
      </c>
      <c r="F145" t="str">
        <f t="shared" ref="F145:F151" si="75">"ДПТа-П-128А 8(9) 7кН (Вол:Кр,Жел,Зел,...,Лайм,Нат)"</f>
        <v>ДПТа-П-128А 8(9) 7кН (Вол:Кр,Жел,Зел,...,Лайм,Нат)</v>
      </c>
      <c r="G145" t="str">
        <f>""</f>
        <v/>
      </c>
      <c r="H145" t="str">
        <f t="shared" si="65"/>
        <v>МС 5.4</v>
      </c>
      <c r="I145">
        <v>261</v>
      </c>
      <c r="J145">
        <v>312</v>
      </c>
      <c r="K145">
        <v>50</v>
      </c>
      <c r="L145">
        <v>314</v>
      </c>
      <c r="M145" t="str">
        <f t="shared" si="74"/>
        <v>Опоры</v>
      </c>
      <c r="N145" t="str">
        <f t="shared" si="67"/>
        <v>10.08.20122</v>
      </c>
      <c r="O145">
        <v>128</v>
      </c>
      <c r="P145">
        <v>128</v>
      </c>
      <c r="Q145" t="str">
        <f>""</f>
        <v/>
      </c>
      <c r="R145" t="str">
        <f>""</f>
        <v/>
      </c>
      <c r="S145" t="str">
        <f>""</f>
        <v/>
      </c>
      <c r="T145" t="str">
        <f>"46/1597"</f>
        <v>46/1597</v>
      </c>
      <c r="U145" t="str">
        <f t="shared" si="60"/>
        <v>Магистральная ВОЛС</v>
      </c>
      <c r="V145" t="str">
        <f t="shared" si="64"/>
        <v>Нет</v>
      </c>
      <c r="W145" t="str">
        <f t="shared" si="64"/>
        <v>Нет</v>
      </c>
      <c r="X145" t="str">
        <f t="shared" si="64"/>
        <v>Нет</v>
      </c>
      <c r="Y145" t="str">
        <f t="shared" si="64"/>
        <v>Нет</v>
      </c>
      <c r="Z145" t="str">
        <f t="shared" si="61"/>
        <v>Нет</v>
      </c>
      <c r="AA145" t="str">
        <f>""</f>
        <v/>
      </c>
      <c r="AB145" t="str">
        <f t="shared" si="71"/>
        <v>Нет</v>
      </c>
      <c r="AC145" t="str">
        <f>"М 5.4.9 - М 5.4.14"</f>
        <v>М 5.4.9 - М 5.4.14</v>
      </c>
      <c r="AD145" t="str">
        <f t="shared" si="72"/>
        <v>19.06.2011</v>
      </c>
      <c r="AE145" t="str">
        <f>""</f>
        <v/>
      </c>
      <c r="AF145" t="str">
        <f>"[391935] М 5.4.9"</f>
        <v>[391935] М 5.4.9</v>
      </c>
      <c r="AG145" t="str">
        <f>"[391927] М 5.4.14"</f>
        <v>[391927] М 5.4.14</v>
      </c>
      <c r="AH145" t="str">
        <f>"М 5.4.9"</f>
        <v>М 5.4.9</v>
      </c>
      <c r="AI145" t="str">
        <f>"М 5.4.14"</f>
        <v>М 5.4.14</v>
      </c>
      <c r="AJ145" t="str">
        <f>""</f>
        <v/>
      </c>
      <c r="AK145" t="str">
        <f t="shared" si="73"/>
        <v>Нет</v>
      </c>
      <c r="AL145" t="str">
        <f>"51.671827 36.088704, 51.67194 36.089026, 51.672059 36.089342, 51.672166 36.089648, 51.672048 36.08975, 51.671873 36.089943, 51.671787 36.090029, 51.671477 36.090335, 51.671194 36.090633, 51.671055 36.090785, 51.670943 36.090893, 51.670749 36.091059"</f>
        <v>51.671827 36.088704, 51.67194 36.089026, 51.672059 36.089342, 51.672166 36.089648, 51.672048 36.08975, 51.671873 36.089943, 51.671787 36.090029, 51.671477 36.090335, 51.671194 36.090633, 51.671055 36.090785, 51.670943 36.090893, 51.670749 36.091059</v>
      </c>
      <c r="AM145" t="str">
        <f>"20000008036100"</f>
        <v>20000008036100</v>
      </c>
    </row>
    <row r="146" spans="1:39" x14ac:dyDescent="0.25">
      <c r="A146">
        <v>907</v>
      </c>
      <c r="B146" t="str">
        <f t="shared" si="69"/>
        <v>Курск</v>
      </c>
      <c r="C146">
        <v>829470</v>
      </c>
      <c r="D146" t="str">
        <f t="shared" si="70"/>
        <v>Оптический кабель</v>
      </c>
      <c r="E146" t="str">
        <f>"[46/1599] М 5.4.15 - М 5.4.10"</f>
        <v>[46/1599] М 5.4.15 - М 5.4.10</v>
      </c>
      <c r="F146" t="str">
        <f t="shared" si="75"/>
        <v>ДПТа-П-128А 8(9) 7кН (Вол:Кр,Жел,Зел,...,Лайм,Нат)</v>
      </c>
      <c r="G146" t="str">
        <f>""</f>
        <v/>
      </c>
      <c r="H146" t="str">
        <f t="shared" si="65"/>
        <v>МС 5.4</v>
      </c>
      <c r="I146">
        <v>108</v>
      </c>
      <c r="J146">
        <v>240</v>
      </c>
      <c r="K146">
        <v>130</v>
      </c>
      <c r="L146">
        <v>242</v>
      </c>
      <c r="M146" t="str">
        <f t="shared" si="74"/>
        <v>Опоры</v>
      </c>
      <c r="N146" t="str">
        <f t="shared" si="67"/>
        <v>10.08.20122</v>
      </c>
      <c r="O146">
        <v>128</v>
      </c>
      <c r="P146">
        <v>128</v>
      </c>
      <c r="Q146" t="str">
        <f>""</f>
        <v/>
      </c>
      <c r="R146" t="str">
        <f>""</f>
        <v/>
      </c>
      <c r="S146" t="str">
        <f>""</f>
        <v/>
      </c>
      <c r="T146" t="str">
        <f>"46/1599"</f>
        <v>46/1599</v>
      </c>
      <c r="U146" t="str">
        <f t="shared" si="60"/>
        <v>Магистральная ВОЛС</v>
      </c>
      <c r="V146" t="str">
        <f t="shared" si="64"/>
        <v>Нет</v>
      </c>
      <c r="W146" t="str">
        <f t="shared" si="64"/>
        <v>Нет</v>
      </c>
      <c r="X146" t="str">
        <f t="shared" si="64"/>
        <v>Нет</v>
      </c>
      <c r="Y146" t="str">
        <f t="shared" si="64"/>
        <v>Нет</v>
      </c>
      <c r="Z146" t="str">
        <f t="shared" si="61"/>
        <v>Нет</v>
      </c>
      <c r="AA146" t="str">
        <f>""</f>
        <v/>
      </c>
      <c r="AB146" t="str">
        <f t="shared" si="71"/>
        <v>Нет</v>
      </c>
      <c r="AC146" t="str">
        <f>"М 5.4.15 - М 5.4.10"</f>
        <v>М 5.4.15 - М 5.4.10</v>
      </c>
      <c r="AD146" t="str">
        <f t="shared" si="72"/>
        <v>19.06.2011</v>
      </c>
      <c r="AE146" t="str">
        <f>""</f>
        <v/>
      </c>
      <c r="AF146" t="str">
        <f>"[391923] М 5.4.15"</f>
        <v>[391923] М 5.4.15</v>
      </c>
      <c r="AG146" t="str">
        <f>"[391919] М 5.4.10"</f>
        <v>[391919] М 5.4.10</v>
      </c>
      <c r="AH146" t="str">
        <f>"М 5.4.15"</f>
        <v>М 5.4.15</v>
      </c>
      <c r="AI146" t="str">
        <f>"М 5.4.10"</f>
        <v>М 5.4.10</v>
      </c>
      <c r="AJ146" t="str">
        <f>""</f>
        <v/>
      </c>
      <c r="AK146" t="str">
        <f t="shared" si="73"/>
        <v>Нет</v>
      </c>
      <c r="AL146" t="str">
        <f>"51.667931 36.094953, 51.667917 36.095372, 51.667901 36.095747, 51.667884 36.096139, 51.667874 36.096514"</f>
        <v>51.667931 36.094953, 51.667917 36.095372, 51.667901 36.095747, 51.667884 36.096139, 51.667874 36.096514</v>
      </c>
      <c r="AM146" t="str">
        <f>"20000008030949"</f>
        <v>20000008030949</v>
      </c>
    </row>
    <row r="147" spans="1:39" x14ac:dyDescent="0.25">
      <c r="A147">
        <v>907</v>
      </c>
      <c r="B147" t="str">
        <f t="shared" si="69"/>
        <v>Курск</v>
      </c>
      <c r="C147">
        <v>829483</v>
      </c>
      <c r="D147" t="str">
        <f t="shared" si="70"/>
        <v>Оптический кабель</v>
      </c>
      <c r="E147" t="str">
        <f>"[46/1600] М 5.4.10 - М 5.4.13"</f>
        <v>[46/1600] М 5.4.10 - М 5.4.13</v>
      </c>
      <c r="F147" t="str">
        <f t="shared" si="75"/>
        <v>ДПТа-П-128А 8(9) 7кН (Вол:Кр,Жел,Зел,...,Лайм,Нат)</v>
      </c>
      <c r="G147" t="str">
        <f>""</f>
        <v/>
      </c>
      <c r="H147" t="str">
        <f t="shared" si="65"/>
        <v>МС 5.4</v>
      </c>
      <c r="I147">
        <v>815</v>
      </c>
      <c r="J147">
        <v>960</v>
      </c>
      <c r="K147">
        <v>140</v>
      </c>
      <c r="L147">
        <v>963</v>
      </c>
      <c r="M147" t="str">
        <f t="shared" si="74"/>
        <v>Опоры</v>
      </c>
      <c r="N147" t="str">
        <f t="shared" si="67"/>
        <v>10.08.20122</v>
      </c>
      <c r="O147">
        <v>128</v>
      </c>
      <c r="P147">
        <v>128</v>
      </c>
      <c r="Q147" t="str">
        <f>""</f>
        <v/>
      </c>
      <c r="R147" t="str">
        <f>""</f>
        <v/>
      </c>
      <c r="S147" t="str">
        <f>""</f>
        <v/>
      </c>
      <c r="T147" t="str">
        <f>"46/1600"</f>
        <v>46/1600</v>
      </c>
      <c r="U147" t="str">
        <f t="shared" si="60"/>
        <v>Магистральная ВОЛС</v>
      </c>
      <c r="V147" t="str">
        <f t="shared" si="64"/>
        <v>Нет</v>
      </c>
      <c r="W147" t="str">
        <f t="shared" si="64"/>
        <v>Нет</v>
      </c>
      <c r="X147" t="str">
        <f t="shared" si="64"/>
        <v>Нет</v>
      </c>
      <c r="Y147" t="str">
        <f t="shared" si="64"/>
        <v>Нет</v>
      </c>
      <c r="Z147" t="str">
        <f t="shared" si="61"/>
        <v>Нет</v>
      </c>
      <c r="AA147" t="str">
        <f>""</f>
        <v/>
      </c>
      <c r="AB147" t="str">
        <f t="shared" si="71"/>
        <v>Нет</v>
      </c>
      <c r="AC147" t="str">
        <f>"М 5.4.10 - М 5.4.13"</f>
        <v>М 5.4.10 - М 5.4.13</v>
      </c>
      <c r="AD147" t="str">
        <f t="shared" si="72"/>
        <v>19.06.2011</v>
      </c>
      <c r="AE147" t="str">
        <f>""</f>
        <v/>
      </c>
      <c r="AF147" t="str">
        <f>"[391919] М 5.4.10"</f>
        <v>[391919] М 5.4.10</v>
      </c>
      <c r="AG147" t="str">
        <f>"[391915] М 5.4.13"</f>
        <v>[391915] М 5.4.13</v>
      </c>
      <c r="AH147" t="str">
        <f>"М 5.4.10"</f>
        <v>М 5.4.10</v>
      </c>
      <c r="AI147" t="str">
        <f>"М 5.4.13"</f>
        <v>М 5.4.13</v>
      </c>
      <c r="AJ147" t="str">
        <f>""</f>
        <v/>
      </c>
      <c r="AK147" t="str">
        <f t="shared" si="73"/>
        <v>Нет</v>
      </c>
      <c r="AL147" t="s">
        <v>39</v>
      </c>
      <c r="AM147" t="str">
        <f>"20000008045124"</f>
        <v>20000008045124</v>
      </c>
    </row>
    <row r="148" spans="1:39" x14ac:dyDescent="0.25">
      <c r="A148">
        <v>907</v>
      </c>
      <c r="B148" t="str">
        <f t="shared" si="69"/>
        <v>Курск</v>
      </c>
      <c r="C148">
        <v>829487</v>
      </c>
      <c r="D148" t="str">
        <f t="shared" si="70"/>
        <v>Оптический кабель</v>
      </c>
      <c r="E148" t="str">
        <f>"[46/1601] М 5.4.13 - М 5.4.11"</f>
        <v>[46/1601] М 5.4.13 - М 5.4.11</v>
      </c>
      <c r="F148" t="str">
        <f t="shared" si="75"/>
        <v>ДПТа-П-128А 8(9) 7кН (Вол:Кр,Жел,Зел,...,Лайм,Нат)</v>
      </c>
      <c r="G148" t="str">
        <f>""</f>
        <v/>
      </c>
      <c r="H148" t="str">
        <f t="shared" si="65"/>
        <v>МС 5.4</v>
      </c>
      <c r="I148">
        <v>800</v>
      </c>
      <c r="J148">
        <v>900</v>
      </c>
      <c r="K148">
        <v>80</v>
      </c>
      <c r="L148">
        <v>904</v>
      </c>
      <c r="M148" t="str">
        <f t="shared" si="74"/>
        <v>Опоры</v>
      </c>
      <c r="N148" t="str">
        <f t="shared" si="67"/>
        <v>10.08.20122</v>
      </c>
      <c r="O148">
        <v>128</v>
      </c>
      <c r="P148">
        <v>128</v>
      </c>
      <c r="Q148" t="str">
        <f>""</f>
        <v/>
      </c>
      <c r="R148" t="str">
        <f>""</f>
        <v/>
      </c>
      <c r="S148" t="str">
        <f>""</f>
        <v/>
      </c>
      <c r="T148" t="str">
        <f>"46/1601"</f>
        <v>46/1601</v>
      </c>
      <c r="U148" t="str">
        <f t="shared" si="60"/>
        <v>Магистральная ВОЛС</v>
      </c>
      <c r="V148" t="str">
        <f t="shared" ref="V148:Y167" si="76">"Нет"</f>
        <v>Нет</v>
      </c>
      <c r="W148" t="str">
        <f t="shared" si="76"/>
        <v>Нет</v>
      </c>
      <c r="X148" t="str">
        <f t="shared" si="76"/>
        <v>Нет</v>
      </c>
      <c r="Y148" t="str">
        <f t="shared" si="76"/>
        <v>Нет</v>
      </c>
      <c r="Z148" t="str">
        <f t="shared" si="61"/>
        <v>Нет</v>
      </c>
      <c r="AA148" t="str">
        <f>""</f>
        <v/>
      </c>
      <c r="AB148" t="str">
        <f t="shared" si="71"/>
        <v>Нет</v>
      </c>
      <c r="AC148" t="str">
        <f>"М 5.4.13 - М 5.4.11"</f>
        <v>М 5.4.13 - М 5.4.11</v>
      </c>
      <c r="AD148" t="str">
        <f t="shared" si="72"/>
        <v>19.06.2011</v>
      </c>
      <c r="AE148" t="str">
        <f>""</f>
        <v/>
      </c>
      <c r="AF148" t="str">
        <f>"[391915] М 5.4.13"</f>
        <v>[391915] М 5.4.13</v>
      </c>
      <c r="AG148" t="str">
        <f>"[391911] М 5.4.11"</f>
        <v>[391911] М 5.4.11</v>
      </c>
      <c r="AH148" t="str">
        <f>"М 5.4.13"</f>
        <v>М 5.4.13</v>
      </c>
      <c r="AI148" t="str">
        <f>"М 5.4.11"</f>
        <v>М 5.4.11</v>
      </c>
      <c r="AJ148" t="str">
        <f>""</f>
        <v/>
      </c>
      <c r="AK148" t="str">
        <f t="shared" si="73"/>
        <v>Нет</v>
      </c>
      <c r="AL148" t="s">
        <v>40</v>
      </c>
      <c r="AM148" t="str">
        <f>"20000008005983"</f>
        <v>20000008005983</v>
      </c>
    </row>
    <row r="149" spans="1:39" x14ac:dyDescent="0.25">
      <c r="A149">
        <v>907</v>
      </c>
      <c r="B149" t="str">
        <f t="shared" si="69"/>
        <v>Курск</v>
      </c>
      <c r="C149">
        <v>829503</v>
      </c>
      <c r="D149" t="str">
        <f t="shared" si="70"/>
        <v>Оптический кабель</v>
      </c>
      <c r="E149" t="str">
        <f>"[46/1602] М 5.4.11 - М 5.4.12"</f>
        <v>[46/1602] М 5.4.11 - М 5.4.12</v>
      </c>
      <c r="F149" t="str">
        <f t="shared" si="75"/>
        <v>ДПТа-П-128А 8(9) 7кН (Вол:Кр,Жел,Зел,...,Лайм,Нат)</v>
      </c>
      <c r="G149" t="str">
        <f>""</f>
        <v/>
      </c>
      <c r="H149" t="str">
        <f t="shared" si="65"/>
        <v>МС 5.4</v>
      </c>
      <c r="I149">
        <v>1110</v>
      </c>
      <c r="J149">
        <v>1110</v>
      </c>
      <c r="K149">
        <v>0</v>
      </c>
      <c r="L149">
        <v>1115</v>
      </c>
      <c r="M149" t="str">
        <f t="shared" si="74"/>
        <v>Опоры</v>
      </c>
      <c r="N149" t="str">
        <f t="shared" si="67"/>
        <v>10.08.20122</v>
      </c>
      <c r="O149">
        <v>128</v>
      </c>
      <c r="P149">
        <v>128</v>
      </c>
      <c r="Q149" t="str">
        <f>""</f>
        <v/>
      </c>
      <c r="R149" t="str">
        <f>""</f>
        <v/>
      </c>
      <c r="S149" t="str">
        <f>""</f>
        <v/>
      </c>
      <c r="T149" t="str">
        <f>"46/1602"</f>
        <v>46/1602</v>
      </c>
      <c r="U149" t="str">
        <f t="shared" si="60"/>
        <v>Магистральная ВОЛС</v>
      </c>
      <c r="V149" t="str">
        <f t="shared" si="76"/>
        <v>Нет</v>
      </c>
      <c r="W149" t="str">
        <f t="shared" si="76"/>
        <v>Нет</v>
      </c>
      <c r="X149" t="str">
        <f t="shared" si="76"/>
        <v>Нет</v>
      </c>
      <c r="Y149" t="str">
        <f t="shared" si="76"/>
        <v>Нет</v>
      </c>
      <c r="Z149" t="str">
        <f t="shared" si="61"/>
        <v>Нет</v>
      </c>
      <c r="AA149" t="str">
        <f>""</f>
        <v/>
      </c>
      <c r="AB149" t="str">
        <f t="shared" si="71"/>
        <v>Нет</v>
      </c>
      <c r="AC149" t="str">
        <f>"М 5.4.11 - М 5.4.12"</f>
        <v>М 5.4.11 - М 5.4.12</v>
      </c>
      <c r="AD149" t="str">
        <f t="shared" si="72"/>
        <v>19.06.2011</v>
      </c>
      <c r="AE149" t="str">
        <f>""</f>
        <v/>
      </c>
      <c r="AF149" t="str">
        <f>"[391911] М 5.4.11"</f>
        <v>[391911] М 5.4.11</v>
      </c>
      <c r="AG149" t="str">
        <f>"[394633] М 5.4.12"</f>
        <v>[394633] М 5.4.12</v>
      </c>
      <c r="AH149" t="str">
        <f>"М 5.4.11"</f>
        <v>М 5.4.11</v>
      </c>
      <c r="AI149" t="str">
        <f>"М 5.4.12"</f>
        <v>М 5.4.12</v>
      </c>
      <c r="AJ149" t="str">
        <f>""</f>
        <v/>
      </c>
      <c r="AK149" t="str">
        <f t="shared" si="73"/>
        <v>Нет</v>
      </c>
      <c r="AL149" t="s">
        <v>41</v>
      </c>
      <c r="AM149" t="str">
        <f>"20000008048476"</f>
        <v>20000008048476</v>
      </c>
    </row>
    <row r="150" spans="1:39" x14ac:dyDescent="0.25">
      <c r="A150">
        <v>907</v>
      </c>
      <c r="B150" t="str">
        <f t="shared" si="69"/>
        <v>Курск</v>
      </c>
      <c r="C150">
        <v>829506</v>
      </c>
      <c r="D150" t="str">
        <f t="shared" si="70"/>
        <v>Оптический кабель</v>
      </c>
      <c r="E150" t="str">
        <f>"[46/1603] М 5.4.12 - МОК5.4.2 Курск, Гагарина, 26 а п. 1"</f>
        <v>[46/1603] М 5.4.12 - МОК5.4.2 Курск, Гагарина, 26 а п. 1</v>
      </c>
      <c r="F150" t="str">
        <f t="shared" si="75"/>
        <v>ДПТа-П-128А 8(9) 7кН (Вол:Кр,Жел,Зел,...,Лайм,Нат)</v>
      </c>
      <c r="G150" t="str">
        <f>""</f>
        <v/>
      </c>
      <c r="H150" t="str">
        <f t="shared" si="65"/>
        <v>МС 5.4</v>
      </c>
      <c r="I150">
        <v>850</v>
      </c>
      <c r="J150">
        <v>1190</v>
      </c>
      <c r="K150">
        <v>328</v>
      </c>
      <c r="L150">
        <v>1195</v>
      </c>
      <c r="M150" t="str">
        <f t="shared" si="74"/>
        <v>Опоры</v>
      </c>
      <c r="N150" t="str">
        <f t="shared" si="67"/>
        <v>10.08.20122</v>
      </c>
      <c r="O150">
        <v>128</v>
      </c>
      <c r="P150">
        <v>128</v>
      </c>
      <c r="Q150" t="str">
        <f>""</f>
        <v/>
      </c>
      <c r="R150" t="str">
        <f>"Курск, Гагарина, 26 а"</f>
        <v>Курск, Гагарина, 26 а</v>
      </c>
      <c r="S150" t="str">
        <f>""</f>
        <v/>
      </c>
      <c r="T150" t="str">
        <f>"46/1603"</f>
        <v>46/1603</v>
      </c>
      <c r="U150" t="str">
        <f t="shared" si="60"/>
        <v>Магистральная ВОЛС</v>
      </c>
      <c r="V150" t="str">
        <f t="shared" si="76"/>
        <v>Нет</v>
      </c>
      <c r="W150" t="str">
        <f t="shared" si="76"/>
        <v>Нет</v>
      </c>
      <c r="X150" t="str">
        <f t="shared" si="76"/>
        <v>Нет</v>
      </c>
      <c r="Y150" t="str">
        <f t="shared" si="76"/>
        <v>Нет</v>
      </c>
      <c r="Z150" t="str">
        <f t="shared" si="61"/>
        <v>Нет</v>
      </c>
      <c r="AA150" t="str">
        <f>""</f>
        <v/>
      </c>
      <c r="AB150" t="str">
        <f t="shared" si="71"/>
        <v>Нет</v>
      </c>
      <c r="AC150" t="str">
        <f>"М 5.4.12 - КРС МС - 5.4 обр"</f>
        <v>М 5.4.12 - КРС МС - 5.4 обр</v>
      </c>
      <c r="AD150" t="str">
        <f t="shared" si="72"/>
        <v>19.06.2011</v>
      </c>
      <c r="AE150" t="str">
        <f>""</f>
        <v/>
      </c>
      <c r="AF150" t="str">
        <f>"[394633] М 5.4.12"</f>
        <v>[394633] М 5.4.12</v>
      </c>
      <c r="AG150" t="str">
        <f>"[394859] МОК5.4.2 Курск, Гагарина, 26 а п. 1"</f>
        <v>[394859] МОК5.4.2 Курск, Гагарина, 26 а п. 1</v>
      </c>
      <c r="AH150" t="str">
        <f>"М 5.4.12"</f>
        <v>М 5.4.12</v>
      </c>
      <c r="AI150" t="str">
        <f>"КРС МС - 5.4 обр"</f>
        <v>КРС МС - 5.4 обр</v>
      </c>
      <c r="AJ150" t="str">
        <f>""</f>
        <v/>
      </c>
      <c r="AK150" t="str">
        <f t="shared" si="73"/>
        <v>Нет</v>
      </c>
      <c r="AL150" t="s">
        <v>42</v>
      </c>
      <c r="AM150" t="str">
        <f>"20000008045122"</f>
        <v>20000008045122</v>
      </c>
    </row>
    <row r="151" spans="1:39" x14ac:dyDescent="0.25">
      <c r="A151">
        <v>907</v>
      </c>
      <c r="B151" t="str">
        <f t="shared" si="69"/>
        <v>Курск</v>
      </c>
      <c r="C151">
        <v>832623</v>
      </c>
      <c r="D151" t="str">
        <f t="shared" si="70"/>
        <v>Оптический кабель</v>
      </c>
      <c r="E151" t="str">
        <f>"[46/1651] T 7.5 - Т 7.3"</f>
        <v>[46/1651] T 7.5 - Т 7.3</v>
      </c>
      <c r="F151" t="str">
        <f t="shared" si="75"/>
        <v>ДПТа-П-128А 8(9) 7кН (Вол:Кр,Жел,Зел,...,Лайм,Нат)</v>
      </c>
      <c r="G151" t="str">
        <f>""</f>
        <v/>
      </c>
      <c r="H151" t="str">
        <f>"ТС"</f>
        <v>ТС</v>
      </c>
      <c r="I151">
        <v>1931</v>
      </c>
      <c r="J151">
        <v>2098</v>
      </c>
      <c r="K151">
        <v>80</v>
      </c>
      <c r="L151">
        <v>2245</v>
      </c>
      <c r="M151" t="str">
        <f t="shared" si="74"/>
        <v>Опоры</v>
      </c>
      <c r="N151" t="str">
        <f>"20.08.20122"</f>
        <v>20.08.20122</v>
      </c>
      <c r="O151">
        <v>128</v>
      </c>
      <c r="P151">
        <v>63</v>
      </c>
      <c r="Q151" t="str">
        <f>""</f>
        <v/>
      </c>
      <c r="R151" t="str">
        <f>""</f>
        <v/>
      </c>
      <c r="S151" t="str">
        <f>""</f>
        <v/>
      </c>
      <c r="T151" t="str">
        <f>"46/1651"</f>
        <v>46/1651</v>
      </c>
      <c r="U151" t="str">
        <f>"Транспортная ВОЛС"</f>
        <v>Транспортная ВОЛС</v>
      </c>
      <c r="V151" t="str">
        <f t="shared" si="76"/>
        <v>Нет</v>
      </c>
      <c r="W151" t="str">
        <f t="shared" si="76"/>
        <v>Нет</v>
      </c>
      <c r="X151" t="str">
        <f t="shared" si="76"/>
        <v>Нет</v>
      </c>
      <c r="Y151" t="str">
        <f t="shared" si="76"/>
        <v>Нет</v>
      </c>
      <c r="Z151" t="str">
        <f t="shared" si="61"/>
        <v>Нет</v>
      </c>
      <c r="AA151" t="str">
        <f>""</f>
        <v/>
      </c>
      <c r="AB151" t="str">
        <f t="shared" si="71"/>
        <v>Нет</v>
      </c>
      <c r="AC151" t="str">
        <f>"Т 7.2 - Т 7.3"</f>
        <v>Т 7.2 - Т 7.3</v>
      </c>
      <c r="AD151" t="str">
        <f t="shared" ref="AD151:AD182" si="77">"02.02.2012"</f>
        <v>02.02.2012</v>
      </c>
      <c r="AE151" t="str">
        <f>""</f>
        <v/>
      </c>
      <c r="AF151" t="str">
        <f>"[510697] T 7.5"</f>
        <v>[510697] T 7.5</v>
      </c>
      <c r="AG151" t="str">
        <f>"[397437] Т 7.3"</f>
        <v>[397437] Т 7.3</v>
      </c>
      <c r="AH151" t="str">
        <f>"Т 7.2"</f>
        <v>Т 7.2</v>
      </c>
      <c r="AI151" t="str">
        <f>"Т 7.3"</f>
        <v>Т 7.3</v>
      </c>
      <c r="AJ151" t="str">
        <f>""</f>
        <v/>
      </c>
      <c r="AK151" t="str">
        <f t="shared" si="73"/>
        <v>Нет</v>
      </c>
      <c r="AL151" t="s">
        <v>43</v>
      </c>
      <c r="AM151" t="str">
        <f>"20000008045126"</f>
        <v>20000008045126</v>
      </c>
    </row>
    <row r="152" spans="1:39" x14ac:dyDescent="0.25">
      <c r="A152">
        <v>907</v>
      </c>
      <c r="B152" t="str">
        <f t="shared" si="69"/>
        <v>Курск</v>
      </c>
      <c r="C152">
        <v>832627</v>
      </c>
      <c r="D152" t="str">
        <f t="shared" si="70"/>
        <v>Оптический кабель</v>
      </c>
      <c r="E152" t="str">
        <f>"[46/1652] Т 7.3 - Т 7.4"</f>
        <v>[46/1652] Т 7.3 - Т 7.4</v>
      </c>
      <c r="F152" t="str">
        <f>"ДПТа-П-64А 6(6) 7кН (Кр,Жел,Зел,..,8-Фиол,9-Бел,..,Бир,Роз)"</f>
        <v>ДПТа-П-64А 6(6) 7кН (Кр,Жел,Зел,..,8-Фиол,9-Бел,..,Бир,Роз)</v>
      </c>
      <c r="G152" t="str">
        <f>""</f>
        <v/>
      </c>
      <c r="H152" t="str">
        <f>"ТС"</f>
        <v>ТС</v>
      </c>
      <c r="I152">
        <v>402</v>
      </c>
      <c r="J152">
        <v>500</v>
      </c>
      <c r="K152">
        <v>20</v>
      </c>
      <c r="L152">
        <v>502</v>
      </c>
      <c r="M152" t="str">
        <f t="shared" si="74"/>
        <v>Опоры</v>
      </c>
      <c r="N152" t="str">
        <f>"20.08.20122"</f>
        <v>20.08.20122</v>
      </c>
      <c r="O152">
        <v>64</v>
      </c>
      <c r="P152">
        <v>64</v>
      </c>
      <c r="Q152" t="str">
        <f>""</f>
        <v/>
      </c>
      <c r="R152" t="str">
        <f>""</f>
        <v/>
      </c>
      <c r="S152" t="str">
        <f>""</f>
        <v/>
      </c>
      <c r="T152" t="str">
        <f>"46/1652"</f>
        <v>46/1652</v>
      </c>
      <c r="U152" t="str">
        <f>"Транспортная ВОЛС"</f>
        <v>Транспортная ВОЛС</v>
      </c>
      <c r="V152" t="str">
        <f t="shared" si="76"/>
        <v>Нет</v>
      </c>
      <c r="W152" t="str">
        <f t="shared" si="76"/>
        <v>Нет</v>
      </c>
      <c r="X152" t="str">
        <f t="shared" si="76"/>
        <v>Нет</v>
      </c>
      <c r="Y152" t="str">
        <f t="shared" si="76"/>
        <v>Нет</v>
      </c>
      <c r="Z152" t="str">
        <f t="shared" si="61"/>
        <v>Нет</v>
      </c>
      <c r="AA152" t="str">
        <f>""</f>
        <v/>
      </c>
      <c r="AB152" t="str">
        <f t="shared" si="71"/>
        <v>Нет</v>
      </c>
      <c r="AC152" t="str">
        <f>"Т 7.3 - Т 7.4"</f>
        <v>Т 7.3 - Т 7.4</v>
      </c>
      <c r="AD152" t="str">
        <f t="shared" si="77"/>
        <v>02.02.2012</v>
      </c>
      <c r="AE152" t="str">
        <f>""</f>
        <v/>
      </c>
      <c r="AF152" t="str">
        <f>"[397437] Т 7.3"</f>
        <v>[397437] Т 7.3</v>
      </c>
      <c r="AG152" t="str">
        <f>"[397433] Т 7.4"</f>
        <v>[397433] Т 7.4</v>
      </c>
      <c r="AH152" t="str">
        <f>"Т 7.3"</f>
        <v>Т 7.3</v>
      </c>
      <c r="AI152" t="str">
        <f>"Т 7.4"</f>
        <v>Т 7.4</v>
      </c>
      <c r="AJ152" t="str">
        <f>""</f>
        <v/>
      </c>
      <c r="AK152" t="str">
        <f t="shared" si="73"/>
        <v>Нет</v>
      </c>
      <c r="AL152" t="s">
        <v>44</v>
      </c>
      <c r="AM152" t="str">
        <f>"20000008036628"</f>
        <v>20000008036628</v>
      </c>
    </row>
    <row r="153" spans="1:39" x14ac:dyDescent="0.25">
      <c r="A153">
        <v>907</v>
      </c>
      <c r="B153" t="str">
        <f t="shared" si="69"/>
        <v>Курск</v>
      </c>
      <c r="C153">
        <v>832645</v>
      </c>
      <c r="D153" t="str">
        <f t="shared" si="70"/>
        <v>Оптический кабель</v>
      </c>
      <c r="E153" t="str">
        <f>"[46/1653] Т 7.4 - Т 1.22"</f>
        <v>[46/1653] Т 7.4 - Т 1.22</v>
      </c>
      <c r="F153" t="str">
        <f>"ДПТа-П-64А 6(6) 7кН (Кр,Жел,Зел,..,8-Фиол,9-Бел,..,Бир,Роз)"</f>
        <v>ДПТа-П-64А 6(6) 7кН (Кр,Жел,Зел,..,8-Фиол,9-Бел,..,Бир,Роз)</v>
      </c>
      <c r="G153" t="str">
        <f>""</f>
        <v/>
      </c>
      <c r="H153" t="str">
        <f>"ТС"</f>
        <v>ТС</v>
      </c>
      <c r="I153">
        <v>1768</v>
      </c>
      <c r="J153">
        <v>1928.76</v>
      </c>
      <c r="K153">
        <v>110</v>
      </c>
      <c r="L153">
        <v>3189.76</v>
      </c>
      <c r="M153" t="str">
        <f t="shared" si="74"/>
        <v>Опоры</v>
      </c>
      <c r="N153" t="str">
        <f>"20.08.20122"</f>
        <v>20.08.20122</v>
      </c>
      <c r="O153">
        <v>64</v>
      </c>
      <c r="P153">
        <v>64</v>
      </c>
      <c r="Q153" t="str">
        <f>""</f>
        <v/>
      </c>
      <c r="R153" t="str">
        <f>""</f>
        <v/>
      </c>
      <c r="S153" t="str">
        <f>"09.07.2024"</f>
        <v>09.07.2024</v>
      </c>
      <c r="T153" t="str">
        <f>"46/1653"</f>
        <v>46/1653</v>
      </c>
      <c r="U153" t="str">
        <f>"Транспортная ВОЛС"</f>
        <v>Транспортная ВОЛС</v>
      </c>
      <c r="V153" t="str">
        <f t="shared" si="76"/>
        <v>Нет</v>
      </c>
      <c r="W153" t="str">
        <f t="shared" si="76"/>
        <v>Нет</v>
      </c>
      <c r="X153" t="str">
        <f t="shared" si="76"/>
        <v>Нет</v>
      </c>
      <c r="Y153" t="str">
        <f t="shared" si="76"/>
        <v>Нет</v>
      </c>
      <c r="Z153" t="str">
        <f t="shared" ref="Z153:Z181" si="78">"Нет"</f>
        <v>Нет</v>
      </c>
      <c r="AA153" t="str">
        <f>""</f>
        <v/>
      </c>
      <c r="AB153" t="str">
        <f t="shared" si="71"/>
        <v>Нет</v>
      </c>
      <c r="AC153" t="str">
        <f>"Т 7.4 - КРС ТС 7"</f>
        <v>Т 7.4 - КРС ТС 7</v>
      </c>
      <c r="AD153" t="str">
        <f t="shared" si="77"/>
        <v>02.02.2012</v>
      </c>
      <c r="AE153" t="str">
        <f>""</f>
        <v/>
      </c>
      <c r="AF153" t="str">
        <f>"[397433] Т 7.4"</f>
        <v>[397433] Т 7.4</v>
      </c>
      <c r="AG153" t="str">
        <f>"[884869] Т 1.22"</f>
        <v>[884869] Т 1.22</v>
      </c>
      <c r="AH153" t="str">
        <f>""</f>
        <v/>
      </c>
      <c r="AI153" t="str">
        <f>""</f>
        <v/>
      </c>
      <c r="AJ153" t="str">
        <f>""</f>
        <v/>
      </c>
      <c r="AK153" t="str">
        <f t="shared" si="73"/>
        <v>Нет</v>
      </c>
      <c r="AL153" t="s">
        <v>45</v>
      </c>
      <c r="AM153" t="str">
        <f>"20000008031660"</f>
        <v>20000008031660</v>
      </c>
    </row>
    <row r="154" spans="1:39" x14ac:dyDescent="0.25">
      <c r="A154">
        <v>907</v>
      </c>
      <c r="B154" t="str">
        <f t="shared" si="69"/>
        <v>Курск</v>
      </c>
      <c r="C154">
        <v>833743</v>
      </c>
      <c r="D154" t="str">
        <f t="shared" si="70"/>
        <v>Оптический кабель</v>
      </c>
      <c r="E154" t="str">
        <f>"[46/1679] М 1.5.1 - ГОК1.5.1.1 Курск, Дружининская, 35  п. 1"</f>
        <v>[46/1679] М 1.5.1 - ГОК1.5.1.1 Курск, Дружининская, 35  п. 1</v>
      </c>
      <c r="F154" t="str">
        <f>"ДПТс-П-16А 2(6) 7кН (Мод:Кр,Нат)(Вол:Кр,Жел,Зел,..,Ор,Фиол)"</f>
        <v>ДПТс-П-16А 2(6) 7кН (Мод:Кр,Нат)(Вол:Кр,Жел,Зел,..,Ор,Фиол)</v>
      </c>
      <c r="G154" t="str">
        <f>""</f>
        <v/>
      </c>
      <c r="H154" t="str">
        <f>"МС 1.5"</f>
        <v>МС 1.5</v>
      </c>
      <c r="I154">
        <v>40</v>
      </c>
      <c r="J154">
        <v>40</v>
      </c>
      <c r="K154">
        <v>0</v>
      </c>
      <c r="L154">
        <v>40</v>
      </c>
      <c r="M154" t="str">
        <f>"Воздушная трасса по стойкам"</f>
        <v>Воздушная трасса по стойкам</v>
      </c>
      <c r="N154" t="str">
        <f>"22.08.20122"</f>
        <v>22.08.20122</v>
      </c>
      <c r="O154">
        <v>10</v>
      </c>
      <c r="P154">
        <v>10</v>
      </c>
      <c r="Q154" t="str">
        <f>""</f>
        <v/>
      </c>
      <c r="R154" t="str">
        <f>"Курск, Дружининская, 35"</f>
        <v>Курск, Дружининская, 35</v>
      </c>
      <c r="S154" t="str">
        <f>""</f>
        <v/>
      </c>
      <c r="T154" t="str">
        <f>"46/1679"</f>
        <v>46/1679</v>
      </c>
      <c r="U154" t="str">
        <f t="shared" ref="U154:U185" si="79">"Магистральная ВОЛС"</f>
        <v>Магистральная ВОЛС</v>
      </c>
      <c r="V154" t="str">
        <f t="shared" si="76"/>
        <v>Нет</v>
      </c>
      <c r="W154" t="str">
        <f t="shared" si="76"/>
        <v>Нет</v>
      </c>
      <c r="X154" t="str">
        <f t="shared" si="76"/>
        <v>Нет</v>
      </c>
      <c r="Y154" t="str">
        <f t="shared" si="76"/>
        <v>Нет</v>
      </c>
      <c r="Z154" t="str">
        <f t="shared" si="78"/>
        <v>Нет</v>
      </c>
      <c r="AA154" t="str">
        <f>""</f>
        <v/>
      </c>
      <c r="AB154" t="str">
        <f t="shared" si="71"/>
        <v>Нет</v>
      </c>
      <c r="AC154" t="str">
        <f>"М 1.5.1 - ППК 1.5.1"</f>
        <v>М 1.5.1 - ППК 1.5.1</v>
      </c>
      <c r="AD154" t="str">
        <f t="shared" si="77"/>
        <v>02.02.2012</v>
      </c>
      <c r="AE154" t="str">
        <f>""</f>
        <v/>
      </c>
      <c r="AF154" t="str">
        <f>"[357683] М 1.5.1"</f>
        <v>[357683] М 1.5.1</v>
      </c>
      <c r="AG154" t="str">
        <f>"[401433] ГОК1.5.1.1 Курск, Дружининская, 35  п. 1"</f>
        <v>[401433] ГОК1.5.1.1 Курск, Дружининская, 35  п. 1</v>
      </c>
      <c r="AH154" t="str">
        <f>"М 1.5.1"</f>
        <v>М 1.5.1</v>
      </c>
      <c r="AI154" t="str">
        <f>"ППК 1.5.1"</f>
        <v>ППК 1.5.1</v>
      </c>
      <c r="AJ154" t="str">
        <f>""</f>
        <v/>
      </c>
      <c r="AK154" t="str">
        <f t="shared" si="73"/>
        <v>Нет</v>
      </c>
      <c r="AL154" t="str">
        <f>"51.720476 36.181311, 51.72014 36.181114"</f>
        <v>51.720476 36.181311, 51.72014 36.181114</v>
      </c>
      <c r="AM154" t="str">
        <f>"20000008044504"</f>
        <v>20000008044504</v>
      </c>
    </row>
    <row r="155" spans="1:39" x14ac:dyDescent="0.25">
      <c r="A155">
        <v>907</v>
      </c>
      <c r="B155" t="str">
        <f t="shared" si="69"/>
        <v>Курск</v>
      </c>
      <c r="C155">
        <v>836923</v>
      </c>
      <c r="D155" t="str">
        <f t="shared" si="70"/>
        <v>Оптический кабель</v>
      </c>
      <c r="E155" t="str">
        <f>"[46/1825] М 5.3.1 - М 5.3.2"</f>
        <v>[46/1825] М 5.3.1 - М 5.3.2</v>
      </c>
      <c r="F155" t="str">
        <f>"ДПТа-П-64А 6(6) 7кН (Кр,Жел,Зел,..,8-Фиол,9-Бел,..,Бир,Роз)"</f>
        <v>ДПТа-П-64А 6(6) 7кН (Кр,Жел,Зел,..,8-Фиол,9-Бел,..,Бир,Роз)</v>
      </c>
      <c r="G155" t="str">
        <f>""</f>
        <v/>
      </c>
      <c r="H155" t="str">
        <f t="shared" ref="H155:H165" si="80">"МС 5.3"</f>
        <v>МС 5.3</v>
      </c>
      <c r="I155">
        <v>237</v>
      </c>
      <c r="J155">
        <v>335</v>
      </c>
      <c r="K155">
        <v>60</v>
      </c>
      <c r="L155">
        <v>337</v>
      </c>
      <c r="M155" t="str">
        <f>"Опоры"</f>
        <v>Опоры</v>
      </c>
      <c r="N155" t="str">
        <f t="shared" ref="N155:N163" si="81">"11.09.20122"</f>
        <v>11.09.20122</v>
      </c>
      <c r="O155">
        <v>64</v>
      </c>
      <c r="P155">
        <v>64</v>
      </c>
      <c r="Q155" t="str">
        <f>""</f>
        <v/>
      </c>
      <c r="R155" t="str">
        <f>""</f>
        <v/>
      </c>
      <c r="S155" t="str">
        <f>""</f>
        <v/>
      </c>
      <c r="T155" t="str">
        <f>"46/1825"</f>
        <v>46/1825</v>
      </c>
      <c r="U155" t="str">
        <f t="shared" si="79"/>
        <v>Магистральная ВОЛС</v>
      </c>
      <c r="V155" t="str">
        <f t="shared" si="76"/>
        <v>Нет</v>
      </c>
      <c r="W155" t="str">
        <f t="shared" si="76"/>
        <v>Нет</v>
      </c>
      <c r="X155" t="str">
        <f t="shared" si="76"/>
        <v>Нет</v>
      </c>
      <c r="Y155" t="str">
        <f t="shared" si="76"/>
        <v>Нет</v>
      </c>
      <c r="Z155" t="str">
        <f t="shared" si="78"/>
        <v>Нет</v>
      </c>
      <c r="AA155" t="str">
        <f>""</f>
        <v/>
      </c>
      <c r="AB155" t="str">
        <f t="shared" si="71"/>
        <v>Нет</v>
      </c>
      <c r="AC155" t="str">
        <f>"М 5.3.1 - М 5.3.2"</f>
        <v>М 5.3.1 - М 5.3.2</v>
      </c>
      <c r="AD155" t="str">
        <f t="shared" si="77"/>
        <v>02.02.2012</v>
      </c>
      <c r="AE155" t="str">
        <f>""</f>
        <v/>
      </c>
      <c r="AF155" t="str">
        <f>"[414765] М 5.3.1"</f>
        <v>[414765] М 5.3.1</v>
      </c>
      <c r="AG155" t="str">
        <f>"[414761] М 5.3.2"</f>
        <v>[414761] М 5.3.2</v>
      </c>
      <c r="AH155" t="str">
        <f>"М 5.3.1"</f>
        <v>М 5.3.1</v>
      </c>
      <c r="AI155" t="str">
        <f>"М 5.3.2"</f>
        <v>М 5.3.2</v>
      </c>
      <c r="AJ155" t="str">
        <f>""</f>
        <v/>
      </c>
      <c r="AK155" t="str">
        <f t="shared" si="73"/>
        <v>Нет</v>
      </c>
      <c r="AL155" t="str">
        <f>"51.673471 36.154663, 51.673671 36.154875, 51.673902 36.154995, 51.673813 36.155359, 51.673746 36.155708, 51.673741 36.156012, 51.673685 36.156135, 51.673611 36.156583, 51.673537 36.157044, 51.673507 36.15714, 51.67347 36.157527"</f>
        <v>51.673471 36.154663, 51.673671 36.154875, 51.673902 36.154995, 51.673813 36.155359, 51.673746 36.155708, 51.673741 36.156012, 51.673685 36.156135, 51.673611 36.156583, 51.673537 36.157044, 51.673507 36.15714, 51.67347 36.157527</v>
      </c>
      <c r="AM155" t="str">
        <f>"20000008026185"</f>
        <v>20000008026185</v>
      </c>
    </row>
    <row r="156" spans="1:39" x14ac:dyDescent="0.25">
      <c r="A156">
        <v>907</v>
      </c>
      <c r="B156" t="str">
        <f t="shared" si="69"/>
        <v>Курск</v>
      </c>
      <c r="C156">
        <v>836928</v>
      </c>
      <c r="D156" t="str">
        <f t="shared" si="70"/>
        <v>Оптический кабель</v>
      </c>
      <c r="E156" t="str">
        <f>"[46/1826] М 5.3.1 - ГОК5.3.7.1 Курск, Черняховского, 29  п. 2"</f>
        <v>[46/1826] М 5.3.1 - ГОК5.3.7.1 Курск, Черняховского, 29  п. 2</v>
      </c>
      <c r="F156" t="str">
        <f>"ДПТс-П-16А 2(6) 7кН (Мод:Кр,Нат)(Вол:Кр,Жел,Зел,..,Ор,Фиол)"</f>
        <v>ДПТс-П-16А 2(6) 7кН (Мод:Кр,Нат)(Вол:Кр,Жел,Зел,..,Ор,Фиол)</v>
      </c>
      <c r="G156" t="str">
        <f>""</f>
        <v/>
      </c>
      <c r="H156" t="str">
        <f t="shared" si="80"/>
        <v>МС 5.3</v>
      </c>
      <c r="I156">
        <v>31</v>
      </c>
      <c r="J156">
        <v>100</v>
      </c>
      <c r="K156">
        <v>0</v>
      </c>
      <c r="L156">
        <v>100</v>
      </c>
      <c r="M156" t="str">
        <f>"Опоры"</f>
        <v>Опоры</v>
      </c>
      <c r="N156" t="str">
        <f t="shared" si="81"/>
        <v>11.09.20122</v>
      </c>
      <c r="O156">
        <v>10</v>
      </c>
      <c r="P156">
        <v>10</v>
      </c>
      <c r="Q156" t="str">
        <f>""</f>
        <v/>
      </c>
      <c r="R156" t="str">
        <f>"Курск, Черняховского, 29"</f>
        <v>Курск, Черняховского, 29</v>
      </c>
      <c r="S156" t="str">
        <f>""</f>
        <v/>
      </c>
      <c r="T156" t="str">
        <f>"46/1826"</f>
        <v>46/1826</v>
      </c>
      <c r="U156" t="str">
        <f t="shared" si="79"/>
        <v>Магистральная ВОЛС</v>
      </c>
      <c r="V156" t="str">
        <f t="shared" si="76"/>
        <v>Нет</v>
      </c>
      <c r="W156" t="str">
        <f t="shared" si="76"/>
        <v>Нет</v>
      </c>
      <c r="X156" t="str">
        <f t="shared" si="76"/>
        <v>Нет</v>
      </c>
      <c r="Y156" t="str">
        <f t="shared" si="76"/>
        <v>Нет</v>
      </c>
      <c r="Z156" t="str">
        <f t="shared" si="78"/>
        <v>Нет</v>
      </c>
      <c r="AA156" t="str">
        <f>""</f>
        <v/>
      </c>
      <c r="AB156" t="str">
        <f t="shared" si="71"/>
        <v>Нет</v>
      </c>
      <c r="AC156" t="str">
        <f>"М 5.3.1 - ППК 5.3.7"</f>
        <v>М 5.3.1 - ППК 5.3.7</v>
      </c>
      <c r="AD156" t="str">
        <f t="shared" si="77"/>
        <v>02.02.2012</v>
      </c>
      <c r="AE156" t="str">
        <f>""</f>
        <v/>
      </c>
      <c r="AF156" t="str">
        <f>"[414765] М 5.3.1"</f>
        <v>[414765] М 5.3.1</v>
      </c>
      <c r="AG156" t="str">
        <f>"[414724] ГОК5.3.7.1 Курск, Черняховского, 29  п. 2"</f>
        <v>[414724] ГОК5.3.7.1 Курск, Черняховского, 29  п. 2</v>
      </c>
      <c r="AH156" t="str">
        <f>"М 5.3.1"</f>
        <v>М 5.3.1</v>
      </c>
      <c r="AI156" t="str">
        <f>"ППК 5.3.7"</f>
        <v>ППК 5.3.7</v>
      </c>
      <c r="AJ156" t="str">
        <f>""</f>
        <v/>
      </c>
      <c r="AK156" t="str">
        <f t="shared" si="73"/>
        <v>Нет</v>
      </c>
      <c r="AL156" t="str">
        <f>"51.673471 36.154663, 51.673445 36.155105"</f>
        <v>51.673471 36.154663, 51.673445 36.155105</v>
      </c>
      <c r="AM156" t="str">
        <f>"20000008030140"</f>
        <v>20000008030140</v>
      </c>
    </row>
    <row r="157" spans="1:39" x14ac:dyDescent="0.25">
      <c r="A157">
        <v>907</v>
      </c>
      <c r="B157" t="str">
        <f t="shared" si="69"/>
        <v>Курск</v>
      </c>
      <c r="C157">
        <v>836931</v>
      </c>
      <c r="D157" t="str">
        <f t="shared" si="70"/>
        <v>Оптический кабель</v>
      </c>
      <c r="E157" t="str">
        <f>"[46/1827] М 5.3.2 - ГОК5.3.9.1 Курск, Черняховского, 28  п. 1"</f>
        <v>[46/1827] М 5.3.2 - ГОК5.3.9.1 Курск, Черняховского, 28  п. 1</v>
      </c>
      <c r="F157" t="str">
        <f>"ДПТс-П-16А 2(6) 7кН (Мод:Кр,Нат)(Вол:Кр,Жел,Зел,..,Ор,Фиол)"</f>
        <v>ДПТс-П-16А 2(6) 7кН (Мод:Кр,Нат)(Вол:Кр,Жел,Зел,..,Ор,Фиол)</v>
      </c>
      <c r="G157" t="str">
        <f>""</f>
        <v/>
      </c>
      <c r="H157" t="str">
        <f t="shared" si="80"/>
        <v>МС 5.3</v>
      </c>
      <c r="I157">
        <v>63</v>
      </c>
      <c r="J157">
        <v>130</v>
      </c>
      <c r="K157">
        <v>0</v>
      </c>
      <c r="L157">
        <v>130</v>
      </c>
      <c r="M157" t="str">
        <f>"Опоры"</f>
        <v>Опоры</v>
      </c>
      <c r="N157" t="str">
        <f t="shared" si="81"/>
        <v>11.09.20122</v>
      </c>
      <c r="O157">
        <v>10</v>
      </c>
      <c r="P157">
        <v>10</v>
      </c>
      <c r="Q157" t="str">
        <f>""</f>
        <v/>
      </c>
      <c r="R157" t="str">
        <f>"Курск, Черняховского, 28"</f>
        <v>Курск, Черняховского, 28</v>
      </c>
      <c r="S157" t="str">
        <f>""</f>
        <v/>
      </c>
      <c r="T157" t="str">
        <f>"46/1827"</f>
        <v>46/1827</v>
      </c>
      <c r="U157" t="str">
        <f t="shared" si="79"/>
        <v>Магистральная ВОЛС</v>
      </c>
      <c r="V157" t="str">
        <f t="shared" si="76"/>
        <v>Нет</v>
      </c>
      <c r="W157" t="str">
        <f t="shared" si="76"/>
        <v>Нет</v>
      </c>
      <c r="X157" t="str">
        <f t="shared" si="76"/>
        <v>Нет</v>
      </c>
      <c r="Y157" t="str">
        <f t="shared" si="76"/>
        <v>Нет</v>
      </c>
      <c r="Z157" t="str">
        <f t="shared" si="78"/>
        <v>Нет</v>
      </c>
      <c r="AA157" t="str">
        <f>""</f>
        <v/>
      </c>
      <c r="AB157" t="str">
        <f t="shared" si="71"/>
        <v>Нет</v>
      </c>
      <c r="AC157" t="str">
        <f>"М 5.3.2 - ППК 5.3.9"</f>
        <v>М 5.3.2 - ППК 5.3.9</v>
      </c>
      <c r="AD157" t="str">
        <f t="shared" si="77"/>
        <v>02.02.2012</v>
      </c>
      <c r="AE157" t="str">
        <f>""</f>
        <v/>
      </c>
      <c r="AF157" t="str">
        <f>"[414761] М 5.3.2"</f>
        <v>[414761] М 5.3.2</v>
      </c>
      <c r="AG157" t="str">
        <f>"[414711] ГОК5.3.9.1 Курск, Черняховского, 28  п. 1"</f>
        <v>[414711] ГОК5.3.9.1 Курск, Черняховского, 28  п. 1</v>
      </c>
      <c r="AH157" t="str">
        <f>"М 5.3.2"</f>
        <v>М 5.3.2</v>
      </c>
      <c r="AI157" t="str">
        <f>"ППК 5.3.9"</f>
        <v>ППК 5.3.9</v>
      </c>
      <c r="AJ157" t="str">
        <f>""</f>
        <v/>
      </c>
      <c r="AK157" t="str">
        <f t="shared" si="73"/>
        <v>Нет</v>
      </c>
      <c r="AL157" t="str">
        <f>"51.67347 36.157527, 51.673718 36.158356"</f>
        <v>51.67347 36.157527, 51.673718 36.158356</v>
      </c>
      <c r="AM157" t="str">
        <f>"20000008039143"</f>
        <v>20000008039143</v>
      </c>
    </row>
    <row r="158" spans="1:39" x14ac:dyDescent="0.25">
      <c r="A158">
        <v>907</v>
      </c>
      <c r="B158" t="str">
        <f t="shared" si="69"/>
        <v>Курск</v>
      </c>
      <c r="C158">
        <v>836934</v>
      </c>
      <c r="D158" t="str">
        <f t="shared" si="70"/>
        <v>Оптический кабель</v>
      </c>
      <c r="E158" t="str">
        <f>"[46/1828] М 5.3.2 - ГОК 5.3.8.1 Курск, Черняховского, 52  п. 4"</f>
        <v>[46/1828] М 5.3.2 - ГОК 5.3.8.1 Курск, Черняховского, 52  п. 4</v>
      </c>
      <c r="F158" t="str">
        <f>"ДПТс-П-16А 2(6) 7кН (Мод:Кр,Нат)(Вол:Кр,Жел,Зел,..,Ор,Фиол)"</f>
        <v>ДПТс-П-16А 2(6) 7кН (Мод:Кр,Нат)(Вол:Кр,Жел,Зел,..,Ор,Фиол)</v>
      </c>
      <c r="G158" t="str">
        <f>""</f>
        <v/>
      </c>
      <c r="H158" t="str">
        <f t="shared" si="80"/>
        <v>МС 5.3</v>
      </c>
      <c r="I158">
        <v>183</v>
      </c>
      <c r="J158">
        <v>280</v>
      </c>
      <c r="K158">
        <v>30</v>
      </c>
      <c r="L158">
        <v>282</v>
      </c>
      <c r="M158" t="str">
        <f>"Воздушная трасса по стойкам"</f>
        <v>Воздушная трасса по стойкам</v>
      </c>
      <c r="N158" t="str">
        <f t="shared" si="81"/>
        <v>11.09.20122</v>
      </c>
      <c r="O158">
        <v>10</v>
      </c>
      <c r="P158">
        <v>10</v>
      </c>
      <c r="Q158" t="str">
        <f>""</f>
        <v/>
      </c>
      <c r="R158" t="str">
        <f>"Курск, Черняховского, 52"</f>
        <v>Курск, Черняховского, 52</v>
      </c>
      <c r="S158" t="str">
        <f>""</f>
        <v/>
      </c>
      <c r="T158" t="str">
        <f>"46/1828"</f>
        <v>46/1828</v>
      </c>
      <c r="U158" t="str">
        <f t="shared" si="79"/>
        <v>Магистральная ВОЛС</v>
      </c>
      <c r="V158" t="str">
        <f t="shared" si="76"/>
        <v>Нет</v>
      </c>
      <c r="W158" t="str">
        <f t="shared" si="76"/>
        <v>Нет</v>
      </c>
      <c r="X158" t="str">
        <f t="shared" si="76"/>
        <v>Нет</v>
      </c>
      <c r="Y158" t="str">
        <f t="shared" si="76"/>
        <v>Нет</v>
      </c>
      <c r="Z158" t="str">
        <f t="shared" si="78"/>
        <v>Нет</v>
      </c>
      <c r="AA158" t="str">
        <f>""</f>
        <v/>
      </c>
      <c r="AB158" t="str">
        <f t="shared" si="71"/>
        <v>Нет</v>
      </c>
      <c r="AC158" t="str">
        <f>"М 5.3.2 - ППК 5.3.8"</f>
        <v>М 5.3.2 - ППК 5.3.8</v>
      </c>
      <c r="AD158" t="str">
        <f t="shared" si="77"/>
        <v>02.02.2012</v>
      </c>
      <c r="AE158" t="str">
        <f>""</f>
        <v/>
      </c>
      <c r="AF158" t="str">
        <f>"[414761] М 5.3.2"</f>
        <v>[414761] М 5.3.2</v>
      </c>
      <c r="AG158" t="str">
        <f>"[476846] ГОК 5.3.8.1 Курск, Черняховского, 52  п. 4"</f>
        <v>[476846] ГОК 5.3.8.1 Курск, Черняховского, 52  п. 4</v>
      </c>
      <c r="AH158" t="str">
        <f>"М 5.3.2"</f>
        <v>М 5.3.2</v>
      </c>
      <c r="AI158" t="str">
        <f>"ППК 5.3.8"</f>
        <v>ППК 5.3.8</v>
      </c>
      <c r="AJ158" t="str">
        <f>""</f>
        <v/>
      </c>
      <c r="AK158" t="str">
        <f t="shared" si="73"/>
        <v>Нет</v>
      </c>
      <c r="AL158" t="str">
        <f>"51.67347 36.157527, 51.673691 36.158512, 51.673501 36.159729, 51.673708 36.159842"</f>
        <v>51.67347 36.157527, 51.673691 36.158512, 51.673501 36.159729, 51.673708 36.159842</v>
      </c>
      <c r="AM158" t="str">
        <f>"20000008043851"</f>
        <v>20000008043851</v>
      </c>
    </row>
    <row r="159" spans="1:39" x14ac:dyDescent="0.25">
      <c r="A159">
        <v>907</v>
      </c>
      <c r="B159" t="str">
        <f t="shared" si="69"/>
        <v>Курск</v>
      </c>
      <c r="C159">
        <v>836944</v>
      </c>
      <c r="D159" t="str">
        <f t="shared" si="70"/>
        <v>Оптический кабель</v>
      </c>
      <c r="E159" t="str">
        <f>"[46/1829] М 5.3.2 - М 5.3.10"</f>
        <v>[46/1829] М 5.3.2 - М 5.3.10</v>
      </c>
      <c r="F159" t="str">
        <f>"ДПТа-П-64А 6(6) 7кН (Кр,Жел,Зел,..,8-Фиол,9-Бел,..,Бир,Роз)"</f>
        <v>ДПТа-П-64А 6(6) 7кН (Кр,Жел,Зел,..,8-Фиол,9-Бел,..,Бир,Роз)</v>
      </c>
      <c r="G159" t="str">
        <f>""</f>
        <v/>
      </c>
      <c r="H159" t="str">
        <f t="shared" si="80"/>
        <v>МС 5.3</v>
      </c>
      <c r="I159">
        <v>553</v>
      </c>
      <c r="J159">
        <v>777</v>
      </c>
      <c r="K159">
        <v>149</v>
      </c>
      <c r="L159">
        <v>750.12</v>
      </c>
      <c r="M159" t="str">
        <f>"Опоры"</f>
        <v>Опоры</v>
      </c>
      <c r="N159" t="str">
        <f t="shared" si="81"/>
        <v>11.09.20122</v>
      </c>
      <c r="O159">
        <v>64</v>
      </c>
      <c r="P159">
        <v>64</v>
      </c>
      <c r="Q159" t="str">
        <f>""</f>
        <v/>
      </c>
      <c r="R159" t="str">
        <f>""</f>
        <v/>
      </c>
      <c r="S159" t="str">
        <f>""</f>
        <v/>
      </c>
      <c r="T159" t="str">
        <f>"46/1829"</f>
        <v>46/1829</v>
      </c>
      <c r="U159" t="str">
        <f t="shared" si="79"/>
        <v>Магистральная ВОЛС</v>
      </c>
      <c r="V159" t="str">
        <f t="shared" si="76"/>
        <v>Нет</v>
      </c>
      <c r="W159" t="str">
        <f t="shared" si="76"/>
        <v>Нет</v>
      </c>
      <c r="X159" t="str">
        <f t="shared" si="76"/>
        <v>Нет</v>
      </c>
      <c r="Y159" t="str">
        <f t="shared" si="76"/>
        <v>Нет</v>
      </c>
      <c r="Z159" t="str">
        <f t="shared" si="78"/>
        <v>Нет</v>
      </c>
      <c r="AA159" t="str">
        <f>""</f>
        <v/>
      </c>
      <c r="AB159" t="str">
        <f t="shared" si="71"/>
        <v>Нет</v>
      </c>
      <c r="AC159" t="str">
        <f>"М 5.3.2 - М 5.3.3"</f>
        <v>М 5.3.2 - М 5.3.3</v>
      </c>
      <c r="AD159" t="str">
        <f t="shared" si="77"/>
        <v>02.02.2012</v>
      </c>
      <c r="AE159" t="str">
        <f>""</f>
        <v/>
      </c>
      <c r="AF159" t="str">
        <f>"[414761] М 5.3.2"</f>
        <v>[414761] М 5.3.2</v>
      </c>
      <c r="AG159" t="str">
        <f>"[501271] М 5.3.10"</f>
        <v>[501271] М 5.3.10</v>
      </c>
      <c r="AH159" t="str">
        <f>"М 5.3.2"</f>
        <v>М 5.3.2</v>
      </c>
      <c r="AI159" t="str">
        <f>"М 5.3.3"</f>
        <v>М 5.3.3</v>
      </c>
      <c r="AJ159" t="str">
        <f>""</f>
        <v/>
      </c>
      <c r="AK159" t="str">
        <f t="shared" si="73"/>
        <v>Нет</v>
      </c>
      <c r="AL159" t="s">
        <v>46</v>
      </c>
      <c r="AM159" t="str">
        <f>"20000007993288"</f>
        <v>20000007993288</v>
      </c>
    </row>
    <row r="160" spans="1:39" x14ac:dyDescent="0.25">
      <c r="A160">
        <v>907</v>
      </c>
      <c r="B160" t="str">
        <f t="shared" si="69"/>
        <v>Курск</v>
      </c>
      <c r="C160">
        <v>836971</v>
      </c>
      <c r="D160" t="str">
        <f t="shared" si="70"/>
        <v>Оптический кабель</v>
      </c>
      <c r="E160" t="str">
        <f>"[46/1832] М 5.3.4 - ГОК5.3.1.1 Курск, Парковая, 7  п. 2"</f>
        <v>[46/1832] М 5.3.4 - ГОК5.3.1.1 Курск, Парковая, 7  п. 2</v>
      </c>
      <c r="F160" t="str">
        <f>"ДПТс-П-16А 2(6) 7кН (Мод:Кр,Нат)(Вол:Кр,Жел,Зел,..,Ор,Фиол)"</f>
        <v>ДПТс-П-16А 2(6) 7кН (Мод:Кр,Нат)(Вол:Кр,Жел,Зел,..,Ор,Фиол)</v>
      </c>
      <c r="G160" t="str">
        <f>""</f>
        <v/>
      </c>
      <c r="H160" t="str">
        <f t="shared" si="80"/>
        <v>МС 5.3</v>
      </c>
      <c r="I160">
        <v>110</v>
      </c>
      <c r="J160">
        <v>190</v>
      </c>
      <c r="K160">
        <v>60</v>
      </c>
      <c r="L160">
        <v>190</v>
      </c>
      <c r="M160" t="str">
        <f>"Воздушная трасса по стойкам"</f>
        <v>Воздушная трасса по стойкам</v>
      </c>
      <c r="N160" t="str">
        <f t="shared" si="81"/>
        <v>11.09.20122</v>
      </c>
      <c r="O160">
        <v>10</v>
      </c>
      <c r="P160">
        <v>10</v>
      </c>
      <c r="Q160" t="str">
        <f>""</f>
        <v/>
      </c>
      <c r="R160" t="str">
        <f>"Курск, Парковая, 7"</f>
        <v>Курск, Парковая, 7</v>
      </c>
      <c r="S160" t="str">
        <f>""</f>
        <v/>
      </c>
      <c r="T160" t="str">
        <f>"46/1832"</f>
        <v>46/1832</v>
      </c>
      <c r="U160" t="str">
        <f t="shared" si="79"/>
        <v>Магистральная ВОЛС</v>
      </c>
      <c r="V160" t="str">
        <f t="shared" si="76"/>
        <v>Нет</v>
      </c>
      <c r="W160" t="str">
        <f t="shared" si="76"/>
        <v>Нет</v>
      </c>
      <c r="X160" t="str">
        <f t="shared" si="76"/>
        <v>Нет</v>
      </c>
      <c r="Y160" t="str">
        <f t="shared" si="76"/>
        <v>Нет</v>
      </c>
      <c r="Z160" t="str">
        <f t="shared" si="78"/>
        <v>Нет</v>
      </c>
      <c r="AA160" t="str">
        <f>""</f>
        <v/>
      </c>
      <c r="AB160" t="str">
        <f t="shared" si="71"/>
        <v>Нет</v>
      </c>
      <c r="AC160" t="str">
        <f>"М 5.3.4 - ППК 5.3.1"</f>
        <v>М 5.3.4 - ППК 5.3.1</v>
      </c>
      <c r="AD160" t="str">
        <f t="shared" si="77"/>
        <v>02.02.2012</v>
      </c>
      <c r="AE160" t="str">
        <f>""</f>
        <v/>
      </c>
      <c r="AF160" t="str">
        <f>"[414753] М 5.3.4"</f>
        <v>[414753] М 5.3.4</v>
      </c>
      <c r="AG160" t="str">
        <f>"[414672] ГОК5.3.1.1 Курск, Парковая, 7  п. 2"</f>
        <v>[414672] ГОК5.3.1.1 Курск, Парковая, 7  п. 2</v>
      </c>
      <c r="AH160" t="str">
        <f>"М 5.3.4"</f>
        <v>М 5.3.4</v>
      </c>
      <c r="AI160" t="str">
        <f>"ППК 5.3.1"</f>
        <v>ППК 5.3.1</v>
      </c>
      <c r="AJ160" t="str">
        <f>""</f>
        <v/>
      </c>
      <c r="AK160" t="str">
        <f t="shared" si="73"/>
        <v>Нет</v>
      </c>
      <c r="AL160" t="str">
        <f>"51.6699 36.147676, 51.669551 36.147949, 51.669062 36.148518"</f>
        <v>51.6699 36.147676, 51.669551 36.147949, 51.669062 36.148518</v>
      </c>
      <c r="AM160" t="str">
        <f>"20000008039142"</f>
        <v>20000008039142</v>
      </c>
    </row>
    <row r="161" spans="1:39" x14ac:dyDescent="0.25">
      <c r="A161">
        <v>907</v>
      </c>
      <c r="B161" t="str">
        <f t="shared" si="69"/>
        <v>Курск</v>
      </c>
      <c r="C161">
        <v>836983</v>
      </c>
      <c r="D161" t="str">
        <f t="shared" si="70"/>
        <v>Оптический кабель</v>
      </c>
      <c r="E161" t="str">
        <f>"[46/1833] М 5.3.4 - ГОК5.3.2.1 Курск, Белгородская, 19  п. 3"</f>
        <v>[46/1833] М 5.3.4 - ГОК5.3.2.1 Курск, Белгородская, 19  п. 3</v>
      </c>
      <c r="F161" t="str">
        <f>"ДПТс-П-16А 2(6) 7кН (Мод:Кр,Нат)(Вол:Кр,Жел,Зел,..,Ор,Фиол)"</f>
        <v>ДПТс-П-16А 2(6) 7кН (Мод:Кр,Нат)(Вол:Кр,Жел,Зел,..,Ор,Фиол)</v>
      </c>
      <c r="G161" t="str">
        <f>""</f>
        <v/>
      </c>
      <c r="H161" t="str">
        <f t="shared" si="80"/>
        <v>МС 5.3</v>
      </c>
      <c r="I161">
        <v>140</v>
      </c>
      <c r="J161">
        <v>230</v>
      </c>
      <c r="K161">
        <v>60</v>
      </c>
      <c r="L161">
        <v>230</v>
      </c>
      <c r="M161" t="str">
        <f>"Воздушная трасса по стойкам"</f>
        <v>Воздушная трасса по стойкам</v>
      </c>
      <c r="N161" t="str">
        <f t="shared" si="81"/>
        <v>11.09.20122</v>
      </c>
      <c r="O161">
        <v>10</v>
      </c>
      <c r="P161">
        <v>10</v>
      </c>
      <c r="Q161" t="str">
        <f>""</f>
        <v/>
      </c>
      <c r="R161" t="str">
        <f>"Курск, Белгородская, 19"</f>
        <v>Курск, Белгородская, 19</v>
      </c>
      <c r="S161" t="str">
        <f>""</f>
        <v/>
      </c>
      <c r="T161" t="str">
        <f>"46/1833"</f>
        <v>46/1833</v>
      </c>
      <c r="U161" t="str">
        <f t="shared" si="79"/>
        <v>Магистральная ВОЛС</v>
      </c>
      <c r="V161" t="str">
        <f t="shared" si="76"/>
        <v>Нет</v>
      </c>
      <c r="W161" t="str">
        <f t="shared" si="76"/>
        <v>Нет</v>
      </c>
      <c r="X161" t="str">
        <f t="shared" si="76"/>
        <v>Нет</v>
      </c>
      <c r="Y161" t="str">
        <f t="shared" si="76"/>
        <v>Нет</v>
      </c>
      <c r="Z161" t="str">
        <f t="shared" si="78"/>
        <v>Нет</v>
      </c>
      <c r="AA161" t="str">
        <f>""</f>
        <v/>
      </c>
      <c r="AB161" t="str">
        <f t="shared" si="71"/>
        <v>Нет</v>
      </c>
      <c r="AC161" t="str">
        <f>"М 5.3.4 - ППК 5.3.2"</f>
        <v>М 5.3.4 - ППК 5.3.2</v>
      </c>
      <c r="AD161" t="str">
        <f t="shared" si="77"/>
        <v>02.02.2012</v>
      </c>
      <c r="AE161" t="str">
        <f>""</f>
        <v/>
      </c>
      <c r="AF161" t="str">
        <f>"[414753] М 5.3.4"</f>
        <v>[414753] М 5.3.4</v>
      </c>
      <c r="AG161" t="str">
        <f>"[414659] ГОК5.3.2.1 Курск, Белгородская, 19  п. 3"</f>
        <v>[414659] ГОК5.3.2.1 Курск, Белгородская, 19  п. 3</v>
      </c>
      <c r="AH161" t="str">
        <f>"М 5.3.4"</f>
        <v>М 5.3.4</v>
      </c>
      <c r="AI161" t="str">
        <f>"ППК 5.3.2"</f>
        <v>ППК 5.3.2</v>
      </c>
      <c r="AJ161" t="str">
        <f>""</f>
        <v/>
      </c>
      <c r="AK161" t="str">
        <f t="shared" si="73"/>
        <v>Нет</v>
      </c>
      <c r="AL161" t="str">
        <f>"51.669897 36.147665, 51.669764 36.147177, 51.669411 36.14693, 51.669607 36.146115"</f>
        <v>51.669897 36.147665, 51.669764 36.147177, 51.669411 36.14693, 51.669607 36.146115</v>
      </c>
      <c r="AM161" t="str">
        <f>"20000008030139"</f>
        <v>20000008030139</v>
      </c>
    </row>
    <row r="162" spans="1:39" x14ac:dyDescent="0.25">
      <c r="A162">
        <v>907</v>
      </c>
      <c r="B162" t="str">
        <f t="shared" si="69"/>
        <v>Курск</v>
      </c>
      <c r="C162">
        <v>836994</v>
      </c>
      <c r="D162" t="str">
        <f t="shared" si="70"/>
        <v>Оптический кабель</v>
      </c>
      <c r="E162" t="str">
        <f>"[46/1836] М 5.3.5 - М 5.3.6"</f>
        <v>[46/1836] М 5.3.5 - М 5.3.6</v>
      </c>
      <c r="F162" t="str">
        <f>"ДПТа-П-64А 6(6) 7кН (Кр,Жел,Зел,..,8-Фиол,9-Бел,..,Бир,Роз)"</f>
        <v>ДПТа-П-64А 6(6) 7кН (Кр,Жел,Зел,..,8-Фиол,9-Бел,..,Бир,Роз)</v>
      </c>
      <c r="G162" t="str">
        <f>""</f>
        <v/>
      </c>
      <c r="H162" t="str">
        <f t="shared" si="80"/>
        <v>МС 5.3</v>
      </c>
      <c r="I162">
        <v>263</v>
      </c>
      <c r="J162">
        <v>335</v>
      </c>
      <c r="K162">
        <v>60</v>
      </c>
      <c r="L162">
        <v>335</v>
      </c>
      <c r="M162" t="str">
        <f>"Опоры"</f>
        <v>Опоры</v>
      </c>
      <c r="N162" t="str">
        <f t="shared" si="81"/>
        <v>11.09.20122</v>
      </c>
      <c r="O162">
        <v>64</v>
      </c>
      <c r="P162">
        <v>64</v>
      </c>
      <c r="Q162" t="str">
        <f>""</f>
        <v/>
      </c>
      <c r="R162" t="str">
        <f>""</f>
        <v/>
      </c>
      <c r="S162" t="str">
        <f>""</f>
        <v/>
      </c>
      <c r="T162" t="str">
        <f>"46/1836"</f>
        <v>46/1836</v>
      </c>
      <c r="U162" t="str">
        <f t="shared" si="79"/>
        <v>Магистральная ВОЛС</v>
      </c>
      <c r="V162" t="str">
        <f t="shared" si="76"/>
        <v>Нет</v>
      </c>
      <c r="W162" t="str">
        <f t="shared" si="76"/>
        <v>Нет</v>
      </c>
      <c r="X162" t="str">
        <f t="shared" si="76"/>
        <v>Нет</v>
      </c>
      <c r="Y162" t="str">
        <f t="shared" si="76"/>
        <v>Нет</v>
      </c>
      <c r="Z162" t="str">
        <f t="shared" si="78"/>
        <v>Нет</v>
      </c>
      <c r="AA162" t="str">
        <f>""</f>
        <v/>
      </c>
      <c r="AB162" t="str">
        <f t="shared" si="71"/>
        <v>Нет</v>
      </c>
      <c r="AC162" t="str">
        <f>"М 5.3.5 - М 5.3.6"</f>
        <v>М 5.3.5 - М 5.3.6</v>
      </c>
      <c r="AD162" t="str">
        <f t="shared" si="77"/>
        <v>02.02.2012</v>
      </c>
      <c r="AE162" t="str">
        <f>""</f>
        <v/>
      </c>
      <c r="AF162" t="str">
        <f>"[414749] М 5.3.5"</f>
        <v>[414749] М 5.3.5</v>
      </c>
      <c r="AG162" t="str">
        <f>"[414745] М 5.3.6"</f>
        <v>[414745] М 5.3.6</v>
      </c>
      <c r="AH162" t="str">
        <f>"М 5.3.5"</f>
        <v>М 5.3.5</v>
      </c>
      <c r="AI162" t="str">
        <f>"М 5.3.6"</f>
        <v>М 5.3.6</v>
      </c>
      <c r="AJ162" t="str">
        <f>""</f>
        <v/>
      </c>
      <c r="AK162" t="str">
        <f t="shared" si="73"/>
        <v>Нет</v>
      </c>
      <c r="AL162" t="str">
        <f>"51.668326 36.146559, 51.668196 36.14675, 51.66815 36.14694, 51.668027 36.147439, 51.667926 36.147833, 51.667808 36.148303, 51.667837 36.148643, 51.667734 36.148976, 51.667528 36.148844, 51.667317 36.148716, 51.667215 36.149115, 51.667215 36.14914"</f>
        <v>51.668326 36.146559, 51.668196 36.14675, 51.66815 36.14694, 51.668027 36.147439, 51.667926 36.147833, 51.667808 36.148303, 51.667837 36.148643, 51.667734 36.148976, 51.667528 36.148844, 51.667317 36.148716, 51.667215 36.149115, 51.667215 36.14914</v>
      </c>
      <c r="AM162" t="str">
        <f>"20000008007449"</f>
        <v>20000008007449</v>
      </c>
    </row>
    <row r="163" spans="1:39" x14ac:dyDescent="0.25">
      <c r="A163">
        <v>907</v>
      </c>
      <c r="B163" t="str">
        <f t="shared" si="69"/>
        <v>Курск</v>
      </c>
      <c r="C163">
        <v>837003</v>
      </c>
      <c r="D163" t="str">
        <f t="shared" si="70"/>
        <v>Оптический кабель</v>
      </c>
      <c r="E163" t="str">
        <f>"[46/1837] М 5.3.6 - ГОК5.3.4.1 Курск, Обоянская, 30  п. 2"</f>
        <v>[46/1837] М 5.3.6 - ГОК5.3.4.1 Курск, Обоянская, 30  п. 2</v>
      </c>
      <c r="F163" t="str">
        <f>"ДПТс-П-16А 2(6) 7кН (Мод:Кр,Нат)(Вол:Кр,Жел,Зел,..,Ор,Фиол)"</f>
        <v>ДПТс-П-16А 2(6) 7кН (Мод:Кр,Нат)(Вол:Кр,Жел,Зел,..,Ор,Фиол)</v>
      </c>
      <c r="G163" t="str">
        <f>""</f>
        <v/>
      </c>
      <c r="H163" t="str">
        <f t="shared" si="80"/>
        <v>МС 5.3</v>
      </c>
      <c r="I163">
        <v>41</v>
      </c>
      <c r="J163">
        <v>30</v>
      </c>
      <c r="K163">
        <v>0</v>
      </c>
      <c r="L163">
        <v>30</v>
      </c>
      <c r="M163" t="str">
        <f>"Воздушная трасса по стойкам"</f>
        <v>Воздушная трасса по стойкам</v>
      </c>
      <c r="N163" t="str">
        <f t="shared" si="81"/>
        <v>11.09.20122</v>
      </c>
      <c r="O163">
        <v>10</v>
      </c>
      <c r="P163">
        <v>10</v>
      </c>
      <c r="Q163" t="str">
        <f>""</f>
        <v/>
      </c>
      <c r="R163" t="str">
        <f>"Курск, Обоянская, 30"</f>
        <v>Курск, Обоянская, 30</v>
      </c>
      <c r="S163" t="str">
        <f>""</f>
        <v/>
      </c>
      <c r="T163" t="str">
        <f>"46/1837"</f>
        <v>46/1837</v>
      </c>
      <c r="U163" t="str">
        <f t="shared" si="79"/>
        <v>Магистральная ВОЛС</v>
      </c>
      <c r="V163" t="str">
        <f t="shared" si="76"/>
        <v>Нет</v>
      </c>
      <c r="W163" t="str">
        <f t="shared" si="76"/>
        <v>Нет</v>
      </c>
      <c r="X163" t="str">
        <f t="shared" si="76"/>
        <v>Нет</v>
      </c>
      <c r="Y163" t="str">
        <f t="shared" si="76"/>
        <v>Нет</v>
      </c>
      <c r="Z163" t="str">
        <f t="shared" si="78"/>
        <v>Нет</v>
      </c>
      <c r="AA163" t="str">
        <f>""</f>
        <v/>
      </c>
      <c r="AB163" t="str">
        <f t="shared" si="71"/>
        <v>Нет</v>
      </c>
      <c r="AC163" t="str">
        <f>"М 5.3.6 - ППК 5.3.4"</f>
        <v>М 5.3.6 - ППК 5.3.4</v>
      </c>
      <c r="AD163" t="str">
        <f t="shared" si="77"/>
        <v>02.02.2012</v>
      </c>
      <c r="AE163" t="str">
        <f>""</f>
        <v/>
      </c>
      <c r="AF163" t="str">
        <f>"[414745] М 5.3.6"</f>
        <v>[414745] М 5.3.6</v>
      </c>
      <c r="AG163" t="str">
        <f>"[414633] ГОК5.3.4.1 Курск, Обоянская, 30  п. 2"</f>
        <v>[414633] ГОК5.3.4.1 Курск, Обоянская, 30  п. 2</v>
      </c>
      <c r="AH163" t="str">
        <f>"М 5.3.6"</f>
        <v>М 5.3.6</v>
      </c>
      <c r="AI163" t="str">
        <f>"ППК 5.3.4"</f>
        <v>ППК 5.3.4</v>
      </c>
      <c r="AJ163" t="str">
        <f>""</f>
        <v/>
      </c>
      <c r="AK163" t="str">
        <f t="shared" si="73"/>
        <v>Нет</v>
      </c>
      <c r="AL163" t="str">
        <f>"51.667122 36.14863, 51.667217 36.1489, 51.667012 36.148723"</f>
        <v>51.667122 36.14863, 51.667217 36.1489, 51.667012 36.148723</v>
      </c>
      <c r="AM163" t="str">
        <f>"20000008004360"</f>
        <v>20000008004360</v>
      </c>
    </row>
    <row r="164" spans="1:39" x14ac:dyDescent="0.25">
      <c r="A164">
        <v>907</v>
      </c>
      <c r="B164" t="str">
        <f t="shared" si="69"/>
        <v>Курск</v>
      </c>
      <c r="C164">
        <v>837028</v>
      </c>
      <c r="D164" t="str">
        <f t="shared" si="70"/>
        <v>Оптический кабель</v>
      </c>
      <c r="E164" t="str">
        <f>"[46/1839] М 5.3.7 - OK5.1 ППК 5.3.4 Курск, Народная, 7  п. 2"</f>
        <v>[46/1839] М 5.3.7 - OK5.1 ППК 5.3.4 Курск, Народная, 7  п. 2</v>
      </c>
      <c r="F164" t="str">
        <f>"ДПТс-П-08А 1(6) 7кН (Кр,Жел,Зел,Син,Кор,Чер,Ор,Фиол)"</f>
        <v>ДПТс-П-08А 1(6) 7кН (Кр,Жел,Зел,Син,Кор,Чер,Ор,Фиол)</v>
      </c>
      <c r="G164" t="str">
        <f>""</f>
        <v/>
      </c>
      <c r="H164" t="str">
        <f t="shared" si="80"/>
        <v>МС 5.3</v>
      </c>
      <c r="I164">
        <v>121</v>
      </c>
      <c r="J164">
        <v>300</v>
      </c>
      <c r="K164">
        <v>140</v>
      </c>
      <c r="L164">
        <v>300</v>
      </c>
      <c r="M164" t="str">
        <f>"Воздушная трасса по стойкам"</f>
        <v>Воздушная трасса по стойкам</v>
      </c>
      <c r="N164" t="str">
        <f>"12.09.20122"</f>
        <v>12.09.20122</v>
      </c>
      <c r="O164">
        <v>8</v>
      </c>
      <c r="P164">
        <v>8</v>
      </c>
      <c r="Q164" t="str">
        <f>""</f>
        <v/>
      </c>
      <c r="R164" t="str">
        <f>"Курск, Народная, 7"</f>
        <v>Курск, Народная, 7</v>
      </c>
      <c r="S164" t="str">
        <f>""</f>
        <v/>
      </c>
      <c r="T164" t="str">
        <f>"46/1839"</f>
        <v>46/1839</v>
      </c>
      <c r="U164" t="str">
        <f t="shared" si="79"/>
        <v>Магистральная ВОЛС</v>
      </c>
      <c r="V164" t="str">
        <f t="shared" si="76"/>
        <v>Нет</v>
      </c>
      <c r="W164" t="str">
        <f t="shared" si="76"/>
        <v>Нет</v>
      </c>
      <c r="X164" t="str">
        <f t="shared" si="76"/>
        <v>Нет</v>
      </c>
      <c r="Y164" t="str">
        <f t="shared" si="76"/>
        <v>Нет</v>
      </c>
      <c r="Z164" t="str">
        <f t="shared" si="78"/>
        <v>Нет</v>
      </c>
      <c r="AA164" t="str">
        <f>""</f>
        <v/>
      </c>
      <c r="AB164" t="str">
        <f t="shared" si="71"/>
        <v>Нет</v>
      </c>
      <c r="AC164" t="str">
        <f>"М 5.3.7 - ППК 5.3.4 ОУ"</f>
        <v>М 5.3.7 - ППК 5.3.4 ОУ</v>
      </c>
      <c r="AD164" t="str">
        <f t="shared" si="77"/>
        <v>02.02.2012</v>
      </c>
      <c r="AE164" t="str">
        <f>""</f>
        <v/>
      </c>
      <c r="AF164" t="str">
        <f>"[414741] М 5.3.7"</f>
        <v>[414741] М 5.3.7</v>
      </c>
      <c r="AG164" t="str">
        <f>"[373841] OK5.1 ППК 5.3.4 Курск, Народная, 7  п. 2"</f>
        <v>[373841] OK5.1 ППК 5.3.4 Курск, Народная, 7  п. 2</v>
      </c>
      <c r="AH164" t="str">
        <f>"М 5.3.7"</f>
        <v>М 5.3.7</v>
      </c>
      <c r="AI164" t="str">
        <f>"ППК 5.3.4 ОУ"</f>
        <v>ППК 5.3.4 ОУ</v>
      </c>
      <c r="AJ164" t="str">
        <f>""</f>
        <v/>
      </c>
      <c r="AK164" t="str">
        <f t="shared" si="73"/>
        <v>Нет</v>
      </c>
      <c r="AL164" t="str">
        <f>"51.665602 36.147648, 51.664896 36.148991"</f>
        <v>51.665602 36.147648, 51.664896 36.148991</v>
      </c>
      <c r="AM164" t="str">
        <f>"20000008027887"</f>
        <v>20000008027887</v>
      </c>
    </row>
    <row r="165" spans="1:39" x14ac:dyDescent="0.25">
      <c r="A165">
        <v>907</v>
      </c>
      <c r="B165" t="str">
        <f t="shared" si="69"/>
        <v>Курск</v>
      </c>
      <c r="C165">
        <v>837053</v>
      </c>
      <c r="D165" t="str">
        <f t="shared" si="70"/>
        <v>Оптический кабель</v>
      </c>
      <c r="E165" t="str">
        <f>"[46/1840] М 5.3.8 - МОК5.3.2 Курск, Гагарина, 26 а п. 1"</f>
        <v>[46/1840] М 5.3.8 - МОК5.3.2 Курск, Гагарина, 26 а п. 1</v>
      </c>
      <c r="F165" t="str">
        <f>"ДПТа-П-64А 6(6) 7кН (Кр,Жел,Зел,..,8-Фиол,9-Бел,..,Бир,Роз)"</f>
        <v>ДПТа-П-64А 6(6) 7кН (Кр,Жел,Зел,..,8-Фиол,9-Бел,..,Бир,Роз)</v>
      </c>
      <c r="G165" t="str">
        <f>""</f>
        <v/>
      </c>
      <c r="H165" t="str">
        <f t="shared" si="80"/>
        <v>МС 5.3</v>
      </c>
      <c r="I165">
        <v>909</v>
      </c>
      <c r="J165">
        <v>1000</v>
      </c>
      <c r="K165">
        <v>0</v>
      </c>
      <c r="L165">
        <v>1000</v>
      </c>
      <c r="M165" t="str">
        <f>"Опоры"</f>
        <v>Опоры</v>
      </c>
      <c r="N165" t="str">
        <f>"12.09.20122"</f>
        <v>12.09.20122</v>
      </c>
      <c r="O165">
        <v>64</v>
      </c>
      <c r="P165">
        <v>64</v>
      </c>
      <c r="Q165" t="str">
        <f>""</f>
        <v/>
      </c>
      <c r="R165" t="str">
        <f>"Курск, Гагарина, 26 а"</f>
        <v>Курск, Гагарина, 26 а</v>
      </c>
      <c r="S165" t="str">
        <f>""</f>
        <v/>
      </c>
      <c r="T165" t="str">
        <f>"46/1840"</f>
        <v>46/1840</v>
      </c>
      <c r="U165" t="str">
        <f t="shared" si="79"/>
        <v>Магистральная ВОЛС</v>
      </c>
      <c r="V165" t="str">
        <f t="shared" si="76"/>
        <v>Нет</v>
      </c>
      <c r="W165" t="str">
        <f t="shared" si="76"/>
        <v>Нет</v>
      </c>
      <c r="X165" t="str">
        <f t="shared" si="76"/>
        <v>Нет</v>
      </c>
      <c r="Y165" t="str">
        <f t="shared" si="76"/>
        <v>Нет</v>
      </c>
      <c r="Z165" t="str">
        <f t="shared" si="78"/>
        <v>Нет</v>
      </c>
      <c r="AA165" t="str">
        <f>""</f>
        <v/>
      </c>
      <c r="AB165" t="str">
        <f t="shared" si="71"/>
        <v>Нет</v>
      </c>
      <c r="AC165" t="str">
        <f>"М 5.3.8 - МГС 5"</f>
        <v>М 5.3.8 - МГС 5</v>
      </c>
      <c r="AD165" t="str">
        <f t="shared" si="77"/>
        <v>02.02.2012</v>
      </c>
      <c r="AE165" t="str">
        <f>""</f>
        <v/>
      </c>
      <c r="AF165" t="str">
        <f>"[414737] М 5.3.8"</f>
        <v>[414737] М 5.3.8</v>
      </c>
      <c r="AG165" t="str">
        <f>"[384902] МОК5.3.2 Курск, Гагарина, 26 а п. 1"</f>
        <v>[384902] МОК5.3.2 Курск, Гагарина, 26 а п. 1</v>
      </c>
      <c r="AH165" t="str">
        <f>"М 5.3.7"</f>
        <v>М 5.3.7</v>
      </c>
      <c r="AI165" t="str">
        <f>"МГС 5"</f>
        <v>МГС 5</v>
      </c>
      <c r="AJ165" t="str">
        <f>""</f>
        <v/>
      </c>
      <c r="AK165" t="str">
        <f t="shared" si="73"/>
        <v>Нет</v>
      </c>
      <c r="AL165" t="s">
        <v>47</v>
      </c>
      <c r="AM165" t="str">
        <f>"20000008045142"</f>
        <v>20000008045142</v>
      </c>
    </row>
    <row r="166" spans="1:39" x14ac:dyDescent="0.25">
      <c r="A166">
        <v>907</v>
      </c>
      <c r="B166" t="str">
        <f t="shared" si="69"/>
        <v>Курск</v>
      </c>
      <c r="C166">
        <v>838383</v>
      </c>
      <c r="D166" t="str">
        <f t="shared" si="70"/>
        <v>Оптический кабель</v>
      </c>
      <c r="E166" t="str">
        <f>"[46/1881] МОК5.6.1 Курск, Гагарина, 26 а п. 1 - М 5.6.11"</f>
        <v>[46/1881] МОК5.6.1 Курск, Гагарина, 26 а п. 1 - М 5.6.11</v>
      </c>
      <c r="F166" t="str">
        <f>"ДПТа-П-64А 6(6) 7кН (Кр,Жел,Зел,..,8-Фиол,9-Бел,..,Бир,Роз)"</f>
        <v>ДПТа-П-64А 6(6) 7кН (Кр,Жел,Зел,..,8-Фиол,9-Бел,..,Бир,Роз)</v>
      </c>
      <c r="G166" t="str">
        <f>""</f>
        <v/>
      </c>
      <c r="H166" t="str">
        <f t="shared" ref="H166:H175" si="82">"МС 5.6"</f>
        <v>МС 5.6</v>
      </c>
      <c r="I166">
        <v>1178</v>
      </c>
      <c r="J166">
        <v>1372.9</v>
      </c>
      <c r="K166">
        <v>150</v>
      </c>
      <c r="L166">
        <v>1374.93</v>
      </c>
      <c r="M166" t="str">
        <f>"Опоры"</f>
        <v>Опоры</v>
      </c>
      <c r="N166" t="str">
        <f t="shared" ref="N166:N175" si="83">"14.09.20122"</f>
        <v>14.09.20122</v>
      </c>
      <c r="O166">
        <v>64</v>
      </c>
      <c r="P166">
        <v>64</v>
      </c>
      <c r="Q166" t="str">
        <f>"Курск, Гагарина, 26 а"</f>
        <v>Курск, Гагарина, 26 а</v>
      </c>
      <c r="R166" t="str">
        <f>""</f>
        <v/>
      </c>
      <c r="S166" t="str">
        <f>""</f>
        <v/>
      </c>
      <c r="T166" t="str">
        <f>"46/1881"</f>
        <v>46/1881</v>
      </c>
      <c r="U166" t="str">
        <f t="shared" si="79"/>
        <v>Магистральная ВОЛС</v>
      </c>
      <c r="V166" t="str">
        <f t="shared" si="76"/>
        <v>Нет</v>
      </c>
      <c r="W166" t="str">
        <f t="shared" si="76"/>
        <v>Нет</v>
      </c>
      <c r="X166" t="str">
        <f t="shared" si="76"/>
        <v>Нет</v>
      </c>
      <c r="Y166" t="str">
        <f t="shared" si="76"/>
        <v>Нет</v>
      </c>
      <c r="Z166" t="str">
        <f t="shared" si="78"/>
        <v>Нет</v>
      </c>
      <c r="AA166" t="str">
        <f>""</f>
        <v/>
      </c>
      <c r="AB166" t="str">
        <f t="shared" si="71"/>
        <v>Нет</v>
      </c>
      <c r="AC166" t="str">
        <f>"КРС МС-5.6 - М 5.6.1"</f>
        <v>КРС МС-5.6 - М 5.6.1</v>
      </c>
      <c r="AD166" t="str">
        <f t="shared" si="77"/>
        <v>02.02.2012</v>
      </c>
      <c r="AE166" t="str">
        <f>""</f>
        <v/>
      </c>
      <c r="AF166" t="str">
        <f>"[384833] МОК5.6.1 Курск, Гагарина, 26 а п. 1"</f>
        <v>[384833] МОК5.6.1 Курск, Гагарина, 26 а п. 1</v>
      </c>
      <c r="AG166" t="str">
        <f>"[637319] М 5.6.11"</f>
        <v>[637319] М 5.6.11</v>
      </c>
      <c r="AH166" t="str">
        <f>"КРС МС-5.6"</f>
        <v>КРС МС-5.6</v>
      </c>
      <c r="AI166" t="str">
        <f>"М 5.6.1"</f>
        <v>М 5.6.1</v>
      </c>
      <c r="AJ166" t="str">
        <f>""</f>
        <v/>
      </c>
      <c r="AK166" t="str">
        <f t="shared" si="73"/>
        <v>Нет</v>
      </c>
      <c r="AL166" t="s">
        <v>48</v>
      </c>
      <c r="AM166" t="str">
        <f>"20000008045143"</f>
        <v>20000008045143</v>
      </c>
    </row>
    <row r="167" spans="1:39" x14ac:dyDescent="0.25">
      <c r="A167">
        <v>907</v>
      </c>
      <c r="B167" t="str">
        <f t="shared" si="69"/>
        <v>Курск</v>
      </c>
      <c r="C167">
        <v>838388</v>
      </c>
      <c r="D167" t="str">
        <f t="shared" si="70"/>
        <v>Оптический кабель</v>
      </c>
      <c r="E167" t="str">
        <f>"[46/1880] М 5.6.1 - М 5.6.7"</f>
        <v>[46/1880] М 5.6.1 - М 5.6.7</v>
      </c>
      <c r="F167" t="str">
        <f>"ДПТа-П-64А 6(6) 7кН (Кр,Жел,Зел,..,8-Фиол,9-Бел,..,Бир,Роз)"</f>
        <v>ДПТа-П-64А 6(6) 7кН (Кр,Жел,Зел,..,8-Фиол,9-Бел,..,Бир,Роз)</v>
      </c>
      <c r="G167" t="str">
        <f>""</f>
        <v/>
      </c>
      <c r="H167" t="str">
        <f t="shared" si="82"/>
        <v>МС 5.6</v>
      </c>
      <c r="I167">
        <v>966</v>
      </c>
      <c r="J167">
        <v>1143.07</v>
      </c>
      <c r="K167">
        <v>160</v>
      </c>
      <c r="L167">
        <v>1144.3900000000001</v>
      </c>
      <c r="M167" t="str">
        <f>"Опоры"</f>
        <v>Опоры</v>
      </c>
      <c r="N167" t="str">
        <f t="shared" si="83"/>
        <v>14.09.20122</v>
      </c>
      <c r="O167">
        <v>64</v>
      </c>
      <c r="P167">
        <v>64</v>
      </c>
      <c r="Q167" t="str">
        <f>""</f>
        <v/>
      </c>
      <c r="R167" t="str">
        <f>""</f>
        <v/>
      </c>
      <c r="S167" t="str">
        <f>""</f>
        <v/>
      </c>
      <c r="T167" t="str">
        <f>"46/1880"</f>
        <v>46/1880</v>
      </c>
      <c r="U167" t="str">
        <f t="shared" si="79"/>
        <v>Магистральная ВОЛС</v>
      </c>
      <c r="V167" t="str">
        <f t="shared" si="76"/>
        <v>Нет</v>
      </c>
      <c r="W167" t="str">
        <f t="shared" si="76"/>
        <v>Нет</v>
      </c>
      <c r="X167" t="str">
        <f t="shared" si="76"/>
        <v>Нет</v>
      </c>
      <c r="Y167" t="str">
        <f t="shared" si="76"/>
        <v>Нет</v>
      </c>
      <c r="Z167" t="str">
        <f t="shared" si="78"/>
        <v>Нет</v>
      </c>
      <c r="AA167" t="str">
        <f>""</f>
        <v/>
      </c>
      <c r="AB167" t="str">
        <f t="shared" si="71"/>
        <v>Нет</v>
      </c>
      <c r="AC167" t="str">
        <f>"М 5.6.1 - М 5.6.2"</f>
        <v>М 5.6.1 - М 5.6.2</v>
      </c>
      <c r="AD167" t="str">
        <f t="shared" si="77"/>
        <v>02.02.2012</v>
      </c>
      <c r="AE167" t="str">
        <f>""</f>
        <v/>
      </c>
      <c r="AF167" t="str">
        <f>"[414850] М 5.6.1"</f>
        <v>[414850] М 5.6.1</v>
      </c>
      <c r="AG167" t="str">
        <f>"[527666] М 5.6.7"</f>
        <v>[527666] М 5.6.7</v>
      </c>
      <c r="AH167" t="str">
        <f>"М 5.6.1"</f>
        <v>М 5.6.1</v>
      </c>
      <c r="AI167" t="str">
        <f>"М 5.6.7"</f>
        <v>М 5.6.7</v>
      </c>
      <c r="AJ167" t="str">
        <f>""</f>
        <v/>
      </c>
      <c r="AK167" t="str">
        <f t="shared" si="73"/>
        <v>Нет</v>
      </c>
      <c r="AL167" t="s">
        <v>49</v>
      </c>
      <c r="AM167" t="str">
        <f>"20000008026188"</f>
        <v>20000008026188</v>
      </c>
    </row>
    <row r="168" spans="1:39" x14ac:dyDescent="0.25">
      <c r="A168">
        <v>907</v>
      </c>
      <c r="B168" t="str">
        <f t="shared" si="69"/>
        <v>Курск</v>
      </c>
      <c r="C168">
        <v>838546</v>
      </c>
      <c r="D168" t="str">
        <f t="shared" si="70"/>
        <v>Оптический кабель</v>
      </c>
      <c r="E168" t="str">
        <f>"[46/1882] М 5.6.2 - ГОК5.6.5.1 Курск, Магистральный Проезд, 8  п. 2"</f>
        <v>[46/1882] М 5.6.2 - ГОК5.6.5.1 Курск, Магистральный Проезд, 8  п. 2</v>
      </c>
      <c r="F168" t="str">
        <f>"ДПТс-П-16А 2(6) 7кН (Мод:Кр,Нат)(Вол:Кр,Жел,Зел,..,Ор,Фиол)"</f>
        <v>ДПТс-П-16А 2(6) 7кН (Мод:Кр,Нат)(Вол:Кр,Жел,Зел,..,Ор,Фиол)</v>
      </c>
      <c r="G168" t="str">
        <f>""</f>
        <v/>
      </c>
      <c r="H168" t="str">
        <f t="shared" si="82"/>
        <v>МС 5.6</v>
      </c>
      <c r="I168">
        <v>105</v>
      </c>
      <c r="J168">
        <v>201</v>
      </c>
      <c r="K168">
        <v>30</v>
      </c>
      <c r="L168">
        <v>202</v>
      </c>
      <c r="M168" t="str">
        <f>"Воздушная трасса по стойкам"</f>
        <v>Воздушная трасса по стойкам</v>
      </c>
      <c r="N168" t="str">
        <f t="shared" si="83"/>
        <v>14.09.20122</v>
      </c>
      <c r="O168">
        <v>10</v>
      </c>
      <c r="P168">
        <v>10</v>
      </c>
      <c r="Q168" t="str">
        <f>""</f>
        <v/>
      </c>
      <c r="R168" t="str">
        <f>"Курск, Магистральный Проезд, 8"</f>
        <v>Курск, Магистральный Проезд, 8</v>
      </c>
      <c r="S168" t="str">
        <f>""</f>
        <v/>
      </c>
      <c r="T168" t="str">
        <f>"46/1882"</f>
        <v>46/1882</v>
      </c>
      <c r="U168" t="str">
        <f t="shared" si="79"/>
        <v>Магистральная ВОЛС</v>
      </c>
      <c r="V168" t="str">
        <f t="shared" ref="V168:Y187" si="84">"Нет"</f>
        <v>Нет</v>
      </c>
      <c r="W168" t="str">
        <f t="shared" si="84"/>
        <v>Нет</v>
      </c>
      <c r="X168" t="str">
        <f t="shared" si="84"/>
        <v>Нет</v>
      </c>
      <c r="Y168" t="str">
        <f t="shared" si="84"/>
        <v>Нет</v>
      </c>
      <c r="Z168" t="str">
        <f t="shared" si="78"/>
        <v>Нет</v>
      </c>
      <c r="AA168" t="str">
        <f>""</f>
        <v/>
      </c>
      <c r="AB168" t="str">
        <f t="shared" si="71"/>
        <v>Нет</v>
      </c>
      <c r="AC168" t="str">
        <f>"М 5.6.2 - ППК 5.6.5"</f>
        <v>М 5.6.2 - ППК 5.6.5</v>
      </c>
      <c r="AD168" t="str">
        <f t="shared" si="77"/>
        <v>02.02.2012</v>
      </c>
      <c r="AE168" t="str">
        <f>""</f>
        <v/>
      </c>
      <c r="AF168" t="str">
        <f>"[414854] М 5.6.2"</f>
        <v>[414854] М 5.6.2</v>
      </c>
      <c r="AG168" t="str">
        <f>"[414821] ГОК5.6.5.1 Курск, Магистральный Проезд, 8  п. 2"</f>
        <v>[414821] ГОК5.6.5.1 Курск, Магистральный Проезд, 8  п. 2</v>
      </c>
      <c r="AH168" t="str">
        <f>"М 5.6.2"</f>
        <v>М 5.6.2</v>
      </c>
      <c r="AI168" t="str">
        <f>"ППК 5.6.5"</f>
        <v>ППК 5.6.5</v>
      </c>
      <c r="AJ168" t="str">
        <f>""</f>
        <v/>
      </c>
      <c r="AK168" t="str">
        <f t="shared" si="73"/>
        <v>Нет</v>
      </c>
      <c r="AL168" t="str">
        <f>"51.649954 36.134664, 51.650159 36.134698, 51.650299 36.13443, 51.650465 36.134194, 51.650655 36.134232"</f>
        <v>51.649954 36.134664, 51.650159 36.134698, 51.650299 36.13443, 51.650465 36.134194, 51.650655 36.134232</v>
      </c>
      <c r="AM168" t="str">
        <f>"20000008047928"</f>
        <v>20000008047928</v>
      </c>
    </row>
    <row r="169" spans="1:39" x14ac:dyDescent="0.25">
      <c r="A169">
        <v>907</v>
      </c>
      <c r="B169" t="str">
        <f t="shared" si="69"/>
        <v>Курск</v>
      </c>
      <c r="C169">
        <v>838568</v>
      </c>
      <c r="D169" t="str">
        <f t="shared" si="70"/>
        <v>Оптический кабель</v>
      </c>
      <c r="E169" t="str">
        <f>"[46/1884] М 5.6.3 - ГОК5.6.1.1 Курск, Магистральный Проезд, 3  п. 3"</f>
        <v>[46/1884] М 5.6.3 - ГОК5.6.1.1 Курск, Магистральный Проезд, 3  п. 3</v>
      </c>
      <c r="F169" t="str">
        <f>"ДПТс-П-16А 2(6) 7кН (Мод:Кр,Нат)(Вол:Кр,Жел,Зел,..,Ор,Фиол)"</f>
        <v>ДПТс-П-16А 2(6) 7кН (Мод:Кр,Нат)(Вол:Кр,Жел,Зел,..,Ор,Фиол)</v>
      </c>
      <c r="G169" t="str">
        <f>""</f>
        <v/>
      </c>
      <c r="H169" t="str">
        <f t="shared" si="82"/>
        <v>МС 5.6</v>
      </c>
      <c r="I169">
        <v>49</v>
      </c>
      <c r="J169">
        <v>153</v>
      </c>
      <c r="K169">
        <v>30</v>
      </c>
      <c r="L169">
        <v>153</v>
      </c>
      <c r="M169" t="str">
        <f>"Воздушная трасса по стойкам"</f>
        <v>Воздушная трасса по стойкам</v>
      </c>
      <c r="N169" t="str">
        <f t="shared" si="83"/>
        <v>14.09.20122</v>
      </c>
      <c r="O169">
        <v>10</v>
      </c>
      <c r="P169">
        <v>10</v>
      </c>
      <c r="Q169" t="str">
        <f>""</f>
        <v/>
      </c>
      <c r="R169" t="str">
        <f>"Курск, Магистральный Проезд, 3"</f>
        <v>Курск, Магистральный Проезд, 3</v>
      </c>
      <c r="S169" t="str">
        <f>""</f>
        <v/>
      </c>
      <c r="T169" t="str">
        <f>"46/1884"</f>
        <v>46/1884</v>
      </c>
      <c r="U169" t="str">
        <f t="shared" si="79"/>
        <v>Магистральная ВОЛС</v>
      </c>
      <c r="V169" t="str">
        <f t="shared" si="84"/>
        <v>Нет</v>
      </c>
      <c r="W169" t="str">
        <f t="shared" si="84"/>
        <v>Нет</v>
      </c>
      <c r="X169" t="str">
        <f t="shared" si="84"/>
        <v>Нет</v>
      </c>
      <c r="Y169" t="str">
        <f t="shared" si="84"/>
        <v>Нет</v>
      </c>
      <c r="Z169" t="str">
        <f t="shared" si="78"/>
        <v>Нет</v>
      </c>
      <c r="AA169" t="str">
        <f>""</f>
        <v/>
      </c>
      <c r="AB169" t="str">
        <f t="shared" si="71"/>
        <v>Нет</v>
      </c>
      <c r="AC169" t="str">
        <f>"М 5.6.3 - ППК 5.6.1"</f>
        <v>М 5.6.3 - ППК 5.6.1</v>
      </c>
      <c r="AD169" t="str">
        <f t="shared" si="77"/>
        <v>02.02.2012</v>
      </c>
      <c r="AE169" t="str">
        <f>""</f>
        <v/>
      </c>
      <c r="AF169" t="str">
        <f>"[414846] М 5.6.3"</f>
        <v>[414846] М 5.6.3</v>
      </c>
      <c r="AG169" t="str">
        <f>"[414808] ГОК5.6.1.1 Курск, Магистральный Проезд, 3  п. 3"</f>
        <v>[414808] ГОК5.6.1.1 Курск, Магистральный Проезд, 3  п. 3</v>
      </c>
      <c r="AH169" t="str">
        <f>"М 5.6.3"</f>
        <v>М 5.6.3</v>
      </c>
      <c r="AI169" t="str">
        <f>"ППК 5.6.1"</f>
        <v>ППК 5.6.1</v>
      </c>
      <c r="AJ169" t="str">
        <f>""</f>
        <v/>
      </c>
      <c r="AK169" t="str">
        <f t="shared" si="73"/>
        <v>Нет</v>
      </c>
      <c r="AL169" t="str">
        <f>"51.64954 36.137657, 51.649147 36.137984"</f>
        <v>51.64954 36.137657, 51.649147 36.137984</v>
      </c>
      <c r="AM169" t="str">
        <f>"20000008039147"</f>
        <v>20000008039147</v>
      </c>
    </row>
    <row r="170" spans="1:39" x14ac:dyDescent="0.25">
      <c r="A170">
        <v>907</v>
      </c>
      <c r="B170" t="str">
        <f t="shared" si="69"/>
        <v>Курск</v>
      </c>
      <c r="C170">
        <v>838592</v>
      </c>
      <c r="D170" t="str">
        <f t="shared" si="70"/>
        <v>Оптический кабель</v>
      </c>
      <c r="E170" t="str">
        <f>"[46/1885] М 5.6.3 - М 5.6.4"</f>
        <v>[46/1885] М 5.6.3 - М 5.6.4</v>
      </c>
      <c r="F170" t="str">
        <f>"ДПТа-П-64А 6(6) 7кН (Кр,Жел,Зел,..,8-Фиол,9-Бел,..,Бир,Роз)"</f>
        <v>ДПТа-П-64А 6(6) 7кН (Кр,Жел,Зел,..,8-Фиол,9-Бел,..,Бир,Роз)</v>
      </c>
      <c r="G170" t="str">
        <f>""</f>
        <v/>
      </c>
      <c r="H170" t="str">
        <f t="shared" si="82"/>
        <v>МС 5.6</v>
      </c>
      <c r="I170">
        <v>168</v>
      </c>
      <c r="J170">
        <v>265</v>
      </c>
      <c r="K170">
        <v>0</v>
      </c>
      <c r="L170">
        <v>266</v>
      </c>
      <c r="M170" t="str">
        <f>"Опоры"</f>
        <v>Опоры</v>
      </c>
      <c r="N170" t="str">
        <f t="shared" si="83"/>
        <v>14.09.20122</v>
      </c>
      <c r="O170">
        <v>64</v>
      </c>
      <c r="P170">
        <v>64</v>
      </c>
      <c r="Q170" t="str">
        <f>""</f>
        <v/>
      </c>
      <c r="R170" t="str">
        <f>""</f>
        <v/>
      </c>
      <c r="S170" t="str">
        <f>""</f>
        <v/>
      </c>
      <c r="T170" t="str">
        <f>"46/1885"</f>
        <v>46/1885</v>
      </c>
      <c r="U170" t="str">
        <f t="shared" si="79"/>
        <v>Магистральная ВОЛС</v>
      </c>
      <c r="V170" t="str">
        <f t="shared" si="84"/>
        <v>Нет</v>
      </c>
      <c r="W170" t="str">
        <f t="shared" si="84"/>
        <v>Нет</v>
      </c>
      <c r="X170" t="str">
        <f t="shared" si="84"/>
        <v>Нет</v>
      </c>
      <c r="Y170" t="str">
        <f t="shared" si="84"/>
        <v>Нет</v>
      </c>
      <c r="Z170" t="str">
        <f t="shared" si="78"/>
        <v>Нет</v>
      </c>
      <c r="AA170" t="str">
        <f>""</f>
        <v/>
      </c>
      <c r="AB170" t="str">
        <f t="shared" si="71"/>
        <v>Нет</v>
      </c>
      <c r="AC170" t="str">
        <f>"М 5.6.3 - М 5.6.4"</f>
        <v>М 5.6.3 - М 5.6.4</v>
      </c>
      <c r="AD170" t="str">
        <f t="shared" si="77"/>
        <v>02.02.2012</v>
      </c>
      <c r="AE170" t="str">
        <f>""</f>
        <v/>
      </c>
      <c r="AF170" t="str">
        <f>"[414846] М 5.6.3"</f>
        <v>[414846] М 5.6.3</v>
      </c>
      <c r="AG170" t="str">
        <f>"[414842] М 5.6.4"</f>
        <v>[414842] М 5.6.4</v>
      </c>
      <c r="AH170" t="str">
        <f>"М 5.6.3"</f>
        <v>М 5.6.3</v>
      </c>
      <c r="AI170" t="str">
        <f>"М 5.6.4"</f>
        <v>М 5.6.4</v>
      </c>
      <c r="AJ170" t="str">
        <f>""</f>
        <v/>
      </c>
      <c r="AK170" t="str">
        <f t="shared" si="73"/>
        <v>Нет</v>
      </c>
      <c r="AL170" t="str">
        <f>"51.64954 36.137657, 51.649498 36.138038, 51.649453 36.138407, 51.649414 36.138764, 51.649381 36.139134, 51.649343 36.139477, 51.649311 36.139848, 51.64939 36.140017"</f>
        <v>51.64954 36.137657, 51.649498 36.138038, 51.649453 36.138407, 51.649414 36.138764, 51.649381 36.139134, 51.649343 36.139477, 51.649311 36.139848, 51.64939 36.140017</v>
      </c>
      <c r="AM170" t="str">
        <f>"20000007993322"</f>
        <v>20000007993322</v>
      </c>
    </row>
    <row r="171" spans="1:39" x14ac:dyDescent="0.25">
      <c r="A171">
        <v>907</v>
      </c>
      <c r="B171" t="str">
        <f t="shared" si="69"/>
        <v>Курск</v>
      </c>
      <c r="C171">
        <v>838614</v>
      </c>
      <c r="D171" t="str">
        <f t="shared" si="70"/>
        <v>Оптический кабель</v>
      </c>
      <c r="E171" t="str">
        <f>"[46/1886] М 5.6.4 - OK5.1 ППК 5.6.5 Курск, Магистральный Проезд, 12  п. 2"</f>
        <v>[46/1886] М 5.6.4 - OK5.1 ППК 5.6.5 Курск, Магистральный Проезд, 12  п. 2</v>
      </c>
      <c r="F171" t="str">
        <f>"ДПТс-П-08А 1(6) 7кН (Кр,Жел,Зел,Син,Кор,Чер,Ор,Фиол)"</f>
        <v>ДПТс-П-08А 1(6) 7кН (Кр,Жел,Зел,Син,Кор,Чер,Ор,Фиол)</v>
      </c>
      <c r="G171" t="str">
        <f>""</f>
        <v/>
      </c>
      <c r="H171" t="str">
        <f t="shared" si="82"/>
        <v>МС 5.6</v>
      </c>
      <c r="I171">
        <v>76</v>
      </c>
      <c r="J171">
        <v>80</v>
      </c>
      <c r="K171">
        <v>0</v>
      </c>
      <c r="L171">
        <v>80</v>
      </c>
      <c r="M171" t="str">
        <f>"Воздушная трасса по стойкам"</f>
        <v>Воздушная трасса по стойкам</v>
      </c>
      <c r="N171" t="str">
        <f t="shared" si="83"/>
        <v>14.09.20122</v>
      </c>
      <c r="O171">
        <v>8</v>
      </c>
      <c r="P171">
        <v>8</v>
      </c>
      <c r="Q171" t="str">
        <f>""</f>
        <v/>
      </c>
      <c r="R171" t="str">
        <f>"Курск, Магистральный Проезд, 12"</f>
        <v>Курск, Магистральный Проезд, 12</v>
      </c>
      <c r="S171" t="str">
        <f>""</f>
        <v/>
      </c>
      <c r="T171" t="str">
        <f>"46/1886"</f>
        <v>46/1886</v>
      </c>
      <c r="U171" t="str">
        <f t="shared" si="79"/>
        <v>Магистральная ВОЛС</v>
      </c>
      <c r="V171" t="str">
        <f t="shared" si="84"/>
        <v>Нет</v>
      </c>
      <c r="W171" t="str">
        <f t="shared" si="84"/>
        <v>Нет</v>
      </c>
      <c r="X171" t="str">
        <f t="shared" si="84"/>
        <v>Нет</v>
      </c>
      <c r="Y171" t="str">
        <f t="shared" si="84"/>
        <v>Нет</v>
      </c>
      <c r="Z171" t="str">
        <f t="shared" si="78"/>
        <v>Нет</v>
      </c>
      <c r="AA171" t="str">
        <f>""</f>
        <v/>
      </c>
      <c r="AB171" t="str">
        <f t="shared" si="71"/>
        <v>Нет</v>
      </c>
      <c r="AC171" t="str">
        <f>"М 5.6.4 - ППК 5.6.5 ОУ5"</f>
        <v>М 5.6.4 - ППК 5.6.5 ОУ5</v>
      </c>
      <c r="AD171" t="str">
        <f t="shared" si="77"/>
        <v>02.02.2012</v>
      </c>
      <c r="AE171" t="str">
        <f>""</f>
        <v/>
      </c>
      <c r="AF171" t="str">
        <f>"[414842] М 5.6.4"</f>
        <v>[414842] М 5.6.4</v>
      </c>
      <c r="AG171" t="str">
        <f>"[429885] OK5.1 ППК 5.6.5 Курск, Магистральный Проезд, 12  п. 2"</f>
        <v>[429885] OK5.1 ППК 5.6.5 Курск, Магистральный Проезд, 12  п. 2</v>
      </c>
      <c r="AH171" t="str">
        <f>"М 5.6.4"</f>
        <v>М 5.6.4</v>
      </c>
      <c r="AI171" t="str">
        <f>"ППК 5.6.5 ОУ5"</f>
        <v>ППК 5.6.5 ОУ5</v>
      </c>
      <c r="AJ171" t="str">
        <f>""</f>
        <v/>
      </c>
      <c r="AK171" t="str">
        <f t="shared" si="73"/>
        <v>Нет</v>
      </c>
      <c r="AL171" t="str">
        <f>"51.64939 36.140015, 51.649491 36.139918, 51.649646 36.139897, 51.649743 36.139258"</f>
        <v>51.64939 36.140015, 51.649491 36.139918, 51.649646 36.139897, 51.649743 36.139258</v>
      </c>
      <c r="AM171" t="str">
        <f>"20000008021489"</f>
        <v>20000008021489</v>
      </c>
    </row>
    <row r="172" spans="1:39" x14ac:dyDescent="0.25">
      <c r="A172">
        <v>907</v>
      </c>
      <c r="B172" t="str">
        <f t="shared" si="69"/>
        <v>Курск</v>
      </c>
      <c r="C172">
        <v>838620</v>
      </c>
      <c r="D172" t="str">
        <f t="shared" si="70"/>
        <v>Оптический кабель</v>
      </c>
      <c r="E172" t="str">
        <f>"[46/1888] М 5.6.4 - ГОК5.6.4.1 Курск, Магистральный Проезд, 16 б п. 3"</f>
        <v>[46/1888] М 5.6.4 - ГОК5.6.4.1 Курск, Магистральный Проезд, 16 б п. 3</v>
      </c>
      <c r="F172" t="str">
        <f t="shared" ref="F172:F177" si="85">"ДПТс-П-16А 2(6) 7кН (Мод:Кр,Нат)(Вол:Кр,Жел,Зел,..,Ор,Фиол)"</f>
        <v>ДПТс-П-16А 2(6) 7кН (Мод:Кр,Нат)(Вол:Кр,Жел,Зел,..,Ор,Фиол)</v>
      </c>
      <c r="G172" t="str">
        <f>""</f>
        <v/>
      </c>
      <c r="H172" t="str">
        <f t="shared" si="82"/>
        <v>МС 5.6</v>
      </c>
      <c r="I172">
        <v>226</v>
      </c>
      <c r="J172">
        <v>368</v>
      </c>
      <c r="K172">
        <v>60</v>
      </c>
      <c r="L172">
        <v>369</v>
      </c>
      <c r="M172" t="str">
        <f>"Опоры"</f>
        <v>Опоры</v>
      </c>
      <c r="N172" t="str">
        <f t="shared" si="83"/>
        <v>14.09.20122</v>
      </c>
      <c r="O172">
        <v>10</v>
      </c>
      <c r="P172">
        <v>10</v>
      </c>
      <c r="Q172" t="str">
        <f>""</f>
        <v/>
      </c>
      <c r="R172" t="str">
        <f>"Курск, Магистральный Проезд, 16 б"</f>
        <v>Курск, Магистральный Проезд, 16 б</v>
      </c>
      <c r="S172" t="str">
        <f>""</f>
        <v/>
      </c>
      <c r="T172" t="str">
        <f>"46/1888"</f>
        <v>46/1888</v>
      </c>
      <c r="U172" t="str">
        <f t="shared" si="79"/>
        <v>Магистральная ВОЛС</v>
      </c>
      <c r="V172" t="str">
        <f t="shared" si="84"/>
        <v>Нет</v>
      </c>
      <c r="W172" t="str">
        <f t="shared" si="84"/>
        <v>Нет</v>
      </c>
      <c r="X172" t="str">
        <f t="shared" si="84"/>
        <v>Нет</v>
      </c>
      <c r="Y172" t="str">
        <f t="shared" si="84"/>
        <v>Нет</v>
      </c>
      <c r="Z172" t="str">
        <f t="shared" si="78"/>
        <v>Нет</v>
      </c>
      <c r="AA172" t="str">
        <f>""</f>
        <v/>
      </c>
      <c r="AB172" t="str">
        <f t="shared" si="71"/>
        <v>Нет</v>
      </c>
      <c r="AC172" t="str">
        <f>"М 5.6.4 - ППК 5.6.4"</f>
        <v>М 5.6.4 - ППК 5.6.4</v>
      </c>
      <c r="AD172" t="str">
        <f t="shared" si="77"/>
        <v>02.02.2012</v>
      </c>
      <c r="AE172" t="str">
        <f>""</f>
        <v/>
      </c>
      <c r="AF172" t="str">
        <f>"[414842] М 5.6.4"</f>
        <v>[414842] М 5.6.4</v>
      </c>
      <c r="AG172" t="str">
        <f>"[414795] ГОК5.6.4.1 Курск, Магистральный Проезд, 16 б п. 3"</f>
        <v>[414795] ГОК5.6.4.1 Курск, Магистральный Проезд, 16 б п. 3</v>
      </c>
      <c r="AH172" t="str">
        <f>"М 5.6.4"</f>
        <v>М 5.6.4</v>
      </c>
      <c r="AI172" t="str">
        <f>"ППК 5.6.4"</f>
        <v>ППК 5.6.4</v>
      </c>
      <c r="AJ172" t="str">
        <f>""</f>
        <v/>
      </c>
      <c r="AK172" t="str">
        <f t="shared" si="73"/>
        <v>Нет</v>
      </c>
      <c r="AL172" t="str">
        <f>"51.64939 36.140023, 51.649606 36.139974, 51.649836 36.139945, 51.650067 36.13991, 51.650305 36.13987, 51.650543 36.139821, 51.650488 36.139145, 51.650933 36.139017"</f>
        <v>51.64939 36.140023, 51.649606 36.139974, 51.649836 36.139945, 51.650067 36.13991, 51.650305 36.13987, 51.650543 36.139821, 51.650488 36.139145, 51.650933 36.139017</v>
      </c>
      <c r="AM172" t="str">
        <f>"20000008004367"</f>
        <v>20000008004367</v>
      </c>
    </row>
    <row r="173" spans="1:39" x14ac:dyDescent="0.25">
      <c r="A173">
        <v>907</v>
      </c>
      <c r="B173" t="str">
        <f t="shared" si="69"/>
        <v>Курск</v>
      </c>
      <c r="C173">
        <v>838647</v>
      </c>
      <c r="D173" t="str">
        <f t="shared" si="70"/>
        <v>Оптический кабель</v>
      </c>
      <c r="E173" t="str">
        <f>"[46/1890] М 5.6.5 - ГОК5.6.2.1 Курск, Магистральный Проезд, 11 а п. 1"</f>
        <v>[46/1890] М 5.6.5 - ГОК5.6.2.1 Курск, Магистральный Проезд, 11 а п. 1</v>
      </c>
      <c r="F173" t="str">
        <f t="shared" si="85"/>
        <v>ДПТс-П-16А 2(6) 7кН (Мод:Кр,Нат)(Вол:Кр,Жел,Зел,..,Ор,Фиол)</v>
      </c>
      <c r="G173" t="str">
        <f>""</f>
        <v/>
      </c>
      <c r="H173" t="str">
        <f t="shared" si="82"/>
        <v>МС 5.6</v>
      </c>
      <c r="I173">
        <v>68</v>
      </c>
      <c r="J173">
        <v>138</v>
      </c>
      <c r="K173">
        <v>0</v>
      </c>
      <c r="L173">
        <v>138</v>
      </c>
      <c r="M173" t="str">
        <f>"Воздушная трасса по стойкам"</f>
        <v>Воздушная трасса по стойкам</v>
      </c>
      <c r="N173" t="str">
        <f t="shared" si="83"/>
        <v>14.09.20122</v>
      </c>
      <c r="O173">
        <v>10</v>
      </c>
      <c r="P173">
        <v>10</v>
      </c>
      <c r="Q173" t="str">
        <f>""</f>
        <v/>
      </c>
      <c r="R173" t="str">
        <f>"Курск, Магистральный Проезд, 11 а"</f>
        <v>Курск, Магистральный Проезд, 11 а</v>
      </c>
      <c r="S173" t="str">
        <f>""</f>
        <v/>
      </c>
      <c r="T173" t="str">
        <f>"46/1890"</f>
        <v>46/1890</v>
      </c>
      <c r="U173" t="str">
        <f t="shared" si="79"/>
        <v>Магистральная ВОЛС</v>
      </c>
      <c r="V173" t="str">
        <f t="shared" si="84"/>
        <v>Нет</v>
      </c>
      <c r="W173" t="str">
        <f t="shared" si="84"/>
        <v>Нет</v>
      </c>
      <c r="X173" t="str">
        <f t="shared" si="84"/>
        <v>Нет</v>
      </c>
      <c r="Y173" t="str">
        <f t="shared" si="84"/>
        <v>Нет</v>
      </c>
      <c r="Z173" t="str">
        <f t="shared" si="78"/>
        <v>Нет</v>
      </c>
      <c r="AA173" t="str">
        <f>""</f>
        <v/>
      </c>
      <c r="AB173" t="str">
        <f t="shared" si="71"/>
        <v>Нет</v>
      </c>
      <c r="AC173" t="str">
        <f>"М 5.6.5 - ППК 5.6.2"</f>
        <v>М 5.6.5 - ППК 5.6.2</v>
      </c>
      <c r="AD173" t="str">
        <f t="shared" si="77"/>
        <v>02.02.2012</v>
      </c>
      <c r="AE173" t="str">
        <f>""</f>
        <v/>
      </c>
      <c r="AF173" t="str">
        <f>"[414838] М 5.6.5"</f>
        <v>[414838] М 5.6.5</v>
      </c>
      <c r="AG173" t="str">
        <f>"[414782] ГОК5.6.2.1 Курск, Магистральный Проезд, 11 а п. 1"</f>
        <v>[414782] ГОК5.6.2.1 Курск, Магистральный Проезд, 11 а п. 1</v>
      </c>
      <c r="AH173" t="str">
        <f>"М 5.6.5"</f>
        <v>М 5.6.5</v>
      </c>
      <c r="AI173" t="str">
        <f>"ППК 5.6.2"</f>
        <v>ППК 5.6.2</v>
      </c>
      <c r="AJ173" t="str">
        <f>""</f>
        <v/>
      </c>
      <c r="AK173" t="str">
        <f t="shared" si="73"/>
        <v>Нет</v>
      </c>
      <c r="AL173" t="str">
        <f>"51.649312 36.14157, 51.649024 36.141841, 51.648748 36.141889"</f>
        <v>51.649312 36.14157, 51.649024 36.141841, 51.648748 36.141889</v>
      </c>
      <c r="AM173" t="str">
        <f>"20000008004366"</f>
        <v>20000008004366</v>
      </c>
    </row>
    <row r="174" spans="1:39" x14ac:dyDescent="0.25">
      <c r="A174">
        <v>907</v>
      </c>
      <c r="B174" t="str">
        <f t="shared" si="69"/>
        <v>Курск</v>
      </c>
      <c r="C174">
        <v>838676</v>
      </c>
      <c r="D174" t="str">
        <f t="shared" si="70"/>
        <v>Оптический кабель</v>
      </c>
      <c r="E174" t="str">
        <f>"[46/1892] М 5.6.6 - ГОК5.6.3.1 Курск, Магистральный Проезд, 15 б п. 1"</f>
        <v>[46/1892] М 5.6.6 - ГОК5.6.3.1 Курск, Магистральный Проезд, 15 б п. 1</v>
      </c>
      <c r="F174" t="str">
        <f t="shared" si="85"/>
        <v>ДПТс-П-16А 2(6) 7кН (Мод:Кр,Нат)(Вол:Кр,Жел,Зел,..,Ор,Фиол)</v>
      </c>
      <c r="G174" t="str">
        <f>""</f>
        <v/>
      </c>
      <c r="H174" t="str">
        <f t="shared" si="82"/>
        <v>МС 5.6</v>
      </c>
      <c r="I174">
        <v>133</v>
      </c>
      <c r="J174">
        <v>200</v>
      </c>
      <c r="K174">
        <v>0</v>
      </c>
      <c r="L174">
        <v>200</v>
      </c>
      <c r="M174" t="str">
        <f>"Опоры"</f>
        <v>Опоры</v>
      </c>
      <c r="N174" t="str">
        <f t="shared" si="83"/>
        <v>14.09.20122</v>
      </c>
      <c r="O174">
        <v>10</v>
      </c>
      <c r="P174">
        <v>10</v>
      </c>
      <c r="Q174" t="str">
        <f>""</f>
        <v/>
      </c>
      <c r="R174" t="str">
        <f>"Курск, Магистральный Проезд, 15 б"</f>
        <v>Курск, Магистральный Проезд, 15 б</v>
      </c>
      <c r="S174" t="str">
        <f>""</f>
        <v/>
      </c>
      <c r="T174" t="str">
        <f>"46/1892"</f>
        <v>46/1892</v>
      </c>
      <c r="U174" t="str">
        <f t="shared" si="79"/>
        <v>Магистральная ВОЛС</v>
      </c>
      <c r="V174" t="str">
        <f t="shared" si="84"/>
        <v>Нет</v>
      </c>
      <c r="W174" t="str">
        <f t="shared" si="84"/>
        <v>Нет</v>
      </c>
      <c r="X174" t="str">
        <f t="shared" si="84"/>
        <v>Нет</v>
      </c>
      <c r="Y174" t="str">
        <f t="shared" si="84"/>
        <v>Нет</v>
      </c>
      <c r="Z174" t="str">
        <f t="shared" si="78"/>
        <v>Нет</v>
      </c>
      <c r="AA174" t="str">
        <f>""</f>
        <v/>
      </c>
      <c r="AB174" t="str">
        <f t="shared" si="71"/>
        <v>Нет</v>
      </c>
      <c r="AC174" t="str">
        <f>"М 5.6.6 - ППК 5.6.3"</f>
        <v>М 5.6.6 - ППК 5.6.3</v>
      </c>
      <c r="AD174" t="str">
        <f t="shared" si="77"/>
        <v>02.02.2012</v>
      </c>
      <c r="AE174" t="str">
        <f>""</f>
        <v/>
      </c>
      <c r="AF174" t="str">
        <f>"[414834] М 5.6.6"</f>
        <v>[414834] М 5.6.6</v>
      </c>
      <c r="AG174" t="str">
        <f>"[414769] ГОК5.6.3.1 Курск, Магистральный Проезд, 15 б п. 1"</f>
        <v>[414769] ГОК5.6.3.1 Курск, Магистральный Проезд, 15 б п. 1</v>
      </c>
      <c r="AH174" t="str">
        <f>"М 5.6.6"</f>
        <v>М 5.6.6</v>
      </c>
      <c r="AI174" t="str">
        <f>"ППК 5.6.3"</f>
        <v>ППК 5.6.3</v>
      </c>
      <c r="AJ174" t="str">
        <f>""</f>
        <v/>
      </c>
      <c r="AK174" t="str">
        <f t="shared" si="73"/>
        <v>Нет</v>
      </c>
      <c r="AL174" t="str">
        <f>"51.648961 36.146484, 51.648904 36.146854, 51.648738 36.146736, 51.648584 36.146532, 51.648448 36.146331, 51.648376 36.146519, 51.648232 36.146508, 51.648127 36.146433"</f>
        <v>51.648961 36.146484, 51.648904 36.146854, 51.648738 36.146736, 51.648584 36.146532, 51.648448 36.146331, 51.648376 36.146519, 51.648232 36.146508, 51.648127 36.146433</v>
      </c>
      <c r="AM174" t="str">
        <f>"20000008004365"</f>
        <v>20000008004365</v>
      </c>
    </row>
    <row r="175" spans="1:39" x14ac:dyDescent="0.25">
      <c r="A175">
        <v>907</v>
      </c>
      <c r="B175" t="str">
        <f t="shared" si="69"/>
        <v>Курск</v>
      </c>
      <c r="C175">
        <v>838679</v>
      </c>
      <c r="D175" t="str">
        <f t="shared" si="70"/>
        <v>Оптический кабель</v>
      </c>
      <c r="E175" t="str">
        <f>"[46/1893] М 5.6.6 - OK5.1 ППК 5.6.2 Курск, Магистральный Проезд, 24 б п. 2"</f>
        <v>[46/1893] М 5.6.6 - OK5.1 ППК 5.6.2 Курск, Магистральный Проезд, 24 б п. 2</v>
      </c>
      <c r="F175" t="str">
        <f t="shared" si="85"/>
        <v>ДПТс-П-16А 2(6) 7кН (Мод:Кр,Нат)(Вол:Кр,Жел,Зел,..,Ор,Фиол)</v>
      </c>
      <c r="G175" t="str">
        <f>""</f>
        <v/>
      </c>
      <c r="H175" t="str">
        <f t="shared" si="82"/>
        <v>МС 5.6</v>
      </c>
      <c r="I175">
        <v>285</v>
      </c>
      <c r="J175">
        <v>401</v>
      </c>
      <c r="K175">
        <v>0</v>
      </c>
      <c r="L175">
        <v>402</v>
      </c>
      <c r="M175" t="str">
        <f>"Опоры"</f>
        <v>Опоры</v>
      </c>
      <c r="N175" t="str">
        <f t="shared" si="83"/>
        <v>14.09.20122</v>
      </c>
      <c r="O175">
        <v>10</v>
      </c>
      <c r="P175">
        <v>10</v>
      </c>
      <c r="Q175" t="str">
        <f>""</f>
        <v/>
      </c>
      <c r="R175" t="str">
        <f>"Курск, Магистральный Проезд, 24 б"</f>
        <v>Курск, Магистральный Проезд, 24 б</v>
      </c>
      <c r="S175" t="str">
        <f>""</f>
        <v/>
      </c>
      <c r="T175" t="str">
        <f>"46/1893"</f>
        <v>46/1893</v>
      </c>
      <c r="U175" t="str">
        <f t="shared" si="79"/>
        <v>Магистральная ВОЛС</v>
      </c>
      <c r="V175" t="str">
        <f t="shared" si="84"/>
        <v>Нет</v>
      </c>
      <c r="W175" t="str">
        <f t="shared" si="84"/>
        <v>Нет</v>
      </c>
      <c r="X175" t="str">
        <f t="shared" si="84"/>
        <v>Нет</v>
      </c>
      <c r="Y175" t="str">
        <f t="shared" si="84"/>
        <v>Нет</v>
      </c>
      <c r="Z175" t="str">
        <f t="shared" si="78"/>
        <v>Нет</v>
      </c>
      <c r="AA175" t="str">
        <f>""</f>
        <v/>
      </c>
      <c r="AB175" t="str">
        <f t="shared" si="71"/>
        <v>Нет</v>
      </c>
      <c r="AC175" t="str">
        <f>"М 5.6.6 - ППК 5.6.2 ОУ5"</f>
        <v>М 5.6.6 - ППК 5.6.2 ОУ5</v>
      </c>
      <c r="AD175" t="str">
        <f t="shared" si="77"/>
        <v>02.02.2012</v>
      </c>
      <c r="AE175" t="str">
        <f>""</f>
        <v/>
      </c>
      <c r="AF175" t="str">
        <f>"[414834] М 5.6.6"</f>
        <v>[414834] М 5.6.6</v>
      </c>
      <c r="AG175" t="str">
        <f>"[428846] OK5.1 ППК 5.6.2 Курск, Магистральный Проезд, 24 б п. 2"</f>
        <v>[428846] OK5.1 ППК 5.6.2 Курск, Магистральный Проезд, 24 б п. 2</v>
      </c>
      <c r="AH175" t="str">
        <f>"М 5.6.6"</f>
        <v>М 5.6.6</v>
      </c>
      <c r="AI175" t="str">
        <f>"ППК 5.6.2 ОУ5"</f>
        <v>ППК 5.6.2 ОУ5</v>
      </c>
      <c r="AJ175" t="str">
        <f>""</f>
        <v/>
      </c>
      <c r="AK175" t="str">
        <f t="shared" si="73"/>
        <v>Нет</v>
      </c>
      <c r="AL175" t="str">
        <f>"51.648961 36.146487, 51.649187 36.146556, 51.64942 36.146642, 51.64965 36.146739, 51.649883 36.146825, 51.650116 36.146916, 51.650355 36.147018, 51.650575 36.147088, 51.650798 36.147168, 51.650814 36.146599, 51.650884 36.146084"</f>
        <v>51.648961 36.146487, 51.649187 36.146556, 51.64942 36.146642, 51.64965 36.146739, 51.649883 36.146825, 51.650116 36.146916, 51.650355 36.147018, 51.650575 36.147088, 51.650798 36.147168, 51.650814 36.146599, 51.650884 36.146084</v>
      </c>
      <c r="AM175" t="str">
        <f>"20000008004364"</f>
        <v>20000008004364</v>
      </c>
    </row>
    <row r="176" spans="1:39" x14ac:dyDescent="0.25">
      <c r="A176">
        <v>907</v>
      </c>
      <c r="B176" t="str">
        <f t="shared" si="69"/>
        <v>Курск</v>
      </c>
      <c r="C176">
        <v>840043</v>
      </c>
      <c r="D176" t="str">
        <f t="shared" si="70"/>
        <v>Оптический кабель</v>
      </c>
      <c r="E176" t="str">
        <f>"[46/1929] М 3.2.6 - ГОК3.2.6.1 Курск, Никитская, 14  п. 2"</f>
        <v>[46/1929] М 3.2.6 - ГОК3.2.6.1 Курск, Никитская, 14  п. 2</v>
      </c>
      <c r="F176" t="str">
        <f t="shared" si="85"/>
        <v>ДПТс-П-16А 2(6) 7кН (Мод:Кр,Нат)(Вол:Кр,Жел,Зел,..,Ор,Фиол)</v>
      </c>
      <c r="G176" t="str">
        <f>""</f>
        <v/>
      </c>
      <c r="H176" t="str">
        <f>"МС 3.2"</f>
        <v>МС 3.2</v>
      </c>
      <c r="I176">
        <v>44</v>
      </c>
      <c r="J176">
        <v>50</v>
      </c>
      <c r="K176">
        <v>0</v>
      </c>
      <c r="L176">
        <v>50</v>
      </c>
      <c r="M176" t="str">
        <f>"Воздушная трасса по стойкам"</f>
        <v>Воздушная трасса по стойкам</v>
      </c>
      <c r="N176" t="str">
        <f>"19.09.20122"</f>
        <v>19.09.20122</v>
      </c>
      <c r="O176">
        <v>10</v>
      </c>
      <c r="P176">
        <v>10</v>
      </c>
      <c r="Q176" t="str">
        <f>""</f>
        <v/>
      </c>
      <c r="R176" t="str">
        <f>"Курск, Никитская, 14"</f>
        <v>Курск, Никитская, 14</v>
      </c>
      <c r="S176" t="str">
        <f>""</f>
        <v/>
      </c>
      <c r="T176" t="str">
        <f>"46/1929"</f>
        <v>46/1929</v>
      </c>
      <c r="U176" t="str">
        <f t="shared" si="79"/>
        <v>Магистральная ВОЛС</v>
      </c>
      <c r="V176" t="str">
        <f t="shared" si="84"/>
        <v>Нет</v>
      </c>
      <c r="W176" t="str">
        <f t="shared" si="84"/>
        <v>Нет</v>
      </c>
      <c r="X176" t="str">
        <f t="shared" si="84"/>
        <v>Нет</v>
      </c>
      <c r="Y176" t="str">
        <f t="shared" si="84"/>
        <v>Нет</v>
      </c>
      <c r="Z176" t="str">
        <f t="shared" si="78"/>
        <v>Нет</v>
      </c>
      <c r="AA176" t="str">
        <f>""</f>
        <v/>
      </c>
      <c r="AB176" t="str">
        <f t="shared" si="71"/>
        <v>Нет</v>
      </c>
      <c r="AC176" t="str">
        <f>"М 3.2.6 - ППК 3.2.6"</f>
        <v>М 3.2.6 - ППК 3.2.6</v>
      </c>
      <c r="AD176" t="str">
        <f t="shared" si="77"/>
        <v>02.02.2012</v>
      </c>
      <c r="AE176" t="str">
        <f>""</f>
        <v/>
      </c>
      <c r="AF176" t="str">
        <f>"[390123] М 3.2.6"</f>
        <v>[390123] М 3.2.6</v>
      </c>
      <c r="AG176" t="str">
        <f>"[423833] ГОК3.2.6.1 Курск, Никитская, 14  п. 2"</f>
        <v>[423833] ГОК3.2.6.1 Курск, Никитская, 14  п. 2</v>
      </c>
      <c r="AH176" t="str">
        <f>"М 3.2.6"</f>
        <v>М 3.2.6</v>
      </c>
      <c r="AI176" t="str">
        <f>"ППК 3.2.6"</f>
        <v>ППК 3.2.6</v>
      </c>
      <c r="AJ176" t="str">
        <f>""</f>
        <v/>
      </c>
      <c r="AK176" t="str">
        <f t="shared" si="73"/>
        <v>Нет</v>
      </c>
      <c r="AL176" t="str">
        <f>"51.757166 36.192535, 51.757079 36.192682, 51.756839 36.192884"</f>
        <v>51.757166 36.192535, 51.757079 36.192682, 51.756839 36.192884</v>
      </c>
      <c r="AM176" t="str">
        <f>"20000008047938"</f>
        <v>20000008047938</v>
      </c>
    </row>
    <row r="177" spans="1:39" x14ac:dyDescent="0.25">
      <c r="A177">
        <v>907</v>
      </c>
      <c r="B177" t="str">
        <f t="shared" si="69"/>
        <v>Курск</v>
      </c>
      <c r="C177">
        <v>840323</v>
      </c>
      <c r="D177" t="str">
        <f t="shared" si="70"/>
        <v>Оптический кабель</v>
      </c>
      <c r="E177" t="str">
        <f>"[46/1948] М 5.4.9 - ГОК5.4.7.1 Курск, Юности, 12  п. 2"</f>
        <v>[46/1948] М 5.4.9 - ГОК5.4.7.1 Курск, Юности, 12  п. 2</v>
      </c>
      <c r="F177" t="str">
        <f t="shared" si="85"/>
        <v>ДПТс-П-16А 2(6) 7кН (Мод:Кр,Нат)(Вол:Кр,Жел,Зел,..,Ор,Фиол)</v>
      </c>
      <c r="G177" t="str">
        <f>""</f>
        <v/>
      </c>
      <c r="H177" t="str">
        <f>"МС 5.4"</f>
        <v>МС 5.4</v>
      </c>
      <c r="I177">
        <v>99</v>
      </c>
      <c r="J177">
        <v>100</v>
      </c>
      <c r="K177">
        <v>0</v>
      </c>
      <c r="L177">
        <v>100</v>
      </c>
      <c r="M177" t="str">
        <f>"Опоры"</f>
        <v>Опоры</v>
      </c>
      <c r="N177" t="str">
        <f>"20.09.20122"</f>
        <v>20.09.20122</v>
      </c>
      <c r="O177">
        <v>10</v>
      </c>
      <c r="P177">
        <v>10</v>
      </c>
      <c r="Q177" t="str">
        <f>""</f>
        <v/>
      </c>
      <c r="R177" t="str">
        <f>"Курск, Юности, 12"</f>
        <v>Курск, Юности, 12</v>
      </c>
      <c r="S177" t="str">
        <f>""</f>
        <v/>
      </c>
      <c r="T177" t="str">
        <f>"46/1948"</f>
        <v>46/1948</v>
      </c>
      <c r="U177" t="str">
        <f t="shared" si="79"/>
        <v>Магистральная ВОЛС</v>
      </c>
      <c r="V177" t="str">
        <f t="shared" si="84"/>
        <v>Нет</v>
      </c>
      <c r="W177" t="str">
        <f t="shared" si="84"/>
        <v>Нет</v>
      </c>
      <c r="X177" t="str">
        <f t="shared" si="84"/>
        <v>Нет</v>
      </c>
      <c r="Y177" t="str">
        <f t="shared" si="84"/>
        <v>Нет</v>
      </c>
      <c r="Z177" t="str">
        <f t="shared" si="78"/>
        <v>Нет</v>
      </c>
      <c r="AA177" t="str">
        <f>""</f>
        <v/>
      </c>
      <c r="AB177" t="str">
        <f t="shared" si="71"/>
        <v>Нет</v>
      </c>
      <c r="AC177" t="str">
        <f>"М 5.4.9 - ППК 5.4.7"</f>
        <v>М 5.4.9 - ППК 5.4.7</v>
      </c>
      <c r="AD177" t="str">
        <f t="shared" si="77"/>
        <v>02.02.2012</v>
      </c>
      <c r="AE177" t="str">
        <f>""</f>
        <v/>
      </c>
      <c r="AF177" t="str">
        <f>"[391935] М 5.4.9"</f>
        <v>[391935] М 5.4.9</v>
      </c>
      <c r="AG177" t="str">
        <f>"[424833] ГОК5.4.7.1 Курск, Юности, 12  п. 2"</f>
        <v>[424833] ГОК5.4.7.1 Курск, Юности, 12  п. 2</v>
      </c>
      <c r="AH177" t="str">
        <f>"М 5.4.9"</f>
        <v>М 5.4.9</v>
      </c>
      <c r="AI177" t="str">
        <f>"ППК 5.4.7"</f>
        <v>ППК 5.4.7</v>
      </c>
      <c r="AJ177" t="str">
        <f>""</f>
        <v/>
      </c>
      <c r="AK177" t="str">
        <f t="shared" si="73"/>
        <v>Нет</v>
      </c>
      <c r="AL177" t="str">
        <f>"51.671816 36.088697, 51.671683 36.088378, 51.671611 36.088021, 51.671551 36.087659, 51.671364 36.087614"</f>
        <v>51.671816 36.088697, 51.671683 36.088378, 51.671611 36.088021, 51.671551 36.087659, 51.671364 36.087614</v>
      </c>
      <c r="AM177" t="str">
        <f>"20000008039144"</f>
        <v>20000008039144</v>
      </c>
    </row>
    <row r="178" spans="1:39" x14ac:dyDescent="0.25">
      <c r="A178">
        <v>907</v>
      </c>
      <c r="B178" t="str">
        <f t="shared" si="69"/>
        <v>Курск</v>
      </c>
      <c r="C178">
        <v>841243</v>
      </c>
      <c r="D178" t="str">
        <f t="shared" si="70"/>
        <v>Оптический кабель</v>
      </c>
      <c r="E178" t="str">
        <f>"[46/1992] Т 7.3 - М 3.5.1"</f>
        <v>[46/1992] Т 7.3 - М 3.5.1</v>
      </c>
      <c r="F178" t="str">
        <f>"ДПТа-П-64А 6(6) 7кН (Кр,Жел,Зел,..,8-Фиол,9-Бел,..,Бир,Роз)"</f>
        <v>ДПТа-П-64А 6(6) 7кН (Кр,Жел,Зел,..,8-Фиол,9-Бел,..,Бир,Роз)</v>
      </c>
      <c r="G178" t="str">
        <f>""</f>
        <v/>
      </c>
      <c r="H178" t="str">
        <f>"МС 3.5"</f>
        <v>МС 3.5</v>
      </c>
      <c r="I178">
        <v>26</v>
      </c>
      <c r="J178">
        <v>120</v>
      </c>
      <c r="K178">
        <v>0</v>
      </c>
      <c r="L178">
        <v>120</v>
      </c>
      <c r="M178" t="str">
        <f>"Воздушная трасса по стойкам"</f>
        <v>Воздушная трасса по стойкам</v>
      </c>
      <c r="N178" t="str">
        <f>"25.09.20122"</f>
        <v>25.09.20122</v>
      </c>
      <c r="O178">
        <v>20</v>
      </c>
      <c r="P178">
        <v>20</v>
      </c>
      <c r="Q178" t="str">
        <f>""</f>
        <v/>
      </c>
      <c r="R178" t="str">
        <f>""</f>
        <v/>
      </c>
      <c r="S178" t="str">
        <f>""</f>
        <v/>
      </c>
      <c r="T178" t="str">
        <f>"46/1992"</f>
        <v>46/1992</v>
      </c>
      <c r="U178" t="str">
        <f t="shared" si="79"/>
        <v>Магистральная ВОЛС</v>
      </c>
      <c r="V178" t="str">
        <f t="shared" si="84"/>
        <v>Нет</v>
      </c>
      <c r="W178" t="str">
        <f t="shared" si="84"/>
        <v>Нет</v>
      </c>
      <c r="X178" t="str">
        <f t="shared" si="84"/>
        <v>Нет</v>
      </c>
      <c r="Y178" t="str">
        <f t="shared" si="84"/>
        <v>Нет</v>
      </c>
      <c r="Z178" t="str">
        <f t="shared" si="78"/>
        <v>Нет</v>
      </c>
      <c r="AA178" t="str">
        <f>""</f>
        <v/>
      </c>
      <c r="AB178" t="str">
        <f t="shared" si="71"/>
        <v>Нет</v>
      </c>
      <c r="AC178" t="str">
        <f>"Т 7.3 - М 3.5.1"</f>
        <v>Т 7.3 - М 3.5.1</v>
      </c>
      <c r="AD178" t="str">
        <f t="shared" si="77"/>
        <v>02.02.2012</v>
      </c>
      <c r="AE178" t="str">
        <f>""</f>
        <v/>
      </c>
      <c r="AF178" t="str">
        <f>"[397437] Т 7.3"</f>
        <v>[397437] Т 7.3</v>
      </c>
      <c r="AG178" t="str">
        <f>"[427837] М 3.5.1"</f>
        <v>[427837] М 3.5.1</v>
      </c>
      <c r="AH178" t="str">
        <f>"Т 7.3"</f>
        <v>Т 7.3</v>
      </c>
      <c r="AI178" t="str">
        <f>"М 3.5.1"</f>
        <v>М 3.5.1</v>
      </c>
      <c r="AJ178" t="str">
        <f>""</f>
        <v/>
      </c>
      <c r="AK178" t="str">
        <f t="shared" si="73"/>
        <v>Нет</v>
      </c>
      <c r="AL178" t="str">
        <f>"51.755334 36.214869, 51.755321 36.214488"</f>
        <v>51.755334 36.214869, 51.755321 36.214488</v>
      </c>
      <c r="AM178" t="str">
        <f>"20000008036121"</f>
        <v>20000008036121</v>
      </c>
    </row>
    <row r="179" spans="1:39" x14ac:dyDescent="0.25">
      <c r="A179">
        <v>907</v>
      </c>
      <c r="B179" t="str">
        <f t="shared" si="69"/>
        <v>Курск</v>
      </c>
      <c r="C179">
        <v>841248</v>
      </c>
      <c r="D179" t="str">
        <f t="shared" si="70"/>
        <v>Оптический кабель</v>
      </c>
      <c r="E179" t="str">
        <f>"[46/1993] М 3.5.1 - ГОК3.5.2.1 Курск, Дубровинского, 1 а п. 1"</f>
        <v>[46/1993] М 3.5.1 - ГОК3.5.2.1 Курск, Дубровинского, 1 а п. 1</v>
      </c>
      <c r="F179" t="str">
        <f>"ДПТс-П-16А 2(6) 7кН (Мод:Кр,Нат)(Вол:Кр,Жел,Зел,..,Ор,Фиол)"</f>
        <v>ДПТс-П-16А 2(6) 7кН (Мод:Кр,Нат)(Вол:Кр,Жел,Зел,..,Ор,Фиол)</v>
      </c>
      <c r="G179" t="str">
        <f>""</f>
        <v/>
      </c>
      <c r="H179" t="str">
        <f>"МС 3.5"</f>
        <v>МС 3.5</v>
      </c>
      <c r="I179">
        <v>102</v>
      </c>
      <c r="J179">
        <v>270</v>
      </c>
      <c r="K179">
        <v>60</v>
      </c>
      <c r="L179">
        <v>270</v>
      </c>
      <c r="M179" t="str">
        <f>"Воздушная трасса по стойкам"</f>
        <v>Воздушная трасса по стойкам</v>
      </c>
      <c r="N179" t="str">
        <f>"25.09.20122"</f>
        <v>25.09.20122</v>
      </c>
      <c r="O179">
        <v>10</v>
      </c>
      <c r="P179">
        <v>10</v>
      </c>
      <c r="Q179" t="str">
        <f>""</f>
        <v/>
      </c>
      <c r="R179" t="str">
        <f>"Курск, Дубровинского, 1 а"</f>
        <v>Курск, Дубровинского, 1 а</v>
      </c>
      <c r="S179" t="str">
        <f>""</f>
        <v/>
      </c>
      <c r="T179" t="str">
        <f>"46/1993"</f>
        <v>46/1993</v>
      </c>
      <c r="U179" t="str">
        <f t="shared" si="79"/>
        <v>Магистральная ВОЛС</v>
      </c>
      <c r="V179" t="str">
        <f t="shared" si="84"/>
        <v>Нет</v>
      </c>
      <c r="W179" t="str">
        <f t="shared" si="84"/>
        <v>Нет</v>
      </c>
      <c r="X179" t="str">
        <f t="shared" si="84"/>
        <v>Нет</v>
      </c>
      <c r="Y179" t="str">
        <f t="shared" si="84"/>
        <v>Нет</v>
      </c>
      <c r="Z179" t="str">
        <f t="shared" si="78"/>
        <v>Нет</v>
      </c>
      <c r="AA179" t="str">
        <f>""</f>
        <v/>
      </c>
      <c r="AB179" t="str">
        <f t="shared" si="71"/>
        <v>Нет</v>
      </c>
      <c r="AC179" t="str">
        <f>"М 3.5.1 - ППК 3.5.2"</f>
        <v>М 3.5.1 - ППК 3.5.2</v>
      </c>
      <c r="AD179" t="str">
        <f t="shared" si="77"/>
        <v>02.02.2012</v>
      </c>
      <c r="AE179" t="str">
        <f>""</f>
        <v/>
      </c>
      <c r="AF179" t="str">
        <f>"[427837] М 3.5.1"</f>
        <v>[427837] М 3.5.1</v>
      </c>
      <c r="AG179" t="str">
        <f>"[427841] ГОК3.5.2.1 Курск, Дубровинского, 1 а п. 1"</f>
        <v>[427841] ГОК3.5.2.1 Курск, Дубровинского, 1 а п. 1</v>
      </c>
      <c r="AH179" t="str">
        <f>"М 3.5.1"</f>
        <v>М 3.5.1</v>
      </c>
      <c r="AI179" t="str">
        <f>"ППК 3.5.2"</f>
        <v>ППК 3.5.2</v>
      </c>
      <c r="AJ179" t="str">
        <f>""</f>
        <v/>
      </c>
      <c r="AK179" t="str">
        <f t="shared" si="73"/>
        <v>Нет</v>
      </c>
      <c r="AL179" t="str">
        <f>"51.755303 36.21444, 51.755216 36.214333, 51.75508 36.214102, 51.754971 36.21389, 51.754816 36.213611, 51.754742 36.2133"</f>
        <v>51.755303 36.21444, 51.755216 36.214333, 51.75508 36.214102, 51.754971 36.21389, 51.754816 36.213611, 51.754742 36.2133</v>
      </c>
      <c r="AM179" t="str">
        <f>"20000008004376"</f>
        <v>20000008004376</v>
      </c>
    </row>
    <row r="180" spans="1:39" x14ac:dyDescent="0.25">
      <c r="A180">
        <v>907</v>
      </c>
      <c r="B180" t="str">
        <f t="shared" si="69"/>
        <v>Курск</v>
      </c>
      <c r="C180">
        <v>841283</v>
      </c>
      <c r="D180" t="str">
        <f t="shared" si="70"/>
        <v>Оптический кабель</v>
      </c>
      <c r="E180" t="str">
        <f>"[46/1994] Т 7.3 - М 3.5.2"</f>
        <v>[46/1994] Т 7.3 - М 3.5.2</v>
      </c>
      <c r="F180" t="str">
        <f>"ДПТс-П-16А 2(6) 7кН (Мод:Кр,Нат)(Вол:Кр,Жел,Зел,..,Ор,Фиол)"</f>
        <v>ДПТс-П-16А 2(6) 7кН (Мод:Кр,Нат)(Вол:Кр,Жел,Зел,..,Ор,Фиол)</v>
      </c>
      <c r="G180" t="str">
        <f>""</f>
        <v/>
      </c>
      <c r="H180" t="str">
        <f>"МС 3.5"</f>
        <v>МС 3.5</v>
      </c>
      <c r="I180">
        <v>241</v>
      </c>
      <c r="J180">
        <v>310</v>
      </c>
      <c r="K180">
        <v>0</v>
      </c>
      <c r="L180">
        <v>310</v>
      </c>
      <c r="M180" t="str">
        <f>"Опоры"</f>
        <v>Опоры</v>
      </c>
      <c r="N180" t="str">
        <f>"25.09.20122"</f>
        <v>25.09.20122</v>
      </c>
      <c r="O180">
        <v>12</v>
      </c>
      <c r="P180">
        <v>12</v>
      </c>
      <c r="Q180" t="str">
        <f>""</f>
        <v/>
      </c>
      <c r="R180" t="str">
        <f>""</f>
        <v/>
      </c>
      <c r="S180" t="str">
        <f>""</f>
        <v/>
      </c>
      <c r="T180" t="str">
        <f>"46/1994"</f>
        <v>46/1994</v>
      </c>
      <c r="U180" t="str">
        <f t="shared" si="79"/>
        <v>Магистральная ВОЛС</v>
      </c>
      <c r="V180" t="str">
        <f t="shared" si="84"/>
        <v>Нет</v>
      </c>
      <c r="W180" t="str">
        <f t="shared" si="84"/>
        <v>Нет</v>
      </c>
      <c r="X180" t="str">
        <f t="shared" si="84"/>
        <v>Нет</v>
      </c>
      <c r="Y180" t="str">
        <f t="shared" si="84"/>
        <v>Нет</v>
      </c>
      <c r="Z180" t="str">
        <f t="shared" si="78"/>
        <v>Нет</v>
      </c>
      <c r="AA180" t="str">
        <f>""</f>
        <v/>
      </c>
      <c r="AB180" t="str">
        <f t="shared" si="71"/>
        <v>Нет</v>
      </c>
      <c r="AC180" t="str">
        <f>"Т 7.3 - М 3.5.2"</f>
        <v>Т 7.3 - М 3.5.2</v>
      </c>
      <c r="AD180" t="str">
        <f t="shared" si="77"/>
        <v>02.02.2012</v>
      </c>
      <c r="AE180" t="str">
        <f>""</f>
        <v/>
      </c>
      <c r="AF180" t="str">
        <f>"[397437] Т 7.3"</f>
        <v>[397437] Т 7.3</v>
      </c>
      <c r="AG180" t="str">
        <f>"[427833] М 3.5.2"</f>
        <v>[427833] М 3.5.2</v>
      </c>
      <c r="AH180" t="str">
        <f>"Т 7.3"</f>
        <v>Т 7.3</v>
      </c>
      <c r="AI180" t="str">
        <f>"М 3.5.2"</f>
        <v>М 3.5.2</v>
      </c>
      <c r="AJ180" t="str">
        <f>""</f>
        <v/>
      </c>
      <c r="AK180" t="str">
        <f t="shared" si="73"/>
        <v>Нет</v>
      </c>
      <c r="AL180" t="str">
        <f>"51.755326 36.214853, 51.75521 36.215062, 51.755047 36.214794, 51.754881 36.214536, 51.754712 36.214257, 51.754536 36.213973, 51.75436 36.213689, 51.754197 36.213404, 51.754041 36.213099, 51.753835 36.212729"</f>
        <v>51.755326 36.214853, 51.75521 36.215062, 51.755047 36.214794, 51.754881 36.214536, 51.754712 36.214257, 51.754536 36.213973, 51.75436 36.213689, 51.754197 36.213404, 51.754041 36.213099, 51.753835 36.212729</v>
      </c>
      <c r="AM180" t="str">
        <f>"20000008039154"</f>
        <v>20000008039154</v>
      </c>
    </row>
    <row r="181" spans="1:39" x14ac:dyDescent="0.25">
      <c r="A181">
        <v>907</v>
      </c>
      <c r="B181" t="str">
        <f t="shared" si="69"/>
        <v>Курск</v>
      </c>
      <c r="C181">
        <v>841286</v>
      </c>
      <c r="D181" t="str">
        <f t="shared" si="70"/>
        <v>Оптический кабель</v>
      </c>
      <c r="E181" t="str">
        <f>"[46/1995] М 3.5.2 - ГОК3.5.4.1 Курск, Интернациональная, 45  п. 2"</f>
        <v>[46/1995] М 3.5.2 - ГОК3.5.4.1 Курск, Интернациональная, 45  п. 2</v>
      </c>
      <c r="F181" t="str">
        <f>"ДПТс-П-16А 2(6) 7кН (Мод:Кр,Нат)(Вол:Кр,Жел,Зел,..,Ор,Фиол)"</f>
        <v>ДПТс-П-16А 2(6) 7кН (Мод:Кр,Нат)(Вол:Кр,Жел,Зел,..,Ор,Фиол)</v>
      </c>
      <c r="G181" t="str">
        <f>""</f>
        <v/>
      </c>
      <c r="H181" t="str">
        <f>"МС 3.5"</f>
        <v>МС 3.5</v>
      </c>
      <c r="I181">
        <v>656</v>
      </c>
      <c r="J181">
        <v>600</v>
      </c>
      <c r="K181">
        <v>0</v>
      </c>
      <c r="L181">
        <v>600</v>
      </c>
      <c r="M181" t="str">
        <f>"Опоры"</f>
        <v>Опоры</v>
      </c>
      <c r="N181" t="str">
        <f>"25.09.20122"</f>
        <v>25.09.20122</v>
      </c>
      <c r="O181">
        <v>12</v>
      </c>
      <c r="P181">
        <v>12</v>
      </c>
      <c r="Q181" t="str">
        <f>""</f>
        <v/>
      </c>
      <c r="R181" t="str">
        <f>"Курск, Интернациональная, 45"</f>
        <v>Курск, Интернациональная, 45</v>
      </c>
      <c r="S181" t="str">
        <f>""</f>
        <v/>
      </c>
      <c r="T181" t="str">
        <f>"46/1995"</f>
        <v>46/1995</v>
      </c>
      <c r="U181" t="str">
        <f t="shared" si="79"/>
        <v>Магистральная ВОЛС</v>
      </c>
      <c r="V181" t="str">
        <f t="shared" si="84"/>
        <v>Нет</v>
      </c>
      <c r="W181" t="str">
        <f t="shared" si="84"/>
        <v>Нет</v>
      </c>
      <c r="X181" t="str">
        <f t="shared" si="84"/>
        <v>Нет</v>
      </c>
      <c r="Y181" t="str">
        <f t="shared" si="84"/>
        <v>Нет</v>
      </c>
      <c r="Z181" t="str">
        <f t="shared" si="78"/>
        <v>Нет</v>
      </c>
      <c r="AA181" t="str">
        <f>""</f>
        <v/>
      </c>
      <c r="AB181" t="str">
        <f t="shared" si="71"/>
        <v>Нет</v>
      </c>
      <c r="AC181" t="str">
        <f>"М 3.5.2 - ППК 3.5.4"</f>
        <v>М 3.5.2 - ППК 3.5.4</v>
      </c>
      <c r="AD181" t="str">
        <f t="shared" si="77"/>
        <v>02.02.2012</v>
      </c>
      <c r="AE181" t="str">
        <f>""</f>
        <v/>
      </c>
      <c r="AF181" t="str">
        <f>"[427833] М 3.5.2"</f>
        <v>[427833] М 3.5.2</v>
      </c>
      <c r="AG181" t="str">
        <f>"[427854] ГОК3.5.4.1 Курск, Интернациональная, 45  п. 2"</f>
        <v>[427854] ГОК3.5.4.1 Курск, Интернациональная, 45  п. 2</v>
      </c>
      <c r="AH181" t="str">
        <f>"М 3.5.2"</f>
        <v>М 3.5.2</v>
      </c>
      <c r="AI181" t="str">
        <f>"ППК 3.5.4"</f>
        <v>ППК 3.5.4</v>
      </c>
      <c r="AJ181" t="str">
        <f>""</f>
        <v/>
      </c>
      <c r="AK181" t="str">
        <f t="shared" si="73"/>
        <v>Нет</v>
      </c>
      <c r="AL181" t="s">
        <v>50</v>
      </c>
      <c r="AM181" t="str">
        <f>"20000008047935"</f>
        <v>20000008047935</v>
      </c>
    </row>
    <row r="182" spans="1:39" x14ac:dyDescent="0.25">
      <c r="A182">
        <v>907</v>
      </c>
      <c r="B182" t="str">
        <f t="shared" si="69"/>
        <v>Курск</v>
      </c>
      <c r="C182">
        <v>842003</v>
      </c>
      <c r="D182" t="str">
        <f t="shared" si="70"/>
        <v>Оптический кабель</v>
      </c>
      <c r="E182" t="str">
        <f>"[46/2037] ОК5.1 ППК 3.1.7 Курск, Победы Пр-Кт, 54  п. 1 - М 3.1.17"</f>
        <v>[46/2037] ОК5.1 ППК 3.1.7 Курск, Победы Пр-Кт, 54  п. 1 - М 3.1.17</v>
      </c>
      <c r="F182" t="str">
        <f>"ДПТа-П-64А 6(6) 7кН (Кр,Жел,Зел,..,8-Фиол,9-Бел,..,Бир,Роз)"</f>
        <v>ДПТа-П-64А 6(6) 7кН (Кр,Жел,Зел,..,8-Фиол,9-Бел,..,Бир,Роз)</v>
      </c>
      <c r="G182" t="str">
        <f>""</f>
        <v/>
      </c>
      <c r="H182" t="str">
        <f>"МС 3.1"</f>
        <v>МС 3.1</v>
      </c>
      <c r="I182">
        <v>119</v>
      </c>
      <c r="J182">
        <v>325</v>
      </c>
      <c r="K182">
        <v>110</v>
      </c>
      <c r="L182">
        <v>325</v>
      </c>
      <c r="M182" t="str">
        <f t="shared" ref="M182:M187" si="86">"Воздушная трасса по стойкам"</f>
        <v>Воздушная трасса по стойкам</v>
      </c>
      <c r="N182" t="str">
        <f>"01.10.20122"</f>
        <v>01.10.20122</v>
      </c>
      <c r="O182">
        <v>64</v>
      </c>
      <c r="P182">
        <v>64</v>
      </c>
      <c r="Q182" t="str">
        <f>"Курск, Победы Пр-Кт, 54"</f>
        <v>Курск, Победы Пр-Кт, 54</v>
      </c>
      <c r="R182" t="str">
        <f>""</f>
        <v/>
      </c>
      <c r="S182" t="str">
        <f>""</f>
        <v/>
      </c>
      <c r="T182" t="str">
        <f>"46/2037"</f>
        <v>46/2037</v>
      </c>
      <c r="U182" t="str">
        <f t="shared" si="79"/>
        <v>Магистральная ВОЛС</v>
      </c>
      <c r="V182" t="str">
        <f t="shared" si="84"/>
        <v>Нет</v>
      </c>
      <c r="W182" t="str">
        <f t="shared" si="84"/>
        <v>Нет</v>
      </c>
      <c r="X182" t="str">
        <f t="shared" si="84"/>
        <v>Нет</v>
      </c>
      <c r="Y182" t="str">
        <f t="shared" si="84"/>
        <v>Нет</v>
      </c>
      <c r="Z182" t="str">
        <f>"Да"</f>
        <v>Да</v>
      </c>
      <c r="AA182" t="str">
        <f>"Курская Телефонная Компания"</f>
        <v>Курская Телефонная Компания</v>
      </c>
      <c r="AB182" t="str">
        <f t="shared" si="71"/>
        <v>Нет</v>
      </c>
      <c r="AC182" t="str">
        <f>"ОУ5 - М 3.1.17"</f>
        <v>ОУ5 - М 3.1.17</v>
      </c>
      <c r="AD182" t="str">
        <f t="shared" si="77"/>
        <v>02.02.2012</v>
      </c>
      <c r="AE182" t="str">
        <f>""</f>
        <v/>
      </c>
      <c r="AF182" t="str">
        <f>"[406633] ОК5.1 ППК 3.1.7 Курск, Победы Пр-Кт, 54  п. 1"</f>
        <v>[406633] ОК5.1 ППК 3.1.7 Курск, Победы Пр-Кт, 54  п. 1</v>
      </c>
      <c r="AG182" t="str">
        <f>"[430661] М 3.1.17"</f>
        <v>[430661] М 3.1.17</v>
      </c>
      <c r="AH182" t="str">
        <f>"ОУ5"</f>
        <v>ОУ5</v>
      </c>
      <c r="AI182" t="str">
        <f>"М 3.1.17"</f>
        <v>М 3.1.17</v>
      </c>
      <c r="AJ182" t="str">
        <f>""</f>
        <v/>
      </c>
      <c r="AK182" t="str">
        <f t="shared" si="73"/>
        <v>Нет</v>
      </c>
      <c r="AL182" t="str">
        <f>"51.782145 36.170027, 51.781986 36.170094, 51.781969 36.17015, 51.781956 36.170421, 51.781934 36.170424, 51.78131 36.170856"</f>
        <v>51.782145 36.170027, 51.781986 36.170094, 51.781969 36.17015, 51.781956 36.170421, 51.781934 36.170424, 51.78131 36.170856</v>
      </c>
      <c r="AM182" t="str">
        <f>"20000008040074"</f>
        <v>20000008040074</v>
      </c>
    </row>
    <row r="183" spans="1:39" x14ac:dyDescent="0.25">
      <c r="A183">
        <v>907</v>
      </c>
      <c r="B183" t="str">
        <f t="shared" si="69"/>
        <v>Курск</v>
      </c>
      <c r="C183">
        <v>842011</v>
      </c>
      <c r="D183" t="str">
        <f t="shared" si="70"/>
        <v>Оптический кабель</v>
      </c>
      <c r="E183" t="str">
        <f>"[46/2039] М 3.1.17 - ОК3.1 ППК 3.1.7 Курск, Победы Пр-Кт, 46  п. 2"</f>
        <v>[46/2039] М 3.1.17 - ОК3.1 ППК 3.1.7 Курск, Победы Пр-Кт, 46  п. 2</v>
      </c>
      <c r="F183" t="str">
        <f>"ДПТс-П-08А 1(6) 7кН (Кр,Жел,Зел,Син,Кор,Чер,Ор,Фиол)"</f>
        <v>ДПТс-П-08А 1(6) 7кН (Кр,Жел,Зел,Син,Кор,Чер,Ор,Фиол)</v>
      </c>
      <c r="G183" t="str">
        <f>""</f>
        <v/>
      </c>
      <c r="H183" t="str">
        <f>"МС 3.1"</f>
        <v>МС 3.1</v>
      </c>
      <c r="I183">
        <v>10</v>
      </c>
      <c r="J183">
        <v>100</v>
      </c>
      <c r="K183">
        <v>0</v>
      </c>
      <c r="L183">
        <v>100</v>
      </c>
      <c r="M183" t="str">
        <f t="shared" si="86"/>
        <v>Воздушная трасса по стойкам</v>
      </c>
      <c r="N183" t="str">
        <f>"01.10.20122"</f>
        <v>01.10.20122</v>
      </c>
      <c r="O183">
        <v>4</v>
      </c>
      <c r="P183">
        <v>4</v>
      </c>
      <c r="Q183" t="str">
        <f>""</f>
        <v/>
      </c>
      <c r="R183" t="str">
        <f>"Курск, Победы Пр-Кт, 46"</f>
        <v>Курск, Победы Пр-Кт, 46</v>
      </c>
      <c r="S183" t="str">
        <f>""</f>
        <v/>
      </c>
      <c r="T183" t="str">
        <f>"46/2039"</f>
        <v>46/2039</v>
      </c>
      <c r="U183" t="str">
        <f t="shared" si="79"/>
        <v>Магистральная ВОЛС</v>
      </c>
      <c r="V183" t="str">
        <f t="shared" si="84"/>
        <v>Нет</v>
      </c>
      <c r="W183" t="str">
        <f t="shared" si="84"/>
        <v>Нет</v>
      </c>
      <c r="X183" t="str">
        <f t="shared" si="84"/>
        <v>Нет</v>
      </c>
      <c r="Y183" t="str">
        <f t="shared" si="84"/>
        <v>Нет</v>
      </c>
      <c r="Z183" t="str">
        <f t="shared" ref="Z183:Z214" si="87">"Нет"</f>
        <v>Нет</v>
      </c>
      <c r="AA183" t="str">
        <f>""</f>
        <v/>
      </c>
      <c r="AB183" t="str">
        <f t="shared" si="71"/>
        <v>Нет</v>
      </c>
      <c r="AC183" t="str">
        <f>"М 3.1.17 - ОУ3"</f>
        <v>М 3.1.17 - ОУ3</v>
      </c>
      <c r="AD183" t="str">
        <f t="shared" ref="AD183:AD214" si="88">"02.02.2012"</f>
        <v>02.02.2012</v>
      </c>
      <c r="AE183" t="str">
        <f>""</f>
        <v/>
      </c>
      <c r="AF183" t="str">
        <f>"[430661] М 3.1.17"</f>
        <v>[430661] М 3.1.17</v>
      </c>
      <c r="AG183" t="str">
        <f>"[406446] ОК3.1 ППК 3.1.7 Курск, Победы Пр-Кт, 46  п. 2"</f>
        <v>[406446] ОК3.1 ППК 3.1.7 Курск, Победы Пр-Кт, 46  п. 2</v>
      </c>
      <c r="AH183" t="str">
        <f>"М 3.1.17"</f>
        <v>М 3.1.17</v>
      </c>
      <c r="AI183" t="str">
        <f>"ОУ3"</f>
        <v>ОУ3</v>
      </c>
      <c r="AJ183" t="str">
        <f>""</f>
        <v/>
      </c>
      <c r="AK183" t="str">
        <f t="shared" si="73"/>
        <v>Нет</v>
      </c>
      <c r="AL183" t="str">
        <f>"51.781309 36.170864, 51.781397 36.170891"</f>
        <v>51.781309 36.170864, 51.781397 36.170891</v>
      </c>
      <c r="AM183" t="str">
        <f>"20000007999377"</f>
        <v>20000007999377</v>
      </c>
    </row>
    <row r="184" spans="1:39" x14ac:dyDescent="0.25">
      <c r="A184">
        <v>907</v>
      </c>
      <c r="B184" t="str">
        <f t="shared" si="69"/>
        <v>Курск</v>
      </c>
      <c r="C184">
        <v>842026</v>
      </c>
      <c r="D184" t="str">
        <f t="shared" si="70"/>
        <v>Оптический кабель</v>
      </c>
      <c r="E184" t="str">
        <f>"[46/2041] М 3.1.17 - М 3.1.18"</f>
        <v>[46/2041] М 3.1.17 - М 3.1.18</v>
      </c>
      <c r="F184" t="str">
        <f>"ДПТа-П-64А 6(6) 7кН (Кр,Жел,Зел,..,8-Фиол,9-Бел,..,Бир,Роз)"</f>
        <v>ДПТа-П-64А 6(6) 7кН (Кр,Жел,Зел,..,8-Фиол,9-Бел,..,Бир,Роз)</v>
      </c>
      <c r="G184" t="str">
        <f>""</f>
        <v/>
      </c>
      <c r="H184" t="str">
        <f>"МС 3.1"</f>
        <v>МС 3.1</v>
      </c>
      <c r="I184">
        <v>133</v>
      </c>
      <c r="J184">
        <v>160</v>
      </c>
      <c r="K184">
        <v>0</v>
      </c>
      <c r="L184">
        <v>160</v>
      </c>
      <c r="M184" t="str">
        <f t="shared" si="86"/>
        <v>Воздушная трасса по стойкам</v>
      </c>
      <c r="N184" t="str">
        <f>"01.10.20122"</f>
        <v>01.10.20122</v>
      </c>
      <c r="O184">
        <v>64</v>
      </c>
      <c r="P184">
        <v>64</v>
      </c>
      <c r="Q184" t="str">
        <f>""</f>
        <v/>
      </c>
      <c r="R184" t="str">
        <f>""</f>
        <v/>
      </c>
      <c r="S184" t="str">
        <f>""</f>
        <v/>
      </c>
      <c r="T184" t="str">
        <f>"46/2041"</f>
        <v>46/2041</v>
      </c>
      <c r="U184" t="str">
        <f t="shared" si="79"/>
        <v>Магистральная ВОЛС</v>
      </c>
      <c r="V184" t="str">
        <f t="shared" si="84"/>
        <v>Нет</v>
      </c>
      <c r="W184" t="str">
        <f t="shared" si="84"/>
        <v>Нет</v>
      </c>
      <c r="X184" t="str">
        <f t="shared" si="84"/>
        <v>Нет</v>
      </c>
      <c r="Y184" t="str">
        <f t="shared" si="84"/>
        <v>Нет</v>
      </c>
      <c r="Z184" t="str">
        <f t="shared" si="87"/>
        <v>Нет</v>
      </c>
      <c r="AA184" t="str">
        <f>""</f>
        <v/>
      </c>
      <c r="AB184" t="str">
        <f t="shared" si="71"/>
        <v>Нет</v>
      </c>
      <c r="AC184" t="str">
        <f>"М 3.1.17 - М 3.1.18"</f>
        <v>М 3.1.17 - М 3.1.18</v>
      </c>
      <c r="AD184" t="str">
        <f t="shared" si="88"/>
        <v>02.02.2012</v>
      </c>
      <c r="AE184" t="str">
        <f>""</f>
        <v/>
      </c>
      <c r="AF184" t="str">
        <f>"[430661] М 3.1.17"</f>
        <v>[430661] М 3.1.17</v>
      </c>
      <c r="AG184" t="str">
        <f>"[430657] М 3.1.18"</f>
        <v>[430657] М 3.1.18</v>
      </c>
      <c r="AH184" t="str">
        <f>"М 3.1.17"</f>
        <v>М 3.1.17</v>
      </c>
      <c r="AI184" t="str">
        <f>"М 3.1.18"</f>
        <v>М 3.1.18</v>
      </c>
      <c r="AJ184" t="str">
        <f>""</f>
        <v/>
      </c>
      <c r="AK184" t="str">
        <f t="shared" si="73"/>
        <v>Нет</v>
      </c>
      <c r="AL184" t="str">
        <f>"51.781302 36.170867, 51.78104 36.17107, 51.780665 36.171918, 51.780416 36.172041"</f>
        <v>51.781302 36.170867, 51.78104 36.17107, 51.780665 36.171918, 51.780416 36.172041</v>
      </c>
      <c r="AM184" t="str">
        <f>"20000008036124"</f>
        <v>20000008036124</v>
      </c>
    </row>
    <row r="185" spans="1:39" x14ac:dyDescent="0.25">
      <c r="A185">
        <v>907</v>
      </c>
      <c r="B185" t="str">
        <f t="shared" si="69"/>
        <v>Курск</v>
      </c>
      <c r="C185">
        <v>842094</v>
      </c>
      <c r="D185" t="str">
        <f t="shared" si="70"/>
        <v>Оптический кабель</v>
      </c>
      <c r="E185" t="str">
        <f>"[46/2051] М 3.1.21 - ОК6.1 ППК 3.1.6 Курск, Победы Пр-Кт, 22  п. 1"</f>
        <v>[46/2051] М 3.1.21 - ОК6.1 ППК 3.1.6 Курск, Победы Пр-Кт, 22  п. 1</v>
      </c>
      <c r="F185" t="str">
        <f>"ДПТс-П-08А 1(6) 7кН (Кр,Жел,Зел,Син,Кор,Чер,Ор,Фиол)"</f>
        <v>ДПТс-П-08А 1(6) 7кН (Кр,Жел,Зел,Син,Кор,Чер,Ор,Фиол)</v>
      </c>
      <c r="G185" t="str">
        <f>""</f>
        <v/>
      </c>
      <c r="H185" t="str">
        <f>"МС 3.1"</f>
        <v>МС 3.1</v>
      </c>
      <c r="I185">
        <v>11</v>
      </c>
      <c r="J185">
        <v>100</v>
      </c>
      <c r="K185">
        <v>0</v>
      </c>
      <c r="L185">
        <v>100</v>
      </c>
      <c r="M185" t="str">
        <f t="shared" si="86"/>
        <v>Воздушная трасса по стойкам</v>
      </c>
      <c r="N185" t="str">
        <f>"01.10.20122"</f>
        <v>01.10.20122</v>
      </c>
      <c r="O185">
        <v>3</v>
      </c>
      <c r="P185">
        <v>3</v>
      </c>
      <c r="Q185" t="str">
        <f>""</f>
        <v/>
      </c>
      <c r="R185" t="str">
        <f>"Курск, Победы Пр-Кт, 22"</f>
        <v>Курск, Победы Пр-Кт, 22</v>
      </c>
      <c r="S185" t="str">
        <f>""</f>
        <v/>
      </c>
      <c r="T185" t="str">
        <f>"46/2051"</f>
        <v>46/2051</v>
      </c>
      <c r="U185" t="str">
        <f t="shared" si="79"/>
        <v>Магистральная ВОЛС</v>
      </c>
      <c r="V185" t="str">
        <f t="shared" si="84"/>
        <v>Нет</v>
      </c>
      <c r="W185" t="str">
        <f t="shared" si="84"/>
        <v>Нет</v>
      </c>
      <c r="X185" t="str">
        <f t="shared" si="84"/>
        <v>Нет</v>
      </c>
      <c r="Y185" t="str">
        <f t="shared" si="84"/>
        <v>Нет</v>
      </c>
      <c r="Z185" t="str">
        <f t="shared" si="87"/>
        <v>Нет</v>
      </c>
      <c r="AA185" t="str">
        <f>""</f>
        <v/>
      </c>
      <c r="AB185" t="str">
        <f t="shared" si="71"/>
        <v>Нет</v>
      </c>
      <c r="AC185" t="str">
        <f>"М 3.1.21 - ОУ6"</f>
        <v>М 3.1.21 - ОУ6</v>
      </c>
      <c r="AD185" t="str">
        <f t="shared" si="88"/>
        <v>02.02.2012</v>
      </c>
      <c r="AE185" t="str">
        <f>""</f>
        <v/>
      </c>
      <c r="AF185" t="str">
        <f>"[430645] М 3.1.21"</f>
        <v>[430645] М 3.1.21</v>
      </c>
      <c r="AG185" t="str">
        <f>"[405633] ОК6.1 ППК 3.1.6 Курск, Победы Пр-Кт, 22  п. 1"</f>
        <v>[405633] ОК6.1 ППК 3.1.6 Курск, Победы Пр-Кт, 22  п. 1</v>
      </c>
      <c r="AH185" t="str">
        <f>"М 3.1.21"</f>
        <v>М 3.1.21</v>
      </c>
      <c r="AI185" t="str">
        <f>"ОУ6"</f>
        <v>ОУ6</v>
      </c>
      <c r="AJ185" t="str">
        <f>""</f>
        <v/>
      </c>
      <c r="AK185" t="str">
        <f t="shared" si="73"/>
        <v>Нет</v>
      </c>
      <c r="AL185" t="str">
        <f>"51.778126 36.174689, 51.778043 36.174767"</f>
        <v>51.778126 36.174689, 51.778043 36.174767</v>
      </c>
      <c r="AM185" t="str">
        <f>"20000008028673"</f>
        <v>20000008028673</v>
      </c>
    </row>
    <row r="186" spans="1:39" x14ac:dyDescent="0.25">
      <c r="A186">
        <v>907</v>
      </c>
      <c r="B186" t="str">
        <f t="shared" si="69"/>
        <v>Курск</v>
      </c>
      <c r="C186">
        <v>842132</v>
      </c>
      <c r="D186" t="str">
        <f t="shared" si="70"/>
        <v>Оптический кабель</v>
      </c>
      <c r="E186" t="str">
        <f>"[46/2056] М 3.1.22 - М 3.1.23"</f>
        <v>[46/2056] М 3.1.22 - М 3.1.23</v>
      </c>
      <c r="F186" t="str">
        <f>"ДПТа-П-64А 6(6) 7кН (Кр,Жел,Зел,..,8-Фиол,9-Бел,..,Бир,Роз)"</f>
        <v>ДПТа-П-64А 6(6) 7кН (Кр,Жел,Зел,..,8-Фиол,9-Бел,..,Бир,Роз)</v>
      </c>
      <c r="G186" t="str">
        <f>""</f>
        <v/>
      </c>
      <c r="H186" t="str">
        <f>"МС 3.1"</f>
        <v>МС 3.1</v>
      </c>
      <c r="I186">
        <v>94</v>
      </c>
      <c r="J186">
        <v>150</v>
      </c>
      <c r="K186">
        <v>0</v>
      </c>
      <c r="L186">
        <v>150</v>
      </c>
      <c r="M186" t="str">
        <f t="shared" si="86"/>
        <v>Воздушная трасса по стойкам</v>
      </c>
      <c r="N186" t="str">
        <f>"01.10.20122"</f>
        <v>01.10.20122</v>
      </c>
      <c r="O186">
        <v>64</v>
      </c>
      <c r="P186">
        <v>64</v>
      </c>
      <c r="Q186" t="str">
        <f>""</f>
        <v/>
      </c>
      <c r="R186" t="str">
        <f>""</f>
        <v/>
      </c>
      <c r="S186" t="str">
        <f>""</f>
        <v/>
      </c>
      <c r="T186" t="str">
        <f>"46/2056"</f>
        <v>46/2056</v>
      </c>
      <c r="U186" t="str">
        <f t="shared" ref="U186:U217" si="89">"Магистральная ВОЛС"</f>
        <v>Магистральная ВОЛС</v>
      </c>
      <c r="V186" t="str">
        <f t="shared" si="84"/>
        <v>Нет</v>
      </c>
      <c r="W186" t="str">
        <f t="shared" si="84"/>
        <v>Нет</v>
      </c>
      <c r="X186" t="str">
        <f t="shared" si="84"/>
        <v>Нет</v>
      </c>
      <c r="Y186" t="str">
        <f t="shared" si="84"/>
        <v>Нет</v>
      </c>
      <c r="Z186" t="str">
        <f t="shared" si="87"/>
        <v>Нет</v>
      </c>
      <c r="AA186" t="str">
        <f>""</f>
        <v/>
      </c>
      <c r="AB186" t="str">
        <f t="shared" si="71"/>
        <v>Нет</v>
      </c>
      <c r="AC186" t="str">
        <f>"М 3.1.22 - М 3.1.23"</f>
        <v>М 3.1.22 - М 3.1.23</v>
      </c>
      <c r="AD186" t="str">
        <f t="shared" si="88"/>
        <v>02.02.2012</v>
      </c>
      <c r="AE186" t="str">
        <f>""</f>
        <v/>
      </c>
      <c r="AF186" t="str">
        <f>"[430641] М 3.1.22"</f>
        <v>[430641] М 3.1.22</v>
      </c>
      <c r="AG186" t="str">
        <f>"[430637] М 3.1.23"</f>
        <v>[430637] М 3.1.23</v>
      </c>
      <c r="AH186" t="str">
        <f>"М 3.1.22"</f>
        <v>М 3.1.22</v>
      </c>
      <c r="AI186" t="str">
        <f>"М 3.1.23"</f>
        <v>М 3.1.23</v>
      </c>
      <c r="AJ186" t="str">
        <f>""</f>
        <v/>
      </c>
      <c r="AK186" t="str">
        <f t="shared" si="73"/>
        <v>Нет</v>
      </c>
      <c r="AL186" t="str">
        <f>"51.776734 36.175383, 51.776262 36.175684, 51.776068 36.175794, 51.77595 36.17589"</f>
        <v>51.776734 36.175383, 51.776262 36.175684, 51.776068 36.175794, 51.77595 36.17589</v>
      </c>
      <c r="AM186" t="str">
        <f>"20000008045152"</f>
        <v>20000008045152</v>
      </c>
    </row>
    <row r="187" spans="1:39" x14ac:dyDescent="0.25">
      <c r="A187">
        <v>907</v>
      </c>
      <c r="B187" t="str">
        <f t="shared" si="69"/>
        <v>Курск</v>
      </c>
      <c r="C187">
        <v>843823</v>
      </c>
      <c r="D187" t="str">
        <f t="shared" si="70"/>
        <v>Оптический кабель</v>
      </c>
      <c r="E187" t="str">
        <f>"[46/2076] М 5.2.9 - ГОК5.2.6.1 Курск, Серегина, 26 а п. 6"</f>
        <v>[46/2076] М 5.2.9 - ГОК5.2.6.1 Курск, Серегина, 26 а п. 6</v>
      </c>
      <c r="F187" t="str">
        <f>"ДПТс-П-16А 2(6) 7кН (Мод:Кр,Нат)(Вол:Кр,Жел,Зел,..,Ор,Фиол)"</f>
        <v>ДПТс-П-16А 2(6) 7кН (Мод:Кр,Нат)(Вол:Кр,Жел,Зел,..,Ор,Фиол)</v>
      </c>
      <c r="G187" t="str">
        <f>""</f>
        <v/>
      </c>
      <c r="H187" t="str">
        <f>"МС 5.2"</f>
        <v>МС 5.2</v>
      </c>
      <c r="I187">
        <v>254</v>
      </c>
      <c r="J187">
        <v>270</v>
      </c>
      <c r="K187">
        <v>0</v>
      </c>
      <c r="L187">
        <v>270</v>
      </c>
      <c r="M187" t="str">
        <f t="shared" si="86"/>
        <v>Воздушная трасса по стойкам</v>
      </c>
      <c r="N187" t="str">
        <f t="shared" ref="N187:N197" si="90">"03.10.20122"</f>
        <v>03.10.20122</v>
      </c>
      <c r="O187">
        <v>10</v>
      </c>
      <c r="P187">
        <v>10</v>
      </c>
      <c r="Q187" t="str">
        <f>""</f>
        <v/>
      </c>
      <c r="R187" t="str">
        <f>"Курск, Серегина, 26 а"</f>
        <v>Курск, Серегина, 26 а</v>
      </c>
      <c r="S187" t="str">
        <f>""</f>
        <v/>
      </c>
      <c r="T187" t="str">
        <f>"46/2076"</f>
        <v>46/2076</v>
      </c>
      <c r="U187" t="str">
        <f t="shared" si="89"/>
        <v>Магистральная ВОЛС</v>
      </c>
      <c r="V187" t="str">
        <f t="shared" si="84"/>
        <v>Нет</v>
      </c>
      <c r="W187" t="str">
        <f t="shared" si="84"/>
        <v>Нет</v>
      </c>
      <c r="X187" t="str">
        <f t="shared" si="84"/>
        <v>Нет</v>
      </c>
      <c r="Y187" t="str">
        <f t="shared" si="84"/>
        <v>Нет</v>
      </c>
      <c r="Z187" t="str">
        <f t="shared" si="87"/>
        <v>Нет</v>
      </c>
      <c r="AA187" t="str">
        <f>""</f>
        <v/>
      </c>
      <c r="AB187" t="str">
        <f t="shared" si="71"/>
        <v>Нет</v>
      </c>
      <c r="AC187" t="str">
        <f>"М 5.2.9 - ППК 5.2.6"</f>
        <v>М 5.2.9 - ППК 5.2.6</v>
      </c>
      <c r="AD187" t="str">
        <f t="shared" si="88"/>
        <v>02.02.2012</v>
      </c>
      <c r="AE187" t="str">
        <f>""</f>
        <v/>
      </c>
      <c r="AF187" t="str">
        <f>"[382797] М 5.2.9"</f>
        <v>[382797] М 5.2.9</v>
      </c>
      <c r="AG187" t="str">
        <f>"[436833] ГОК5.2.6.1 Курск, Серегина, 26 а п. 6"</f>
        <v>[436833] ГОК5.2.6.1 Курск, Серегина, 26 а п. 6</v>
      </c>
      <c r="AH187" t="str">
        <f>"М 5.2.9"</f>
        <v>М 5.2.9</v>
      </c>
      <c r="AI187" t="str">
        <f>"ППК 5.2.6"</f>
        <v>ППК 5.2.6</v>
      </c>
      <c r="AJ187" t="str">
        <f>""</f>
        <v/>
      </c>
      <c r="AK187" t="str">
        <f t="shared" si="73"/>
        <v>Нет</v>
      </c>
      <c r="AL187" t="str">
        <f>"51.675167 36.140355, 51.675131 36.139633, 51.675251 36.139107, 51.675274 36.138759, 51.675477 36.137932, 51.676119 36.138442"</f>
        <v>51.675167 36.140355, 51.675131 36.139633, 51.675251 36.139107, 51.675274 36.138759, 51.675477 36.137932, 51.676119 36.138442</v>
      </c>
      <c r="AM187" t="str">
        <f>"20000008030133"</f>
        <v>20000008030133</v>
      </c>
    </row>
    <row r="188" spans="1:39" x14ac:dyDescent="0.25">
      <c r="A188">
        <v>907</v>
      </c>
      <c r="B188" t="str">
        <f t="shared" si="69"/>
        <v>Курск</v>
      </c>
      <c r="C188">
        <v>843883</v>
      </c>
      <c r="D188" t="str">
        <f t="shared" si="70"/>
        <v>Оптический кабель</v>
      </c>
      <c r="E188" t="str">
        <f>"[46/2077] МОК4.2.1 Курск, Герцена, 3  п.  - М 4.2.14"</f>
        <v>[46/2077] МОК4.2.1 Курск, Герцена, 3  п.  - М 4.2.14</v>
      </c>
      <c r="F188" t="str">
        <f>"ДПТа-П-64А 6(6) 7кН (Кр,Жел,Зел,..,8-Фиол,9-Бел,..,Бир,Роз)"</f>
        <v>ДПТа-П-64А 6(6) 7кН (Кр,Жел,Зел,..,8-Фиол,9-Бел,..,Бир,Роз)</v>
      </c>
      <c r="G188" t="str">
        <f>""</f>
        <v/>
      </c>
      <c r="H188" t="str">
        <f t="shared" ref="H188:H197" si="91">"МС 4.2"</f>
        <v>МС 4.2</v>
      </c>
      <c r="I188">
        <v>263</v>
      </c>
      <c r="J188">
        <v>390</v>
      </c>
      <c r="K188">
        <v>15</v>
      </c>
      <c r="L188">
        <v>813.76</v>
      </c>
      <c r="M188" t="str">
        <f>"Опоры"</f>
        <v>Опоры</v>
      </c>
      <c r="N188" t="str">
        <f t="shared" si="90"/>
        <v>03.10.20122</v>
      </c>
      <c r="O188">
        <v>64</v>
      </c>
      <c r="P188">
        <v>64</v>
      </c>
      <c r="Q188" t="str">
        <f>"Курск, Герцена, 3"</f>
        <v>Курск, Герцена, 3</v>
      </c>
      <c r="R188" t="str">
        <f>""</f>
        <v/>
      </c>
      <c r="S188" t="str">
        <f>""</f>
        <v/>
      </c>
      <c r="T188" t="str">
        <f>"46/2077"</f>
        <v>46/2077</v>
      </c>
      <c r="U188" t="str">
        <f t="shared" si="89"/>
        <v>Магистральная ВОЛС</v>
      </c>
      <c r="V188" t="str">
        <f t="shared" ref="V188:Y207" si="92">"Нет"</f>
        <v>Нет</v>
      </c>
      <c r="W188" t="str">
        <f t="shared" si="92"/>
        <v>Нет</v>
      </c>
      <c r="X188" t="str">
        <f t="shared" si="92"/>
        <v>Нет</v>
      </c>
      <c r="Y188" t="str">
        <f t="shared" si="92"/>
        <v>Нет</v>
      </c>
      <c r="Z188" t="str">
        <f t="shared" si="87"/>
        <v>Нет</v>
      </c>
      <c r="AA188" t="str">
        <f>""</f>
        <v/>
      </c>
      <c r="AB188" t="str">
        <f t="shared" si="71"/>
        <v>Нет</v>
      </c>
      <c r="AC188" t="str">
        <f>"КРС МС-4.2 - М 4.2.1"</f>
        <v>КРС МС-4.2 - М 4.2.1</v>
      </c>
      <c r="AD188" t="str">
        <f t="shared" si="88"/>
        <v>02.02.2012</v>
      </c>
      <c r="AE188" t="str">
        <f>""</f>
        <v/>
      </c>
      <c r="AF188" t="str">
        <f>"[483584] МОК4.2.1 Курск, Герцена, 3  п."</f>
        <v>[483584] МОК4.2.1 Курск, Герцена, 3  п.</v>
      </c>
      <c r="AG188" t="str">
        <f>"[883574] М 4.2.14"</f>
        <v>[883574] М 4.2.14</v>
      </c>
      <c r="AH188" t="str">
        <f>""</f>
        <v/>
      </c>
      <c r="AI188" t="str">
        <f>""</f>
        <v/>
      </c>
      <c r="AJ188" t="str">
        <f>""</f>
        <v/>
      </c>
      <c r="AK188" t="str">
        <f t="shared" si="73"/>
        <v>Нет</v>
      </c>
      <c r="AL188" t="str">
        <f>"51.749016 36.242861, 51.749029 36.243218, 51.749355 36.243744, 51.74993 36.243282, 51.750042 36.243263, 51.750142 36.243575, 51.750268 36.243913, 51.750371 36.244245, 51.750477 36.244599"</f>
        <v>51.749016 36.242861, 51.749029 36.243218, 51.749355 36.243744, 51.74993 36.243282, 51.750042 36.243263, 51.750142 36.243575, 51.750268 36.243913, 51.750371 36.244245, 51.750477 36.244599</v>
      </c>
      <c r="AM188" t="str">
        <f>"20000008045595"</f>
        <v>20000008045595</v>
      </c>
    </row>
    <row r="189" spans="1:39" x14ac:dyDescent="0.25">
      <c r="A189">
        <v>907</v>
      </c>
      <c r="B189" t="str">
        <f t="shared" si="69"/>
        <v>Курск</v>
      </c>
      <c r="C189">
        <v>843963</v>
      </c>
      <c r="D189" t="str">
        <f t="shared" si="70"/>
        <v>Оптический кабель</v>
      </c>
      <c r="E189" t="str">
        <f>"[46/2084] М 4.2.8 - М 4.2.12"</f>
        <v>[46/2084] М 4.2.8 - М 4.2.12</v>
      </c>
      <c r="F189" t="str">
        <f>"ДПТа-П-64А 6(6) 7кН (Кр,Жел,Зел,..,8-Фиол,9-Бел,..,Бир,Роз)"</f>
        <v>ДПТа-П-64А 6(6) 7кН (Кр,Жел,Зел,..,8-Фиол,9-Бел,..,Бир,Роз)</v>
      </c>
      <c r="G189" t="str">
        <f>""</f>
        <v/>
      </c>
      <c r="H189" t="str">
        <f t="shared" si="91"/>
        <v>МС 4.2</v>
      </c>
      <c r="I189">
        <v>570</v>
      </c>
      <c r="J189">
        <v>800</v>
      </c>
      <c r="K189">
        <v>0</v>
      </c>
      <c r="L189">
        <v>430.7</v>
      </c>
      <c r="M189" t="str">
        <f>"Опоры"</f>
        <v>Опоры</v>
      </c>
      <c r="N189" t="str">
        <f t="shared" si="90"/>
        <v>03.10.20122</v>
      </c>
      <c r="O189">
        <v>64</v>
      </c>
      <c r="P189">
        <v>64</v>
      </c>
      <c r="Q189" t="str">
        <f>""</f>
        <v/>
      </c>
      <c r="R189" t="str">
        <f>""</f>
        <v/>
      </c>
      <c r="S189" t="str">
        <f>""</f>
        <v/>
      </c>
      <c r="T189" t="str">
        <f>"46/2084"</f>
        <v>46/2084</v>
      </c>
      <c r="U189" t="str">
        <f t="shared" si="89"/>
        <v>Магистральная ВОЛС</v>
      </c>
      <c r="V189" t="str">
        <f t="shared" si="92"/>
        <v>Нет</v>
      </c>
      <c r="W189" t="str">
        <f t="shared" si="92"/>
        <v>Нет</v>
      </c>
      <c r="X189" t="str">
        <f t="shared" si="92"/>
        <v>Нет</v>
      </c>
      <c r="Y189" t="str">
        <f t="shared" si="92"/>
        <v>Нет</v>
      </c>
      <c r="Z189" t="str">
        <f t="shared" si="87"/>
        <v>Нет</v>
      </c>
      <c r="AA189" t="str">
        <f>""</f>
        <v/>
      </c>
      <c r="AB189" t="str">
        <f t="shared" si="71"/>
        <v>Нет</v>
      </c>
      <c r="AC189" t="str">
        <f>"М 4.2.8 - КРС МС-4.2"</f>
        <v>М 4.2.8 - КРС МС-4.2</v>
      </c>
      <c r="AD189" t="str">
        <f t="shared" si="88"/>
        <v>02.02.2012</v>
      </c>
      <c r="AE189" t="str">
        <f>""</f>
        <v/>
      </c>
      <c r="AF189" t="str">
        <f>"[437433] М 4.2.8"</f>
        <v>[437433] М 4.2.8</v>
      </c>
      <c r="AG189" t="str">
        <f>"[850027] М 4.2.12"</f>
        <v>[850027] М 4.2.12</v>
      </c>
      <c r="AH189" t="str">
        <f>"М 4.2.8"</f>
        <v>М 4.2.8</v>
      </c>
      <c r="AI189" t="str">
        <f>"КРС МС-4.2"</f>
        <v>КРС МС-4.2</v>
      </c>
      <c r="AJ189" t="str">
        <f>""</f>
        <v/>
      </c>
      <c r="AK189" t="str">
        <f t="shared" si="73"/>
        <v>Нет</v>
      </c>
      <c r="AL189" t="s">
        <v>51</v>
      </c>
      <c r="AM189" t="str">
        <f>"20000007993419"</f>
        <v>20000007993419</v>
      </c>
    </row>
    <row r="190" spans="1:39" x14ac:dyDescent="0.25">
      <c r="A190">
        <v>907</v>
      </c>
      <c r="B190" t="str">
        <f t="shared" si="69"/>
        <v>Курск</v>
      </c>
      <c r="C190">
        <v>843968</v>
      </c>
      <c r="D190" t="str">
        <f t="shared" si="70"/>
        <v>Оптический кабель</v>
      </c>
      <c r="E190" t="str">
        <f>"[46/2085] М 4.2.2 - ГОК4.2.2.1 Курск, Союзная, 61 а п. 2"</f>
        <v>[46/2085] М 4.2.2 - ГОК4.2.2.1 Курск, Союзная, 61 а п. 2</v>
      </c>
      <c r="F190" t="str">
        <f t="shared" ref="F190:F197" si="93">"ДПТс-П-16А 2(6) 7кН (Мод:Кр,Нат)(Вол:Кр,Жел,Зел,..,Ор,Фиол)"</f>
        <v>ДПТс-П-16А 2(6) 7кН (Мод:Кр,Нат)(Вол:Кр,Жел,Зел,..,Ор,Фиол)</v>
      </c>
      <c r="G190" t="str">
        <f>""</f>
        <v/>
      </c>
      <c r="H190" t="str">
        <f t="shared" si="91"/>
        <v>МС 4.2</v>
      </c>
      <c r="I190">
        <v>144</v>
      </c>
      <c r="J190">
        <v>150</v>
      </c>
      <c r="K190">
        <v>0</v>
      </c>
      <c r="L190">
        <v>150</v>
      </c>
      <c r="M190" t="str">
        <f t="shared" ref="M190:M208" si="94">"Воздушная трасса по стойкам"</f>
        <v>Воздушная трасса по стойкам</v>
      </c>
      <c r="N190" t="str">
        <f t="shared" si="90"/>
        <v>03.10.20122</v>
      </c>
      <c r="O190">
        <v>10</v>
      </c>
      <c r="P190">
        <v>10</v>
      </c>
      <c r="Q190" t="str">
        <f>""</f>
        <v/>
      </c>
      <c r="R190" t="str">
        <f>"Курск, Союзная, 61 а"</f>
        <v>Курск, Союзная, 61 а</v>
      </c>
      <c r="S190" t="str">
        <f>""</f>
        <v/>
      </c>
      <c r="T190" t="str">
        <f>"46/2085"</f>
        <v>46/2085</v>
      </c>
      <c r="U190" t="str">
        <f t="shared" si="89"/>
        <v>Магистральная ВОЛС</v>
      </c>
      <c r="V190" t="str">
        <f t="shared" si="92"/>
        <v>Нет</v>
      </c>
      <c r="W190" t="str">
        <f t="shared" si="92"/>
        <v>Нет</v>
      </c>
      <c r="X190" t="str">
        <f t="shared" si="92"/>
        <v>Нет</v>
      </c>
      <c r="Y190" t="str">
        <f t="shared" si="92"/>
        <v>Нет</v>
      </c>
      <c r="Z190" t="str">
        <f t="shared" si="87"/>
        <v>Нет</v>
      </c>
      <c r="AA190" t="str">
        <f>""</f>
        <v/>
      </c>
      <c r="AB190" t="str">
        <f t="shared" si="71"/>
        <v>Нет</v>
      </c>
      <c r="AC190" t="str">
        <f>"М 4.2.2 - ППК 4.2.2"</f>
        <v>М 4.2.2 - ППК 4.2.2</v>
      </c>
      <c r="AD190" t="str">
        <f t="shared" si="88"/>
        <v>02.02.2012</v>
      </c>
      <c r="AE190" t="str">
        <f>""</f>
        <v/>
      </c>
      <c r="AF190" t="str">
        <f>"[437457] М 4.2.2"</f>
        <v>[437457] М 4.2.2</v>
      </c>
      <c r="AG190" t="str">
        <f>"[439033] ГОК4.2.2.1 Курск, Союзная, 61 а п. 2"</f>
        <v>[439033] ГОК4.2.2.1 Курск, Союзная, 61 а п. 2</v>
      </c>
      <c r="AH190" t="str">
        <f>"М 4.2.2"</f>
        <v>М 4.2.2</v>
      </c>
      <c r="AI190" t="str">
        <f>"ППК 4.2.2"</f>
        <v>ППК 4.2.2</v>
      </c>
      <c r="AJ190" t="str">
        <f>""</f>
        <v/>
      </c>
      <c r="AK190" t="str">
        <f t="shared" si="73"/>
        <v>Нет</v>
      </c>
      <c r="AL190" t="str">
        <f>"51.745738 36.255537, 51.745698 36.255918, 51.744669 36.255567"</f>
        <v>51.745738 36.255537, 51.745698 36.255918, 51.744669 36.255567</v>
      </c>
      <c r="AM190" t="str">
        <f>"20000008047942"</f>
        <v>20000008047942</v>
      </c>
    </row>
    <row r="191" spans="1:39" x14ac:dyDescent="0.25">
      <c r="A191">
        <v>907</v>
      </c>
      <c r="B191" t="str">
        <f t="shared" si="69"/>
        <v>Курск</v>
      </c>
      <c r="C191">
        <v>843971</v>
      </c>
      <c r="D191" t="str">
        <f t="shared" si="70"/>
        <v>Оптический кабель</v>
      </c>
      <c r="E191" t="str">
        <f>"[46/2086] М 4.2.3 - ГОК4.2.3.1 Курск, Союзная, 65  п. 1"</f>
        <v>[46/2086] М 4.2.3 - ГОК4.2.3.1 Курск, Союзная, 65  п. 1</v>
      </c>
      <c r="F191" t="str">
        <f t="shared" si="93"/>
        <v>ДПТс-П-16А 2(6) 7кН (Мод:Кр,Нат)(Вол:Кр,Жел,Зел,..,Ор,Фиол)</v>
      </c>
      <c r="G191" t="str">
        <f>""</f>
        <v/>
      </c>
      <c r="H191" t="str">
        <f t="shared" si="91"/>
        <v>МС 4.2</v>
      </c>
      <c r="I191">
        <v>53</v>
      </c>
      <c r="J191">
        <v>60</v>
      </c>
      <c r="K191">
        <v>0</v>
      </c>
      <c r="L191">
        <v>60</v>
      </c>
      <c r="M191" t="str">
        <f t="shared" si="94"/>
        <v>Воздушная трасса по стойкам</v>
      </c>
      <c r="N191" t="str">
        <f t="shared" si="90"/>
        <v>03.10.20122</v>
      </c>
      <c r="O191">
        <v>10</v>
      </c>
      <c r="P191">
        <v>10</v>
      </c>
      <c r="Q191" t="str">
        <f>""</f>
        <v/>
      </c>
      <c r="R191" t="str">
        <f>"Курск, Союзная, 65"</f>
        <v>Курск, Союзная, 65</v>
      </c>
      <c r="S191" t="str">
        <f>""</f>
        <v/>
      </c>
      <c r="T191" t="str">
        <f>"46/2086"</f>
        <v>46/2086</v>
      </c>
      <c r="U191" t="str">
        <f t="shared" si="89"/>
        <v>Магистральная ВОЛС</v>
      </c>
      <c r="V191" t="str">
        <f t="shared" si="92"/>
        <v>Нет</v>
      </c>
      <c r="W191" t="str">
        <f t="shared" si="92"/>
        <v>Нет</v>
      </c>
      <c r="X191" t="str">
        <f t="shared" si="92"/>
        <v>Нет</v>
      </c>
      <c r="Y191" t="str">
        <f t="shared" si="92"/>
        <v>Нет</v>
      </c>
      <c r="Z191" t="str">
        <f t="shared" si="87"/>
        <v>Нет</v>
      </c>
      <c r="AA191" t="str">
        <f>""</f>
        <v/>
      </c>
      <c r="AB191" t="str">
        <f t="shared" si="71"/>
        <v>Нет</v>
      </c>
      <c r="AC191" t="str">
        <f>"М 4.2.3 - ППК 4.2.3"</f>
        <v>М 4.2.3 - ППК 4.2.3</v>
      </c>
      <c r="AD191" t="str">
        <f t="shared" si="88"/>
        <v>02.02.2012</v>
      </c>
      <c r="AE191" t="str">
        <f>""</f>
        <v/>
      </c>
      <c r="AF191" t="str">
        <f>"[437453] М 4.2.3"</f>
        <v>[437453] М 4.2.3</v>
      </c>
      <c r="AG191" t="str">
        <f>"[439046] ГОК4.2.3.1 Курск, Союзная, 65  п. 1"</f>
        <v>[439046] ГОК4.2.3.1 Курск, Союзная, 65  п. 1</v>
      </c>
      <c r="AH191" t="str">
        <f>"М 4.2.3"</f>
        <v>М 4.2.3</v>
      </c>
      <c r="AI191" t="str">
        <f>"ППК 4.2.3"</f>
        <v>ППК 4.2.3</v>
      </c>
      <c r="AJ191" t="str">
        <f>""</f>
        <v/>
      </c>
      <c r="AK191" t="str">
        <f t="shared" si="73"/>
        <v>Нет</v>
      </c>
      <c r="AL191" t="str">
        <f>"51.745516 36.258225, 51.745135 36.258678"</f>
        <v>51.745516 36.258225, 51.745135 36.258678</v>
      </c>
      <c r="AM191" t="str">
        <f>"20000008035578"</f>
        <v>20000008035578</v>
      </c>
    </row>
    <row r="192" spans="1:39" x14ac:dyDescent="0.25">
      <c r="A192">
        <v>907</v>
      </c>
      <c r="B192" t="str">
        <f t="shared" si="69"/>
        <v>Курск</v>
      </c>
      <c r="C192">
        <v>843974</v>
      </c>
      <c r="D192" t="str">
        <f t="shared" si="70"/>
        <v>Оптический кабель</v>
      </c>
      <c r="E192" t="str">
        <f>"[46/2087] М 4.2.4 - ГОК4.2.4.1 Курск, Союзная, 71 а п. 1"</f>
        <v>[46/2087] М 4.2.4 - ГОК4.2.4.1 Курск, Союзная, 71 а п. 1</v>
      </c>
      <c r="F192" t="str">
        <f t="shared" si="93"/>
        <v>ДПТс-П-16А 2(6) 7кН (Мод:Кр,Нат)(Вол:Кр,Жел,Зел,..,Ор,Фиол)</v>
      </c>
      <c r="G192" t="str">
        <f>""</f>
        <v/>
      </c>
      <c r="H192" t="str">
        <f t="shared" si="91"/>
        <v>МС 4.2</v>
      </c>
      <c r="I192">
        <v>65</v>
      </c>
      <c r="J192">
        <v>120</v>
      </c>
      <c r="K192">
        <v>0</v>
      </c>
      <c r="L192">
        <v>120</v>
      </c>
      <c r="M192" t="str">
        <f t="shared" si="94"/>
        <v>Воздушная трасса по стойкам</v>
      </c>
      <c r="N192" t="str">
        <f t="shared" si="90"/>
        <v>03.10.20122</v>
      </c>
      <c r="O192">
        <v>10</v>
      </c>
      <c r="P192">
        <v>10</v>
      </c>
      <c r="Q192" t="str">
        <f>""</f>
        <v/>
      </c>
      <c r="R192" t="str">
        <f>"Курск, Союзная, 71 а"</f>
        <v>Курск, Союзная, 71 а</v>
      </c>
      <c r="S192" t="str">
        <f>""</f>
        <v/>
      </c>
      <c r="T192" t="str">
        <f>"46/2087"</f>
        <v>46/2087</v>
      </c>
      <c r="U192" t="str">
        <f t="shared" si="89"/>
        <v>Магистральная ВОЛС</v>
      </c>
      <c r="V192" t="str">
        <f t="shared" si="92"/>
        <v>Нет</v>
      </c>
      <c r="W192" t="str">
        <f t="shared" si="92"/>
        <v>Нет</v>
      </c>
      <c r="X192" t="str">
        <f t="shared" si="92"/>
        <v>Нет</v>
      </c>
      <c r="Y192" t="str">
        <f t="shared" si="92"/>
        <v>Нет</v>
      </c>
      <c r="Z192" t="str">
        <f t="shared" si="87"/>
        <v>Нет</v>
      </c>
      <c r="AA192" t="str">
        <f>""</f>
        <v/>
      </c>
      <c r="AB192" t="str">
        <f t="shared" si="71"/>
        <v>Нет</v>
      </c>
      <c r="AC192" t="str">
        <f>"М 4.2.4 - ППК 4.2.4"</f>
        <v>М 4.2.4 - ППК 4.2.4</v>
      </c>
      <c r="AD192" t="str">
        <f t="shared" si="88"/>
        <v>02.02.2012</v>
      </c>
      <c r="AE192" t="str">
        <f>""</f>
        <v/>
      </c>
      <c r="AF192" t="str">
        <f>"[437449] М 4.2.4"</f>
        <v>[437449] М 4.2.4</v>
      </c>
      <c r="AG192" t="str">
        <f>"[439059] ГОК4.2.4.1 Курск, Союзная, 71 а п. 1"</f>
        <v>[439059] ГОК4.2.4.1 Курск, Союзная, 71 а п. 1</v>
      </c>
      <c r="AH192" t="str">
        <f>"М 4.2.4"</f>
        <v>М 4.2.4</v>
      </c>
      <c r="AI192" t="str">
        <f>"ППК 4.2.4"</f>
        <v>ППК 4.2.4</v>
      </c>
      <c r="AJ192" t="str">
        <f>""</f>
        <v/>
      </c>
      <c r="AK192" t="str">
        <f t="shared" si="73"/>
        <v>Нет</v>
      </c>
      <c r="AL192" t="str">
        <f>"51.743919 36.25959, 51.743766 36.259966, 51.743749 36.260167, 51.743719 36.260518"</f>
        <v>51.743919 36.25959, 51.743766 36.259966, 51.743749 36.260167, 51.743719 36.260518</v>
      </c>
      <c r="AM192" t="str">
        <f>"20000008030155"</f>
        <v>20000008030155</v>
      </c>
    </row>
    <row r="193" spans="1:39" x14ac:dyDescent="0.25">
      <c r="A193">
        <v>907</v>
      </c>
      <c r="B193" t="str">
        <f t="shared" si="69"/>
        <v>Курск</v>
      </c>
      <c r="C193">
        <v>843977</v>
      </c>
      <c r="D193" t="str">
        <f t="shared" si="70"/>
        <v>Оптический кабель</v>
      </c>
      <c r="E193" t="str">
        <f>"[46/2088] М 4.2.4 - ГОК4.2.5.1 Курск, Союзная, 71  п. 1"</f>
        <v>[46/2088] М 4.2.4 - ГОК4.2.5.1 Курск, Союзная, 71  п. 1</v>
      </c>
      <c r="F193" t="str">
        <f t="shared" si="93"/>
        <v>ДПТс-П-16А 2(6) 7кН (Мод:Кр,Нат)(Вол:Кр,Жел,Зел,..,Ор,Фиол)</v>
      </c>
      <c r="G193" t="str">
        <f>""</f>
        <v/>
      </c>
      <c r="H193" t="str">
        <f t="shared" si="91"/>
        <v>МС 4.2</v>
      </c>
      <c r="I193">
        <v>352</v>
      </c>
      <c r="J193">
        <v>300</v>
      </c>
      <c r="K193">
        <v>0</v>
      </c>
      <c r="L193">
        <v>300</v>
      </c>
      <c r="M193" t="str">
        <f t="shared" si="94"/>
        <v>Воздушная трасса по стойкам</v>
      </c>
      <c r="N193" t="str">
        <f t="shared" si="90"/>
        <v>03.10.20122</v>
      </c>
      <c r="O193">
        <v>10</v>
      </c>
      <c r="P193">
        <v>10</v>
      </c>
      <c r="Q193" t="str">
        <f>""</f>
        <v/>
      </c>
      <c r="R193" t="str">
        <f>"Курск, Союзная, 71"</f>
        <v>Курск, Союзная, 71</v>
      </c>
      <c r="S193" t="str">
        <f>""</f>
        <v/>
      </c>
      <c r="T193" t="str">
        <f>"46/2088"</f>
        <v>46/2088</v>
      </c>
      <c r="U193" t="str">
        <f t="shared" si="89"/>
        <v>Магистральная ВОЛС</v>
      </c>
      <c r="V193" t="str">
        <f t="shared" si="92"/>
        <v>Нет</v>
      </c>
      <c r="W193" t="str">
        <f t="shared" si="92"/>
        <v>Нет</v>
      </c>
      <c r="X193" t="str">
        <f t="shared" si="92"/>
        <v>Нет</v>
      </c>
      <c r="Y193" t="str">
        <f t="shared" si="92"/>
        <v>Нет</v>
      </c>
      <c r="Z193" t="str">
        <f t="shared" si="87"/>
        <v>Нет</v>
      </c>
      <c r="AA193" t="str">
        <f>""</f>
        <v/>
      </c>
      <c r="AB193" t="str">
        <f t="shared" si="71"/>
        <v>Нет</v>
      </c>
      <c r="AC193" t="str">
        <f>"М 4.2.4 - ППК 4.2.5"</f>
        <v>М 4.2.4 - ППК 4.2.5</v>
      </c>
      <c r="AD193" t="str">
        <f t="shared" si="88"/>
        <v>02.02.2012</v>
      </c>
      <c r="AE193" t="str">
        <f>""</f>
        <v/>
      </c>
      <c r="AF193" t="str">
        <f>"[437449] М 4.2.4"</f>
        <v>[437449] М 4.2.4</v>
      </c>
      <c r="AG193" t="str">
        <f>"[439072] ГОК4.2.5.1 Курск, Союзная, 71  п. 1"</f>
        <v>[439072] ГОК4.2.5.1 Курск, Союзная, 71  п. 1</v>
      </c>
      <c r="AH193" t="str">
        <f>"М 4.2.4"</f>
        <v>М 4.2.4</v>
      </c>
      <c r="AI193" t="str">
        <f>"ППК 4.2.5"</f>
        <v>ППК 4.2.5</v>
      </c>
      <c r="AJ193" t="str">
        <f>""</f>
        <v/>
      </c>
      <c r="AK193" t="str">
        <f t="shared" si="73"/>
        <v>Нет</v>
      </c>
      <c r="AL193" t="str">
        <f>"51.743919 36.25959, 51.744285 36.25972, 51.744557 36.259899, 51.744292 36.260287, 51.744085 36.260708, 51.743778 36.260874, 51.743599 36.261146, 51.743406 36.261441, 51.743202 36.261739, 51.743045 36.261958, 51.742844 36.261953, 51.742629 36.261894"</f>
        <v>51.743919 36.25959, 51.744285 36.25972, 51.744557 36.259899, 51.744292 36.260287, 51.744085 36.260708, 51.743778 36.260874, 51.743599 36.261146, 51.743406 36.261441, 51.743202 36.261739, 51.743045 36.261958, 51.742844 36.261953, 51.742629 36.261894</v>
      </c>
      <c r="AM193" t="str">
        <f>"20000008015720"</f>
        <v>20000008015720</v>
      </c>
    </row>
    <row r="194" spans="1:39" x14ac:dyDescent="0.25">
      <c r="A194">
        <v>907</v>
      </c>
      <c r="B194" t="str">
        <f t="shared" ref="B194:B257" si="95">"Курск"</f>
        <v>Курск</v>
      </c>
      <c r="C194">
        <v>843980</v>
      </c>
      <c r="D194" t="str">
        <f t="shared" ref="D194:D257" si="96">"Оптический кабель"</f>
        <v>Оптический кабель</v>
      </c>
      <c r="E194" t="str">
        <f>"[46/2089] М 4.2.4 - ГОК4.2.6.1 Курск, Республиканская, 52 в п. 1"</f>
        <v>[46/2089] М 4.2.4 - ГОК4.2.6.1 Курск, Республиканская, 52 в п. 1</v>
      </c>
      <c r="F194" t="str">
        <f t="shared" si="93"/>
        <v>ДПТс-П-16А 2(6) 7кН (Мод:Кр,Нат)(Вол:Кр,Жел,Зел,..,Ор,Фиол)</v>
      </c>
      <c r="G194" t="str">
        <f>""</f>
        <v/>
      </c>
      <c r="H194" t="str">
        <f t="shared" si="91"/>
        <v>МС 4.2</v>
      </c>
      <c r="I194">
        <v>269</v>
      </c>
      <c r="J194">
        <v>300</v>
      </c>
      <c r="K194">
        <v>0</v>
      </c>
      <c r="L194">
        <v>300</v>
      </c>
      <c r="M194" t="str">
        <f t="shared" si="94"/>
        <v>Воздушная трасса по стойкам</v>
      </c>
      <c r="N194" t="str">
        <f t="shared" si="90"/>
        <v>03.10.20122</v>
      </c>
      <c r="O194">
        <v>10</v>
      </c>
      <c r="P194">
        <v>10</v>
      </c>
      <c r="Q194" t="str">
        <f>""</f>
        <v/>
      </c>
      <c r="R194" t="str">
        <f>"Курск, Республиканская, 52 в"</f>
        <v>Курск, Республиканская, 52 в</v>
      </c>
      <c r="S194" t="str">
        <f>""</f>
        <v/>
      </c>
      <c r="T194" t="str">
        <f>"46/2089"</f>
        <v>46/2089</v>
      </c>
      <c r="U194" t="str">
        <f t="shared" si="89"/>
        <v>Магистральная ВОЛС</v>
      </c>
      <c r="V194" t="str">
        <f t="shared" si="92"/>
        <v>Нет</v>
      </c>
      <c r="W194" t="str">
        <f t="shared" si="92"/>
        <v>Нет</v>
      </c>
      <c r="X194" t="str">
        <f t="shared" si="92"/>
        <v>Нет</v>
      </c>
      <c r="Y194" t="str">
        <f t="shared" si="92"/>
        <v>Нет</v>
      </c>
      <c r="Z194" t="str">
        <f t="shared" si="87"/>
        <v>Нет</v>
      </c>
      <c r="AA194" t="str">
        <f>""</f>
        <v/>
      </c>
      <c r="AB194" t="str">
        <f t="shared" ref="AB194:AB260" si="97">"Нет"</f>
        <v>Нет</v>
      </c>
      <c r="AC194" t="str">
        <f>"М 4.2.4 - ППК 4.2.6"</f>
        <v>М 4.2.4 - ППК 4.2.6</v>
      </c>
      <c r="AD194" t="str">
        <f t="shared" si="88"/>
        <v>02.02.2012</v>
      </c>
      <c r="AE194" t="str">
        <f>""</f>
        <v/>
      </c>
      <c r="AF194" t="str">
        <f>"[437449] М 4.2.4"</f>
        <v>[437449] М 4.2.4</v>
      </c>
      <c r="AG194" t="str">
        <f>"[439085] ГОК4.2.6.1 Курск, Республиканская, 52 в п. 1"</f>
        <v>[439085] ГОК4.2.6.1 Курск, Республиканская, 52 в п. 1</v>
      </c>
      <c r="AH194" t="str">
        <f>"М 4.2.4"</f>
        <v>М 4.2.4</v>
      </c>
      <c r="AI194" t="str">
        <f>"ППК 4.2.6"</f>
        <v>ППК 4.2.6</v>
      </c>
      <c r="AJ194" t="str">
        <f>""</f>
        <v/>
      </c>
      <c r="AK194" t="str">
        <f t="shared" si="73"/>
        <v>Нет</v>
      </c>
      <c r="AL194" t="str">
        <f>"51.743919 36.25959, 51.743599 36.25977, 51.742928 36.25959, 51.742666 36.259534, 51.742289 36.25944, 51.741857 36.259351, 51.741468 36.259263"</f>
        <v>51.743919 36.25959, 51.743599 36.25977, 51.742928 36.25959, 51.742666 36.259534, 51.742289 36.25944, 51.741857 36.259351, 51.741468 36.259263</v>
      </c>
      <c r="AM194" t="str">
        <f>"20000008004396"</f>
        <v>20000008004396</v>
      </c>
    </row>
    <row r="195" spans="1:39" x14ac:dyDescent="0.25">
      <c r="A195">
        <v>907</v>
      </c>
      <c r="B195" t="str">
        <f t="shared" si="95"/>
        <v>Курск</v>
      </c>
      <c r="C195">
        <v>843983</v>
      </c>
      <c r="D195" t="str">
        <f t="shared" si="96"/>
        <v>Оптический кабель</v>
      </c>
      <c r="E195" t="str">
        <f>"[46/2090] М 4.2.5 - ГОК4.2.7.1 Курск, Республиканская, 50 д п. 1"</f>
        <v>[46/2090] М 4.2.5 - ГОК4.2.7.1 Курск, Республиканская, 50 д п. 1</v>
      </c>
      <c r="F195" t="str">
        <f t="shared" si="93"/>
        <v>ДПТс-П-16А 2(6) 7кН (Мод:Кр,Нат)(Вол:Кр,Жел,Зел,..,Ор,Фиол)</v>
      </c>
      <c r="G195" t="str">
        <f>""</f>
        <v/>
      </c>
      <c r="H195" t="str">
        <f t="shared" si="91"/>
        <v>МС 4.2</v>
      </c>
      <c r="I195">
        <v>44</v>
      </c>
      <c r="J195">
        <v>100</v>
      </c>
      <c r="K195">
        <v>0</v>
      </c>
      <c r="L195">
        <v>100</v>
      </c>
      <c r="M195" t="str">
        <f t="shared" si="94"/>
        <v>Воздушная трасса по стойкам</v>
      </c>
      <c r="N195" t="str">
        <f t="shared" si="90"/>
        <v>03.10.20122</v>
      </c>
      <c r="O195">
        <v>10</v>
      </c>
      <c r="P195">
        <v>10</v>
      </c>
      <c r="Q195" t="str">
        <f>""</f>
        <v/>
      </c>
      <c r="R195" t="str">
        <f>"Курск, Республиканская, 50 д"</f>
        <v>Курск, Республиканская, 50 д</v>
      </c>
      <c r="S195" t="str">
        <f>""</f>
        <v/>
      </c>
      <c r="T195" t="str">
        <f>"46/2090"</f>
        <v>46/2090</v>
      </c>
      <c r="U195" t="str">
        <f t="shared" si="89"/>
        <v>Магистральная ВОЛС</v>
      </c>
      <c r="V195" t="str">
        <f t="shared" si="92"/>
        <v>Нет</v>
      </c>
      <c r="W195" t="str">
        <f t="shared" si="92"/>
        <v>Нет</v>
      </c>
      <c r="X195" t="str">
        <f t="shared" si="92"/>
        <v>Нет</v>
      </c>
      <c r="Y195" t="str">
        <f t="shared" si="92"/>
        <v>Нет</v>
      </c>
      <c r="Z195" t="str">
        <f t="shared" si="87"/>
        <v>Нет</v>
      </c>
      <c r="AA195" t="str">
        <f>""</f>
        <v/>
      </c>
      <c r="AB195" t="str">
        <f t="shared" si="97"/>
        <v>Нет</v>
      </c>
      <c r="AC195" t="str">
        <f>"М 4.2.5 - ППК 4.2.7"</f>
        <v>М 4.2.5 - ППК 4.2.7</v>
      </c>
      <c r="AD195" t="str">
        <f t="shared" si="88"/>
        <v>02.02.2012</v>
      </c>
      <c r="AE195" t="str">
        <f>""</f>
        <v/>
      </c>
      <c r="AF195" t="str">
        <f>"[437445] М 4.2.5"</f>
        <v>[437445] М 4.2.5</v>
      </c>
      <c r="AG195" t="str">
        <f>"[450633] ГОК4.2.7.1 Курск, Республиканская, 50 д п. 1"</f>
        <v>[450633] ГОК4.2.7.1 Курск, Республиканская, 50 д п. 1</v>
      </c>
      <c r="AH195" t="str">
        <f>"М 4.2.5"</f>
        <v>М 4.2.5</v>
      </c>
      <c r="AI195" t="str">
        <f>"ППК 4.2.7"</f>
        <v>ППК 4.2.7</v>
      </c>
      <c r="AJ195" t="str">
        <f>""</f>
        <v/>
      </c>
      <c r="AK195" t="str">
        <f t="shared" si="73"/>
        <v>Нет</v>
      </c>
      <c r="AL195" t="str">
        <f>"51.742149 36.258519, 51.742106 36.25858, 51.742063 36.258175, 51.742032 36.258124, 51.741993 36.258118"</f>
        <v>51.742149 36.258519, 51.742106 36.25858, 51.742063 36.258175, 51.742032 36.258124, 51.741993 36.258118</v>
      </c>
      <c r="AM195" t="str">
        <f>"20000008024534"</f>
        <v>20000008024534</v>
      </c>
    </row>
    <row r="196" spans="1:39" x14ac:dyDescent="0.25">
      <c r="A196">
        <v>907</v>
      </c>
      <c r="B196" t="str">
        <f t="shared" si="95"/>
        <v>Курск</v>
      </c>
      <c r="C196">
        <v>843986</v>
      </c>
      <c r="D196" t="str">
        <f t="shared" si="96"/>
        <v>Оптический кабель</v>
      </c>
      <c r="E196" t="str">
        <f>"[46/2091] М 4.2.6 - ГОК4.2.8.1 Курск, Республиканская, 44  п. 3"</f>
        <v>[46/2091] М 4.2.6 - ГОК4.2.8.1 Курск, Республиканская, 44  п. 3</v>
      </c>
      <c r="F196" t="str">
        <f t="shared" si="93"/>
        <v>ДПТс-П-16А 2(6) 7кН (Мод:Кр,Нат)(Вол:Кр,Жел,Зел,..,Ор,Фиол)</v>
      </c>
      <c r="G196" t="str">
        <f>""</f>
        <v/>
      </c>
      <c r="H196" t="str">
        <f t="shared" si="91"/>
        <v>МС 4.2</v>
      </c>
      <c r="I196">
        <v>108</v>
      </c>
      <c r="J196">
        <v>80</v>
      </c>
      <c r="K196">
        <v>0</v>
      </c>
      <c r="L196">
        <v>80</v>
      </c>
      <c r="M196" t="str">
        <f t="shared" si="94"/>
        <v>Воздушная трасса по стойкам</v>
      </c>
      <c r="N196" t="str">
        <f t="shared" si="90"/>
        <v>03.10.20122</v>
      </c>
      <c r="O196">
        <v>10</v>
      </c>
      <c r="P196">
        <v>10</v>
      </c>
      <c r="Q196" t="str">
        <f>""</f>
        <v/>
      </c>
      <c r="R196" t="str">
        <f>"Курск, Республиканская, 44"</f>
        <v>Курск, Республиканская, 44</v>
      </c>
      <c r="S196" t="str">
        <f>""</f>
        <v/>
      </c>
      <c r="T196" t="str">
        <f>"46/2091"</f>
        <v>46/2091</v>
      </c>
      <c r="U196" t="str">
        <f t="shared" si="89"/>
        <v>Магистральная ВОЛС</v>
      </c>
      <c r="V196" t="str">
        <f t="shared" si="92"/>
        <v>Нет</v>
      </c>
      <c r="W196" t="str">
        <f t="shared" si="92"/>
        <v>Нет</v>
      </c>
      <c r="X196" t="str">
        <f t="shared" si="92"/>
        <v>Нет</v>
      </c>
      <c r="Y196" t="str">
        <f t="shared" si="92"/>
        <v>Нет</v>
      </c>
      <c r="Z196" t="str">
        <f t="shared" si="87"/>
        <v>Нет</v>
      </c>
      <c r="AA196" t="str">
        <f>""</f>
        <v/>
      </c>
      <c r="AB196" t="str">
        <f t="shared" si="97"/>
        <v>Нет</v>
      </c>
      <c r="AC196" t="str">
        <f>"М 4.2.6 - ППК 4.2.8"</f>
        <v>М 4.2.6 - ППК 4.2.8</v>
      </c>
      <c r="AD196" t="str">
        <f t="shared" si="88"/>
        <v>02.02.2012</v>
      </c>
      <c r="AE196" t="str">
        <f>""</f>
        <v/>
      </c>
      <c r="AF196" t="str">
        <f>"[437441] М 4.2.6"</f>
        <v>[437441] М 4.2.6</v>
      </c>
      <c r="AG196" t="str">
        <f>"[439098] ГОК4.2.8.1 Курск, Республиканская, 44  п. 3"</f>
        <v>[439098] ГОК4.2.8.1 Курск, Республиканская, 44  п. 3</v>
      </c>
      <c r="AH196" t="str">
        <f>"М 4.2.6"</f>
        <v>М 4.2.6</v>
      </c>
      <c r="AI196" t="str">
        <f>"ППК 4.2.8"</f>
        <v>ППК 4.2.8</v>
      </c>
      <c r="AJ196" t="str">
        <f>""</f>
        <v/>
      </c>
      <c r="AK196" t="str">
        <f t="shared" si="73"/>
        <v>Нет</v>
      </c>
      <c r="AL196" t="str">
        <f>"51.741925 36.250835, 51.742533 36.251198, 51.742568 36.250849"</f>
        <v>51.741925 36.250835, 51.742533 36.251198, 51.742568 36.250849</v>
      </c>
      <c r="AM196" t="str">
        <f>"20000008039571"</f>
        <v>20000008039571</v>
      </c>
    </row>
    <row r="197" spans="1:39" x14ac:dyDescent="0.25">
      <c r="A197">
        <v>907</v>
      </c>
      <c r="B197" t="str">
        <f t="shared" si="95"/>
        <v>Курск</v>
      </c>
      <c r="C197">
        <v>843989</v>
      </c>
      <c r="D197" t="str">
        <f t="shared" si="96"/>
        <v>Оптический кабель</v>
      </c>
      <c r="E197" t="str">
        <f>"[46/2092] М 4.2.7 - ГОК4.2.9.1 Курск, Республиканская, 34  п. 2"</f>
        <v>[46/2092] М 4.2.7 - ГОК4.2.9.1 Курск, Республиканская, 34  п. 2</v>
      </c>
      <c r="F197" t="str">
        <f t="shared" si="93"/>
        <v>ДПТс-П-16А 2(6) 7кН (Мод:Кр,Нат)(Вол:Кр,Жел,Зел,..,Ор,Фиол)</v>
      </c>
      <c r="G197" t="str">
        <f>""</f>
        <v/>
      </c>
      <c r="H197" t="str">
        <f t="shared" si="91"/>
        <v>МС 4.2</v>
      </c>
      <c r="I197">
        <v>18</v>
      </c>
      <c r="J197">
        <v>80</v>
      </c>
      <c r="K197">
        <v>0</v>
      </c>
      <c r="L197">
        <v>80</v>
      </c>
      <c r="M197" t="str">
        <f t="shared" si="94"/>
        <v>Воздушная трасса по стойкам</v>
      </c>
      <c r="N197" t="str">
        <f t="shared" si="90"/>
        <v>03.10.20122</v>
      </c>
      <c r="O197">
        <v>10</v>
      </c>
      <c r="P197">
        <v>10</v>
      </c>
      <c r="Q197" t="str">
        <f>""</f>
        <v/>
      </c>
      <c r="R197" t="str">
        <f>"Курск, Республиканская, 34"</f>
        <v>Курск, Республиканская, 34</v>
      </c>
      <c r="S197" t="str">
        <f>""</f>
        <v/>
      </c>
      <c r="T197" t="str">
        <f>"46/2092"</f>
        <v>46/2092</v>
      </c>
      <c r="U197" t="str">
        <f t="shared" si="89"/>
        <v>Магистральная ВОЛС</v>
      </c>
      <c r="V197" t="str">
        <f t="shared" si="92"/>
        <v>Нет</v>
      </c>
      <c r="W197" t="str">
        <f t="shared" si="92"/>
        <v>Нет</v>
      </c>
      <c r="X197" t="str">
        <f t="shared" si="92"/>
        <v>Нет</v>
      </c>
      <c r="Y197" t="str">
        <f t="shared" si="92"/>
        <v>Нет</v>
      </c>
      <c r="Z197" t="str">
        <f t="shared" si="87"/>
        <v>Нет</v>
      </c>
      <c r="AA197" t="str">
        <f>""</f>
        <v/>
      </c>
      <c r="AB197" t="str">
        <f t="shared" si="97"/>
        <v>Нет</v>
      </c>
      <c r="AC197" t="str">
        <f>"М 4.2.7 - ППК 4.2.9"</f>
        <v>М 4.2.7 - ППК 4.2.9</v>
      </c>
      <c r="AD197" t="str">
        <f t="shared" si="88"/>
        <v>02.02.2012</v>
      </c>
      <c r="AE197" t="str">
        <f>""</f>
        <v/>
      </c>
      <c r="AF197" t="str">
        <f>"[437437] М 4.2.7"</f>
        <v>[437437] М 4.2.7</v>
      </c>
      <c r="AG197" t="str">
        <f>"[439111] ГОК4.2.9.1 Курск, Республиканская, 34  п. 2"</f>
        <v>[439111] ГОК4.2.9.1 Курск, Республиканская, 34  п. 2</v>
      </c>
      <c r="AH197" t="str">
        <f>"М 4.2.7"</f>
        <v>М 4.2.7</v>
      </c>
      <c r="AI197" t="str">
        <f>"ППК 4.2.9"</f>
        <v>ППК 4.2.9</v>
      </c>
      <c r="AJ197" t="str">
        <f>""</f>
        <v/>
      </c>
      <c r="AK197" t="str">
        <f t="shared" si="73"/>
        <v>Нет</v>
      </c>
      <c r="AL197" t="str">
        <f>"51.742275 36.247375, 51.742283 36.247383, 51.742385 36.247331, 51.742425 36.247362"</f>
        <v>51.742275 36.247375, 51.742283 36.247383, 51.742385 36.247331, 51.742425 36.247362</v>
      </c>
      <c r="AM197" t="str">
        <f>"20000008044503"</f>
        <v>20000008044503</v>
      </c>
    </row>
    <row r="198" spans="1:39" x14ac:dyDescent="0.25">
      <c r="A198">
        <v>907</v>
      </c>
      <c r="B198" t="str">
        <f t="shared" si="95"/>
        <v>Курск</v>
      </c>
      <c r="C198">
        <v>844923</v>
      </c>
      <c r="D198" t="str">
        <f t="shared" si="96"/>
        <v>Оптический кабель</v>
      </c>
      <c r="E198" t="str">
        <f>"[46/2106] М 2.5.7 - М 2.5.8"</f>
        <v>[46/2106] М 2.5.7 - М 2.5.8</v>
      </c>
      <c r="F198" t="str">
        <f>"ДПТа-П-64А 6(6) 7кН (Кр,Жел,Зел,..,8-Фиол,9-Бел,..,Бир,Роз)"</f>
        <v>ДПТа-П-64А 6(6) 7кН (Кр,Жел,Зел,..,8-Фиол,9-Бел,..,Бир,Роз)</v>
      </c>
      <c r="G198" t="str">
        <f>""</f>
        <v/>
      </c>
      <c r="H198" t="str">
        <f t="shared" ref="H198:H207" si="98">"МС 2.5"</f>
        <v>МС 2.5</v>
      </c>
      <c r="I198">
        <v>374</v>
      </c>
      <c r="J198">
        <v>577</v>
      </c>
      <c r="K198">
        <v>90</v>
      </c>
      <c r="L198">
        <v>577</v>
      </c>
      <c r="M198" t="str">
        <f t="shared" si="94"/>
        <v>Воздушная трасса по стойкам</v>
      </c>
      <c r="N198" t="str">
        <f t="shared" ref="N198:N207" si="99">"04.10.20122"</f>
        <v>04.10.20122</v>
      </c>
      <c r="O198">
        <v>64</v>
      </c>
      <c r="P198">
        <v>64</v>
      </c>
      <c r="Q198" t="str">
        <f>""</f>
        <v/>
      </c>
      <c r="R198" t="str">
        <f>""</f>
        <v/>
      </c>
      <c r="S198" t="str">
        <f>""</f>
        <v/>
      </c>
      <c r="T198" t="str">
        <f>"46/2106"</f>
        <v>46/2106</v>
      </c>
      <c r="U198" t="str">
        <f t="shared" si="89"/>
        <v>Магистральная ВОЛС</v>
      </c>
      <c r="V198" t="str">
        <f t="shared" si="92"/>
        <v>Нет</v>
      </c>
      <c r="W198" t="str">
        <f t="shared" si="92"/>
        <v>Нет</v>
      </c>
      <c r="X198" t="str">
        <f t="shared" si="92"/>
        <v>Нет</v>
      </c>
      <c r="Y198" t="str">
        <f t="shared" si="92"/>
        <v>Нет</v>
      </c>
      <c r="Z198" t="str">
        <f t="shared" si="87"/>
        <v>Нет</v>
      </c>
      <c r="AA198" t="str">
        <f>""</f>
        <v/>
      </c>
      <c r="AB198" t="str">
        <f t="shared" si="97"/>
        <v>Нет</v>
      </c>
      <c r="AC198" t="str">
        <f>"М 2.5.7 - М 2.5.8"</f>
        <v>М 2.5.7 - М 2.5.8</v>
      </c>
      <c r="AD198" t="str">
        <f t="shared" si="88"/>
        <v>02.02.2012</v>
      </c>
      <c r="AE198" t="str">
        <f>""</f>
        <v/>
      </c>
      <c r="AF198" t="str">
        <f>"[340472] М 2.5.7"</f>
        <v>[340472] М 2.5.7</v>
      </c>
      <c r="AG198" t="str">
        <f>"[440461] М 2.5.8"</f>
        <v>[440461] М 2.5.8</v>
      </c>
      <c r="AH198" t="str">
        <f>"М 2.5.7"</f>
        <v>М 2.5.7</v>
      </c>
      <c r="AI198" t="str">
        <f>"М 2.5.8"</f>
        <v>М 2.5.8</v>
      </c>
      <c r="AJ198" t="str">
        <f>""</f>
        <v/>
      </c>
      <c r="AK198" t="str">
        <f t="shared" si="73"/>
        <v>Нет</v>
      </c>
      <c r="AL198" t="str">
        <f>"51.724431 36.136768, 51.724295 36.136565, 51.724226 36.13519, 51.724066 36.133991, 51.723528 36.133988, 51.723534 36.133236, 51.722977 36.133118"</f>
        <v>51.724431 36.136768, 51.724295 36.136565, 51.724226 36.13519, 51.724066 36.133991, 51.723528 36.133988, 51.723534 36.133236, 51.722977 36.133118</v>
      </c>
      <c r="AM198" t="str">
        <f>"20000008036623"</f>
        <v>20000008036623</v>
      </c>
    </row>
    <row r="199" spans="1:39" x14ac:dyDescent="0.25">
      <c r="A199">
        <v>907</v>
      </c>
      <c r="B199" t="str">
        <f t="shared" si="95"/>
        <v>Курск</v>
      </c>
      <c r="C199">
        <v>844928</v>
      </c>
      <c r="D199" t="str">
        <f t="shared" si="96"/>
        <v>Оптический кабель</v>
      </c>
      <c r="E199" t="str">
        <f>"[46/2107] М 2.5.8 - М 2.5.9"</f>
        <v>[46/2107] М 2.5.8 - М 2.5.9</v>
      </c>
      <c r="F199" t="str">
        <f>"ДПТа-П-64А 6(6) 7кН (Кр,Жел,Зел,..,8-Фиол,9-Бел,..,Бир,Роз)"</f>
        <v>ДПТа-П-64А 6(6) 7кН (Кр,Жел,Зел,..,8-Фиол,9-Бел,..,Бир,Роз)</v>
      </c>
      <c r="G199" t="str">
        <f>""</f>
        <v/>
      </c>
      <c r="H199" t="str">
        <f t="shared" si="98"/>
        <v>МС 2.5</v>
      </c>
      <c r="I199">
        <v>228</v>
      </c>
      <c r="J199">
        <v>264</v>
      </c>
      <c r="K199">
        <v>0</v>
      </c>
      <c r="L199">
        <v>264</v>
      </c>
      <c r="M199" t="str">
        <f t="shared" si="94"/>
        <v>Воздушная трасса по стойкам</v>
      </c>
      <c r="N199" t="str">
        <f t="shared" si="99"/>
        <v>04.10.20122</v>
      </c>
      <c r="O199">
        <v>64</v>
      </c>
      <c r="P199">
        <v>64</v>
      </c>
      <c r="Q199" t="str">
        <f>""</f>
        <v/>
      </c>
      <c r="R199" t="str">
        <f>""</f>
        <v/>
      </c>
      <c r="S199" t="str">
        <f>""</f>
        <v/>
      </c>
      <c r="T199" t="str">
        <f>"46/2107"</f>
        <v>46/2107</v>
      </c>
      <c r="U199" t="str">
        <f t="shared" si="89"/>
        <v>Магистральная ВОЛС</v>
      </c>
      <c r="V199" t="str">
        <f t="shared" si="92"/>
        <v>Нет</v>
      </c>
      <c r="W199" t="str">
        <f t="shared" si="92"/>
        <v>Нет</v>
      </c>
      <c r="X199" t="str">
        <f t="shared" si="92"/>
        <v>Нет</v>
      </c>
      <c r="Y199" t="str">
        <f t="shared" si="92"/>
        <v>Нет</v>
      </c>
      <c r="Z199" t="str">
        <f t="shared" si="87"/>
        <v>Нет</v>
      </c>
      <c r="AA199" t="str">
        <f>""</f>
        <v/>
      </c>
      <c r="AB199" t="str">
        <f t="shared" si="97"/>
        <v>Нет</v>
      </c>
      <c r="AC199" t="str">
        <f>"М 2.5.8 - М 2.5.9"</f>
        <v>М 2.5.8 - М 2.5.9</v>
      </c>
      <c r="AD199" t="str">
        <f t="shared" si="88"/>
        <v>02.02.2012</v>
      </c>
      <c r="AE199" t="str">
        <f>""</f>
        <v/>
      </c>
      <c r="AF199" t="str">
        <f>"[440461] М 2.5.8"</f>
        <v>[440461] М 2.5.8</v>
      </c>
      <c r="AG199" t="str">
        <f>"[440457] М 2.5.9"</f>
        <v>[440457] М 2.5.9</v>
      </c>
      <c r="AH199" t="str">
        <f>"М 2.5.8"</f>
        <v>М 2.5.8</v>
      </c>
      <c r="AI199" t="str">
        <f>"М 2.5.9"</f>
        <v>М 2.5.9</v>
      </c>
      <c r="AJ199" t="str">
        <f>""</f>
        <v/>
      </c>
      <c r="AK199" t="str">
        <f t="shared" si="73"/>
        <v>Нет</v>
      </c>
      <c r="AL199" t="str">
        <f>"51.722929 36.133079, 51.721165 36.131378"</f>
        <v>51.722929 36.133079, 51.721165 36.131378</v>
      </c>
      <c r="AM199" t="str">
        <f>"20000008036622"</f>
        <v>20000008036622</v>
      </c>
    </row>
    <row r="200" spans="1:39" x14ac:dyDescent="0.25">
      <c r="A200">
        <v>907</v>
      </c>
      <c r="B200" t="str">
        <f t="shared" si="95"/>
        <v>Курск</v>
      </c>
      <c r="C200">
        <v>844933</v>
      </c>
      <c r="D200" t="str">
        <f t="shared" si="96"/>
        <v>Оптический кабель</v>
      </c>
      <c r="E200" t="str">
        <f>"[46/2108] М 2.5.9 - ГОК2.5.4.1 Курск, Вячеслава Клыкова Пр-Кт, 51 под1и2 п. 2"</f>
        <v>[46/2108] М 2.5.9 - ГОК2.5.4.1 Курск, Вячеслава Клыкова Пр-Кт, 51 под1и2 п. 2</v>
      </c>
      <c r="F200" t="str">
        <f>"ДПТс-П-16А 2(6) 7кН (Мод:Кр,Нат)(Вол:Кр,Жел,Зел,..,Ор,Фиол)"</f>
        <v>ДПТс-П-16А 2(6) 7кН (Мод:Кр,Нат)(Вол:Кр,Жел,Зел,..,Ор,Фиол)</v>
      </c>
      <c r="G200" t="str">
        <f>""</f>
        <v/>
      </c>
      <c r="H200" t="str">
        <f t="shared" si="98"/>
        <v>МС 2.5</v>
      </c>
      <c r="I200">
        <v>54</v>
      </c>
      <c r="J200">
        <v>120</v>
      </c>
      <c r="K200">
        <v>0</v>
      </c>
      <c r="L200">
        <v>120</v>
      </c>
      <c r="M200" t="str">
        <f t="shared" si="94"/>
        <v>Воздушная трасса по стойкам</v>
      </c>
      <c r="N200" t="str">
        <f t="shared" si="99"/>
        <v>04.10.20122</v>
      </c>
      <c r="O200">
        <v>14</v>
      </c>
      <c r="P200">
        <v>14</v>
      </c>
      <c r="Q200" t="str">
        <f>""</f>
        <v/>
      </c>
      <c r="R200" t="str">
        <f>"Курск, Вячеслава Клыкова Пр-Кт, 51 под1и2"</f>
        <v>Курск, Вячеслава Клыкова Пр-Кт, 51 под1и2</v>
      </c>
      <c r="S200" t="str">
        <f>""</f>
        <v/>
      </c>
      <c r="T200" t="str">
        <f>"46/2108"</f>
        <v>46/2108</v>
      </c>
      <c r="U200" t="str">
        <f t="shared" si="89"/>
        <v>Магистральная ВОЛС</v>
      </c>
      <c r="V200" t="str">
        <f t="shared" si="92"/>
        <v>Нет</v>
      </c>
      <c r="W200" t="str">
        <f t="shared" si="92"/>
        <v>Нет</v>
      </c>
      <c r="X200" t="str">
        <f t="shared" si="92"/>
        <v>Нет</v>
      </c>
      <c r="Y200" t="str">
        <f t="shared" si="92"/>
        <v>Нет</v>
      </c>
      <c r="Z200" t="str">
        <f t="shared" si="87"/>
        <v>Нет</v>
      </c>
      <c r="AA200" t="str">
        <f>""</f>
        <v/>
      </c>
      <c r="AB200" t="str">
        <f t="shared" si="97"/>
        <v>Нет</v>
      </c>
      <c r="AC200" t="str">
        <f>"М 2.5.9 - ППК 2.5.9"</f>
        <v>М 2.5.9 - ППК 2.5.9</v>
      </c>
      <c r="AD200" t="str">
        <f t="shared" si="88"/>
        <v>02.02.2012</v>
      </c>
      <c r="AE200" t="str">
        <f>""</f>
        <v/>
      </c>
      <c r="AF200" t="str">
        <f>"[440457] М 2.5.9"</f>
        <v>[440457] М 2.5.9</v>
      </c>
      <c r="AG200" t="str">
        <f>"[440898] ГОК2.5.4.1 Курск, Вячеслава Клыкова Пр-Кт, 51 под1и2 п. 2"</f>
        <v>[440898] ГОК2.5.4.1 Курск, Вячеслава Клыкова Пр-Кт, 51 под1и2 п. 2</v>
      </c>
      <c r="AH200" t="str">
        <f>"М 2.5.9"</f>
        <v>М 2.5.9</v>
      </c>
      <c r="AI200" t="str">
        <f>"ППК 2.5.9"</f>
        <v>ППК 2.5.9</v>
      </c>
      <c r="AJ200" t="str">
        <f>""</f>
        <v/>
      </c>
      <c r="AK200" t="str">
        <f t="shared" si="73"/>
        <v>Нет</v>
      </c>
      <c r="AL200" t="str">
        <f>"51.721122 36.13138, 51.720989 36.132132"</f>
        <v>51.721122 36.13138, 51.720989 36.132132</v>
      </c>
      <c r="AM200" t="str">
        <f>"20000008035576"</f>
        <v>20000008035576</v>
      </c>
    </row>
    <row r="201" spans="1:39" x14ac:dyDescent="0.25">
      <c r="A201">
        <v>907</v>
      </c>
      <c r="B201" t="str">
        <f t="shared" si="95"/>
        <v>Курск</v>
      </c>
      <c r="C201">
        <v>844936</v>
      </c>
      <c r="D201" t="str">
        <f t="shared" si="96"/>
        <v>Оптический кабель</v>
      </c>
      <c r="E201" t="str">
        <f>"[46/2109] М 2.5.9 - ГОК2.5.9.1 Курск, Вячеслава Клыкова Пр-Кт, 51 под3и4 п. 3"</f>
        <v>[46/2109] М 2.5.9 - ГОК2.5.9.1 Курск, Вячеслава Клыкова Пр-Кт, 51 под3и4 п. 3</v>
      </c>
      <c r="F201" t="str">
        <f>"ДПТс-П-16А 2(6) 7кН (Мод:Кр,Нат)(Вол:Кр,Жел,Зел,..,Ор,Фиол)"</f>
        <v>ДПТс-П-16А 2(6) 7кН (Мод:Кр,Нат)(Вол:Кр,Жел,Зел,..,Ор,Фиол)</v>
      </c>
      <c r="G201" t="str">
        <f>""</f>
        <v/>
      </c>
      <c r="H201" t="str">
        <f t="shared" si="98"/>
        <v>МС 2.5</v>
      </c>
      <c r="I201">
        <v>64</v>
      </c>
      <c r="J201">
        <v>126</v>
      </c>
      <c r="K201">
        <v>0</v>
      </c>
      <c r="L201">
        <v>126</v>
      </c>
      <c r="M201" t="str">
        <f t="shared" si="94"/>
        <v>Воздушная трасса по стойкам</v>
      </c>
      <c r="N201" t="str">
        <f t="shared" si="99"/>
        <v>04.10.20122</v>
      </c>
      <c r="O201">
        <v>15</v>
      </c>
      <c r="P201">
        <v>14</v>
      </c>
      <c r="Q201" t="str">
        <f>""</f>
        <v/>
      </c>
      <c r="R201" t="str">
        <f>"Курск, Вячеслава Клыкова Пр-Кт, 51 под3и4"</f>
        <v>Курск, Вячеслава Клыкова Пр-Кт, 51 под3и4</v>
      </c>
      <c r="S201" t="str">
        <f>""</f>
        <v/>
      </c>
      <c r="T201" t="str">
        <f>"46/2109"</f>
        <v>46/2109</v>
      </c>
      <c r="U201" t="str">
        <f t="shared" si="89"/>
        <v>Магистральная ВОЛС</v>
      </c>
      <c r="V201" t="str">
        <f t="shared" si="92"/>
        <v>Нет</v>
      </c>
      <c r="W201" t="str">
        <f t="shared" si="92"/>
        <v>Нет</v>
      </c>
      <c r="X201" t="str">
        <f t="shared" si="92"/>
        <v>Нет</v>
      </c>
      <c r="Y201" t="str">
        <f t="shared" si="92"/>
        <v>Нет</v>
      </c>
      <c r="Z201" t="str">
        <f t="shared" si="87"/>
        <v>Нет</v>
      </c>
      <c r="AA201" t="str">
        <f>""</f>
        <v/>
      </c>
      <c r="AB201" t="str">
        <f t="shared" si="97"/>
        <v>Нет</v>
      </c>
      <c r="AC201" t="str">
        <f>"М 2.5.9 - ППК 2.5.4"</f>
        <v>М 2.5.9 - ППК 2.5.4</v>
      </c>
      <c r="AD201" t="str">
        <f t="shared" si="88"/>
        <v>02.02.2012</v>
      </c>
      <c r="AE201" t="str">
        <f>""</f>
        <v/>
      </c>
      <c r="AF201" t="str">
        <f>"[440457] М 2.5.9"</f>
        <v>[440457] М 2.5.9</v>
      </c>
      <c r="AG201" t="str">
        <f>"[440872] ГОК2.5.9.1 Курск, Вячеслава Клыкова Пр-Кт, 51 под3и4 п. 3"</f>
        <v>[440872] ГОК2.5.9.1 Курск, Вячеслава Клыкова Пр-Кт, 51 под3и4 п. 3</v>
      </c>
      <c r="AH201" t="str">
        <f>"М 2.5.9"</f>
        <v>М 2.5.9</v>
      </c>
      <c r="AI201" t="str">
        <f>"ППК 2.5.4"</f>
        <v>ППК 2.5.4</v>
      </c>
      <c r="AJ201" t="str">
        <f>""</f>
        <v/>
      </c>
      <c r="AK201" t="str">
        <f t="shared" si="73"/>
        <v>Нет</v>
      </c>
      <c r="AL201" t="str">
        <f>"51.721131 36.131407, 51.720923 36.132278"</f>
        <v>51.721131 36.131407, 51.720923 36.132278</v>
      </c>
      <c r="AM201" t="str">
        <f>"20000008004388"</f>
        <v>20000008004388</v>
      </c>
    </row>
    <row r="202" spans="1:39" x14ac:dyDescent="0.25">
      <c r="A202">
        <v>907</v>
      </c>
      <c r="B202" t="str">
        <f t="shared" si="95"/>
        <v>Курск</v>
      </c>
      <c r="C202">
        <v>844943</v>
      </c>
      <c r="D202" t="str">
        <f t="shared" si="96"/>
        <v>Оптический кабель</v>
      </c>
      <c r="E202" t="str">
        <f>"[46/2110] М 2.5.9 - М 2.5.10"</f>
        <v>[46/2110] М 2.5.9 - М 2.5.10</v>
      </c>
      <c r="F202" t="str">
        <f>"ДПТа-П-64А 6(6) 7кН (Кр,Жел,Зел,..,8-Фиол,9-Бел,..,Бир,Роз)"</f>
        <v>ДПТа-П-64А 6(6) 7кН (Кр,Жел,Зел,..,8-Фиол,9-Бел,..,Бир,Роз)</v>
      </c>
      <c r="G202" t="str">
        <f>""</f>
        <v/>
      </c>
      <c r="H202" t="str">
        <f t="shared" si="98"/>
        <v>МС 2.5</v>
      </c>
      <c r="I202">
        <v>287</v>
      </c>
      <c r="J202">
        <v>310</v>
      </c>
      <c r="K202">
        <v>0</v>
      </c>
      <c r="L202">
        <v>310</v>
      </c>
      <c r="M202" t="str">
        <f t="shared" si="94"/>
        <v>Воздушная трасса по стойкам</v>
      </c>
      <c r="N202" t="str">
        <f t="shared" si="99"/>
        <v>04.10.20122</v>
      </c>
      <c r="O202">
        <v>64</v>
      </c>
      <c r="P202">
        <v>64</v>
      </c>
      <c r="Q202" t="str">
        <f>""</f>
        <v/>
      </c>
      <c r="R202" t="str">
        <f>""</f>
        <v/>
      </c>
      <c r="S202" t="str">
        <f>""</f>
        <v/>
      </c>
      <c r="T202" t="str">
        <f>"46/2110"</f>
        <v>46/2110</v>
      </c>
      <c r="U202" t="str">
        <f t="shared" si="89"/>
        <v>Магистральная ВОЛС</v>
      </c>
      <c r="V202" t="str">
        <f t="shared" si="92"/>
        <v>Нет</v>
      </c>
      <c r="W202" t="str">
        <f t="shared" si="92"/>
        <v>Нет</v>
      </c>
      <c r="X202" t="str">
        <f t="shared" si="92"/>
        <v>Нет</v>
      </c>
      <c r="Y202" t="str">
        <f t="shared" si="92"/>
        <v>Нет</v>
      </c>
      <c r="Z202" t="str">
        <f t="shared" si="87"/>
        <v>Нет</v>
      </c>
      <c r="AA202" t="str">
        <f>""</f>
        <v/>
      </c>
      <c r="AB202" t="str">
        <f t="shared" si="97"/>
        <v>Нет</v>
      </c>
      <c r="AC202" t="str">
        <f>"М 2.5.9 - М 2.5.10"</f>
        <v>М 2.5.9 - М 2.5.10</v>
      </c>
      <c r="AD202" t="str">
        <f t="shared" si="88"/>
        <v>02.02.2012</v>
      </c>
      <c r="AE202" t="str">
        <f>""</f>
        <v/>
      </c>
      <c r="AF202" t="str">
        <f>"[440457] М 2.5.9"</f>
        <v>[440457] М 2.5.9</v>
      </c>
      <c r="AG202" t="str">
        <f>"[440453] М 2.5.10"</f>
        <v>[440453] М 2.5.10</v>
      </c>
      <c r="AH202" t="str">
        <f>"М 2.5.9"</f>
        <v>М 2.5.9</v>
      </c>
      <c r="AI202" t="str">
        <f>"М 2.5.10"</f>
        <v>М 2.5.10</v>
      </c>
      <c r="AJ202" t="str">
        <f>""</f>
        <v/>
      </c>
      <c r="AK202" t="str">
        <f t="shared" si="73"/>
        <v>Нет</v>
      </c>
      <c r="AL202" t="str">
        <f>"51.721137 36.131393, 51.721141 36.131494, 51.720937 36.132605, 51.722645 36.133512"</f>
        <v>51.721137 36.131393, 51.721141 36.131494, 51.720937 36.132605, 51.722645 36.133512</v>
      </c>
      <c r="AM202" t="str">
        <f>"20000008007471"</f>
        <v>20000008007471</v>
      </c>
    </row>
    <row r="203" spans="1:39" x14ac:dyDescent="0.25">
      <c r="A203">
        <v>907</v>
      </c>
      <c r="B203" t="str">
        <f t="shared" si="95"/>
        <v>Курск</v>
      </c>
      <c r="C203">
        <v>844948</v>
      </c>
      <c r="D203" t="str">
        <f t="shared" si="96"/>
        <v>Оптический кабель</v>
      </c>
      <c r="E203" t="str">
        <f>"[46/2111] М 2.5.10 - М 2.5.14"</f>
        <v>[46/2111] М 2.5.10 - М 2.5.14</v>
      </c>
      <c r="F203" t="str">
        <f>"ДПТа-П-64А 6(6) 7кН (Кр,Жел,Зел,..,8-Фиол,9-Бел,..,Бир,Роз)"</f>
        <v>ДПТа-П-64А 6(6) 7кН (Кр,Жел,Зел,..,8-Фиол,9-Бел,..,Бир,Роз)</v>
      </c>
      <c r="G203" t="str">
        <f>""</f>
        <v/>
      </c>
      <c r="H203" t="str">
        <f t="shared" si="98"/>
        <v>МС 2.5</v>
      </c>
      <c r="I203">
        <v>223</v>
      </c>
      <c r="J203">
        <v>350</v>
      </c>
      <c r="K203">
        <v>80</v>
      </c>
      <c r="L203">
        <v>350</v>
      </c>
      <c r="M203" t="str">
        <f t="shared" si="94"/>
        <v>Воздушная трасса по стойкам</v>
      </c>
      <c r="N203" t="str">
        <f t="shared" si="99"/>
        <v>04.10.20122</v>
      </c>
      <c r="O203">
        <v>64</v>
      </c>
      <c r="P203">
        <v>64</v>
      </c>
      <c r="Q203" t="str">
        <f>""</f>
        <v/>
      </c>
      <c r="R203" t="str">
        <f>""</f>
        <v/>
      </c>
      <c r="S203" t="str">
        <f>""</f>
        <v/>
      </c>
      <c r="T203" t="str">
        <f>"46/2111"</f>
        <v>46/2111</v>
      </c>
      <c r="U203" t="str">
        <f t="shared" si="89"/>
        <v>Магистральная ВОЛС</v>
      </c>
      <c r="V203" t="str">
        <f t="shared" si="92"/>
        <v>Нет</v>
      </c>
      <c r="W203" t="str">
        <f t="shared" si="92"/>
        <v>Нет</v>
      </c>
      <c r="X203" t="str">
        <f t="shared" si="92"/>
        <v>Нет</v>
      </c>
      <c r="Y203" t="str">
        <f t="shared" si="92"/>
        <v>Нет</v>
      </c>
      <c r="Z203" t="str">
        <f t="shared" si="87"/>
        <v>Нет</v>
      </c>
      <c r="AA203" t="str">
        <f>""</f>
        <v/>
      </c>
      <c r="AB203" t="str">
        <f t="shared" si="97"/>
        <v>Нет</v>
      </c>
      <c r="AC203" t="str">
        <f>"М 2.5.10 - М 2.5.14"</f>
        <v>М 2.5.10 - М 2.5.14</v>
      </c>
      <c r="AD203" t="str">
        <f t="shared" si="88"/>
        <v>02.02.2012</v>
      </c>
      <c r="AE203" t="str">
        <f>""</f>
        <v/>
      </c>
      <c r="AF203" t="str">
        <f>"[440453] М 2.5.10"</f>
        <v>[440453] М 2.5.10</v>
      </c>
      <c r="AG203" t="str">
        <f>"[440449] М 2.5.14"</f>
        <v>[440449] М 2.5.14</v>
      </c>
      <c r="AH203" t="str">
        <f>"М 2.5.10"</f>
        <v>М 2.5.10</v>
      </c>
      <c r="AI203" t="str">
        <f>"М 2.5.14"</f>
        <v>М 2.5.14</v>
      </c>
      <c r="AJ203" t="str">
        <f>""</f>
        <v/>
      </c>
      <c r="AK203" t="str">
        <f t="shared" si="73"/>
        <v>Нет</v>
      </c>
      <c r="AL203" t="str">
        <f>"51.722652 36.133526, 51.722681 36.134373, 51.723164 36.134354, 51.72323 36.135148, 51.72315 36.135561, 51.723326 36.135797"</f>
        <v>51.722652 36.133526, 51.722681 36.134373, 51.723164 36.134354, 51.72323 36.135148, 51.72315 36.135561, 51.723326 36.135797</v>
      </c>
      <c r="AM203" t="str">
        <f>"20000008040502"</f>
        <v>20000008040502</v>
      </c>
    </row>
    <row r="204" spans="1:39" x14ac:dyDescent="0.25">
      <c r="A204">
        <v>907</v>
      </c>
      <c r="B204" t="str">
        <f t="shared" si="95"/>
        <v>Курск</v>
      </c>
      <c r="C204">
        <v>844963</v>
      </c>
      <c r="D204" t="str">
        <f t="shared" si="96"/>
        <v>Оптический кабель</v>
      </c>
      <c r="E204" t="str">
        <f>"[46/2112] М 2.5.14 - ГОК2.5.5.1 Курск, Вячеслава Клыкова Пр-Кт, 1  п. 1"</f>
        <v>[46/2112] М 2.5.14 - ГОК2.5.5.1 Курск, Вячеслава Клыкова Пр-Кт, 1  п. 1</v>
      </c>
      <c r="F204" t="str">
        <f>"ДПТс-П-16А 2(6) 7кН (Мод:Кр,Нат)(Вол:Кр,Жел,Зел,..,Ор,Фиол)"</f>
        <v>ДПТс-П-16А 2(6) 7кН (Мод:Кр,Нат)(Вол:Кр,Жел,Зел,..,Ор,Фиол)</v>
      </c>
      <c r="G204" t="str">
        <f>""</f>
        <v/>
      </c>
      <c r="H204" t="str">
        <f t="shared" si="98"/>
        <v>МС 2.5</v>
      </c>
      <c r="I204">
        <v>131</v>
      </c>
      <c r="J204">
        <v>247</v>
      </c>
      <c r="K204">
        <v>50</v>
      </c>
      <c r="L204">
        <v>247</v>
      </c>
      <c r="M204" t="str">
        <f t="shared" si="94"/>
        <v>Воздушная трасса по стойкам</v>
      </c>
      <c r="N204" t="str">
        <f t="shared" si="99"/>
        <v>04.10.20122</v>
      </c>
      <c r="O204">
        <v>10</v>
      </c>
      <c r="P204">
        <v>7</v>
      </c>
      <c r="Q204" t="str">
        <f>""</f>
        <v/>
      </c>
      <c r="R204" t="str">
        <f>"Курск, Вячеслава Клыкова Пр-Кт, 1"</f>
        <v>Курск, Вячеслава Клыкова Пр-Кт, 1</v>
      </c>
      <c r="S204" t="str">
        <f>""</f>
        <v/>
      </c>
      <c r="T204" t="str">
        <f>"46/2112"</f>
        <v>46/2112</v>
      </c>
      <c r="U204" t="str">
        <f t="shared" si="89"/>
        <v>Магистральная ВОЛС</v>
      </c>
      <c r="V204" t="str">
        <f t="shared" si="92"/>
        <v>Нет</v>
      </c>
      <c r="W204" t="str">
        <f t="shared" si="92"/>
        <v>Нет</v>
      </c>
      <c r="X204" t="str">
        <f t="shared" si="92"/>
        <v>Нет</v>
      </c>
      <c r="Y204" t="str">
        <f t="shared" si="92"/>
        <v>Нет</v>
      </c>
      <c r="Z204" t="str">
        <f t="shared" si="87"/>
        <v>Нет</v>
      </c>
      <c r="AA204" t="str">
        <f>""</f>
        <v/>
      </c>
      <c r="AB204" t="str">
        <f t="shared" si="97"/>
        <v>Нет</v>
      </c>
      <c r="AC204" t="str">
        <f>"М 2.5.14 - ППК 2.5.5"</f>
        <v>М 2.5.14 - ППК 2.5.5</v>
      </c>
      <c r="AD204" t="str">
        <f t="shared" si="88"/>
        <v>02.02.2012</v>
      </c>
      <c r="AE204" t="str">
        <f>""</f>
        <v/>
      </c>
      <c r="AF204" t="str">
        <f>"[440449] М 2.5.14"</f>
        <v>[440449] М 2.5.14</v>
      </c>
      <c r="AG204" t="str">
        <f>"[440885] ГОК2.5.5.1 Курск, Вячеслава Клыкова Пр-Кт, 1  п. 1"</f>
        <v>[440885] ГОК2.5.5.1 Курск, Вячеслава Клыкова Пр-Кт, 1  п. 1</v>
      </c>
      <c r="AH204" t="str">
        <f>"М 2.5.14"</f>
        <v>М 2.5.14</v>
      </c>
      <c r="AI204" t="str">
        <f>"ППК 2.5.5"</f>
        <v>ППК 2.5.5</v>
      </c>
      <c r="AJ204" t="str">
        <f>""</f>
        <v/>
      </c>
      <c r="AK204" t="str">
        <f t="shared" ref="AK204:AK267" si="100">"Нет"</f>
        <v>Нет</v>
      </c>
      <c r="AL204" t="str">
        <f>"51.723336 36.135786, 51.723177 36.135545, 51.723263 36.135164, 51.723185 36.134218, 51.723067 36.134247"</f>
        <v>51.723336 36.135786, 51.723177 36.135545, 51.723263 36.135164, 51.723185 36.134218, 51.723067 36.134247</v>
      </c>
      <c r="AM204" t="str">
        <f>"20000008015718"</f>
        <v>20000008015718</v>
      </c>
    </row>
    <row r="205" spans="1:39" x14ac:dyDescent="0.25">
      <c r="A205">
        <v>907</v>
      </c>
      <c r="B205" t="str">
        <f t="shared" si="95"/>
        <v>Курск</v>
      </c>
      <c r="C205">
        <v>844966</v>
      </c>
      <c r="D205" t="str">
        <f t="shared" si="96"/>
        <v>Оптический кабель</v>
      </c>
      <c r="E205" t="str">
        <f>"[46/2113] М2.5.15 - М 2.5.11"</f>
        <v>[46/2113] М2.5.15 - М 2.5.11</v>
      </c>
      <c r="F205" t="str">
        <f>"ДПТа-П-64А 6(6) 7кН (Кр,Жел,Зел,..,8-Фиол,9-Бел,..,Бир,Роз)"</f>
        <v>ДПТа-П-64А 6(6) 7кН (Кр,Жел,Зел,..,8-Фиол,9-Бел,..,Бир,Роз)</v>
      </c>
      <c r="G205" t="str">
        <f>""</f>
        <v/>
      </c>
      <c r="H205" t="str">
        <f t="shared" si="98"/>
        <v>МС 2.5</v>
      </c>
      <c r="I205">
        <v>135</v>
      </c>
      <c r="J205">
        <v>225</v>
      </c>
      <c r="K205">
        <v>0</v>
      </c>
      <c r="L205">
        <v>225</v>
      </c>
      <c r="M205" t="str">
        <f t="shared" si="94"/>
        <v>Воздушная трасса по стойкам</v>
      </c>
      <c r="N205" t="str">
        <f t="shared" si="99"/>
        <v>04.10.20122</v>
      </c>
      <c r="O205">
        <v>64</v>
      </c>
      <c r="P205">
        <v>64</v>
      </c>
      <c r="Q205" t="str">
        <f>""</f>
        <v/>
      </c>
      <c r="R205" t="str">
        <f>""</f>
        <v/>
      </c>
      <c r="S205" t="str">
        <f>""</f>
        <v/>
      </c>
      <c r="T205" t="str">
        <f>"46/2113"</f>
        <v>46/2113</v>
      </c>
      <c r="U205" t="str">
        <f t="shared" si="89"/>
        <v>Магистральная ВОЛС</v>
      </c>
      <c r="V205" t="str">
        <f t="shared" si="92"/>
        <v>Нет</v>
      </c>
      <c r="W205" t="str">
        <f t="shared" si="92"/>
        <v>Нет</v>
      </c>
      <c r="X205" t="str">
        <f t="shared" si="92"/>
        <v>Нет</v>
      </c>
      <c r="Y205" t="str">
        <f t="shared" si="92"/>
        <v>Нет</v>
      </c>
      <c r="Z205" t="str">
        <f t="shared" si="87"/>
        <v>Нет</v>
      </c>
      <c r="AA205" t="str">
        <f>""</f>
        <v/>
      </c>
      <c r="AB205" t="str">
        <f t="shared" si="97"/>
        <v>Нет</v>
      </c>
      <c r="AC205" t="str">
        <f>"М 2.5.14 - М 2.5.11"</f>
        <v>М 2.5.14 - М 2.5.11</v>
      </c>
      <c r="AD205" t="str">
        <f t="shared" si="88"/>
        <v>02.02.2012</v>
      </c>
      <c r="AE205" t="str">
        <f>""</f>
        <v/>
      </c>
      <c r="AF205" t="str">
        <f>"[508666] М2.5.15"</f>
        <v>[508666] М2.5.15</v>
      </c>
      <c r="AG205" t="str">
        <f>"[440445] М 2.5.11"</f>
        <v>[440445] М 2.5.11</v>
      </c>
      <c r="AH205" t="str">
        <f>"М 2.5.14"</f>
        <v>М 2.5.14</v>
      </c>
      <c r="AI205" t="str">
        <f>"М 2.5.11"</f>
        <v>М 2.5.11</v>
      </c>
      <c r="AJ205" t="str">
        <f>""</f>
        <v/>
      </c>
      <c r="AK205" t="str">
        <f t="shared" si="100"/>
        <v>Нет</v>
      </c>
      <c r="AL205" t="str">
        <f>"51.723367 36.135824, 51.723022 36.137704"</f>
        <v>51.723367 36.135824, 51.723022 36.137704</v>
      </c>
      <c r="AM205" t="str">
        <f>"20000008031653"</f>
        <v>20000008031653</v>
      </c>
    </row>
    <row r="206" spans="1:39" x14ac:dyDescent="0.25">
      <c r="A206">
        <v>907</v>
      </c>
      <c r="B206" t="str">
        <f t="shared" si="95"/>
        <v>Курск</v>
      </c>
      <c r="C206">
        <v>844971</v>
      </c>
      <c r="D206" t="str">
        <f t="shared" si="96"/>
        <v>Оптический кабель</v>
      </c>
      <c r="E206" t="str">
        <f>"[46/2114] М 2.5.11 - ГОК2.5.3.1 Курск, Вячеслава Клыкова Пр-Кт, 46  п. 1"</f>
        <v>[46/2114] М 2.5.11 - ГОК2.5.3.1 Курск, Вячеслава Клыкова Пр-Кт, 46  п. 1</v>
      </c>
      <c r="F206" t="str">
        <f>"ДПТс-П-16А 2(6) 7кН (Мод:Кр,Нат)(Вол:Кр,Жел,Зел,..,Ор,Фиол)"</f>
        <v>ДПТс-П-16А 2(6) 7кН (Мод:Кр,Нат)(Вол:Кр,Жел,Зел,..,Ор,Фиол)</v>
      </c>
      <c r="G206" t="str">
        <f>""</f>
        <v/>
      </c>
      <c r="H206" t="str">
        <f t="shared" si="98"/>
        <v>МС 2.5</v>
      </c>
      <c r="I206">
        <v>225</v>
      </c>
      <c r="J206">
        <v>400</v>
      </c>
      <c r="K206">
        <v>120</v>
      </c>
      <c r="L206">
        <v>400</v>
      </c>
      <c r="M206" t="str">
        <f t="shared" si="94"/>
        <v>Воздушная трасса по стойкам</v>
      </c>
      <c r="N206" t="str">
        <f t="shared" si="99"/>
        <v>04.10.20122</v>
      </c>
      <c r="O206">
        <v>10</v>
      </c>
      <c r="P206">
        <v>10</v>
      </c>
      <c r="Q206" t="str">
        <f>""</f>
        <v/>
      </c>
      <c r="R206" t="str">
        <f>"Курск, Вячеслава Клыкова Пр-Кт, 46"</f>
        <v>Курск, Вячеслава Клыкова Пр-Кт, 46</v>
      </c>
      <c r="S206" t="str">
        <f>""</f>
        <v/>
      </c>
      <c r="T206" t="str">
        <f>"46/2114"</f>
        <v>46/2114</v>
      </c>
      <c r="U206" t="str">
        <f t="shared" si="89"/>
        <v>Магистральная ВОЛС</v>
      </c>
      <c r="V206" t="str">
        <f t="shared" si="92"/>
        <v>Нет</v>
      </c>
      <c r="W206" t="str">
        <f t="shared" si="92"/>
        <v>Нет</v>
      </c>
      <c r="X206" t="str">
        <f t="shared" si="92"/>
        <v>Нет</v>
      </c>
      <c r="Y206" t="str">
        <f t="shared" si="92"/>
        <v>Нет</v>
      </c>
      <c r="Z206" t="str">
        <f t="shared" si="87"/>
        <v>Нет</v>
      </c>
      <c r="AA206" t="str">
        <f>""</f>
        <v/>
      </c>
      <c r="AB206" t="str">
        <f t="shared" si="97"/>
        <v>Нет</v>
      </c>
      <c r="AC206" t="str">
        <f>"М 2.5.11 - ППК 2.5.3"</f>
        <v>М 2.5.11 - ППК 2.5.3</v>
      </c>
      <c r="AD206" t="str">
        <f t="shared" si="88"/>
        <v>02.02.2012</v>
      </c>
      <c r="AE206" t="str">
        <f>""</f>
        <v/>
      </c>
      <c r="AF206" t="str">
        <f>"[440445] М 2.5.11"</f>
        <v>[440445] М 2.5.11</v>
      </c>
      <c r="AG206" t="str">
        <f>"[440859] ГОК2.5.3.1 Курск, Вячеслава Клыкова Пр-Кт, 46  п. 1"</f>
        <v>[440859] ГОК2.5.3.1 Курск, Вячеслава Клыкова Пр-Кт, 46  п. 1</v>
      </c>
      <c r="AH206" t="str">
        <f>"М 2.5.11"</f>
        <v>М 2.5.11</v>
      </c>
      <c r="AI206" t="str">
        <f>"ППК 2.5.3"</f>
        <v>ППК 2.5.3</v>
      </c>
      <c r="AJ206" t="str">
        <f>""</f>
        <v/>
      </c>
      <c r="AK206" t="str">
        <f t="shared" si="100"/>
        <v>Нет</v>
      </c>
      <c r="AL206" t="str">
        <f>"51.723004 36.137684, 51.722349 36.137694, 51.72231 36.137566, 51.721994 36.137576, 51.721931 36.137646, 51.72104 36.137635"</f>
        <v>51.723004 36.137684, 51.722349 36.137694, 51.72231 36.137566, 51.721994 36.137576, 51.721931 36.137646, 51.72104 36.137635</v>
      </c>
      <c r="AM206" t="str">
        <f>"20000008030149"</f>
        <v>20000008030149</v>
      </c>
    </row>
    <row r="207" spans="1:39" x14ac:dyDescent="0.25">
      <c r="A207">
        <v>907</v>
      </c>
      <c r="B207" t="str">
        <f t="shared" si="95"/>
        <v>Курск</v>
      </c>
      <c r="C207">
        <v>844991</v>
      </c>
      <c r="D207" t="str">
        <f t="shared" si="96"/>
        <v>Оптический кабель</v>
      </c>
      <c r="E207" t="str">
        <f>"[46/2118] М 2.5.13 - ГОК2.5.1.1 Курск, Вячеслава Клыкова Пр-Кт, 2  п. 1"</f>
        <v>[46/2118] М 2.5.13 - ГОК2.5.1.1 Курск, Вячеслава Клыкова Пр-Кт, 2  п. 1</v>
      </c>
      <c r="F207" t="str">
        <f>"ДПТс-П-16А 2(6) 7кН (Мод:Кр,Нат)(Вол:Кр,Жел,Зел,..,Ор,Фиол)"</f>
        <v>ДПТс-П-16А 2(6) 7кН (Мод:Кр,Нат)(Вол:Кр,Жел,Зел,..,Ор,Фиол)</v>
      </c>
      <c r="G207" t="str">
        <f>""</f>
        <v/>
      </c>
      <c r="H207" t="str">
        <f t="shared" si="98"/>
        <v>МС 2.5</v>
      </c>
      <c r="I207">
        <v>32</v>
      </c>
      <c r="J207">
        <v>120</v>
      </c>
      <c r="K207">
        <v>0</v>
      </c>
      <c r="L207">
        <v>120</v>
      </c>
      <c r="M207" t="str">
        <f t="shared" si="94"/>
        <v>Воздушная трасса по стойкам</v>
      </c>
      <c r="N207" t="str">
        <f t="shared" si="99"/>
        <v>04.10.20122</v>
      </c>
      <c r="O207">
        <v>10</v>
      </c>
      <c r="P207">
        <v>10</v>
      </c>
      <c r="Q207" t="str">
        <f>""</f>
        <v/>
      </c>
      <c r="R207" t="str">
        <f>"Курск, Вячеслава Клыкова Пр-Кт, 2"</f>
        <v>Курск, Вячеслава Клыкова Пр-Кт, 2</v>
      </c>
      <c r="S207" t="str">
        <f>""</f>
        <v/>
      </c>
      <c r="T207" t="str">
        <f>"46/2118"</f>
        <v>46/2118</v>
      </c>
      <c r="U207" t="str">
        <f t="shared" si="89"/>
        <v>Магистральная ВОЛС</v>
      </c>
      <c r="V207" t="str">
        <f t="shared" si="92"/>
        <v>Нет</v>
      </c>
      <c r="W207" t="str">
        <f t="shared" si="92"/>
        <v>Нет</v>
      </c>
      <c r="X207" t="str">
        <f t="shared" si="92"/>
        <v>Нет</v>
      </c>
      <c r="Y207" t="str">
        <f t="shared" si="92"/>
        <v>Нет</v>
      </c>
      <c r="Z207" t="str">
        <f t="shared" si="87"/>
        <v>Нет</v>
      </c>
      <c r="AA207" t="str">
        <f>""</f>
        <v/>
      </c>
      <c r="AB207" t="str">
        <f t="shared" si="97"/>
        <v>Нет</v>
      </c>
      <c r="AC207" t="str">
        <f>"М 2.5.13 - ППК 2.5.1"</f>
        <v>М 2.5.13 - ППК 2.5.1</v>
      </c>
      <c r="AD207" t="str">
        <f t="shared" si="88"/>
        <v>02.02.2012</v>
      </c>
      <c r="AE207" t="str">
        <f>""</f>
        <v/>
      </c>
      <c r="AF207" t="str">
        <f>"[440437] М 2.5.13"</f>
        <v>[440437] М 2.5.13</v>
      </c>
      <c r="AG207" t="str">
        <f>"[440833] ГОК2.5.1.1 Курск, Вячеслава Клыкова Пр-Кт, 2  п. 1"</f>
        <v>[440833] ГОК2.5.1.1 Курск, Вячеслава Клыкова Пр-Кт, 2  п. 1</v>
      </c>
      <c r="AH207" t="str">
        <f>"М 2.5.13"</f>
        <v>М 2.5.13</v>
      </c>
      <c r="AI207" t="str">
        <f>"ППК 2.5.1"</f>
        <v>ППК 2.5.1</v>
      </c>
      <c r="AJ207" t="str">
        <f>""</f>
        <v/>
      </c>
      <c r="AK207" t="str">
        <f t="shared" si="100"/>
        <v>Нет</v>
      </c>
      <c r="AL207" t="str">
        <f>"51.726317 36.140348, 51.726055 36.140166"</f>
        <v>51.726317 36.140348, 51.726055 36.140166</v>
      </c>
      <c r="AM207" t="str">
        <f>"20000008039161"</f>
        <v>20000008039161</v>
      </c>
    </row>
    <row r="208" spans="1:39" x14ac:dyDescent="0.25">
      <c r="A208">
        <v>907</v>
      </c>
      <c r="B208" t="str">
        <f t="shared" si="95"/>
        <v>Курск</v>
      </c>
      <c r="C208">
        <v>846308</v>
      </c>
      <c r="D208" t="str">
        <f t="shared" si="96"/>
        <v>Оптический кабель</v>
      </c>
      <c r="E208" t="str">
        <f>"[46/2123] М 2.6.8 - ГОК2.6.3.1 Курск, 50 Лет Октября, 155 б п. 2"</f>
        <v>[46/2123] М 2.6.8 - ГОК2.6.3.1 Курск, 50 Лет Октября, 155 б п. 2</v>
      </c>
      <c r="F208" t="str">
        <f>"ДПТс-П-16А 2(6) 7кН (Мод:Кр,Нат)(Вол:Кр,Жел,Зел,..,Ор,Фиол)"</f>
        <v>ДПТс-П-16А 2(6) 7кН (Мод:Кр,Нат)(Вол:Кр,Жел,Зел,..,Ор,Фиол)</v>
      </c>
      <c r="G208" t="str">
        <f>""</f>
        <v/>
      </c>
      <c r="H208" t="str">
        <f t="shared" ref="H208:H215" si="101">"МС 2.6"</f>
        <v>МС 2.6</v>
      </c>
      <c r="I208">
        <v>75</v>
      </c>
      <c r="J208">
        <v>140</v>
      </c>
      <c r="K208">
        <v>0</v>
      </c>
      <c r="L208">
        <v>140</v>
      </c>
      <c r="M208" t="str">
        <f t="shared" si="94"/>
        <v>Воздушная трасса по стойкам</v>
      </c>
      <c r="N208" t="str">
        <f t="shared" ref="N208:N215" si="102">"08.10.20122"</f>
        <v>08.10.20122</v>
      </c>
      <c r="O208">
        <v>8</v>
      </c>
      <c r="P208">
        <v>8</v>
      </c>
      <c r="Q208" t="str">
        <f>""</f>
        <v/>
      </c>
      <c r="R208" t="str">
        <f>"Курск, 50 Лет Октября, 155 б"</f>
        <v>Курск, 50 Лет Октября, 155 б</v>
      </c>
      <c r="S208" t="str">
        <f>""</f>
        <v/>
      </c>
      <c r="T208" t="str">
        <f>"46/2123"</f>
        <v>46/2123</v>
      </c>
      <c r="U208" t="str">
        <f t="shared" si="89"/>
        <v>Магистральная ВОЛС</v>
      </c>
      <c r="V208" t="str">
        <f t="shared" ref="V208:Y227" si="103">"Нет"</f>
        <v>Нет</v>
      </c>
      <c r="W208" t="str">
        <f t="shared" si="103"/>
        <v>Нет</v>
      </c>
      <c r="X208" t="str">
        <f t="shared" si="103"/>
        <v>Нет</v>
      </c>
      <c r="Y208" t="str">
        <f t="shared" si="103"/>
        <v>Нет</v>
      </c>
      <c r="Z208" t="str">
        <f t="shared" si="87"/>
        <v>Нет</v>
      </c>
      <c r="AA208" t="str">
        <f>""</f>
        <v/>
      </c>
      <c r="AB208" t="str">
        <f t="shared" si="97"/>
        <v>Нет</v>
      </c>
      <c r="AC208" t="str">
        <f>"М 2.6.8 - ППК 2.6.3"</f>
        <v>М 2.6.8 - ППК 2.6.3</v>
      </c>
      <c r="AD208" t="str">
        <f t="shared" si="88"/>
        <v>02.02.2012</v>
      </c>
      <c r="AE208" t="str">
        <f>""</f>
        <v/>
      </c>
      <c r="AF208" t="str">
        <f>"[443245] М 2.6.8"</f>
        <v>[443245] М 2.6.8</v>
      </c>
      <c r="AG208" t="str">
        <f>"[450246] ГОК2.6.3.1 Курск, 50 Лет Октября, 155 б п. 2"</f>
        <v>[450246] ГОК2.6.3.1 Курск, 50 Лет Октября, 155 б п. 2</v>
      </c>
      <c r="AH208" t="str">
        <f>"М 2.6.8"</f>
        <v>М 2.6.8</v>
      </c>
      <c r="AI208" t="str">
        <f>"ППК 2.6.3"</f>
        <v>ППК 2.6.3</v>
      </c>
      <c r="AJ208" t="str">
        <f>""</f>
        <v/>
      </c>
      <c r="AK208" t="str">
        <f t="shared" si="100"/>
        <v>Нет</v>
      </c>
      <c r="AL208" t="str">
        <f>"51.740052 36.14929, 51.740141 36.149601, 51.740407 36.150207"</f>
        <v>51.740052 36.14929, 51.740141 36.149601, 51.740407 36.150207</v>
      </c>
      <c r="AM208" t="str">
        <f>"20000008039158"</f>
        <v>20000008039158</v>
      </c>
    </row>
    <row r="209" spans="1:39" x14ac:dyDescent="0.25">
      <c r="A209">
        <v>907</v>
      </c>
      <c r="B209" t="str">
        <f t="shared" si="95"/>
        <v>Курск</v>
      </c>
      <c r="C209">
        <v>846311</v>
      </c>
      <c r="D209" t="str">
        <f t="shared" si="96"/>
        <v>Оптический кабель</v>
      </c>
      <c r="E209" t="str">
        <f>"[46/2124] М 2.6.8 - OK6.1 ППК 2.6.3 Курск, 50 Лет Октября, 147 а п. 2"</f>
        <v>[46/2124] М 2.6.8 - OK6.1 ППК 2.6.3 Курск, 50 Лет Октября, 147 а п. 2</v>
      </c>
      <c r="F209" t="str">
        <f>"ДПТс-П-08А 1(6) 7кН (Кр,Жел,Зел,Син,Кор,Чер,Ор,Фиол)"</f>
        <v>ДПТс-П-08А 1(6) 7кН (Кр,Жел,Зел,Син,Кор,Чер,Ор,Фиол)</v>
      </c>
      <c r="G209" t="str">
        <f>""</f>
        <v/>
      </c>
      <c r="H209" t="str">
        <f t="shared" si="101"/>
        <v>МС 2.6</v>
      </c>
      <c r="I209">
        <v>428</v>
      </c>
      <c r="J209">
        <v>600</v>
      </c>
      <c r="K209">
        <v>100</v>
      </c>
      <c r="L209">
        <v>600</v>
      </c>
      <c r="M209" t="str">
        <f>"Опоры"</f>
        <v>Опоры</v>
      </c>
      <c r="N209" t="str">
        <f t="shared" si="102"/>
        <v>08.10.20122</v>
      </c>
      <c r="O209">
        <v>8</v>
      </c>
      <c r="P209">
        <v>8</v>
      </c>
      <c r="Q209" t="str">
        <f>""</f>
        <v/>
      </c>
      <c r="R209" t="str">
        <f>"Курск, 50 Лет Октября, 147 а"</f>
        <v>Курск, 50 Лет Октября, 147 а</v>
      </c>
      <c r="S209" t="str">
        <f>""</f>
        <v/>
      </c>
      <c r="T209" t="str">
        <f>"46/2124"</f>
        <v>46/2124</v>
      </c>
      <c r="U209" t="str">
        <f t="shared" si="89"/>
        <v>Магистральная ВОЛС</v>
      </c>
      <c r="V209" t="str">
        <f t="shared" si="103"/>
        <v>Нет</v>
      </c>
      <c r="W209" t="str">
        <f t="shared" si="103"/>
        <v>Нет</v>
      </c>
      <c r="X209" t="str">
        <f t="shared" si="103"/>
        <v>Нет</v>
      </c>
      <c r="Y209" t="str">
        <f t="shared" si="103"/>
        <v>Нет</v>
      </c>
      <c r="Z209" t="str">
        <f t="shared" si="87"/>
        <v>Нет</v>
      </c>
      <c r="AA209" t="str">
        <f>""</f>
        <v/>
      </c>
      <c r="AB209" t="str">
        <f t="shared" si="97"/>
        <v>Нет</v>
      </c>
      <c r="AC209" t="str">
        <f>"М 2.6.8 - ОУ6"</f>
        <v>М 2.6.8 - ОУ6</v>
      </c>
      <c r="AD209" t="str">
        <f t="shared" si="88"/>
        <v>02.02.2012</v>
      </c>
      <c r="AE209" t="str">
        <f>""</f>
        <v/>
      </c>
      <c r="AF209" t="str">
        <f>"[443245] М 2.6.8"</f>
        <v>[443245] М 2.6.8</v>
      </c>
      <c r="AG209" t="str">
        <f>"[446571] OK6.1 ППК 2.6.3 Курск, 50 Лет Октября, 147 а п. 2"</f>
        <v>[446571] OK6.1 ППК 2.6.3 Курск, 50 Лет Октября, 147 а п. 2</v>
      </c>
      <c r="AH209" t="str">
        <f>"М 2.6.8"</f>
        <v>М 2.6.8</v>
      </c>
      <c r="AI209" t="str">
        <f>"ОУ6"</f>
        <v>ОУ6</v>
      </c>
      <c r="AJ209" t="str">
        <f>""</f>
        <v/>
      </c>
      <c r="AK209" t="str">
        <f t="shared" si="100"/>
        <v>Нет</v>
      </c>
      <c r="AL209" t="s">
        <v>52</v>
      </c>
      <c r="AM209" t="str">
        <f>"20000008046952"</f>
        <v>20000008046952</v>
      </c>
    </row>
    <row r="210" spans="1:39" x14ac:dyDescent="0.25">
      <c r="A210">
        <v>907</v>
      </c>
      <c r="B210" t="str">
        <f t="shared" si="95"/>
        <v>Курск</v>
      </c>
      <c r="C210">
        <v>846314</v>
      </c>
      <c r="D210" t="str">
        <f t="shared" si="96"/>
        <v>Оптический кабель</v>
      </c>
      <c r="E210" t="str">
        <f>"[46/2125] М 2.6.7 - М 2.6.10"</f>
        <v>[46/2125] М 2.6.7 - М 2.6.10</v>
      </c>
      <c r="F210" t="str">
        <f>"ДПТс-П-16А 2(6) 7кН (Мод:Кр,Нат)(Вол:Кр,Жел,Зел,..,Ор,Фиол)"</f>
        <v>ДПТс-П-16А 2(6) 7кН (Мод:Кр,Нат)(Вол:Кр,Жел,Зел,..,Ор,Фиол)</v>
      </c>
      <c r="G210" t="str">
        <f>""</f>
        <v/>
      </c>
      <c r="H210" t="str">
        <f t="shared" si="101"/>
        <v>МС 2.6</v>
      </c>
      <c r="I210">
        <v>105</v>
      </c>
      <c r="J210">
        <v>149.62</v>
      </c>
      <c r="K210">
        <v>40</v>
      </c>
      <c r="L210">
        <v>149.62</v>
      </c>
      <c r="M210" t="str">
        <f>"Опоры"</f>
        <v>Опоры</v>
      </c>
      <c r="N210" t="str">
        <f t="shared" si="102"/>
        <v>08.10.20122</v>
      </c>
      <c r="O210">
        <v>16</v>
      </c>
      <c r="P210">
        <v>16</v>
      </c>
      <c r="Q210" t="str">
        <f>""</f>
        <v/>
      </c>
      <c r="R210" t="str">
        <f>""</f>
        <v/>
      </c>
      <c r="S210" t="str">
        <f>""</f>
        <v/>
      </c>
      <c r="T210" t="str">
        <f>"46/2125"</f>
        <v>46/2125</v>
      </c>
      <c r="U210" t="str">
        <f t="shared" si="89"/>
        <v>Магистральная ВОЛС</v>
      </c>
      <c r="V210" t="str">
        <f t="shared" si="103"/>
        <v>Нет</v>
      </c>
      <c r="W210" t="str">
        <f t="shared" si="103"/>
        <v>Нет</v>
      </c>
      <c r="X210" t="str">
        <f t="shared" si="103"/>
        <v>Нет</v>
      </c>
      <c r="Y210" t="str">
        <f t="shared" si="103"/>
        <v>Нет</v>
      </c>
      <c r="Z210" t="str">
        <f t="shared" si="87"/>
        <v>Нет</v>
      </c>
      <c r="AA210" t="str">
        <f>""</f>
        <v/>
      </c>
      <c r="AB210" t="str">
        <f t="shared" si="97"/>
        <v>Нет</v>
      </c>
      <c r="AC210" t="str">
        <f>"М 2.6.7 - ППК 2.6.2"</f>
        <v>М 2.6.7 - ППК 2.6.2</v>
      </c>
      <c r="AD210" t="str">
        <f t="shared" si="88"/>
        <v>02.02.2012</v>
      </c>
      <c r="AE210" t="str">
        <f>""</f>
        <v/>
      </c>
      <c r="AF210" t="str">
        <f>"[443249] М 2.6.7"</f>
        <v>[443249] М 2.6.7</v>
      </c>
      <c r="AG210" t="str">
        <f>"[801721] М 2.6.10"</f>
        <v>[801721] М 2.6.10</v>
      </c>
      <c r="AH210" t="str">
        <f>"М 2.6.7"</f>
        <v>М 2.6.7</v>
      </c>
      <c r="AI210" t="str">
        <f>"ППК 2.6.2"</f>
        <v>ППК 2.6.2</v>
      </c>
      <c r="AJ210" t="str">
        <f>""</f>
        <v/>
      </c>
      <c r="AK210" t="str">
        <f t="shared" si="100"/>
        <v>Нет</v>
      </c>
      <c r="AL210" t="str">
        <f>"51.741241 36.148443, 51.741542 36.149066, 51.741691 36.149487, 51.741765 36.14971"</f>
        <v>51.741241 36.148443, 51.741542 36.149066, 51.741691 36.149487, 51.741765 36.14971</v>
      </c>
      <c r="AM210" t="str">
        <f>"20000008024529"</f>
        <v>20000008024529</v>
      </c>
    </row>
    <row r="211" spans="1:39" x14ac:dyDescent="0.25">
      <c r="A211">
        <v>907</v>
      </c>
      <c r="B211" t="str">
        <f t="shared" si="95"/>
        <v>Курск</v>
      </c>
      <c r="C211">
        <v>846322</v>
      </c>
      <c r="D211" t="str">
        <f t="shared" si="96"/>
        <v>Оптический кабель</v>
      </c>
      <c r="E211" t="str">
        <f>"[46/2127] М 2.6.3 - ГОК2.6.1.1 Курск, 50 Лет Октября, 167 /1 п. 1"</f>
        <v>[46/2127] М 2.6.3 - ГОК2.6.1.1 Курск, 50 Лет Октября, 167 /1 п. 1</v>
      </c>
      <c r="F211" t="str">
        <f>"ДПТс-П-16А 2(6) 7кН (Мод:Кр,Нат)(Вол:Кр,Жел,Зел,..,Ор,Фиол)"</f>
        <v>ДПТс-П-16А 2(6) 7кН (Мод:Кр,Нат)(Вол:Кр,Жел,Зел,..,Ор,Фиол)</v>
      </c>
      <c r="G211" t="str">
        <f>""</f>
        <v/>
      </c>
      <c r="H211" t="str">
        <f t="shared" si="101"/>
        <v>МС 2.6</v>
      </c>
      <c r="I211">
        <v>55</v>
      </c>
      <c r="J211">
        <v>150</v>
      </c>
      <c r="K211">
        <v>0</v>
      </c>
      <c r="L211">
        <v>150</v>
      </c>
      <c r="M211" t="str">
        <f>"Воздушная трасса по стойкам"</f>
        <v>Воздушная трасса по стойкам</v>
      </c>
      <c r="N211" t="str">
        <f t="shared" si="102"/>
        <v>08.10.20122</v>
      </c>
      <c r="O211">
        <v>13</v>
      </c>
      <c r="P211">
        <v>11</v>
      </c>
      <c r="Q211" t="str">
        <f>""</f>
        <v/>
      </c>
      <c r="R211" t="str">
        <f>"Курск, 50 Лет Октября, 167 /1"</f>
        <v>Курск, 50 Лет Октября, 167 /1</v>
      </c>
      <c r="S211" t="str">
        <f>""</f>
        <v/>
      </c>
      <c r="T211" t="str">
        <f>"46/2127"</f>
        <v>46/2127</v>
      </c>
      <c r="U211" t="str">
        <f t="shared" si="89"/>
        <v>Магистральная ВОЛС</v>
      </c>
      <c r="V211" t="str">
        <f t="shared" si="103"/>
        <v>Нет</v>
      </c>
      <c r="W211" t="str">
        <f t="shared" si="103"/>
        <v>Нет</v>
      </c>
      <c r="X211" t="str">
        <f t="shared" si="103"/>
        <v>Нет</v>
      </c>
      <c r="Y211" t="str">
        <f t="shared" si="103"/>
        <v>Нет</v>
      </c>
      <c r="Z211" t="str">
        <f t="shared" si="87"/>
        <v>Нет</v>
      </c>
      <c r="AA211" t="str">
        <f>""</f>
        <v/>
      </c>
      <c r="AB211" t="str">
        <f t="shared" si="97"/>
        <v>Нет</v>
      </c>
      <c r="AC211" t="str">
        <f>"М 2.6.3 - ППК 2.6.1"</f>
        <v>М 2.6.3 - ППК 2.6.1</v>
      </c>
      <c r="AD211" t="str">
        <f t="shared" si="88"/>
        <v>02.02.2012</v>
      </c>
      <c r="AE211" t="str">
        <f>""</f>
        <v/>
      </c>
      <c r="AF211" t="str">
        <f>"[443241] М 2.6.3"</f>
        <v>[443241] М 2.6.3</v>
      </c>
      <c r="AG211" t="str">
        <f>"[443265] ГОК2.6.1.1 Курск, 50 Лет Октября, 167 /1 п. 1"</f>
        <v>[443265] ГОК2.6.1.1 Курск, 50 Лет Октября, 167 /1 п. 1</v>
      </c>
      <c r="AH211" t="str">
        <f>"М 2.6.3"</f>
        <v>М 2.6.3</v>
      </c>
      <c r="AI211" t="str">
        <f>"ППК 2.6.1"</f>
        <v>ППК 2.6.1</v>
      </c>
      <c r="AJ211" t="str">
        <f>""</f>
        <v/>
      </c>
      <c r="AK211" t="str">
        <f t="shared" si="100"/>
        <v>Нет</v>
      </c>
      <c r="AL211" t="str">
        <f>"51.751778 36.139502, 51.752133 36.140049"</f>
        <v>51.751778 36.139502, 51.752133 36.140049</v>
      </c>
      <c r="AM211" t="str">
        <f>"20000008035572"</f>
        <v>20000008035572</v>
      </c>
    </row>
    <row r="212" spans="1:39" x14ac:dyDescent="0.25">
      <c r="A212">
        <v>907</v>
      </c>
      <c r="B212" t="str">
        <f t="shared" si="95"/>
        <v>Курск</v>
      </c>
      <c r="C212">
        <v>846325</v>
      </c>
      <c r="D212" t="str">
        <f t="shared" si="96"/>
        <v>Оптический кабель</v>
      </c>
      <c r="E212" t="str">
        <f>"[46/2128] М 2.6.3 - М 2.6.4"</f>
        <v>[46/2128] М 2.6.3 - М 2.6.4</v>
      </c>
      <c r="F212" t="str">
        <f>"ДПТа-П-64А 6(6) 7кН (Кр,Жел,Зел,..,8-Фиол,9-Бел,..,Бир,Роз)"</f>
        <v>ДПТа-П-64А 6(6) 7кН (Кр,Жел,Зел,..,8-Фиол,9-Бел,..,Бир,Роз)</v>
      </c>
      <c r="G212" t="str">
        <f>""</f>
        <v/>
      </c>
      <c r="H212" t="str">
        <f t="shared" si="101"/>
        <v>МС 2.6</v>
      </c>
      <c r="I212">
        <v>425</v>
      </c>
      <c r="J212">
        <v>550</v>
      </c>
      <c r="K212">
        <v>40</v>
      </c>
      <c r="L212">
        <v>550</v>
      </c>
      <c r="M212" t="str">
        <f>"Опоры"</f>
        <v>Опоры</v>
      </c>
      <c r="N212" t="str">
        <f t="shared" si="102"/>
        <v>08.10.20122</v>
      </c>
      <c r="O212">
        <v>20</v>
      </c>
      <c r="P212">
        <v>19</v>
      </c>
      <c r="Q212" t="str">
        <f>""</f>
        <v/>
      </c>
      <c r="R212" t="str">
        <f>""</f>
        <v/>
      </c>
      <c r="S212" t="str">
        <f>""</f>
        <v/>
      </c>
      <c r="T212" t="str">
        <f>"46/2128"</f>
        <v>46/2128</v>
      </c>
      <c r="U212" t="str">
        <f t="shared" si="89"/>
        <v>Магистральная ВОЛС</v>
      </c>
      <c r="V212" t="str">
        <f t="shared" si="103"/>
        <v>Нет</v>
      </c>
      <c r="W212" t="str">
        <f t="shared" si="103"/>
        <v>Нет</v>
      </c>
      <c r="X212" t="str">
        <f t="shared" si="103"/>
        <v>Нет</v>
      </c>
      <c r="Y212" t="str">
        <f t="shared" si="103"/>
        <v>Нет</v>
      </c>
      <c r="Z212" t="str">
        <f t="shared" si="87"/>
        <v>Нет</v>
      </c>
      <c r="AA212" t="str">
        <f>""</f>
        <v/>
      </c>
      <c r="AB212" t="str">
        <f t="shared" si="97"/>
        <v>Нет</v>
      </c>
      <c r="AC212" t="str">
        <f>"М 2.6.3 - М 2.6.4"</f>
        <v>М 2.6.3 - М 2.6.4</v>
      </c>
      <c r="AD212" t="str">
        <f t="shared" si="88"/>
        <v>02.02.2012</v>
      </c>
      <c r="AE212" t="str">
        <f>""</f>
        <v/>
      </c>
      <c r="AF212" t="str">
        <f>"[443241] М 2.6.3"</f>
        <v>[443241] М 2.6.3</v>
      </c>
      <c r="AG212" t="str">
        <f>"[443237] М 2.6.4"</f>
        <v>[443237] М 2.6.4</v>
      </c>
      <c r="AH212" t="str">
        <f>"М 2.6.3"</f>
        <v>М 2.6.3</v>
      </c>
      <c r="AI212" t="str">
        <f>"М 2.6.4"</f>
        <v>М 2.6.4</v>
      </c>
      <c r="AJ212" t="str">
        <f>""</f>
        <v/>
      </c>
      <c r="AK212" t="str">
        <f t="shared" si="100"/>
        <v>Нет</v>
      </c>
      <c r="AL212" t="s">
        <v>53</v>
      </c>
      <c r="AM212" t="str">
        <f>"20000008036618"</f>
        <v>20000008036618</v>
      </c>
    </row>
    <row r="213" spans="1:39" x14ac:dyDescent="0.25">
      <c r="A213">
        <v>907</v>
      </c>
      <c r="B213" t="str">
        <f t="shared" si="95"/>
        <v>Курск</v>
      </c>
      <c r="C213">
        <v>846330</v>
      </c>
      <c r="D213" t="str">
        <f t="shared" si="96"/>
        <v>Оптический кабель</v>
      </c>
      <c r="E213" t="str">
        <f>"[46/2130] М 2.6.4 - М 2.6.5  Муфты нет "</f>
        <v xml:space="preserve">[46/2130] М 2.6.4 - М 2.6.5  Муфты нет </v>
      </c>
      <c r="F213" t="str">
        <f>"ДПТс-П-16А 2(6) 7кН (Мод:Кр,Нат)(Вол:Кр,Жел,Зел,..,Ор,Фиол)"</f>
        <v>ДПТс-П-16А 2(6) 7кН (Мод:Кр,Нат)(Вол:Кр,Жел,Зел,..,Ор,Фиол)</v>
      </c>
      <c r="G213" t="str">
        <f>""</f>
        <v/>
      </c>
      <c r="H213" t="str">
        <f t="shared" si="101"/>
        <v>МС 2.6</v>
      </c>
      <c r="I213">
        <v>317</v>
      </c>
      <c r="J213">
        <v>400</v>
      </c>
      <c r="K213">
        <v>0</v>
      </c>
      <c r="L213">
        <v>400</v>
      </c>
      <c r="M213" t="str">
        <f>"Опоры"</f>
        <v>Опоры</v>
      </c>
      <c r="N213" t="str">
        <f t="shared" si="102"/>
        <v>08.10.20122</v>
      </c>
      <c r="O213">
        <v>20</v>
      </c>
      <c r="P213">
        <v>20</v>
      </c>
      <c r="Q213" t="str">
        <f>""</f>
        <v/>
      </c>
      <c r="R213" t="str">
        <f>""</f>
        <v/>
      </c>
      <c r="S213" t="str">
        <f>""</f>
        <v/>
      </c>
      <c r="T213" t="str">
        <f>"46/2130"</f>
        <v>46/2130</v>
      </c>
      <c r="U213" t="str">
        <f t="shared" si="89"/>
        <v>Магистральная ВОЛС</v>
      </c>
      <c r="V213" t="str">
        <f t="shared" si="103"/>
        <v>Нет</v>
      </c>
      <c r="W213" t="str">
        <f t="shared" si="103"/>
        <v>Нет</v>
      </c>
      <c r="X213" t="str">
        <f t="shared" si="103"/>
        <v>Нет</v>
      </c>
      <c r="Y213" t="str">
        <f t="shared" si="103"/>
        <v>Нет</v>
      </c>
      <c r="Z213" t="str">
        <f t="shared" si="87"/>
        <v>Нет</v>
      </c>
      <c r="AA213" t="str">
        <f>""</f>
        <v/>
      </c>
      <c r="AB213" t="str">
        <f t="shared" si="97"/>
        <v>Нет</v>
      </c>
      <c r="AC213" t="str">
        <f>"М 2.6.4 - М 2.6.5"</f>
        <v>М 2.6.4 - М 2.6.5</v>
      </c>
      <c r="AD213" t="str">
        <f t="shared" si="88"/>
        <v>02.02.2012</v>
      </c>
      <c r="AE213" t="str">
        <f>""</f>
        <v/>
      </c>
      <c r="AF213" t="str">
        <f>"[443237] М 2.6.4"</f>
        <v>[443237] М 2.6.4</v>
      </c>
      <c r="AG213" t="str">
        <f>"[443233] М 2.6.5  Муфты нет"</f>
        <v>[443233] М 2.6.5  Муфты нет</v>
      </c>
      <c r="AH213" t="str">
        <f>"М 2.6.4"</f>
        <v>М 2.6.4</v>
      </c>
      <c r="AI213" t="str">
        <f>"М 2.6.5"</f>
        <v>М 2.6.5</v>
      </c>
      <c r="AJ213" t="str">
        <f>""</f>
        <v/>
      </c>
      <c r="AK213" t="str">
        <f t="shared" si="100"/>
        <v>Нет</v>
      </c>
      <c r="AL213" t="s">
        <v>54</v>
      </c>
      <c r="AM213" t="str">
        <f>"20000008035573"</f>
        <v>20000008035573</v>
      </c>
    </row>
    <row r="214" spans="1:39" x14ac:dyDescent="0.25">
      <c r="A214">
        <v>907</v>
      </c>
      <c r="B214" t="str">
        <f t="shared" si="95"/>
        <v>Курск</v>
      </c>
      <c r="C214">
        <v>846343</v>
      </c>
      <c r="D214" t="str">
        <f t="shared" si="96"/>
        <v>Оптический кабель</v>
      </c>
      <c r="E214" t="str">
        <f>"[46/2129] М 2.6.5  Муфты нет  - ГОК2.6.4.1 Курск, Пучковка, 19 б п. 2"</f>
        <v>[46/2129] М 2.6.5  Муфты нет  - ГОК2.6.4.1 Курск, Пучковка, 19 б п. 2</v>
      </c>
      <c r="F214" t="str">
        <f>"ДПТс-П-16А 2(6) 7кН (Мод:Кр,Нат)(Вол:Кр,Жел,Зел,..,Ор,Фиол)"</f>
        <v>ДПТс-П-16А 2(6) 7кН (Мод:Кр,Нат)(Вол:Кр,Жел,Зел,..,Ор,Фиол)</v>
      </c>
      <c r="G214" t="str">
        <f>""</f>
        <v/>
      </c>
      <c r="H214" t="str">
        <f t="shared" si="101"/>
        <v>МС 2.6</v>
      </c>
      <c r="I214">
        <v>566</v>
      </c>
      <c r="J214">
        <v>600</v>
      </c>
      <c r="K214">
        <v>0</v>
      </c>
      <c r="L214">
        <v>600</v>
      </c>
      <c r="M214" t="str">
        <f>"Опоры"</f>
        <v>Опоры</v>
      </c>
      <c r="N214" t="str">
        <f t="shared" si="102"/>
        <v>08.10.20122</v>
      </c>
      <c r="O214">
        <v>16</v>
      </c>
      <c r="P214">
        <v>10</v>
      </c>
      <c r="Q214" t="str">
        <f>""</f>
        <v/>
      </c>
      <c r="R214" t="str">
        <f>"Курск, Пучковка, 19 б"</f>
        <v>Курск, Пучковка, 19 б</v>
      </c>
      <c r="S214" t="str">
        <f>""</f>
        <v/>
      </c>
      <c r="T214" t="str">
        <f>"46/2129"</f>
        <v>46/2129</v>
      </c>
      <c r="U214" t="str">
        <f t="shared" si="89"/>
        <v>Магистральная ВОЛС</v>
      </c>
      <c r="V214" t="str">
        <f t="shared" si="103"/>
        <v>Нет</v>
      </c>
      <c r="W214" t="str">
        <f t="shared" si="103"/>
        <v>Нет</v>
      </c>
      <c r="X214" t="str">
        <f t="shared" si="103"/>
        <v>Нет</v>
      </c>
      <c r="Y214" t="str">
        <f t="shared" si="103"/>
        <v>Нет</v>
      </c>
      <c r="Z214" t="str">
        <f t="shared" si="87"/>
        <v>Нет</v>
      </c>
      <c r="AA214" t="str">
        <f>""</f>
        <v/>
      </c>
      <c r="AB214" t="str">
        <f t="shared" si="97"/>
        <v>Нет</v>
      </c>
      <c r="AC214" t="str">
        <f>"М 2.6.5 - ППК 2.6.4"</f>
        <v>М 2.6.5 - ППК 2.6.4</v>
      </c>
      <c r="AD214" t="str">
        <f t="shared" si="88"/>
        <v>02.02.2012</v>
      </c>
      <c r="AE214" t="str">
        <f>""</f>
        <v/>
      </c>
      <c r="AF214" t="str">
        <f>"[443233] М 2.6.5  Муфты нет"</f>
        <v>[443233] М 2.6.5  Муфты нет</v>
      </c>
      <c r="AG214" t="str">
        <f>"[450259] ГОК2.6.4.1 Курск, Пучковка, 19 б п. 2"</f>
        <v>[450259] ГОК2.6.4.1 Курск, Пучковка, 19 б п. 2</v>
      </c>
      <c r="AH214" t="str">
        <f>"М 2.6.5"</f>
        <v>М 2.6.5</v>
      </c>
      <c r="AI214" t="str">
        <f>"ППК 2.6.4"</f>
        <v>ППК 2.6.4</v>
      </c>
      <c r="AJ214" t="str">
        <f>""</f>
        <v/>
      </c>
      <c r="AK214" t="str">
        <f t="shared" si="100"/>
        <v>Нет</v>
      </c>
      <c r="AL214" t="s">
        <v>55</v>
      </c>
      <c r="AM214" t="str">
        <f>"20000008039159"</f>
        <v>20000008039159</v>
      </c>
    </row>
    <row r="215" spans="1:39" x14ac:dyDescent="0.25">
      <c r="A215">
        <v>907</v>
      </c>
      <c r="B215" t="str">
        <f t="shared" si="95"/>
        <v>Курск</v>
      </c>
      <c r="C215">
        <v>846543</v>
      </c>
      <c r="D215" t="str">
        <f t="shared" si="96"/>
        <v>Оптический кабель</v>
      </c>
      <c r="E215" t="str">
        <f>"[46/2131] М 2.6.2 - М 2.6.6"</f>
        <v>[46/2131] М 2.6.2 - М 2.6.6</v>
      </c>
      <c r="F215" t="str">
        <f>"ДПТа-П-64А 6(6) 7кН (Кр,Жел,Зел,..,8-Фиол,9-Бел,..,Бир,Роз)"</f>
        <v>ДПТа-П-64А 6(6) 7кН (Кр,Жел,Зел,..,8-Фиол,9-Бел,..,Бир,Роз)</v>
      </c>
      <c r="G215" t="str">
        <f>""</f>
        <v/>
      </c>
      <c r="H215" t="str">
        <f t="shared" si="101"/>
        <v>МС 2.6</v>
      </c>
      <c r="I215">
        <v>374</v>
      </c>
      <c r="J215">
        <v>480</v>
      </c>
      <c r="K215">
        <v>40</v>
      </c>
      <c r="L215">
        <v>480</v>
      </c>
      <c r="M215" t="str">
        <f>"Опоры"</f>
        <v>Опоры</v>
      </c>
      <c r="N215" t="str">
        <f t="shared" si="102"/>
        <v>08.10.20122</v>
      </c>
      <c r="O215">
        <v>40</v>
      </c>
      <c r="P215">
        <v>33</v>
      </c>
      <c r="Q215" t="str">
        <f>""</f>
        <v/>
      </c>
      <c r="R215" t="str">
        <f>""</f>
        <v/>
      </c>
      <c r="S215" t="str">
        <f>""</f>
        <v/>
      </c>
      <c r="T215" t="str">
        <f>"46/2131"</f>
        <v>46/2131</v>
      </c>
      <c r="U215" t="str">
        <f t="shared" si="89"/>
        <v>Магистральная ВОЛС</v>
      </c>
      <c r="V215" t="str">
        <f t="shared" si="103"/>
        <v>Нет</v>
      </c>
      <c r="W215" t="str">
        <f t="shared" si="103"/>
        <v>Нет</v>
      </c>
      <c r="X215" t="str">
        <f t="shared" si="103"/>
        <v>Нет</v>
      </c>
      <c r="Y215" t="str">
        <f t="shared" si="103"/>
        <v>Нет</v>
      </c>
      <c r="Z215" t="str">
        <f t="shared" ref="Z215:Z242" si="104">"Нет"</f>
        <v>Нет</v>
      </c>
      <c r="AA215" t="str">
        <f>""</f>
        <v/>
      </c>
      <c r="AB215" t="str">
        <f t="shared" si="97"/>
        <v>Нет</v>
      </c>
      <c r="AC215" t="str">
        <f>"М 2.6.2 - М 2.6.6"</f>
        <v>М 2.6.2 - М 2.6.6</v>
      </c>
      <c r="AD215" t="str">
        <f t="shared" ref="AD215:AD249" si="105">"02.02.2012"</f>
        <v>02.02.2012</v>
      </c>
      <c r="AE215" t="str">
        <f>""</f>
        <v/>
      </c>
      <c r="AF215" t="str">
        <f>"[443257] М 2.6.2"</f>
        <v>[443257] М 2.6.2</v>
      </c>
      <c r="AG215" t="str">
        <f>"[443253] М 2.6.6"</f>
        <v>[443253] М 2.6.6</v>
      </c>
      <c r="AH215" t="str">
        <f>"М 2.6.2"</f>
        <v>М 2.6.2</v>
      </c>
      <c r="AI215" t="str">
        <f>"М 2.6.6"</f>
        <v>М 2.6.6</v>
      </c>
      <c r="AJ215" t="str">
        <f>""</f>
        <v/>
      </c>
      <c r="AK215" t="str">
        <f t="shared" si="100"/>
        <v>Нет</v>
      </c>
      <c r="AL215" t="s">
        <v>56</v>
      </c>
      <c r="AM215" t="str">
        <f>"20000008040085"</f>
        <v>20000008040085</v>
      </c>
    </row>
    <row r="216" spans="1:39" x14ac:dyDescent="0.25">
      <c r="A216">
        <v>907</v>
      </c>
      <c r="B216" t="str">
        <f t="shared" si="95"/>
        <v>Курск</v>
      </c>
      <c r="C216">
        <v>846883</v>
      </c>
      <c r="D216" t="str">
        <f t="shared" si="96"/>
        <v>Оптический кабель</v>
      </c>
      <c r="E216" t="str">
        <f>"[46/2133] МОК4.1.1 Курск, Герцена, 3  п.  - М 4.1.1"</f>
        <v>[46/2133] МОК4.1.1 Курск, Герцена, 3  п.  - М 4.1.1</v>
      </c>
      <c r="F216" t="str">
        <f>"ДПТа-П-64А 6(6) 7кН (Кр,Жел,Зел,..,8-Фиол,9-Бел,..,Бир,Роз)"</f>
        <v>ДПТа-П-64А 6(6) 7кН (Кр,Жел,Зел,..,8-Фиол,9-Бел,..,Бир,Роз)</v>
      </c>
      <c r="G216" t="str">
        <f>""</f>
        <v/>
      </c>
      <c r="H216" t="str">
        <f t="shared" ref="H216:H226" si="106">"МС 4.1"</f>
        <v>МС 4.1</v>
      </c>
      <c r="I216">
        <v>34</v>
      </c>
      <c r="J216">
        <v>115</v>
      </c>
      <c r="K216">
        <v>0</v>
      </c>
      <c r="L216">
        <v>115</v>
      </c>
      <c r="M216" t="str">
        <f>"Воздушная трасса по стойкам"</f>
        <v>Воздушная трасса по стойкам</v>
      </c>
      <c r="N216" t="str">
        <f t="shared" ref="N216:N225" si="107">"09.10.20122"</f>
        <v>09.10.20122</v>
      </c>
      <c r="O216">
        <v>64</v>
      </c>
      <c r="P216">
        <v>64</v>
      </c>
      <c r="Q216" t="str">
        <f>"Курск, Герцена, 3"</f>
        <v>Курск, Герцена, 3</v>
      </c>
      <c r="R216" t="str">
        <f>""</f>
        <v/>
      </c>
      <c r="S216" t="str">
        <f>""</f>
        <v/>
      </c>
      <c r="T216" t="str">
        <f>"46/2133"</f>
        <v>46/2133</v>
      </c>
      <c r="U216" t="str">
        <f t="shared" si="89"/>
        <v>Магистральная ВОЛС</v>
      </c>
      <c r="V216" t="str">
        <f t="shared" si="103"/>
        <v>Нет</v>
      </c>
      <c r="W216" t="str">
        <f t="shared" si="103"/>
        <v>Нет</v>
      </c>
      <c r="X216" t="str">
        <f t="shared" si="103"/>
        <v>Нет</v>
      </c>
      <c r="Y216" t="str">
        <f t="shared" si="103"/>
        <v>Нет</v>
      </c>
      <c r="Z216" t="str">
        <f t="shared" si="104"/>
        <v>Нет</v>
      </c>
      <c r="AA216" t="str">
        <f>""</f>
        <v/>
      </c>
      <c r="AB216" t="str">
        <f t="shared" si="97"/>
        <v>Нет</v>
      </c>
      <c r="AC216" t="str">
        <f>"КРС МС-4.1 - М 4.1.1"</f>
        <v>КРС МС-4.1 - М 4.1.1</v>
      </c>
      <c r="AD216" t="str">
        <f t="shared" si="105"/>
        <v>02.02.2012</v>
      </c>
      <c r="AE216" t="str">
        <f>""</f>
        <v/>
      </c>
      <c r="AF216" t="str">
        <f>"[483733] МОК4.1.1 Курск, Герцена, 3  п."</f>
        <v>[483733] МОК4.1.1 Курск, Герцена, 3  п.</v>
      </c>
      <c r="AG216" t="str">
        <f>"[444657] М 4.1.1"</f>
        <v>[444657] М 4.1.1</v>
      </c>
      <c r="AH216" t="str">
        <f>"КРС МС-4.1"</f>
        <v>КРС МС-4.1</v>
      </c>
      <c r="AI216" t="str">
        <f>"М 4.1.1"</f>
        <v>М 4.1.1</v>
      </c>
      <c r="AJ216" t="str">
        <f>""</f>
        <v/>
      </c>
      <c r="AK216" t="str">
        <f t="shared" si="100"/>
        <v>Нет</v>
      </c>
      <c r="AL216" t="str">
        <f>"51.749044 36.242652, 51.749034 36.242153"</f>
        <v>51.749044 36.242652, 51.749034 36.242153</v>
      </c>
      <c r="AM216" t="str">
        <f>"20000008040507"</f>
        <v>20000008040507</v>
      </c>
    </row>
    <row r="217" spans="1:39" x14ac:dyDescent="0.25">
      <c r="A217">
        <v>907</v>
      </c>
      <c r="B217" t="str">
        <f t="shared" si="95"/>
        <v>Курск</v>
      </c>
      <c r="C217">
        <v>846888</v>
      </c>
      <c r="D217" t="str">
        <f t="shared" si="96"/>
        <v>Оптический кабель</v>
      </c>
      <c r="E217" t="str">
        <f>"[46/2134] М 4.1.1 - ГОК4.1.1.1 Курск, Герцена, 3  п. 2"</f>
        <v>[46/2134] М 4.1.1 - ГОК4.1.1.1 Курск, Герцена, 3  п. 2</v>
      </c>
      <c r="F217" t="str">
        <f>"ДПТс-П-16А 2(6) 7кН (Мод:Кр,Нат)(Вол:Кр,Жел,Зел,..,Ор,Фиол)"</f>
        <v>ДПТс-П-16А 2(6) 7кН (Мод:Кр,Нат)(Вол:Кр,Жел,Зел,..,Ор,Фиол)</v>
      </c>
      <c r="G217" t="str">
        <f>""</f>
        <v/>
      </c>
      <c r="H217" t="str">
        <f t="shared" si="106"/>
        <v>МС 4.1</v>
      </c>
      <c r="I217">
        <v>20</v>
      </c>
      <c r="J217">
        <v>70</v>
      </c>
      <c r="K217">
        <v>0</v>
      </c>
      <c r="L217">
        <v>70</v>
      </c>
      <c r="M217" t="str">
        <f>"Воздушная трасса по стойкам"</f>
        <v>Воздушная трасса по стойкам</v>
      </c>
      <c r="N217" t="str">
        <f t="shared" si="107"/>
        <v>09.10.20122</v>
      </c>
      <c r="O217">
        <v>10</v>
      </c>
      <c r="P217">
        <v>10</v>
      </c>
      <c r="Q217" t="str">
        <f>""</f>
        <v/>
      </c>
      <c r="R217" t="str">
        <f>"Курск, Герцена, 3"</f>
        <v>Курск, Герцена, 3</v>
      </c>
      <c r="S217" t="str">
        <f>""</f>
        <v/>
      </c>
      <c r="T217" t="str">
        <f>"46/2134"</f>
        <v>46/2134</v>
      </c>
      <c r="U217" t="str">
        <f t="shared" si="89"/>
        <v>Магистральная ВОЛС</v>
      </c>
      <c r="V217" t="str">
        <f t="shared" si="103"/>
        <v>Нет</v>
      </c>
      <c r="W217" t="str">
        <f t="shared" si="103"/>
        <v>Нет</v>
      </c>
      <c r="X217" t="str">
        <f t="shared" si="103"/>
        <v>Нет</v>
      </c>
      <c r="Y217" t="str">
        <f t="shared" si="103"/>
        <v>Нет</v>
      </c>
      <c r="Z217" t="str">
        <f t="shared" si="104"/>
        <v>Нет</v>
      </c>
      <c r="AA217" t="str">
        <f>""</f>
        <v/>
      </c>
      <c r="AB217" t="str">
        <f t="shared" si="97"/>
        <v>Нет</v>
      </c>
      <c r="AC217" t="str">
        <f>"М 4.1.1 - ППК 4.1.1"</f>
        <v>М 4.1.1 - ППК 4.1.1</v>
      </c>
      <c r="AD217" t="str">
        <f t="shared" si="105"/>
        <v>02.02.2012</v>
      </c>
      <c r="AE217" t="str">
        <f>""</f>
        <v/>
      </c>
      <c r="AF217" t="str">
        <f>"[444657] М 4.1.1"</f>
        <v>[444657] М 4.1.1</v>
      </c>
      <c r="AG217" t="str">
        <f>"[444661] ГОК4.1.1.1 Курск, Герцена, 3  п. 2"</f>
        <v>[444661] ГОК4.1.1.1 Курск, Герцена, 3  п. 2</v>
      </c>
      <c r="AH217" t="str">
        <f>"М 4.1.1"</f>
        <v>М 4.1.1</v>
      </c>
      <c r="AI217" t="str">
        <f>"ППК 4.1.1"</f>
        <v>ППК 4.1.1</v>
      </c>
      <c r="AJ217" t="str">
        <f>""</f>
        <v/>
      </c>
      <c r="AK217" t="str">
        <f t="shared" si="100"/>
        <v>Нет</v>
      </c>
      <c r="AL217" t="str">
        <f>"51.749044 36.242145, 51.749094 36.242419"</f>
        <v>51.749044 36.242145, 51.749094 36.242419</v>
      </c>
      <c r="AM217" t="str">
        <f>"20000008004394"</f>
        <v>20000008004394</v>
      </c>
    </row>
    <row r="218" spans="1:39" x14ac:dyDescent="0.25">
      <c r="A218">
        <v>907</v>
      </c>
      <c r="B218" t="str">
        <f t="shared" si="95"/>
        <v>Курск</v>
      </c>
      <c r="C218">
        <v>846891</v>
      </c>
      <c r="D218" t="str">
        <f t="shared" si="96"/>
        <v>Оптический кабель</v>
      </c>
      <c r="E218" t="str">
        <f>"[46/2135] М 4.1.1 - М 4.1.2"</f>
        <v>[46/2135] М 4.1.1 - М 4.1.2</v>
      </c>
      <c r="F218" t="str">
        <f>"ДПТа-П-64А 6(6) 7кН (Кр,Жел,Зел,..,8-Фиол,9-Бел,..,Бир,Роз)"</f>
        <v>ДПТа-П-64А 6(6) 7кН (Кр,Жел,Зел,..,8-Фиол,9-Бел,..,Бир,Роз)</v>
      </c>
      <c r="G218" t="str">
        <f>""</f>
        <v/>
      </c>
      <c r="H218" t="str">
        <f t="shared" si="106"/>
        <v>МС 4.1</v>
      </c>
      <c r="I218">
        <v>315</v>
      </c>
      <c r="J218">
        <v>515</v>
      </c>
      <c r="K218">
        <v>120</v>
      </c>
      <c r="L218">
        <v>516</v>
      </c>
      <c r="M218" t="str">
        <f>"Опоры"</f>
        <v>Опоры</v>
      </c>
      <c r="N218" t="str">
        <f t="shared" si="107"/>
        <v>09.10.20122</v>
      </c>
      <c r="O218">
        <v>64</v>
      </c>
      <c r="P218">
        <v>64</v>
      </c>
      <c r="Q218" t="str">
        <f>""</f>
        <v/>
      </c>
      <c r="R218" t="str">
        <f>""</f>
        <v/>
      </c>
      <c r="S218" t="str">
        <f>""</f>
        <v/>
      </c>
      <c r="T218" t="str">
        <f>"46/2135"</f>
        <v>46/2135</v>
      </c>
      <c r="U218" t="str">
        <f t="shared" ref="U218:U243" si="108">"Магистральная ВОЛС"</f>
        <v>Магистральная ВОЛС</v>
      </c>
      <c r="V218" t="str">
        <f t="shared" si="103"/>
        <v>Нет</v>
      </c>
      <c r="W218" t="str">
        <f t="shared" si="103"/>
        <v>Нет</v>
      </c>
      <c r="X218" t="str">
        <f t="shared" si="103"/>
        <v>Нет</v>
      </c>
      <c r="Y218" t="str">
        <f t="shared" si="103"/>
        <v>Нет</v>
      </c>
      <c r="Z218" t="str">
        <f t="shared" si="104"/>
        <v>Нет</v>
      </c>
      <c r="AA218" t="str">
        <f>""</f>
        <v/>
      </c>
      <c r="AB218" t="str">
        <f t="shared" si="97"/>
        <v>Нет</v>
      </c>
      <c r="AC218" t="str">
        <f>"М 4.1.1 - М 4.1.2"</f>
        <v>М 4.1.1 - М 4.1.2</v>
      </c>
      <c r="AD218" t="str">
        <f t="shared" si="105"/>
        <v>02.02.2012</v>
      </c>
      <c r="AE218" t="str">
        <f>""</f>
        <v/>
      </c>
      <c r="AF218" t="str">
        <f>"[444657] М 4.1.1"</f>
        <v>[444657] М 4.1.1</v>
      </c>
      <c r="AG218" t="str">
        <f>"[444653] М 4.1.2"</f>
        <v>[444653] М 4.1.2</v>
      </c>
      <c r="AH218" t="str">
        <f>"М 4.1.1"</f>
        <v>М 4.1.1</v>
      </c>
      <c r="AI218" t="str">
        <f>"М 4.1.2"</f>
        <v>М 4.1.2</v>
      </c>
      <c r="AJ218" t="str">
        <f>""</f>
        <v/>
      </c>
      <c r="AK218" t="str">
        <f t="shared" si="100"/>
        <v>Нет</v>
      </c>
      <c r="AL218" t="str">
        <f>"51.749044 36.242137, 51.749491 36.242537, 51.749594 36.242397, 51.749758 36.242231, 51.749916 36.242668, 51.75013 36.242596, 51.750343 36.242427, 51.75057 36.242264, 51.750775 36.242079, 51.750986 36.241877, 51.751221 36.24165, 51.751401 36.241444"</f>
        <v>51.749044 36.242137, 51.749491 36.242537, 51.749594 36.242397, 51.749758 36.242231, 51.749916 36.242668, 51.75013 36.242596, 51.750343 36.242427, 51.75057 36.242264, 51.750775 36.242079, 51.750986 36.241877, 51.751221 36.24165, 51.751401 36.241444</v>
      </c>
      <c r="AM218" t="str">
        <f>"20000008045593"</f>
        <v>20000008045593</v>
      </c>
    </row>
    <row r="219" spans="1:39" x14ac:dyDescent="0.25">
      <c r="A219">
        <v>907</v>
      </c>
      <c r="B219" t="str">
        <f t="shared" si="95"/>
        <v>Курск</v>
      </c>
      <c r="C219">
        <v>846896</v>
      </c>
      <c r="D219" t="str">
        <f t="shared" si="96"/>
        <v>Оптический кабель</v>
      </c>
      <c r="E219" t="str">
        <f>"[46/2136] М 4.1.2 - ГОК4.1.2.1 Курск, Парижской Коммуны, 42  п. 1"</f>
        <v>[46/2136] М 4.1.2 - ГОК4.1.2.1 Курск, Парижской Коммуны, 42  п. 1</v>
      </c>
      <c r="F219" t="str">
        <f>"ДПТс-П-16А 2(6) 7кН (Мод:Кр,Нат)(Вол:Кр,Жел,Зел,..,Ор,Фиол)"</f>
        <v>ДПТс-П-16А 2(6) 7кН (Мод:Кр,Нат)(Вол:Кр,Жел,Зел,..,Ор,Фиол)</v>
      </c>
      <c r="G219" t="str">
        <f>""</f>
        <v/>
      </c>
      <c r="H219" t="str">
        <f t="shared" si="106"/>
        <v>МС 4.1</v>
      </c>
      <c r="I219">
        <v>137</v>
      </c>
      <c r="J219">
        <v>300</v>
      </c>
      <c r="K219">
        <v>80</v>
      </c>
      <c r="L219">
        <v>300</v>
      </c>
      <c r="M219" t="str">
        <f>"Опоры"</f>
        <v>Опоры</v>
      </c>
      <c r="N219" t="str">
        <f t="shared" si="107"/>
        <v>09.10.20122</v>
      </c>
      <c r="O219">
        <v>10</v>
      </c>
      <c r="P219">
        <v>10</v>
      </c>
      <c r="Q219" t="str">
        <f>""</f>
        <v/>
      </c>
      <c r="R219" t="str">
        <f>"Курск, Парижской Коммуны, 42"</f>
        <v>Курск, Парижской Коммуны, 42</v>
      </c>
      <c r="S219" t="str">
        <f>""</f>
        <v/>
      </c>
      <c r="T219" t="str">
        <f>"46/2136"</f>
        <v>46/2136</v>
      </c>
      <c r="U219" t="str">
        <f t="shared" si="108"/>
        <v>Магистральная ВОЛС</v>
      </c>
      <c r="V219" t="str">
        <f t="shared" si="103"/>
        <v>Нет</v>
      </c>
      <c r="W219" t="str">
        <f t="shared" si="103"/>
        <v>Нет</v>
      </c>
      <c r="X219" t="str">
        <f t="shared" si="103"/>
        <v>Нет</v>
      </c>
      <c r="Y219" t="str">
        <f t="shared" si="103"/>
        <v>Нет</v>
      </c>
      <c r="Z219" t="str">
        <f t="shared" si="104"/>
        <v>Нет</v>
      </c>
      <c r="AA219" t="str">
        <f>""</f>
        <v/>
      </c>
      <c r="AB219" t="str">
        <f t="shared" si="97"/>
        <v>Нет</v>
      </c>
      <c r="AC219" t="str">
        <f>"М 4.1.2 - ППК 4.1.2"</f>
        <v>М 4.1.2 - ППК 4.1.2</v>
      </c>
      <c r="AD219" t="str">
        <f t="shared" si="105"/>
        <v>02.02.2012</v>
      </c>
      <c r="AE219" t="str">
        <f>""</f>
        <v/>
      </c>
      <c r="AF219" t="str">
        <f>"[444653] М 4.1.2"</f>
        <v>[444653] М 4.1.2</v>
      </c>
      <c r="AG219" t="str">
        <f>"[444674] ГОК4.1.2.1 Курск, Парижской Коммуны, 42  п. 1"</f>
        <v>[444674] ГОК4.1.2.1 Курск, Парижской Коммуны, 42  п. 1</v>
      </c>
      <c r="AH219" t="str">
        <f>"М 4.1.2"</f>
        <v>М 4.1.2</v>
      </c>
      <c r="AI219" t="str">
        <f>"ППК 4.1.2"</f>
        <v>ППК 4.1.2</v>
      </c>
      <c r="AJ219" t="str">
        <f>""</f>
        <v/>
      </c>
      <c r="AK219" t="str">
        <f t="shared" si="100"/>
        <v>Нет</v>
      </c>
      <c r="AL219" t="str">
        <f>"51.751653 36.24171, 51.751711 36.241244, 51.751914 36.241072, 51.752145 36.240922, 51.75212 36.240101"</f>
        <v>51.751653 36.24171, 51.751711 36.241244, 51.751914 36.241072, 51.752145 36.240922, 51.75212 36.240101</v>
      </c>
      <c r="AM219" t="str">
        <f>"20000008039163"</f>
        <v>20000008039163</v>
      </c>
    </row>
    <row r="220" spans="1:39" x14ac:dyDescent="0.25">
      <c r="A220">
        <v>907</v>
      </c>
      <c r="B220" t="str">
        <f t="shared" si="95"/>
        <v>Курск</v>
      </c>
      <c r="C220">
        <v>846899</v>
      </c>
      <c r="D220" t="str">
        <f t="shared" si="96"/>
        <v>Оптический кабель</v>
      </c>
      <c r="E220" t="str">
        <f>"[46/2137] М 4.1.2 - М 4.1.3"</f>
        <v>[46/2137] М 4.1.2 - М 4.1.3</v>
      </c>
      <c r="F220" t="str">
        <f>"ДПТа-П-64А 6(6) 7кН (Кр,Жел,Зел,..,8-Фиол,9-Бел,..,Бир,Роз)"</f>
        <v>ДПТа-П-64А 6(6) 7кН (Кр,Жел,Зел,..,8-Фиол,9-Бел,..,Бир,Роз)</v>
      </c>
      <c r="G220" t="str">
        <f>""</f>
        <v/>
      </c>
      <c r="H220" t="str">
        <f t="shared" si="106"/>
        <v>МС 4.1</v>
      </c>
      <c r="I220">
        <v>454</v>
      </c>
      <c r="J220">
        <v>650</v>
      </c>
      <c r="K220">
        <v>60</v>
      </c>
      <c r="L220">
        <v>650</v>
      </c>
      <c r="M220" t="str">
        <f>"Опоры"</f>
        <v>Опоры</v>
      </c>
      <c r="N220" t="str">
        <f t="shared" si="107"/>
        <v>09.10.20122</v>
      </c>
      <c r="O220">
        <v>64</v>
      </c>
      <c r="P220">
        <v>64</v>
      </c>
      <c r="Q220" t="str">
        <f>""</f>
        <v/>
      </c>
      <c r="R220" t="str">
        <f>""</f>
        <v/>
      </c>
      <c r="S220" t="str">
        <f>""</f>
        <v/>
      </c>
      <c r="T220" t="str">
        <f>"46/2137"</f>
        <v>46/2137</v>
      </c>
      <c r="U220" t="str">
        <f t="shared" si="108"/>
        <v>Магистральная ВОЛС</v>
      </c>
      <c r="V220" t="str">
        <f t="shared" si="103"/>
        <v>Нет</v>
      </c>
      <c r="W220" t="str">
        <f t="shared" si="103"/>
        <v>Нет</v>
      </c>
      <c r="X220" t="str">
        <f t="shared" si="103"/>
        <v>Нет</v>
      </c>
      <c r="Y220" t="str">
        <f t="shared" si="103"/>
        <v>Нет</v>
      </c>
      <c r="Z220" t="str">
        <f t="shared" si="104"/>
        <v>Нет</v>
      </c>
      <c r="AA220" t="str">
        <f>""</f>
        <v/>
      </c>
      <c r="AB220" t="str">
        <f t="shared" si="97"/>
        <v>Нет</v>
      </c>
      <c r="AC220" t="str">
        <f>"М 4.1.2 - М 4.1.3"</f>
        <v>М 4.1.2 - М 4.1.3</v>
      </c>
      <c r="AD220" t="str">
        <f t="shared" si="105"/>
        <v>02.02.2012</v>
      </c>
      <c r="AE220" t="str">
        <f>""</f>
        <v/>
      </c>
      <c r="AF220" t="str">
        <f>"[444653] М 4.1.2"</f>
        <v>[444653] М 4.1.2</v>
      </c>
      <c r="AG220" t="str">
        <f>"[444649] М 4.1.3"</f>
        <v>[444649] М 4.1.3</v>
      </c>
      <c r="AH220" t="str">
        <f>"М 4.1.2"</f>
        <v>М 4.1.2</v>
      </c>
      <c r="AI220" t="str">
        <f>"М 4.1.3"</f>
        <v>М 4.1.3</v>
      </c>
      <c r="AJ220" t="str">
        <f>""</f>
        <v/>
      </c>
      <c r="AK220" t="str">
        <f t="shared" si="100"/>
        <v>Нет</v>
      </c>
      <c r="AL220" t="s">
        <v>57</v>
      </c>
      <c r="AM220" t="str">
        <f>"20000007993416"</f>
        <v>20000007993416</v>
      </c>
    </row>
    <row r="221" spans="1:39" x14ac:dyDescent="0.25">
      <c r="A221">
        <v>907</v>
      </c>
      <c r="B221" t="str">
        <f t="shared" si="95"/>
        <v>Курск</v>
      </c>
      <c r="C221">
        <v>846912</v>
      </c>
      <c r="D221" t="str">
        <f t="shared" si="96"/>
        <v>Оптический кабель</v>
      </c>
      <c r="E221" t="str">
        <f>"[46/2140] М 4.1.4 - ГОК4.1.4.1 Курск, Союзная, 13  п. 2"</f>
        <v>[46/2140] М 4.1.4 - ГОК4.1.4.1 Курск, Союзная, 13  п. 2</v>
      </c>
      <c r="F221" t="str">
        <f>"ДПТс-П-16А 2(6) 7кН (Мод:Кр,Нат)(Вол:Кр,Жел,Зел,..,Ор,Фиол)"</f>
        <v>ДПТс-П-16А 2(6) 7кН (Мод:Кр,Нат)(Вол:Кр,Жел,Зел,..,Ор,Фиол)</v>
      </c>
      <c r="G221" t="str">
        <f>""</f>
        <v/>
      </c>
      <c r="H221" t="str">
        <f t="shared" si="106"/>
        <v>МС 4.1</v>
      </c>
      <c r="I221">
        <v>146</v>
      </c>
      <c r="J221">
        <v>150</v>
      </c>
      <c r="K221">
        <v>0</v>
      </c>
      <c r="L221">
        <v>150</v>
      </c>
      <c r="M221" t="str">
        <f>"Воздушная трасса по стойкам"</f>
        <v>Воздушная трасса по стойкам</v>
      </c>
      <c r="N221" t="str">
        <f t="shared" si="107"/>
        <v>09.10.20122</v>
      </c>
      <c r="O221">
        <v>10</v>
      </c>
      <c r="P221">
        <v>10</v>
      </c>
      <c r="Q221" t="str">
        <f>""</f>
        <v/>
      </c>
      <c r="R221" t="str">
        <f>"Курск, Союзная, 13"</f>
        <v>Курск, Союзная, 13</v>
      </c>
      <c r="S221" t="str">
        <f>""</f>
        <v/>
      </c>
      <c r="T221" t="str">
        <f>"46/2140"</f>
        <v>46/2140</v>
      </c>
      <c r="U221" t="str">
        <f t="shared" si="108"/>
        <v>Магистральная ВОЛС</v>
      </c>
      <c r="V221" t="str">
        <f t="shared" si="103"/>
        <v>Нет</v>
      </c>
      <c r="W221" t="str">
        <f t="shared" si="103"/>
        <v>Нет</v>
      </c>
      <c r="X221" t="str">
        <f t="shared" si="103"/>
        <v>Нет</v>
      </c>
      <c r="Y221" t="str">
        <f t="shared" si="103"/>
        <v>Нет</v>
      </c>
      <c r="Z221" t="str">
        <f t="shared" si="104"/>
        <v>Нет</v>
      </c>
      <c r="AA221" t="str">
        <f>""</f>
        <v/>
      </c>
      <c r="AB221" t="str">
        <f t="shared" si="97"/>
        <v>Нет</v>
      </c>
      <c r="AC221" t="str">
        <f>"М 4.1.4 - ППК 4.1.4"</f>
        <v>М 4.1.4 - ППК 4.1.4</v>
      </c>
      <c r="AD221" t="str">
        <f t="shared" si="105"/>
        <v>02.02.2012</v>
      </c>
      <c r="AE221" t="str">
        <f>""</f>
        <v/>
      </c>
      <c r="AF221" t="str">
        <f>"[444645] М 4.1.4"</f>
        <v>[444645] М 4.1.4</v>
      </c>
      <c r="AG221" t="str">
        <f>"[444700] ГОК4.1.4.1 Курск, Союзная, 13  п. 2"</f>
        <v>[444700] ГОК4.1.4.1 Курск, Союзная, 13  п. 2</v>
      </c>
      <c r="AH221" t="str">
        <f>"М 4.1.4"</f>
        <v>М 4.1.4</v>
      </c>
      <c r="AI221" t="str">
        <f>"ППК 4.1.4"</f>
        <v>ППК 4.1.4</v>
      </c>
      <c r="AJ221" t="str">
        <f>""</f>
        <v/>
      </c>
      <c r="AK221" t="str">
        <f t="shared" si="100"/>
        <v>Нет</v>
      </c>
      <c r="AL221" t="str">
        <f>"51.747433 36.237648, 51.747157 36.237906, 51.746177 36.237664"</f>
        <v>51.747433 36.237648, 51.747157 36.237906, 51.746177 36.237664</v>
      </c>
      <c r="AM221" t="str">
        <f>"20000008044501"</f>
        <v>20000008044501</v>
      </c>
    </row>
    <row r="222" spans="1:39" x14ac:dyDescent="0.25">
      <c r="A222">
        <v>907</v>
      </c>
      <c r="B222" t="str">
        <f t="shared" si="95"/>
        <v>Курск</v>
      </c>
      <c r="C222">
        <v>846928</v>
      </c>
      <c r="D222" t="str">
        <f t="shared" si="96"/>
        <v>Оптический кабель</v>
      </c>
      <c r="E222" t="str">
        <f>"[46/2142] М 4.1.5 - ГОК4.1.5.1 Курск, Республиканская, 8  п. 3"</f>
        <v>[46/2142] М 4.1.5 - ГОК4.1.5.1 Курск, Республиканская, 8  п. 3</v>
      </c>
      <c r="F222" t="str">
        <f>"ДПТс-П-16А 2(6) 7кН (Мод:Кр,Нат)(Вол:Кр,Жел,Зел,..,Ор,Фиол)"</f>
        <v>ДПТс-П-16А 2(6) 7кН (Мод:Кр,Нат)(Вол:Кр,Жел,Зел,..,Ор,Фиол)</v>
      </c>
      <c r="G222" t="str">
        <f>""</f>
        <v/>
      </c>
      <c r="H222" t="str">
        <f t="shared" si="106"/>
        <v>МС 4.1</v>
      </c>
      <c r="I222">
        <v>187</v>
      </c>
      <c r="J222">
        <v>210</v>
      </c>
      <c r="K222">
        <v>0</v>
      </c>
      <c r="L222">
        <v>210</v>
      </c>
      <c r="M222" t="str">
        <f>"Воздушная трасса по стойкам"</f>
        <v>Воздушная трасса по стойкам</v>
      </c>
      <c r="N222" t="str">
        <f t="shared" si="107"/>
        <v>09.10.20122</v>
      </c>
      <c r="O222">
        <v>10</v>
      </c>
      <c r="P222">
        <v>10</v>
      </c>
      <c r="Q222" t="str">
        <f>""</f>
        <v/>
      </c>
      <c r="R222" t="str">
        <f>"Курск, Республиканская, 8"</f>
        <v>Курск, Республиканская, 8</v>
      </c>
      <c r="S222" t="str">
        <f>""</f>
        <v/>
      </c>
      <c r="T222" t="str">
        <f>"46/2142"</f>
        <v>46/2142</v>
      </c>
      <c r="U222" t="str">
        <f t="shared" si="108"/>
        <v>Магистральная ВОЛС</v>
      </c>
      <c r="V222" t="str">
        <f t="shared" si="103"/>
        <v>Нет</v>
      </c>
      <c r="W222" t="str">
        <f t="shared" si="103"/>
        <v>Нет</v>
      </c>
      <c r="X222" t="str">
        <f t="shared" si="103"/>
        <v>Нет</v>
      </c>
      <c r="Y222" t="str">
        <f t="shared" si="103"/>
        <v>Нет</v>
      </c>
      <c r="Z222" t="str">
        <f t="shared" si="104"/>
        <v>Нет</v>
      </c>
      <c r="AA222" t="str">
        <f>""</f>
        <v/>
      </c>
      <c r="AB222" t="str">
        <f t="shared" si="97"/>
        <v>Нет</v>
      </c>
      <c r="AC222" t="str">
        <f>"М 4.1.5 - ППК 4.1.5"</f>
        <v>М 4.1.5 - ППК 4.1.5</v>
      </c>
      <c r="AD222" t="str">
        <f t="shared" si="105"/>
        <v>02.02.2012</v>
      </c>
      <c r="AE222" t="str">
        <f>""</f>
        <v/>
      </c>
      <c r="AF222" t="str">
        <f>"[444641] М 4.1.5"</f>
        <v>[444641] М 4.1.5</v>
      </c>
      <c r="AG222" t="str">
        <f>"[444713] ГОК4.1.5.1 Курск, Республиканская, 8  п. 3"</f>
        <v>[444713] ГОК4.1.5.1 Курск, Республиканская, 8  п. 3</v>
      </c>
      <c r="AH222" t="str">
        <f>"М 4.1.5"</f>
        <v>М 4.1.5</v>
      </c>
      <c r="AI222" t="str">
        <f>"ППК 4.1.5"</f>
        <v>ППК 4.1.5</v>
      </c>
      <c r="AJ222" t="str">
        <f>""</f>
        <v/>
      </c>
      <c r="AK222" t="str">
        <f t="shared" si="100"/>
        <v>Нет</v>
      </c>
      <c r="AL222" t="str">
        <f>"51.743127 36.237174, 51.743206 36.236703, 51.743139 36.236378, 51.743696 36.237021, 51.744239 36.237168"</f>
        <v>51.743127 36.237174, 51.743206 36.236703, 51.743139 36.236378, 51.743696 36.237021, 51.744239 36.237168</v>
      </c>
      <c r="AM222" t="str">
        <f>"20000008044502"</f>
        <v>20000008044502</v>
      </c>
    </row>
    <row r="223" spans="1:39" x14ac:dyDescent="0.25">
      <c r="A223">
        <v>907</v>
      </c>
      <c r="B223" t="str">
        <f t="shared" si="95"/>
        <v>Курск</v>
      </c>
      <c r="C223">
        <v>846963</v>
      </c>
      <c r="D223" t="str">
        <f t="shared" si="96"/>
        <v>Оптический кабель</v>
      </c>
      <c r="E223" t="str">
        <f>"[46/2144] М 4.1.6 - ГОК4.1.6.1 Курск, Краснознаменная, 20 а п. 2"</f>
        <v>[46/2144] М 4.1.6 - ГОК4.1.6.1 Курск, Краснознаменная, 20 а п. 2</v>
      </c>
      <c r="F223" t="str">
        <f>"ДПТс-П-16А 2(6) 7кН (Мод:Кр,Нат)(Вол:Кр,Жел,Зел,..,Ор,Фиол)"</f>
        <v>ДПТс-П-16А 2(6) 7кН (Мод:Кр,Нат)(Вол:Кр,Жел,Зел,..,Ор,Фиол)</v>
      </c>
      <c r="G223" t="str">
        <f>""</f>
        <v/>
      </c>
      <c r="H223" t="str">
        <f t="shared" si="106"/>
        <v>МС 4.1</v>
      </c>
      <c r="I223">
        <v>69</v>
      </c>
      <c r="J223">
        <v>130</v>
      </c>
      <c r="K223">
        <v>0</v>
      </c>
      <c r="L223">
        <v>130</v>
      </c>
      <c r="M223" t="str">
        <f>"Воздушная трасса по стойкам"</f>
        <v>Воздушная трасса по стойкам</v>
      </c>
      <c r="N223" t="str">
        <f t="shared" si="107"/>
        <v>09.10.20122</v>
      </c>
      <c r="O223">
        <v>10</v>
      </c>
      <c r="P223">
        <v>10</v>
      </c>
      <c r="Q223" t="str">
        <f>""</f>
        <v/>
      </c>
      <c r="R223" t="str">
        <f>"Курск, Краснознаменная, 20 а"</f>
        <v>Курск, Краснознаменная, 20 а</v>
      </c>
      <c r="S223" t="str">
        <f>""</f>
        <v/>
      </c>
      <c r="T223" t="str">
        <f>"46/2144"</f>
        <v>46/2144</v>
      </c>
      <c r="U223" t="str">
        <f t="shared" si="108"/>
        <v>Магистральная ВОЛС</v>
      </c>
      <c r="V223" t="str">
        <f t="shared" si="103"/>
        <v>Нет</v>
      </c>
      <c r="W223" t="str">
        <f t="shared" si="103"/>
        <v>Нет</v>
      </c>
      <c r="X223" t="str">
        <f t="shared" si="103"/>
        <v>Нет</v>
      </c>
      <c r="Y223" t="str">
        <f t="shared" si="103"/>
        <v>Нет</v>
      </c>
      <c r="Z223" t="str">
        <f t="shared" si="104"/>
        <v>Нет</v>
      </c>
      <c r="AA223" t="str">
        <f>""</f>
        <v/>
      </c>
      <c r="AB223" t="str">
        <f t="shared" si="97"/>
        <v>Нет</v>
      </c>
      <c r="AC223" t="str">
        <f>"М 4.1.6 - ППК 4.1.6"</f>
        <v>М 4.1.6 - ППК 4.1.6</v>
      </c>
      <c r="AD223" t="str">
        <f t="shared" si="105"/>
        <v>02.02.2012</v>
      </c>
      <c r="AE223" t="str">
        <f>""</f>
        <v/>
      </c>
      <c r="AF223" t="str">
        <f>"[444637] М 4.1.6"</f>
        <v>[444637] М 4.1.6</v>
      </c>
      <c r="AG223" t="str">
        <f>"[444726] ГОК4.1.6.1 Курск, Краснознаменная, 20 а п. 2"</f>
        <v>[444726] ГОК4.1.6.1 Курск, Краснознаменная, 20 а п. 2</v>
      </c>
      <c r="AH223" t="str">
        <f>"М 4.1.6"</f>
        <v>М 4.1.6</v>
      </c>
      <c r="AI223" t="str">
        <f>"ППК 4.1.6"</f>
        <v>ППК 4.1.6</v>
      </c>
      <c r="AJ223" t="str">
        <f>""</f>
        <v/>
      </c>
      <c r="AK223" t="str">
        <f t="shared" si="100"/>
        <v>Нет</v>
      </c>
      <c r="AL223" t="str">
        <f>"51.744763 36.239515, 51.744708 36.239995, 51.744459 36.239974"</f>
        <v>51.744763 36.239515, 51.744708 36.239995, 51.744459 36.239974</v>
      </c>
      <c r="AM223" t="str">
        <f>"20000008039570"</f>
        <v>20000008039570</v>
      </c>
    </row>
    <row r="224" spans="1:39" x14ac:dyDescent="0.25">
      <c r="A224">
        <v>907</v>
      </c>
      <c r="B224" t="str">
        <f t="shared" si="95"/>
        <v>Курск</v>
      </c>
      <c r="C224">
        <v>846966</v>
      </c>
      <c r="D224" t="str">
        <f t="shared" si="96"/>
        <v>Оптический кабель</v>
      </c>
      <c r="E224" t="str">
        <f>"[46/2145] М 4.1.6 - ГОК4.1.7.1 Курск, Краснознаменная, 16  п. 2"</f>
        <v>[46/2145] М 4.1.6 - ГОК4.1.7.1 Курск, Краснознаменная, 16  п. 2</v>
      </c>
      <c r="F224" t="str">
        <f>"ДПТс-П-16А 2(6) 7кН (Мод:Кр,Нат)(Вол:Кр,Жел,Зел,..,Ор,Фиол)"</f>
        <v>ДПТс-П-16А 2(6) 7кН (Мод:Кр,Нат)(Вол:Кр,Жел,Зел,..,Ор,Фиол)</v>
      </c>
      <c r="G224" t="str">
        <f>""</f>
        <v/>
      </c>
      <c r="H224" t="str">
        <f t="shared" si="106"/>
        <v>МС 4.1</v>
      </c>
      <c r="I224">
        <v>166</v>
      </c>
      <c r="J224">
        <v>260</v>
      </c>
      <c r="K224">
        <v>0</v>
      </c>
      <c r="L224">
        <v>260</v>
      </c>
      <c r="M224" t="str">
        <f>"Воздушная трасса по стойкам"</f>
        <v>Воздушная трасса по стойкам</v>
      </c>
      <c r="N224" t="str">
        <f t="shared" si="107"/>
        <v>09.10.20122</v>
      </c>
      <c r="O224">
        <v>10</v>
      </c>
      <c r="P224">
        <v>10</v>
      </c>
      <c r="Q224" t="str">
        <f>""</f>
        <v/>
      </c>
      <c r="R224" t="str">
        <f>"Курск, Краснознаменная, 16"</f>
        <v>Курск, Краснознаменная, 16</v>
      </c>
      <c r="S224" t="str">
        <f>""</f>
        <v/>
      </c>
      <c r="T224" t="str">
        <f>"46/2145"</f>
        <v>46/2145</v>
      </c>
      <c r="U224" t="str">
        <f t="shared" si="108"/>
        <v>Магистральная ВОЛС</v>
      </c>
      <c r="V224" t="str">
        <f t="shared" si="103"/>
        <v>Нет</v>
      </c>
      <c r="W224" t="str">
        <f t="shared" si="103"/>
        <v>Нет</v>
      </c>
      <c r="X224" t="str">
        <f t="shared" si="103"/>
        <v>Нет</v>
      </c>
      <c r="Y224" t="str">
        <f t="shared" si="103"/>
        <v>Нет</v>
      </c>
      <c r="Z224" t="str">
        <f t="shared" si="104"/>
        <v>Нет</v>
      </c>
      <c r="AA224" t="str">
        <f>""</f>
        <v/>
      </c>
      <c r="AB224" t="str">
        <f t="shared" si="97"/>
        <v>Нет</v>
      </c>
      <c r="AC224" t="str">
        <f>"М 4.1.6 - ППК 4.1.7"</f>
        <v>М 4.1.6 - ППК 4.1.7</v>
      </c>
      <c r="AD224" t="str">
        <f t="shared" si="105"/>
        <v>02.02.2012</v>
      </c>
      <c r="AE224" t="str">
        <f>""</f>
        <v/>
      </c>
      <c r="AF224" t="str">
        <f>"[444637] М 4.1.6"</f>
        <v>[444637] М 4.1.6</v>
      </c>
      <c r="AG224" t="str">
        <f>"[444739] ГОК4.1.7.1 Курск, Краснознаменная, 16  п. 2"</f>
        <v>[444739] ГОК4.1.7.1 Курск, Краснознаменная, 16  п. 2</v>
      </c>
      <c r="AH224" t="str">
        <f>"М 4.1.6"</f>
        <v>М 4.1.6</v>
      </c>
      <c r="AI224" t="str">
        <f>"ППК 4.1.7"</f>
        <v>ППК 4.1.7</v>
      </c>
      <c r="AJ224" t="str">
        <f>""</f>
        <v/>
      </c>
      <c r="AK224" t="str">
        <f t="shared" si="100"/>
        <v>Нет</v>
      </c>
      <c r="AL224" t="str">
        <f>"51.744763 36.239515, 51.745252 36.239667, 51.745569 36.239736, 51.74588 36.239819, 51.745993 36.240757"</f>
        <v>51.744763 36.239515, 51.745252 36.239667, 51.745569 36.239736, 51.74588 36.239819, 51.745993 36.240757</v>
      </c>
      <c r="AM224" t="str">
        <f>"20000008044500"</f>
        <v>20000008044500</v>
      </c>
    </row>
    <row r="225" spans="1:39" x14ac:dyDescent="0.25">
      <c r="A225">
        <v>907</v>
      </c>
      <c r="B225" t="str">
        <f t="shared" si="95"/>
        <v>Курск</v>
      </c>
      <c r="C225">
        <v>846974</v>
      </c>
      <c r="D225" t="str">
        <f t="shared" si="96"/>
        <v>Оптический кабель</v>
      </c>
      <c r="E225" t="str">
        <f>"[46/2147] М 4.1.7 - ГОК4.1.8.1 Курск, Союзная, 14 б п. 1"</f>
        <v>[46/2147] М 4.1.7 - ГОК4.1.8.1 Курск, Союзная, 14 б п. 1</v>
      </c>
      <c r="F225" t="str">
        <f>"ДПТс-П-16А 2(6) 7кН (Мод:Кр,Нат)(Вол:Кр,Жел,Зел,..,Ор,Фиол)"</f>
        <v>ДПТс-П-16А 2(6) 7кН (Мод:Кр,Нат)(Вол:Кр,Жел,Зел,..,Ор,Фиол)</v>
      </c>
      <c r="G225" t="str">
        <f>""</f>
        <v/>
      </c>
      <c r="H225" t="str">
        <f t="shared" si="106"/>
        <v>МС 4.1</v>
      </c>
      <c r="I225">
        <v>110</v>
      </c>
      <c r="J225">
        <v>170</v>
      </c>
      <c r="K225">
        <v>0</v>
      </c>
      <c r="L225">
        <v>170</v>
      </c>
      <c r="M225" t="str">
        <f>"Воздушная трасса по стойкам"</f>
        <v>Воздушная трасса по стойкам</v>
      </c>
      <c r="N225" t="str">
        <f t="shared" si="107"/>
        <v>09.10.20122</v>
      </c>
      <c r="O225">
        <v>10</v>
      </c>
      <c r="P225">
        <v>10</v>
      </c>
      <c r="Q225" t="str">
        <f>""</f>
        <v/>
      </c>
      <c r="R225" t="str">
        <f>"Курск, Союзная, 14 б"</f>
        <v>Курск, Союзная, 14 б</v>
      </c>
      <c r="S225" t="str">
        <f>""</f>
        <v/>
      </c>
      <c r="T225" t="str">
        <f>"46/2147"</f>
        <v>46/2147</v>
      </c>
      <c r="U225" t="str">
        <f t="shared" si="108"/>
        <v>Магистральная ВОЛС</v>
      </c>
      <c r="V225" t="str">
        <f t="shared" si="103"/>
        <v>Нет</v>
      </c>
      <c r="W225" t="str">
        <f t="shared" si="103"/>
        <v>Нет</v>
      </c>
      <c r="X225" t="str">
        <f t="shared" si="103"/>
        <v>Нет</v>
      </c>
      <c r="Y225" t="str">
        <f t="shared" si="103"/>
        <v>Нет</v>
      </c>
      <c r="Z225" t="str">
        <f t="shared" si="104"/>
        <v>Нет</v>
      </c>
      <c r="AA225" t="str">
        <f>""</f>
        <v/>
      </c>
      <c r="AB225" t="str">
        <f t="shared" si="97"/>
        <v>Нет</v>
      </c>
      <c r="AC225" t="str">
        <f>"М 4.1.7 - ППК 4.1.8"</f>
        <v>М 4.1.7 - ППК 4.1.8</v>
      </c>
      <c r="AD225" t="str">
        <f t="shared" si="105"/>
        <v>02.02.2012</v>
      </c>
      <c r="AE225" t="str">
        <f>""</f>
        <v/>
      </c>
      <c r="AF225" t="str">
        <f>"[444633] М 4.1.7"</f>
        <v>[444633] М 4.1.7</v>
      </c>
      <c r="AG225" t="str">
        <f>"[453633] ГОК4.1.8.1 Курск, Союзная, 14 б п. 1"</f>
        <v>[453633] ГОК4.1.8.1 Курск, Союзная, 14 б п. 1</v>
      </c>
      <c r="AH225" t="str">
        <f>"М 4.1.7"</f>
        <v>М 4.1.7</v>
      </c>
      <c r="AI225" t="str">
        <f>"ППК 4.1.8"</f>
        <v>ППК 4.1.8</v>
      </c>
      <c r="AJ225" t="str">
        <f>""</f>
        <v/>
      </c>
      <c r="AK225" t="str">
        <f t="shared" si="100"/>
        <v>Нет</v>
      </c>
      <c r="AL225" t="str">
        <f>"51.746873 36.243992, 51.747205 36.243965, 51.747634 36.243697, 51.747826 36.243729"</f>
        <v>51.746873 36.243992, 51.747205 36.243965, 51.747634 36.243697, 51.747826 36.243729</v>
      </c>
      <c r="AM225" t="str">
        <f>"20000008030154"</f>
        <v>20000008030154</v>
      </c>
    </row>
    <row r="226" spans="1:39" x14ac:dyDescent="0.25">
      <c r="A226">
        <v>907</v>
      </c>
      <c r="B226" t="str">
        <f t="shared" si="95"/>
        <v>Курск</v>
      </c>
      <c r="C226">
        <v>846983</v>
      </c>
      <c r="D226" t="str">
        <f t="shared" si="96"/>
        <v>Оптический кабель</v>
      </c>
      <c r="E226" t="str">
        <f>"[46/2148] М 4.1.7 - М 4.1.10"</f>
        <v>[46/2148] М 4.1.7 - М 4.1.10</v>
      </c>
      <c r="F226" t="str">
        <f>"ДПТа-П-64А 6(6) 7кН (Кр,Жел,Зел,..,8-Фиол,9-Бел,..,Бир,Роз)"</f>
        <v>ДПТа-П-64А 6(6) 7кН (Кр,Жел,Зел,..,8-Фиол,9-Бел,..,Бир,Роз)</v>
      </c>
      <c r="G226" t="str">
        <f>""</f>
        <v/>
      </c>
      <c r="H226" t="str">
        <f t="shared" si="106"/>
        <v>МС 4.1</v>
      </c>
      <c r="I226">
        <v>180</v>
      </c>
      <c r="J226">
        <v>840.08</v>
      </c>
      <c r="K226">
        <v>0</v>
      </c>
      <c r="L226">
        <v>188.06</v>
      </c>
      <c r="M226" t="str">
        <f>"Опоры"</f>
        <v>Опоры</v>
      </c>
      <c r="N226" t="str">
        <f>"10.10.20122"</f>
        <v>10.10.20122</v>
      </c>
      <c r="O226">
        <v>64</v>
      </c>
      <c r="P226">
        <v>64</v>
      </c>
      <c r="Q226" t="str">
        <f>""</f>
        <v/>
      </c>
      <c r="R226" t="str">
        <f>""</f>
        <v/>
      </c>
      <c r="S226" t="str">
        <f>""</f>
        <v/>
      </c>
      <c r="T226" t="str">
        <f>"46/2148"</f>
        <v>46/2148</v>
      </c>
      <c r="U226" t="str">
        <f t="shared" si="108"/>
        <v>Магистральная ВОЛС</v>
      </c>
      <c r="V226" t="str">
        <f t="shared" si="103"/>
        <v>Нет</v>
      </c>
      <c r="W226" t="str">
        <f t="shared" si="103"/>
        <v>Нет</v>
      </c>
      <c r="X226" t="str">
        <f t="shared" si="103"/>
        <v>Нет</v>
      </c>
      <c r="Y226" t="str">
        <f t="shared" si="103"/>
        <v>Нет</v>
      </c>
      <c r="Z226" t="str">
        <f t="shared" si="104"/>
        <v>Нет</v>
      </c>
      <c r="AA226" t="str">
        <f>""</f>
        <v/>
      </c>
      <c r="AB226" t="str">
        <f t="shared" si="97"/>
        <v>Нет</v>
      </c>
      <c r="AC226" t="str">
        <f>"М 4.1.7 - КРС МС-4.1"</f>
        <v>М 4.1.7 - КРС МС-4.1</v>
      </c>
      <c r="AD226" t="str">
        <f t="shared" si="105"/>
        <v>02.02.2012</v>
      </c>
      <c r="AE226" t="str">
        <f>""</f>
        <v/>
      </c>
      <c r="AF226" t="str">
        <f>"[444633] М 4.1.7"</f>
        <v>[444633] М 4.1.7</v>
      </c>
      <c r="AG226" t="str">
        <f>"[884610] М 4.1.10"</f>
        <v>[884610] М 4.1.10</v>
      </c>
      <c r="AH226" t="str">
        <f>"М 4.1.7"</f>
        <v>М 4.1.7</v>
      </c>
      <c r="AI226" t="str">
        <f>"КРС МС-4.1"</f>
        <v>КРС МС-4.1</v>
      </c>
      <c r="AJ226" t="str">
        <f>""</f>
        <v/>
      </c>
      <c r="AK226" t="str">
        <f t="shared" si="100"/>
        <v>Нет</v>
      </c>
      <c r="AL226" t="str">
        <f>"51.74687 36.243986, 51.74684 36.244367, 51.746803 36.244737, 51.746764 36.245124, 51.746727 36.245515, 51.746691 36.245896, 51.746667 36.246293, 51.746629 36.246575"</f>
        <v>51.74687 36.243986, 51.74684 36.244367, 51.746803 36.244737, 51.746764 36.245124, 51.746727 36.245515, 51.746691 36.245896, 51.746667 36.246293, 51.746629 36.246575</v>
      </c>
      <c r="AM226" t="str">
        <f>"20000008031663"</f>
        <v>20000008031663</v>
      </c>
    </row>
    <row r="227" spans="1:39" x14ac:dyDescent="0.25">
      <c r="A227">
        <v>907</v>
      </c>
      <c r="B227" t="str">
        <f t="shared" si="95"/>
        <v>Курск</v>
      </c>
      <c r="C227">
        <v>847783</v>
      </c>
      <c r="D227" t="str">
        <f t="shared" si="96"/>
        <v>Оптический кабель</v>
      </c>
      <c r="E227" t="str">
        <f>"[46/2149] М 5.4.6 - М 5.5.1"</f>
        <v>[46/2149] М 5.4.6 - М 5.5.1</v>
      </c>
      <c r="F227" t="str">
        <f>"ДПТа-П-64А 6(6) 7кН (Кр,Жел,Зел,..,8-Фиол,9-Бел,..,Бир,Роз)"</f>
        <v>ДПТа-П-64А 6(6) 7кН (Кр,Жел,Зел,..,8-Фиол,9-Бел,..,Бир,Роз)</v>
      </c>
      <c r="G227" t="str">
        <f>""</f>
        <v/>
      </c>
      <c r="H227" t="str">
        <f t="shared" ref="H227:H241" si="109">"МС 5.5"</f>
        <v>МС 5.5</v>
      </c>
      <c r="I227">
        <v>454</v>
      </c>
      <c r="J227">
        <v>500</v>
      </c>
      <c r="K227">
        <v>0</v>
      </c>
      <c r="L227">
        <v>500</v>
      </c>
      <c r="M227" t="str">
        <f>"Опоры"</f>
        <v>Опоры</v>
      </c>
      <c r="N227" t="str">
        <f t="shared" ref="N227:N240" si="110">"11.10.20122"</f>
        <v>11.10.20122</v>
      </c>
      <c r="O227">
        <v>64</v>
      </c>
      <c r="P227">
        <v>64</v>
      </c>
      <c r="Q227" t="str">
        <f>""</f>
        <v/>
      </c>
      <c r="R227" t="str">
        <f>""</f>
        <v/>
      </c>
      <c r="S227" t="str">
        <f>""</f>
        <v/>
      </c>
      <c r="T227" t="str">
        <f>"46/2149"</f>
        <v>46/2149</v>
      </c>
      <c r="U227" t="str">
        <f t="shared" si="108"/>
        <v>Магистральная ВОЛС</v>
      </c>
      <c r="V227" t="str">
        <f t="shared" si="103"/>
        <v>Нет</v>
      </c>
      <c r="W227" t="str">
        <f t="shared" si="103"/>
        <v>Нет</v>
      </c>
      <c r="X227" t="str">
        <f t="shared" si="103"/>
        <v>Нет</v>
      </c>
      <c r="Y227" t="str">
        <f t="shared" si="103"/>
        <v>Нет</v>
      </c>
      <c r="Z227" t="str">
        <f t="shared" si="104"/>
        <v>Нет</v>
      </c>
      <c r="AA227" t="str">
        <f>""</f>
        <v/>
      </c>
      <c r="AB227" t="str">
        <f t="shared" si="97"/>
        <v>Нет</v>
      </c>
      <c r="AC227" t="str">
        <f>"М 5.4.6 - М 5.5.1"</f>
        <v>М 5.4.6 - М 5.5.1</v>
      </c>
      <c r="AD227" t="str">
        <f t="shared" si="105"/>
        <v>02.02.2012</v>
      </c>
      <c r="AE227" t="str">
        <f>""</f>
        <v/>
      </c>
      <c r="AF227" t="str">
        <f>"[391947] М 5.4.6"</f>
        <v>[391947] М 5.4.6</v>
      </c>
      <c r="AG227" t="str">
        <f>"[447853] М 5.5.1"</f>
        <v>[447853] М 5.5.1</v>
      </c>
      <c r="AH227" t="str">
        <f>"М 5.4.6"</f>
        <v>М 5.4.6</v>
      </c>
      <c r="AI227" t="str">
        <f>"М 5.5.1"</f>
        <v>М 5.5.1</v>
      </c>
      <c r="AJ227" t="str">
        <f>""</f>
        <v/>
      </c>
      <c r="AK227" t="str">
        <f t="shared" si="100"/>
        <v>Нет</v>
      </c>
      <c r="AL227" t="s">
        <v>58</v>
      </c>
      <c r="AM227" t="str">
        <f>"20000008026184"</f>
        <v>20000008026184</v>
      </c>
    </row>
    <row r="228" spans="1:39" x14ac:dyDescent="0.25">
      <c r="A228">
        <v>907</v>
      </c>
      <c r="B228" t="str">
        <f t="shared" si="95"/>
        <v>Курск</v>
      </c>
      <c r="C228">
        <v>847788</v>
      </c>
      <c r="D228" t="str">
        <f t="shared" si="96"/>
        <v>Оптический кабель</v>
      </c>
      <c r="E228" t="str">
        <f>"[46/2150] М 5.5.1 - ГОК5.5.1.1 Курск, Менделеева, 49  п. 2"</f>
        <v>[46/2150] М 5.5.1 - ГОК5.5.1.1 Курск, Менделеева, 49  п. 2</v>
      </c>
      <c r="F228" t="str">
        <f>"ДПТс-П-16А 2(6) 7кН (Мод:Кр,Нат)(Вол:Кр,Жел,Зел,..,Ор,Фиол)"</f>
        <v>ДПТс-П-16А 2(6) 7кН (Мод:Кр,Нат)(Вол:Кр,Жел,Зел,..,Ор,Фиол)</v>
      </c>
      <c r="G228" t="str">
        <f>""</f>
        <v/>
      </c>
      <c r="H228" t="str">
        <f t="shared" si="109"/>
        <v>МС 5.5</v>
      </c>
      <c r="I228">
        <v>87</v>
      </c>
      <c r="J228">
        <v>150</v>
      </c>
      <c r="K228">
        <v>0</v>
      </c>
      <c r="L228">
        <v>150</v>
      </c>
      <c r="M228" t="str">
        <f>"Воздушная трасса по стойкам"</f>
        <v>Воздушная трасса по стойкам</v>
      </c>
      <c r="N228" t="str">
        <f t="shared" si="110"/>
        <v>11.10.20122</v>
      </c>
      <c r="O228">
        <v>10</v>
      </c>
      <c r="P228">
        <v>10</v>
      </c>
      <c r="Q228" t="str">
        <f>""</f>
        <v/>
      </c>
      <c r="R228" t="str">
        <f>"Курск, Менделеева, 49"</f>
        <v>Курск, Менделеева, 49</v>
      </c>
      <c r="S228" t="str">
        <f>""</f>
        <v/>
      </c>
      <c r="T228" t="str">
        <f>"46/2150"</f>
        <v>46/2150</v>
      </c>
      <c r="U228" t="str">
        <f t="shared" si="108"/>
        <v>Магистральная ВОЛС</v>
      </c>
      <c r="V228" t="str">
        <f t="shared" ref="V228:Y247" si="111">"Нет"</f>
        <v>Нет</v>
      </c>
      <c r="W228" t="str">
        <f t="shared" si="111"/>
        <v>Нет</v>
      </c>
      <c r="X228" t="str">
        <f t="shared" si="111"/>
        <v>Нет</v>
      </c>
      <c r="Y228" t="str">
        <f t="shared" si="111"/>
        <v>Нет</v>
      </c>
      <c r="Z228" t="str">
        <f t="shared" si="104"/>
        <v>Нет</v>
      </c>
      <c r="AA228" t="str">
        <f>""</f>
        <v/>
      </c>
      <c r="AB228" t="str">
        <f t="shared" si="97"/>
        <v>Нет</v>
      </c>
      <c r="AC228" t="str">
        <f>"М 5.5.1 - ППК 5.5.1"</f>
        <v>М 5.5.1 - ППК 5.5.1</v>
      </c>
      <c r="AD228" t="str">
        <f t="shared" si="105"/>
        <v>02.02.2012</v>
      </c>
      <c r="AE228" t="str">
        <f>""</f>
        <v/>
      </c>
      <c r="AF228" t="str">
        <f>"[447853] М 5.5.1"</f>
        <v>[447853] М 5.5.1</v>
      </c>
      <c r="AG228" t="str">
        <f>"[447857] ГОК5.5.1.1 Курск, Менделеева, 49  п. 2"</f>
        <v>[447857] ГОК5.5.1.1 Курск, Менделеева, 49  п. 2</v>
      </c>
      <c r="AH228" t="str">
        <f>"М 5.5.1"</f>
        <v>М 5.5.1</v>
      </c>
      <c r="AI228" t="str">
        <f>"ППК 5.5.1"</f>
        <v>ППК 5.5.1</v>
      </c>
      <c r="AJ228" t="str">
        <f>""</f>
        <v/>
      </c>
      <c r="AK228" t="str">
        <f t="shared" si="100"/>
        <v>Нет</v>
      </c>
      <c r="AL228" t="str">
        <f>"51.668866 36.07341, 51.66898 36.072932, 51.669439 36.073008"</f>
        <v>51.668866 36.07341, 51.66898 36.072932, 51.669439 36.073008</v>
      </c>
      <c r="AM228" t="str">
        <f>"20000008004359"</f>
        <v>20000008004359</v>
      </c>
    </row>
    <row r="229" spans="1:39" x14ac:dyDescent="0.25">
      <c r="A229">
        <v>907</v>
      </c>
      <c r="B229" t="str">
        <f t="shared" si="95"/>
        <v>Курск</v>
      </c>
      <c r="C229">
        <v>847791</v>
      </c>
      <c r="D229" t="str">
        <f t="shared" si="96"/>
        <v>Оптический кабель</v>
      </c>
      <c r="E229" t="str">
        <f>"[46/2151] М 5.5.1 - М 5.5.2"</f>
        <v>[46/2151] М 5.5.1 - М 5.5.2</v>
      </c>
      <c r="F229" t="str">
        <f>"ДПТа-П-64А 6(6) 7кН (Кр,Жел,Зел,..,8-Фиол,9-Бел,..,Бир,Роз)"</f>
        <v>ДПТа-П-64А 6(6) 7кН (Кр,Жел,Зел,..,8-Фиол,9-Бел,..,Бир,Роз)</v>
      </c>
      <c r="G229" t="str">
        <f>""</f>
        <v/>
      </c>
      <c r="H229" t="str">
        <f t="shared" si="109"/>
        <v>МС 5.5</v>
      </c>
      <c r="I229">
        <v>528</v>
      </c>
      <c r="J229">
        <v>560</v>
      </c>
      <c r="K229">
        <v>0</v>
      </c>
      <c r="L229">
        <v>560</v>
      </c>
      <c r="M229" t="str">
        <f>"Опоры"</f>
        <v>Опоры</v>
      </c>
      <c r="N229" t="str">
        <f t="shared" si="110"/>
        <v>11.10.20122</v>
      </c>
      <c r="O229">
        <v>64</v>
      </c>
      <c r="P229">
        <v>64</v>
      </c>
      <c r="Q229" t="str">
        <f>""</f>
        <v/>
      </c>
      <c r="R229" t="str">
        <f>""</f>
        <v/>
      </c>
      <c r="S229" t="str">
        <f>""</f>
        <v/>
      </c>
      <c r="T229" t="str">
        <f>"46/2151"</f>
        <v>46/2151</v>
      </c>
      <c r="U229" t="str">
        <f t="shared" si="108"/>
        <v>Магистральная ВОЛС</v>
      </c>
      <c r="V229" t="str">
        <f t="shared" si="111"/>
        <v>Нет</v>
      </c>
      <c r="W229" t="str">
        <f t="shared" si="111"/>
        <v>Нет</v>
      </c>
      <c r="X229" t="str">
        <f t="shared" si="111"/>
        <v>Нет</v>
      </c>
      <c r="Y229" t="str">
        <f t="shared" si="111"/>
        <v>Нет</v>
      </c>
      <c r="Z229" t="str">
        <f t="shared" si="104"/>
        <v>Нет</v>
      </c>
      <c r="AA229" t="str">
        <f>""</f>
        <v/>
      </c>
      <c r="AB229" t="str">
        <f t="shared" si="97"/>
        <v>Нет</v>
      </c>
      <c r="AC229" t="str">
        <f>"М 5.5.1 - М 5.5.2"</f>
        <v>М 5.5.1 - М 5.5.2</v>
      </c>
      <c r="AD229" t="str">
        <f t="shared" si="105"/>
        <v>02.02.2012</v>
      </c>
      <c r="AE229" t="str">
        <f>""</f>
        <v/>
      </c>
      <c r="AF229" t="str">
        <f>"[447853] М 5.5.1"</f>
        <v>[447853] М 5.5.1</v>
      </c>
      <c r="AG229" t="str">
        <f>"[447849] М 5.5.2"</f>
        <v>[447849] М 5.5.2</v>
      </c>
      <c r="AH229" t="str">
        <f>"М 5.5.1"</f>
        <v>М 5.5.1</v>
      </c>
      <c r="AI229" t="str">
        <f>"М 5.5.2"</f>
        <v>М 5.5.2</v>
      </c>
      <c r="AJ229" t="str">
        <f>""</f>
        <v/>
      </c>
      <c r="AK229" t="str">
        <f t="shared" si="100"/>
        <v>Нет</v>
      </c>
      <c r="AL229" t="s">
        <v>59</v>
      </c>
      <c r="AM229" t="str">
        <f>"20000007993283"</f>
        <v>20000007993283</v>
      </c>
    </row>
    <row r="230" spans="1:39" x14ac:dyDescent="0.25">
      <c r="A230">
        <v>907</v>
      </c>
      <c r="B230" t="str">
        <f t="shared" si="95"/>
        <v>Курск</v>
      </c>
      <c r="C230">
        <v>847803</v>
      </c>
      <c r="D230" t="str">
        <f t="shared" si="96"/>
        <v>Оптический кабель</v>
      </c>
      <c r="E230" t="str">
        <f>"[46/2152] М 5.5.2 - ГОК5.5.6.1 Курск, Менделеева, 65 а п. 2"</f>
        <v>[46/2152] М 5.5.2 - ГОК5.5.6.1 Курск, Менделеева, 65 а п. 2</v>
      </c>
      <c r="F230" t="str">
        <f>"ДПТс-П-16А 2(6) 7кН (Мод:Кр,Нат)(Вол:Кр,Жел,Зел,..,Ор,Фиол)"</f>
        <v>ДПТс-П-16А 2(6) 7кН (Мод:Кр,Нат)(Вол:Кр,Жел,Зел,..,Ор,Фиол)</v>
      </c>
      <c r="G230" t="str">
        <f>""</f>
        <v/>
      </c>
      <c r="H230" t="str">
        <f t="shared" si="109"/>
        <v>МС 5.5</v>
      </c>
      <c r="I230">
        <v>93</v>
      </c>
      <c r="J230">
        <v>210</v>
      </c>
      <c r="K230">
        <v>70</v>
      </c>
      <c r="L230">
        <v>210</v>
      </c>
      <c r="M230" t="str">
        <f>"Воздушная трасса по стойкам"</f>
        <v>Воздушная трасса по стойкам</v>
      </c>
      <c r="N230" t="str">
        <f t="shared" si="110"/>
        <v>11.10.20122</v>
      </c>
      <c r="O230">
        <v>10</v>
      </c>
      <c r="P230">
        <v>10</v>
      </c>
      <c r="Q230" t="str">
        <f>""</f>
        <v/>
      </c>
      <c r="R230" t="str">
        <f>"Курск, Менделеева, 65 а"</f>
        <v>Курск, Менделеева, 65 а</v>
      </c>
      <c r="S230" t="str">
        <f>""</f>
        <v/>
      </c>
      <c r="T230" t="str">
        <f>"46/2152"</f>
        <v>46/2152</v>
      </c>
      <c r="U230" t="str">
        <f t="shared" si="108"/>
        <v>Магистральная ВОЛС</v>
      </c>
      <c r="V230" t="str">
        <f t="shared" si="111"/>
        <v>Нет</v>
      </c>
      <c r="W230" t="str">
        <f t="shared" si="111"/>
        <v>Нет</v>
      </c>
      <c r="X230" t="str">
        <f t="shared" si="111"/>
        <v>Нет</v>
      </c>
      <c r="Y230" t="str">
        <f t="shared" si="111"/>
        <v>Нет</v>
      </c>
      <c r="Z230" t="str">
        <f t="shared" si="104"/>
        <v>Нет</v>
      </c>
      <c r="AA230" t="str">
        <f>""</f>
        <v/>
      </c>
      <c r="AB230" t="str">
        <f t="shared" si="97"/>
        <v>Нет</v>
      </c>
      <c r="AC230" t="str">
        <f>"М 5.5.2 - ППК 5.5.6"</f>
        <v>М 5.5.2 - ППК 5.5.6</v>
      </c>
      <c r="AD230" t="str">
        <f t="shared" si="105"/>
        <v>02.02.2012</v>
      </c>
      <c r="AE230" t="str">
        <f>""</f>
        <v/>
      </c>
      <c r="AF230" t="str">
        <f>"[447849] М 5.5.2"</f>
        <v>[447849] М 5.5.2</v>
      </c>
      <c r="AG230" t="str">
        <f>"[447922] ГОК5.5.6.1 Курск, Менделеева, 65 а п. 2"</f>
        <v>[447922] ГОК5.5.6.1 Курск, Менделеева, 65 а п. 2</v>
      </c>
      <c r="AH230" t="str">
        <f>"М 5.5.2"</f>
        <v>М 5.5.2</v>
      </c>
      <c r="AI230" t="str">
        <f>"ППК 5.5.6"</f>
        <v>ППК 5.5.6</v>
      </c>
      <c r="AJ230" t="str">
        <f>""</f>
        <v/>
      </c>
      <c r="AK230" t="str">
        <f t="shared" si="100"/>
        <v>Нет</v>
      </c>
      <c r="AL230" t="str">
        <f>"51.666444 36.066879, 51.666671 36.06668, 51.667246 36.066568"</f>
        <v>51.666444 36.066879, 51.666671 36.06668, 51.667246 36.066568</v>
      </c>
      <c r="AM230" t="str">
        <f>"20000008030138"</f>
        <v>20000008030138</v>
      </c>
    </row>
    <row r="231" spans="1:39" x14ac:dyDescent="0.25">
      <c r="A231">
        <v>907</v>
      </c>
      <c r="B231" t="str">
        <f t="shared" si="95"/>
        <v>Курск</v>
      </c>
      <c r="C231">
        <v>847806</v>
      </c>
      <c r="D231" t="str">
        <f t="shared" si="96"/>
        <v>Оптический кабель</v>
      </c>
      <c r="E231" t="str">
        <f>"[46/2153] М 5.5.2 - М 5.5.3"</f>
        <v>[46/2153] М 5.5.2 - М 5.5.3</v>
      </c>
      <c r="F231" t="str">
        <f>"ДПТа-П-64А 6(6) 7кН (Кр,Жел,Зел,..,8-Фиол,9-Бел,..,Бир,Роз)"</f>
        <v>ДПТа-П-64А 6(6) 7кН (Кр,Жел,Зел,..,8-Фиол,9-Бел,..,Бир,Роз)</v>
      </c>
      <c r="G231" t="str">
        <f>""</f>
        <v/>
      </c>
      <c r="H231" t="str">
        <f t="shared" si="109"/>
        <v>МС 5.5</v>
      </c>
      <c r="I231">
        <v>85</v>
      </c>
      <c r="J231">
        <v>150</v>
      </c>
      <c r="K231">
        <v>0</v>
      </c>
      <c r="L231">
        <v>150</v>
      </c>
      <c r="M231" t="str">
        <f>"Опоры"</f>
        <v>Опоры</v>
      </c>
      <c r="N231" t="str">
        <f t="shared" si="110"/>
        <v>11.10.20122</v>
      </c>
      <c r="O231">
        <v>64</v>
      </c>
      <c r="P231">
        <v>64</v>
      </c>
      <c r="Q231" t="str">
        <f>""</f>
        <v/>
      </c>
      <c r="R231" t="str">
        <f>""</f>
        <v/>
      </c>
      <c r="S231" t="str">
        <f>""</f>
        <v/>
      </c>
      <c r="T231" t="str">
        <f>"46/2153"</f>
        <v>46/2153</v>
      </c>
      <c r="U231" t="str">
        <f t="shared" si="108"/>
        <v>Магистральная ВОЛС</v>
      </c>
      <c r="V231" t="str">
        <f t="shared" si="111"/>
        <v>Нет</v>
      </c>
      <c r="W231" t="str">
        <f t="shared" si="111"/>
        <v>Нет</v>
      </c>
      <c r="X231" t="str">
        <f t="shared" si="111"/>
        <v>Нет</v>
      </c>
      <c r="Y231" t="str">
        <f t="shared" si="111"/>
        <v>Нет</v>
      </c>
      <c r="Z231" t="str">
        <f t="shared" si="104"/>
        <v>Нет</v>
      </c>
      <c r="AA231" t="str">
        <f>""</f>
        <v/>
      </c>
      <c r="AB231" t="str">
        <f t="shared" si="97"/>
        <v>Нет</v>
      </c>
      <c r="AC231" t="str">
        <f>"М 5.5.2 - М 5.5.3"</f>
        <v>М 5.5.2 - М 5.5.3</v>
      </c>
      <c r="AD231" t="str">
        <f t="shared" si="105"/>
        <v>02.02.2012</v>
      </c>
      <c r="AE231" t="str">
        <f>""</f>
        <v/>
      </c>
      <c r="AF231" t="str">
        <f>"[447849] М 5.5.2"</f>
        <v>[447849] М 5.5.2</v>
      </c>
      <c r="AG231" t="str">
        <f>"[447845] М 5.5.3"</f>
        <v>[447845] М 5.5.3</v>
      </c>
      <c r="AH231" t="str">
        <f>"М 5.5.2"</f>
        <v>М 5.5.2</v>
      </c>
      <c r="AI231" t="str">
        <f>"М 5.5.3"</f>
        <v>М 5.5.3</v>
      </c>
      <c r="AJ231" t="str">
        <f>""</f>
        <v/>
      </c>
      <c r="AK231" t="str">
        <f t="shared" si="100"/>
        <v>Нет</v>
      </c>
      <c r="AL231" t="str">
        <f>"51.666297 36.066997, 51.666309 36.066517, 51.666184 36.066173, 51.666047 36.065792"</f>
        <v>51.666297 36.066997, 51.666309 36.066517, 51.666184 36.066173, 51.666047 36.065792</v>
      </c>
      <c r="AM231" t="str">
        <f>"20000007993278"</f>
        <v>20000007993278</v>
      </c>
    </row>
    <row r="232" spans="1:39" x14ac:dyDescent="0.25">
      <c r="A232">
        <v>907</v>
      </c>
      <c r="B232" t="str">
        <f t="shared" si="95"/>
        <v>Курск</v>
      </c>
      <c r="C232">
        <v>847811</v>
      </c>
      <c r="D232" t="str">
        <f t="shared" si="96"/>
        <v>Оптический кабель</v>
      </c>
      <c r="E232" t="str">
        <f>"[46/2154] М 5.5.3 - ГОК5.5.7.1 Курск, Менделеева, 73  п. 3"</f>
        <v>[46/2154] М 5.5.3 - ГОК5.5.7.1 Курск, Менделеева, 73  п. 3</v>
      </c>
      <c r="F232" t="str">
        <f>"ДПТс-П-16А 2(6) 7кН (Мод:Кр,Нат)(Вол:Кр,Жел,Зел,..,Ор,Фиол)"</f>
        <v>ДПТс-П-16А 2(6) 7кН (Мод:Кр,Нат)(Вол:Кр,Жел,Зел,..,Ор,Фиол)</v>
      </c>
      <c r="G232" t="str">
        <f>""</f>
        <v/>
      </c>
      <c r="H232" t="str">
        <f t="shared" si="109"/>
        <v>МС 5.5</v>
      </c>
      <c r="I232">
        <v>27</v>
      </c>
      <c r="J232">
        <v>100</v>
      </c>
      <c r="K232">
        <v>0</v>
      </c>
      <c r="L232">
        <v>100</v>
      </c>
      <c r="M232" t="str">
        <f>"Воздушная трасса по стойкам"</f>
        <v>Воздушная трасса по стойкам</v>
      </c>
      <c r="N232" t="str">
        <f t="shared" si="110"/>
        <v>11.10.20122</v>
      </c>
      <c r="O232">
        <v>10</v>
      </c>
      <c r="P232">
        <v>10</v>
      </c>
      <c r="Q232" t="str">
        <f>""</f>
        <v/>
      </c>
      <c r="R232" t="str">
        <f>"Курск, Менделеева, 73"</f>
        <v>Курск, Менделеева, 73</v>
      </c>
      <c r="S232" t="str">
        <f>""</f>
        <v/>
      </c>
      <c r="T232" t="str">
        <f>"46/2154"</f>
        <v>46/2154</v>
      </c>
      <c r="U232" t="str">
        <f t="shared" si="108"/>
        <v>Магистральная ВОЛС</v>
      </c>
      <c r="V232" t="str">
        <f t="shared" si="111"/>
        <v>Нет</v>
      </c>
      <c r="W232" t="str">
        <f t="shared" si="111"/>
        <v>Нет</v>
      </c>
      <c r="X232" t="str">
        <f t="shared" si="111"/>
        <v>Нет</v>
      </c>
      <c r="Y232" t="str">
        <f t="shared" si="111"/>
        <v>Нет</v>
      </c>
      <c r="Z232" t="str">
        <f t="shared" si="104"/>
        <v>Нет</v>
      </c>
      <c r="AA232" t="str">
        <f>""</f>
        <v/>
      </c>
      <c r="AB232" t="str">
        <f t="shared" si="97"/>
        <v>Нет</v>
      </c>
      <c r="AC232" t="str">
        <f>"М 5.5.3 - ППК 5.5.7"</f>
        <v>М 5.5.3 - ППК 5.5.7</v>
      </c>
      <c r="AD232" t="str">
        <f t="shared" si="105"/>
        <v>02.02.2012</v>
      </c>
      <c r="AE232" t="str">
        <f>""</f>
        <v/>
      </c>
      <c r="AF232" t="str">
        <f>"[447845] М 5.5.3"</f>
        <v>[447845] М 5.5.3</v>
      </c>
      <c r="AG232" t="str">
        <f>"[447935] ГОК5.5.7.1 Курск, Менделеева, 73  п. 3"</f>
        <v>[447935] ГОК5.5.7.1 Курск, Менделеева, 73  п. 3</v>
      </c>
      <c r="AH232" t="str">
        <f>"М 5.5.3"</f>
        <v>М 5.5.3</v>
      </c>
      <c r="AI232" t="str">
        <f>"ППК 5.5.7"</f>
        <v>ППК 5.5.7</v>
      </c>
      <c r="AJ232" t="str">
        <f>""</f>
        <v/>
      </c>
      <c r="AK232" t="str">
        <f t="shared" si="100"/>
        <v>Нет</v>
      </c>
      <c r="AL232" t="str">
        <f>"51.666047 36.065792, 51.666261 36.065623"</f>
        <v>51.666047 36.065792, 51.666261 36.065623</v>
      </c>
      <c r="AM232" t="str">
        <f>"20000008035103"</f>
        <v>20000008035103</v>
      </c>
    </row>
    <row r="233" spans="1:39" x14ac:dyDescent="0.25">
      <c r="A233">
        <v>907</v>
      </c>
      <c r="B233" t="str">
        <f t="shared" si="95"/>
        <v>Курск</v>
      </c>
      <c r="C233">
        <v>847823</v>
      </c>
      <c r="D233" t="str">
        <f t="shared" si="96"/>
        <v>Оптический кабель</v>
      </c>
      <c r="E233" t="str">
        <f>"[46/2155] М 5.5.3 - М 5.5.4"</f>
        <v>[46/2155] М 5.5.3 - М 5.5.4</v>
      </c>
      <c r="F233" t="str">
        <f>"ДПТа-П-64А 6(6) 7кН (Кр,Жел,Зел,..,8-Фиол,9-Бел,..,Бир,Роз)"</f>
        <v>ДПТа-П-64А 6(6) 7кН (Кр,Жел,Зел,..,8-Фиол,9-Бел,..,Бир,Роз)</v>
      </c>
      <c r="G233" t="str">
        <f>""</f>
        <v/>
      </c>
      <c r="H233" t="str">
        <f t="shared" si="109"/>
        <v>МС 5.5</v>
      </c>
      <c r="I233">
        <v>576</v>
      </c>
      <c r="J233">
        <v>650</v>
      </c>
      <c r="K233">
        <v>0</v>
      </c>
      <c r="L233">
        <v>650</v>
      </c>
      <c r="M233" t="str">
        <f>"Опоры"</f>
        <v>Опоры</v>
      </c>
      <c r="N233" t="str">
        <f t="shared" si="110"/>
        <v>11.10.20122</v>
      </c>
      <c r="O233">
        <v>64</v>
      </c>
      <c r="P233">
        <v>64</v>
      </c>
      <c r="Q233" t="str">
        <f>""</f>
        <v/>
      </c>
      <c r="R233" t="str">
        <f>""</f>
        <v/>
      </c>
      <c r="S233" t="str">
        <f>""</f>
        <v/>
      </c>
      <c r="T233" t="str">
        <f>"46/2155"</f>
        <v>46/2155</v>
      </c>
      <c r="U233" t="str">
        <f t="shared" si="108"/>
        <v>Магистральная ВОЛС</v>
      </c>
      <c r="V233" t="str">
        <f t="shared" si="111"/>
        <v>Нет</v>
      </c>
      <c r="W233" t="str">
        <f t="shared" si="111"/>
        <v>Нет</v>
      </c>
      <c r="X233" t="str">
        <f t="shared" si="111"/>
        <v>Нет</v>
      </c>
      <c r="Y233" t="str">
        <f t="shared" si="111"/>
        <v>Нет</v>
      </c>
      <c r="Z233" t="str">
        <f t="shared" si="104"/>
        <v>Нет</v>
      </c>
      <c r="AA233" t="str">
        <f>""</f>
        <v/>
      </c>
      <c r="AB233" t="str">
        <f t="shared" si="97"/>
        <v>Нет</v>
      </c>
      <c r="AC233" t="str">
        <f>"М 5.5.3 - М 5.5.4"</f>
        <v>М 5.5.3 - М 5.5.4</v>
      </c>
      <c r="AD233" t="str">
        <f t="shared" si="105"/>
        <v>02.02.2012</v>
      </c>
      <c r="AE233" t="str">
        <f>""</f>
        <v/>
      </c>
      <c r="AF233" t="str">
        <f>"[447845] М 5.5.3"</f>
        <v>[447845] М 5.5.3</v>
      </c>
      <c r="AG233" t="str">
        <f>"[447841] М 5.5.4"</f>
        <v>[447841] М 5.5.4</v>
      </c>
      <c r="AH233" t="str">
        <f>"М 5.5.3"</f>
        <v>М 5.5.3</v>
      </c>
      <c r="AI233" t="str">
        <f>"М 5.5.4"</f>
        <v>М 5.5.4</v>
      </c>
      <c r="AJ233" t="str">
        <f>""</f>
        <v/>
      </c>
      <c r="AK233" t="str">
        <f t="shared" si="100"/>
        <v>Нет</v>
      </c>
      <c r="AL233" t="s">
        <v>60</v>
      </c>
      <c r="AM233" t="str">
        <f>"20000008017090"</f>
        <v>20000008017090</v>
      </c>
    </row>
    <row r="234" spans="1:39" x14ac:dyDescent="0.25">
      <c r="A234">
        <v>907</v>
      </c>
      <c r="B234" t="str">
        <f t="shared" si="95"/>
        <v>Курск</v>
      </c>
      <c r="C234">
        <v>847828</v>
      </c>
      <c r="D234" t="str">
        <f t="shared" si="96"/>
        <v>Оптический кабель</v>
      </c>
      <c r="E234" t="str">
        <f>"[46/2156] М 5.5.4 - ГОК5.5.5.1 Курск, Менделеева, 61  п. 5"</f>
        <v>[46/2156] М 5.5.4 - ГОК5.5.5.1 Курск, Менделеева, 61  п. 5</v>
      </c>
      <c r="F234" t="str">
        <f>"ДПТс-П-16А 2(6) 7кН (Мод:Кр,Нат)(Вол:Кр,Жел,Зел,..,Ор,Фиол)"</f>
        <v>ДПТс-П-16А 2(6) 7кН (Мод:Кр,Нат)(Вол:Кр,Жел,Зел,..,Ор,Фиол)</v>
      </c>
      <c r="G234" t="str">
        <f>""</f>
        <v/>
      </c>
      <c r="H234" t="str">
        <f t="shared" si="109"/>
        <v>МС 5.5</v>
      </c>
      <c r="I234">
        <v>147</v>
      </c>
      <c r="J234">
        <v>200</v>
      </c>
      <c r="K234">
        <v>0</v>
      </c>
      <c r="L234">
        <v>200</v>
      </c>
      <c r="M234" t="str">
        <f>"Воздушная трасса по стойкам"</f>
        <v>Воздушная трасса по стойкам</v>
      </c>
      <c r="N234" t="str">
        <f t="shared" si="110"/>
        <v>11.10.20122</v>
      </c>
      <c r="O234">
        <v>11</v>
      </c>
      <c r="P234">
        <v>11</v>
      </c>
      <c r="Q234" t="str">
        <f>""</f>
        <v/>
      </c>
      <c r="R234" t="str">
        <f>"Курск, Менделеева, 61"</f>
        <v>Курск, Менделеева, 61</v>
      </c>
      <c r="S234" t="str">
        <f>""</f>
        <v/>
      </c>
      <c r="T234" t="str">
        <f>"46/2156"</f>
        <v>46/2156</v>
      </c>
      <c r="U234" t="str">
        <f t="shared" si="108"/>
        <v>Магистральная ВОЛС</v>
      </c>
      <c r="V234" t="str">
        <f t="shared" si="111"/>
        <v>Нет</v>
      </c>
      <c r="W234" t="str">
        <f t="shared" si="111"/>
        <v>Нет</v>
      </c>
      <c r="X234" t="str">
        <f t="shared" si="111"/>
        <v>Нет</v>
      </c>
      <c r="Y234" t="str">
        <f t="shared" si="111"/>
        <v>Нет</v>
      </c>
      <c r="Z234" t="str">
        <f t="shared" si="104"/>
        <v>Нет</v>
      </c>
      <c r="AA234" t="str">
        <f>""</f>
        <v/>
      </c>
      <c r="AB234" t="str">
        <f t="shared" si="97"/>
        <v>Нет</v>
      </c>
      <c r="AC234" t="str">
        <f>"М 5.5.4 - ППК 5.5.5"</f>
        <v>М 5.5.4 - ППК 5.5.5</v>
      </c>
      <c r="AD234" t="str">
        <f t="shared" si="105"/>
        <v>02.02.2012</v>
      </c>
      <c r="AE234" t="str">
        <f>""</f>
        <v/>
      </c>
      <c r="AF234" t="str">
        <f>"[447841] М 5.5.4"</f>
        <v>[447841] М 5.5.4</v>
      </c>
      <c r="AG234" t="str">
        <f>"[447909] ГОК5.5.5.1 Курск, Менделеева, 61  п. 5"</f>
        <v>[447909] ГОК5.5.5.1 Курск, Менделеева, 61  п. 5</v>
      </c>
      <c r="AH234" t="str">
        <f>"М 5.5.4"</f>
        <v>М 5.5.4</v>
      </c>
      <c r="AI234" t="str">
        <f>"ППК 5.5.5"</f>
        <v>ППК 5.5.5</v>
      </c>
      <c r="AJ234" t="str">
        <f>""</f>
        <v/>
      </c>
      <c r="AK234" t="str">
        <f t="shared" si="100"/>
        <v>Нет</v>
      </c>
      <c r="AL234" t="str">
        <f>"51.66861 36.065457, 51.668713 36.0658, 51.668823 36.066144, 51.66894 36.066503, 51.6688 36.06683, 51.668507 36.067126"</f>
        <v>51.66861 36.065457, 51.668713 36.0658, 51.668823 36.066144, 51.66894 36.066503, 51.6688 36.06683, 51.668507 36.067126</v>
      </c>
      <c r="AM234" t="str">
        <f>"20000008047925"</f>
        <v>20000008047925</v>
      </c>
    </row>
    <row r="235" spans="1:39" x14ac:dyDescent="0.25">
      <c r="A235">
        <v>907</v>
      </c>
      <c r="B235" t="str">
        <f t="shared" si="95"/>
        <v>Курск</v>
      </c>
      <c r="C235">
        <v>847831</v>
      </c>
      <c r="D235" t="str">
        <f t="shared" si="96"/>
        <v>Оптический кабель</v>
      </c>
      <c r="E235" t="str">
        <f>"[46/2157] М 5.5.4 - М 5.5.5"</f>
        <v>[46/2157] М 5.5.4 - М 5.5.5</v>
      </c>
      <c r="F235" t="str">
        <f>"ДПТа-П-64А 6(6) 7кН (Кр,Жел,Зел,..,8-Фиол,9-Бел,..,Бир,Роз)"</f>
        <v>ДПТа-П-64А 6(6) 7кН (Кр,Жел,Зел,..,8-Фиол,9-Бел,..,Бир,Роз)</v>
      </c>
      <c r="G235" t="str">
        <f>""</f>
        <v/>
      </c>
      <c r="H235" t="str">
        <f t="shared" si="109"/>
        <v>МС 5.5</v>
      </c>
      <c r="I235">
        <v>648</v>
      </c>
      <c r="J235">
        <v>680</v>
      </c>
      <c r="K235">
        <v>0</v>
      </c>
      <c r="L235">
        <v>680</v>
      </c>
      <c r="M235" t="str">
        <f>"Опоры"</f>
        <v>Опоры</v>
      </c>
      <c r="N235" t="str">
        <f t="shared" si="110"/>
        <v>11.10.20122</v>
      </c>
      <c r="O235">
        <v>64</v>
      </c>
      <c r="P235">
        <v>64</v>
      </c>
      <c r="Q235" t="str">
        <f>""</f>
        <v/>
      </c>
      <c r="R235" t="str">
        <f>""</f>
        <v/>
      </c>
      <c r="S235" t="str">
        <f>""</f>
        <v/>
      </c>
      <c r="T235" t="str">
        <f>"46/2157"</f>
        <v>46/2157</v>
      </c>
      <c r="U235" t="str">
        <f t="shared" si="108"/>
        <v>Магистральная ВОЛС</v>
      </c>
      <c r="V235" t="str">
        <f t="shared" si="111"/>
        <v>Нет</v>
      </c>
      <c r="W235" t="str">
        <f t="shared" si="111"/>
        <v>Нет</v>
      </c>
      <c r="X235" t="str">
        <f t="shared" si="111"/>
        <v>Нет</v>
      </c>
      <c r="Y235" t="str">
        <f t="shared" si="111"/>
        <v>Нет</v>
      </c>
      <c r="Z235" t="str">
        <f t="shared" si="104"/>
        <v>Нет</v>
      </c>
      <c r="AA235" t="str">
        <f>""</f>
        <v/>
      </c>
      <c r="AB235" t="str">
        <f t="shared" si="97"/>
        <v>Нет</v>
      </c>
      <c r="AC235" t="str">
        <f>"М 5.5.4 - М 5.5.5"</f>
        <v>М 5.5.4 - М 5.5.5</v>
      </c>
      <c r="AD235" t="str">
        <f t="shared" si="105"/>
        <v>02.02.2012</v>
      </c>
      <c r="AE235" t="str">
        <f>""</f>
        <v/>
      </c>
      <c r="AF235" t="str">
        <f>"[447841] М 5.5.4"</f>
        <v>[447841] М 5.5.4</v>
      </c>
      <c r="AG235" t="str">
        <f>"[447837] М 5.5.5"</f>
        <v>[447837] М 5.5.5</v>
      </c>
      <c r="AH235" t="str">
        <f>"М 5.5.4"</f>
        <v>М 5.5.4</v>
      </c>
      <c r="AI235" t="str">
        <f>"М 5.5.5"</f>
        <v>М 5.5.5</v>
      </c>
      <c r="AJ235" t="str">
        <f>""</f>
        <v/>
      </c>
      <c r="AK235" t="str">
        <f t="shared" si="100"/>
        <v>Нет</v>
      </c>
      <c r="AL235" t="s">
        <v>61</v>
      </c>
      <c r="AM235" t="str">
        <f>"20000008036111"</f>
        <v>20000008036111</v>
      </c>
    </row>
    <row r="236" spans="1:39" x14ac:dyDescent="0.25">
      <c r="A236">
        <v>907</v>
      </c>
      <c r="B236" t="str">
        <f t="shared" si="95"/>
        <v>Курск</v>
      </c>
      <c r="C236">
        <v>847844</v>
      </c>
      <c r="D236" t="str">
        <f t="shared" si="96"/>
        <v>Оптический кабель</v>
      </c>
      <c r="E236" t="str">
        <f>"[46/2158] М 5.5.5 - ГОК5.5.4.1 Курск, Крюкова, 16  п. 4"</f>
        <v>[46/2158] М 5.5.5 - ГОК5.5.4.1 Курск, Крюкова, 16  п. 4</v>
      </c>
      <c r="F236" t="str">
        <f>"ДПТс-П-16А 2(6) 7кН (Мод:Кр,Нат)(Вол:Кр,Жел,Зел,..,Ор,Фиол)"</f>
        <v>ДПТс-П-16А 2(6) 7кН (Мод:Кр,Нат)(Вол:Кр,Жел,Зел,..,Ор,Фиол)</v>
      </c>
      <c r="G236" t="str">
        <f>""</f>
        <v/>
      </c>
      <c r="H236" t="str">
        <f t="shared" si="109"/>
        <v>МС 5.5</v>
      </c>
      <c r="I236">
        <v>108</v>
      </c>
      <c r="J236">
        <v>150</v>
      </c>
      <c r="K236">
        <v>0</v>
      </c>
      <c r="L236">
        <v>150</v>
      </c>
      <c r="M236" t="str">
        <f>"Опоры"</f>
        <v>Опоры</v>
      </c>
      <c r="N236" t="str">
        <f t="shared" si="110"/>
        <v>11.10.20122</v>
      </c>
      <c r="O236">
        <v>10</v>
      </c>
      <c r="P236">
        <v>10</v>
      </c>
      <c r="Q236" t="str">
        <f>""</f>
        <v/>
      </c>
      <c r="R236" t="str">
        <f>"Курск, Крюкова, 16"</f>
        <v>Курск, Крюкова, 16</v>
      </c>
      <c r="S236" t="str">
        <f>""</f>
        <v/>
      </c>
      <c r="T236" t="str">
        <f>"46/2158"</f>
        <v>46/2158</v>
      </c>
      <c r="U236" t="str">
        <f t="shared" si="108"/>
        <v>Магистральная ВОЛС</v>
      </c>
      <c r="V236" t="str">
        <f t="shared" si="111"/>
        <v>Нет</v>
      </c>
      <c r="W236" t="str">
        <f t="shared" si="111"/>
        <v>Нет</v>
      </c>
      <c r="X236" t="str">
        <f t="shared" si="111"/>
        <v>Нет</v>
      </c>
      <c r="Y236" t="str">
        <f t="shared" si="111"/>
        <v>Нет</v>
      </c>
      <c r="Z236" t="str">
        <f t="shared" si="104"/>
        <v>Нет</v>
      </c>
      <c r="AA236" t="str">
        <f>""</f>
        <v/>
      </c>
      <c r="AB236" t="str">
        <f t="shared" si="97"/>
        <v>Нет</v>
      </c>
      <c r="AC236" t="str">
        <f>"М 5.5.5 - ППК 5.5.4"</f>
        <v>М 5.5.5 - ППК 5.5.4</v>
      </c>
      <c r="AD236" t="str">
        <f t="shared" si="105"/>
        <v>02.02.2012</v>
      </c>
      <c r="AE236" t="str">
        <f>""</f>
        <v/>
      </c>
      <c r="AF236" t="str">
        <f>"[447837] М 5.5.5"</f>
        <v>[447837] М 5.5.5</v>
      </c>
      <c r="AG236" t="str">
        <f>"[447896] ГОК5.5.4.1 Курск, Крюкова, 16  п. 4"</f>
        <v>[447896] ГОК5.5.4.1 Курск, Крюкова, 16  п. 4</v>
      </c>
      <c r="AH236" t="str">
        <f>"М 5.5.5"</f>
        <v>М 5.5.5</v>
      </c>
      <c r="AI236" t="str">
        <f>"ППК 5.5.4"</f>
        <v>ППК 5.5.4</v>
      </c>
      <c r="AJ236" t="str">
        <f>""</f>
        <v/>
      </c>
      <c r="AK236" t="str">
        <f t="shared" si="100"/>
        <v>Нет</v>
      </c>
      <c r="AL236" t="str">
        <f>"51.671941 36.071275, 51.67214 36.071109, 51.672363 36.070899, 51.672336 36.070105"</f>
        <v>51.671941 36.071275, 51.67214 36.071109, 51.672363 36.070899, 51.672336 36.070105</v>
      </c>
      <c r="AM236" t="str">
        <f>"20000008030137"</f>
        <v>20000008030137</v>
      </c>
    </row>
    <row r="237" spans="1:39" x14ac:dyDescent="0.25">
      <c r="A237">
        <v>907</v>
      </c>
      <c r="B237" t="str">
        <f t="shared" si="95"/>
        <v>Курск</v>
      </c>
      <c r="C237">
        <v>847847</v>
      </c>
      <c r="D237" t="str">
        <f t="shared" si="96"/>
        <v>Оптический кабель</v>
      </c>
      <c r="E237" t="str">
        <f>"[46/2159] М 5.5.5 - ГОК5.5.3.1 Курск, Крюкова, 18  п. 2"</f>
        <v>[46/2159] М 5.5.5 - ГОК5.5.3.1 Курск, Крюкова, 18  п. 2</v>
      </c>
      <c r="F237" t="str">
        <f>"ДПТс-П-16А 2(6) 7кН (Мод:Кр,Нат)(Вол:Кр,Жел,Зел,..,Ор,Фиол)"</f>
        <v>ДПТс-П-16А 2(6) 7кН (Мод:Кр,Нат)(Вол:Кр,Жел,Зел,..,Ор,Фиол)</v>
      </c>
      <c r="G237" t="str">
        <f>""</f>
        <v/>
      </c>
      <c r="H237" t="str">
        <f t="shared" si="109"/>
        <v>МС 5.5</v>
      </c>
      <c r="I237">
        <v>276</v>
      </c>
      <c r="J237">
        <v>355</v>
      </c>
      <c r="K237">
        <v>0</v>
      </c>
      <c r="L237">
        <v>355</v>
      </c>
      <c r="M237" t="str">
        <f>"Воздушная трасса по стойкам"</f>
        <v>Воздушная трасса по стойкам</v>
      </c>
      <c r="N237" t="str">
        <f t="shared" si="110"/>
        <v>11.10.20122</v>
      </c>
      <c r="O237">
        <v>10</v>
      </c>
      <c r="P237">
        <v>10</v>
      </c>
      <c r="Q237" t="str">
        <f>""</f>
        <v/>
      </c>
      <c r="R237" t="str">
        <f>"Курск, Крюкова, 18"</f>
        <v>Курск, Крюкова, 18</v>
      </c>
      <c r="S237" t="str">
        <f>""</f>
        <v/>
      </c>
      <c r="T237" t="str">
        <f>"46/2159"</f>
        <v>46/2159</v>
      </c>
      <c r="U237" t="str">
        <f t="shared" si="108"/>
        <v>Магистральная ВОЛС</v>
      </c>
      <c r="V237" t="str">
        <f t="shared" si="111"/>
        <v>Нет</v>
      </c>
      <c r="W237" t="str">
        <f t="shared" si="111"/>
        <v>Нет</v>
      </c>
      <c r="X237" t="str">
        <f t="shared" si="111"/>
        <v>Нет</v>
      </c>
      <c r="Y237" t="str">
        <f t="shared" si="111"/>
        <v>Нет</v>
      </c>
      <c r="Z237" t="str">
        <f t="shared" si="104"/>
        <v>Нет</v>
      </c>
      <c r="AA237" t="str">
        <f>""</f>
        <v/>
      </c>
      <c r="AB237" t="str">
        <f t="shared" si="97"/>
        <v>Нет</v>
      </c>
      <c r="AC237" t="str">
        <f>"М 5.5.5 - ППК 5.5.3"</f>
        <v>М 5.5.5 - ППК 5.5.3</v>
      </c>
      <c r="AD237" t="str">
        <f t="shared" si="105"/>
        <v>02.02.2012</v>
      </c>
      <c r="AE237" t="str">
        <f>""</f>
        <v/>
      </c>
      <c r="AF237" t="str">
        <f>"[447837] М 5.5.5"</f>
        <v>[447837] М 5.5.5</v>
      </c>
      <c r="AG237" t="str">
        <f>"[447883] ГОК5.5.3.1 Курск, Крюкова, 18  п. 2"</f>
        <v>[447883] ГОК5.5.3.1 Курск, Крюкова, 18  п. 2</v>
      </c>
      <c r="AH237" t="str">
        <f>"М 5.5.5"</f>
        <v>М 5.5.5</v>
      </c>
      <c r="AI237" t="str">
        <f>"ППК 5.5.3"</f>
        <v>ППК 5.5.3</v>
      </c>
      <c r="AJ237" t="str">
        <f>""</f>
        <v/>
      </c>
      <c r="AK237" t="str">
        <f t="shared" si="100"/>
        <v>Нет</v>
      </c>
      <c r="AL237" t="str">
        <f>"51.671944 36.071261, 51.672148 36.071268, 51.672358 36.071278, 51.672747 36.070875, 51.672914 36.070744, 51.673097 36.070556, 51.673354 36.070602, 51.673459 36.070186, 51.673118 36.069266"</f>
        <v>51.671944 36.071261, 51.672148 36.071268, 51.672358 36.071278, 51.672747 36.070875, 51.672914 36.070744, 51.673097 36.070556, 51.673354 36.070602, 51.673459 36.070186, 51.673118 36.069266</v>
      </c>
      <c r="AM237" t="str">
        <f>"20000008024511"</f>
        <v>20000008024511</v>
      </c>
    </row>
    <row r="238" spans="1:39" x14ac:dyDescent="0.25">
      <c r="A238">
        <v>907</v>
      </c>
      <c r="B238" t="str">
        <f t="shared" si="95"/>
        <v>Курск</v>
      </c>
      <c r="C238">
        <v>847850</v>
      </c>
      <c r="D238" t="str">
        <f t="shared" si="96"/>
        <v>Оптический кабель</v>
      </c>
      <c r="E238" t="str">
        <f>"[46/2160] М 5.5.5 - М 5.5.6"</f>
        <v>[46/2160] М 5.5.5 - М 5.5.6</v>
      </c>
      <c r="F238" t="str">
        <f>"ДПТа-П-64А 6(6) 7кН (Кр,Жел,Зел,..,8-Фиол,9-Бел,..,Бир,Роз)"</f>
        <v>ДПТа-П-64А 6(6) 7кН (Кр,Жел,Зел,..,8-Фиол,9-Бел,..,Бир,Роз)</v>
      </c>
      <c r="G238" t="str">
        <f>""</f>
        <v/>
      </c>
      <c r="H238" t="str">
        <f t="shared" si="109"/>
        <v>МС 5.5</v>
      </c>
      <c r="I238">
        <v>146</v>
      </c>
      <c r="J238">
        <v>170</v>
      </c>
      <c r="K238">
        <v>0</v>
      </c>
      <c r="L238">
        <v>170</v>
      </c>
      <c r="M238" t="str">
        <f>"Опоры"</f>
        <v>Опоры</v>
      </c>
      <c r="N238" t="str">
        <f t="shared" si="110"/>
        <v>11.10.20122</v>
      </c>
      <c r="O238">
        <v>64</v>
      </c>
      <c r="P238">
        <v>64</v>
      </c>
      <c r="Q238" t="str">
        <f>""</f>
        <v/>
      </c>
      <c r="R238" t="str">
        <f>""</f>
        <v/>
      </c>
      <c r="S238" t="str">
        <f>""</f>
        <v/>
      </c>
      <c r="T238" t="str">
        <f>"46/2160"</f>
        <v>46/2160</v>
      </c>
      <c r="U238" t="str">
        <f t="shared" si="108"/>
        <v>Магистральная ВОЛС</v>
      </c>
      <c r="V238" t="str">
        <f t="shared" si="111"/>
        <v>Нет</v>
      </c>
      <c r="W238" t="str">
        <f t="shared" si="111"/>
        <v>Нет</v>
      </c>
      <c r="X238" t="str">
        <f t="shared" si="111"/>
        <v>Нет</v>
      </c>
      <c r="Y238" t="str">
        <f t="shared" si="111"/>
        <v>Нет</v>
      </c>
      <c r="Z238" t="str">
        <f t="shared" si="104"/>
        <v>Нет</v>
      </c>
      <c r="AA238" t="str">
        <f>""</f>
        <v/>
      </c>
      <c r="AB238" t="str">
        <f t="shared" si="97"/>
        <v>Нет</v>
      </c>
      <c r="AC238" t="str">
        <f>"М 5.5.5 - М 5.5.6"</f>
        <v>М 5.5.5 - М 5.5.6</v>
      </c>
      <c r="AD238" t="str">
        <f t="shared" si="105"/>
        <v>02.02.2012</v>
      </c>
      <c r="AE238" t="str">
        <f>""</f>
        <v/>
      </c>
      <c r="AF238" t="str">
        <f>"[447837] М 5.5.5"</f>
        <v>[447837] М 5.5.5</v>
      </c>
      <c r="AG238" t="str">
        <f>"[447833] М 5.5.6"</f>
        <v>[447833] М 5.5.6</v>
      </c>
      <c r="AH238" t="str">
        <f>"М 5.5.5"</f>
        <v>М 5.5.5</v>
      </c>
      <c r="AI238" t="str">
        <f>"М 5.5.6"</f>
        <v>М 5.5.6</v>
      </c>
      <c r="AJ238" t="str">
        <f>""</f>
        <v/>
      </c>
      <c r="AK238" t="str">
        <f t="shared" si="100"/>
        <v>Нет</v>
      </c>
      <c r="AL238" t="str">
        <f>"51.671942 36.071261, 51.67162 36.071618, 51.671463 36.071776, 51.671263 36.071975, 51.671061 36.072157, 51.670838 36.072393"</f>
        <v>51.671942 36.071261, 51.67162 36.071618, 51.671463 36.071776, 51.671263 36.071975, 51.671061 36.072157, 51.670838 36.072393</v>
      </c>
      <c r="AM238" t="str">
        <f>"20000008040064"</f>
        <v>20000008040064</v>
      </c>
    </row>
    <row r="239" spans="1:39" x14ac:dyDescent="0.25">
      <c r="A239">
        <v>907</v>
      </c>
      <c r="B239" t="str">
        <f t="shared" si="95"/>
        <v>Курск</v>
      </c>
      <c r="C239">
        <v>847863</v>
      </c>
      <c r="D239" t="str">
        <f t="shared" si="96"/>
        <v>Оптический кабель</v>
      </c>
      <c r="E239" t="str">
        <f>"[46/2161] М 5.5.6 - ГОК5.5.2.1 Курск, Крюкова, 10  п. 2"</f>
        <v>[46/2161] М 5.5.6 - ГОК5.5.2.1 Курск, Крюкова, 10  п. 2</v>
      </c>
      <c r="F239" t="str">
        <f>"ДПТс-П-16А 2(6) 7кН (Мод:Кр,Нат)(Вол:Кр,Жел,Зел,..,Ор,Фиол)"</f>
        <v>ДПТс-П-16А 2(6) 7кН (Мод:Кр,Нат)(Вол:Кр,Жел,Зел,..,Ор,Фиол)</v>
      </c>
      <c r="G239" t="str">
        <f>""</f>
        <v/>
      </c>
      <c r="H239" t="str">
        <f t="shared" si="109"/>
        <v>МС 5.5</v>
      </c>
      <c r="I239">
        <v>31</v>
      </c>
      <c r="J239">
        <v>115</v>
      </c>
      <c r="K239">
        <v>0</v>
      </c>
      <c r="L239">
        <v>115</v>
      </c>
      <c r="M239" t="str">
        <f>"Воздушная трасса по стойкам"</f>
        <v>Воздушная трасса по стойкам</v>
      </c>
      <c r="N239" t="str">
        <f t="shared" si="110"/>
        <v>11.10.20122</v>
      </c>
      <c r="O239">
        <v>10</v>
      </c>
      <c r="P239">
        <v>10</v>
      </c>
      <c r="Q239" t="str">
        <f>""</f>
        <v/>
      </c>
      <c r="R239" t="str">
        <f>"Курск, Крюкова, 10"</f>
        <v>Курск, Крюкова, 10</v>
      </c>
      <c r="S239" t="str">
        <f>""</f>
        <v/>
      </c>
      <c r="T239" t="str">
        <f>"46/2161"</f>
        <v>46/2161</v>
      </c>
      <c r="U239" t="str">
        <f t="shared" si="108"/>
        <v>Магистральная ВОЛС</v>
      </c>
      <c r="V239" t="str">
        <f t="shared" si="111"/>
        <v>Нет</v>
      </c>
      <c r="W239" t="str">
        <f t="shared" si="111"/>
        <v>Нет</v>
      </c>
      <c r="X239" t="str">
        <f t="shared" si="111"/>
        <v>Нет</v>
      </c>
      <c r="Y239" t="str">
        <f t="shared" si="111"/>
        <v>Нет</v>
      </c>
      <c r="Z239" t="str">
        <f t="shared" si="104"/>
        <v>Нет</v>
      </c>
      <c r="AA239" t="str">
        <f>""</f>
        <v/>
      </c>
      <c r="AB239" t="str">
        <f t="shared" si="97"/>
        <v>Нет</v>
      </c>
      <c r="AC239" t="str">
        <f>"М 5.5.6 - ППК 5.5.2"</f>
        <v>М 5.5.6 - ППК 5.5.2</v>
      </c>
      <c r="AD239" t="str">
        <f t="shared" si="105"/>
        <v>02.02.2012</v>
      </c>
      <c r="AE239" t="str">
        <f>""</f>
        <v/>
      </c>
      <c r="AF239" t="str">
        <f>"[447833] М 5.5.6"</f>
        <v>[447833] М 5.5.6</v>
      </c>
      <c r="AG239" t="str">
        <f>"[447870] ГОК5.5.2.1 Курск, Крюкова, 10  п. 2"</f>
        <v>[447870] ГОК5.5.2.1 Курск, Крюкова, 10  п. 2</v>
      </c>
      <c r="AH239" t="str">
        <f>"М 5.5.6"</f>
        <v>М 5.5.6</v>
      </c>
      <c r="AI239" t="str">
        <f>"ППК 5.5.2"</f>
        <v>ППК 5.5.2</v>
      </c>
      <c r="AJ239" t="str">
        <f>""</f>
        <v/>
      </c>
      <c r="AK239" t="str">
        <f t="shared" si="100"/>
        <v>Нет</v>
      </c>
      <c r="AL239" t="str">
        <f>"51.670838 36.072383, 51.670648 36.07205"</f>
        <v>51.670838 36.072383, 51.670648 36.07205</v>
      </c>
      <c r="AM239" t="str">
        <f>"20000008030136"</f>
        <v>20000008030136</v>
      </c>
    </row>
    <row r="240" spans="1:39" x14ac:dyDescent="0.25">
      <c r="A240">
        <v>907</v>
      </c>
      <c r="B240" t="str">
        <f t="shared" si="95"/>
        <v>Курск</v>
      </c>
      <c r="C240">
        <v>847883</v>
      </c>
      <c r="D240" t="str">
        <f t="shared" si="96"/>
        <v>Оптический кабель</v>
      </c>
      <c r="E240" t="str">
        <f>"[46/2162] М 5.5.6 - М 5.5.7"</f>
        <v>[46/2162] М 5.5.6 - М 5.5.7</v>
      </c>
      <c r="F240" t="str">
        <f>"ДПТа-П-64А 6(6) 7кН (Кр,Жел,Зел,..,8-Фиол,9-Бел,..,Бир,Роз)"</f>
        <v>ДПТа-П-64А 6(6) 7кН (Кр,Жел,Зел,..,8-Фиол,9-Бел,..,Бир,Роз)</v>
      </c>
      <c r="G240" t="str">
        <f>""</f>
        <v/>
      </c>
      <c r="H240" t="str">
        <f t="shared" si="109"/>
        <v>МС 5.5</v>
      </c>
      <c r="I240">
        <v>241</v>
      </c>
      <c r="J240">
        <v>292.37</v>
      </c>
      <c r="K240">
        <v>40</v>
      </c>
      <c r="L240">
        <v>292.37</v>
      </c>
      <c r="M240" t="str">
        <f>"Опоры"</f>
        <v>Опоры</v>
      </c>
      <c r="N240" t="str">
        <f t="shared" si="110"/>
        <v>11.10.20122</v>
      </c>
      <c r="O240">
        <v>64</v>
      </c>
      <c r="P240">
        <v>64</v>
      </c>
      <c r="Q240" t="str">
        <f>""</f>
        <v/>
      </c>
      <c r="R240" t="str">
        <f>""</f>
        <v/>
      </c>
      <c r="S240" t="str">
        <f>""</f>
        <v/>
      </c>
      <c r="T240" t="str">
        <f>"46/2162"</f>
        <v>46/2162</v>
      </c>
      <c r="U240" t="str">
        <f t="shared" si="108"/>
        <v>Магистральная ВОЛС</v>
      </c>
      <c r="V240" t="str">
        <f t="shared" si="111"/>
        <v>Нет</v>
      </c>
      <c r="W240" t="str">
        <f t="shared" si="111"/>
        <v>Нет</v>
      </c>
      <c r="X240" t="str">
        <f t="shared" si="111"/>
        <v>Нет</v>
      </c>
      <c r="Y240" t="str">
        <f t="shared" si="111"/>
        <v>Нет</v>
      </c>
      <c r="Z240" t="str">
        <f t="shared" si="104"/>
        <v>Нет</v>
      </c>
      <c r="AA240" t="str">
        <f>""</f>
        <v/>
      </c>
      <c r="AB240" t="str">
        <f t="shared" si="97"/>
        <v>Нет</v>
      </c>
      <c r="AC240" t="str">
        <f>"М 5.5.6 - М 5.4.16"</f>
        <v>М 5.5.6 - М 5.4.16</v>
      </c>
      <c r="AD240" t="str">
        <f t="shared" si="105"/>
        <v>02.02.2012</v>
      </c>
      <c r="AE240" t="str">
        <f>""</f>
        <v/>
      </c>
      <c r="AF240" t="str">
        <f>"[447833] М 5.5.6"</f>
        <v>[447833] М 5.5.6</v>
      </c>
      <c r="AG240" t="str">
        <f>"[800944] М 5.5.7"</f>
        <v>[800944] М 5.5.7</v>
      </c>
      <c r="AH240" t="str">
        <f>"М 5.5.6"</f>
        <v>М 5.5.6</v>
      </c>
      <c r="AI240" t="str">
        <f>"М 5.4.16"</f>
        <v>М 5.4.16</v>
      </c>
      <c r="AJ240" t="str">
        <f>""</f>
        <v/>
      </c>
      <c r="AK240" t="str">
        <f t="shared" si="100"/>
        <v>Нет</v>
      </c>
      <c r="AL240" t="str">
        <f>"51.670955 36.072672, 51.670809 36.072804, 51.670802 36.07319, 51.670802 36.073608, 51.670805 36.073946, 51.670809 36.074359, 51.670799 36.074746, 51.670805 36.075019, 51.670705 36.075379, 51.670705 36.075797, 51.670706 36.075853"</f>
        <v>51.670955 36.072672, 51.670809 36.072804, 51.670802 36.07319, 51.670802 36.073608, 51.670805 36.073946, 51.670809 36.074359, 51.670799 36.074746, 51.670805 36.075019, 51.670705 36.075379, 51.670705 36.075797, 51.670706 36.075853</v>
      </c>
      <c r="AM240" t="str">
        <f>"20000008026183"</f>
        <v>20000008026183</v>
      </c>
    </row>
    <row r="241" spans="1:39" x14ac:dyDescent="0.25">
      <c r="A241">
        <v>907</v>
      </c>
      <c r="B241" t="str">
        <f t="shared" si="95"/>
        <v>Курск</v>
      </c>
      <c r="C241">
        <v>848763</v>
      </c>
      <c r="D241" t="str">
        <f t="shared" si="96"/>
        <v>Оптический кабель</v>
      </c>
      <c r="E241" t="str">
        <f>"[46/2183] М 5.5.2 - ГОК5.5.8.1 Курск, Ленинского Комсомола Пр-Кт, 105  п. 1"</f>
        <v>[46/2183] М 5.5.2 - ГОК5.5.8.1 Курск, Ленинского Комсомола Пр-Кт, 105  п. 1</v>
      </c>
      <c r="F241" t="str">
        <f>"ДПТс-П-16А 2(6) 7кН (Мод:Кр,Нат)(Вол:Кр,Жел,Зел,..,Ор,Фиол)"</f>
        <v>ДПТс-П-16А 2(6) 7кН (Мод:Кр,Нат)(Вол:Кр,Жел,Зел,..,Ор,Фиол)</v>
      </c>
      <c r="G241" t="str">
        <f>""</f>
        <v/>
      </c>
      <c r="H241" t="str">
        <f t="shared" si="109"/>
        <v>МС 5.5</v>
      </c>
      <c r="I241">
        <v>192</v>
      </c>
      <c r="J241">
        <v>230</v>
      </c>
      <c r="K241">
        <v>0</v>
      </c>
      <c r="L241">
        <v>230</v>
      </c>
      <c r="M241" t="str">
        <f>"Воздушная трасса по стойкам"</f>
        <v>Воздушная трасса по стойкам</v>
      </c>
      <c r="N241" t="str">
        <f>"12.10.20122"</f>
        <v>12.10.20122</v>
      </c>
      <c r="O241">
        <v>10</v>
      </c>
      <c r="P241">
        <v>10</v>
      </c>
      <c r="Q241" t="str">
        <f>""</f>
        <v/>
      </c>
      <c r="R241" t="str">
        <f>"Курск, Ленинского Комсомола Пр-Кт, 105"</f>
        <v>Курск, Ленинского Комсомола Пр-Кт, 105</v>
      </c>
      <c r="S241" t="str">
        <f>""</f>
        <v/>
      </c>
      <c r="T241" t="str">
        <f>"46/2183"</f>
        <v>46/2183</v>
      </c>
      <c r="U241" t="str">
        <f t="shared" si="108"/>
        <v>Магистральная ВОЛС</v>
      </c>
      <c r="V241" t="str">
        <f t="shared" si="111"/>
        <v>Нет</v>
      </c>
      <c r="W241" t="str">
        <f t="shared" si="111"/>
        <v>Нет</v>
      </c>
      <c r="X241" t="str">
        <f t="shared" si="111"/>
        <v>Нет</v>
      </c>
      <c r="Y241" t="str">
        <f t="shared" si="111"/>
        <v>Нет</v>
      </c>
      <c r="Z241" t="str">
        <f t="shared" si="104"/>
        <v>Нет</v>
      </c>
      <c r="AA241" t="str">
        <f>""</f>
        <v/>
      </c>
      <c r="AB241" t="str">
        <f t="shared" si="97"/>
        <v>Нет</v>
      </c>
      <c r="AC241" t="str">
        <f>"М 5.5.2 - ППК 5.5.8"</f>
        <v>М 5.5.2 - ППК 5.5.8</v>
      </c>
      <c r="AD241" t="str">
        <f t="shared" si="105"/>
        <v>02.02.2012</v>
      </c>
      <c r="AE241" t="str">
        <f>""</f>
        <v/>
      </c>
      <c r="AF241" t="str">
        <f>"[447849] М 5.5.2"</f>
        <v>[447849] М 5.5.2</v>
      </c>
      <c r="AG241" t="str">
        <f>"[447948] ГОК5.5.8.1 Курск, Ленинского Комсомола Пр-Кт, 105  п. 1"</f>
        <v>[447948] ГОК5.5.8.1 Курск, Ленинского Комсомола Пр-Кт, 105  п. 1</v>
      </c>
      <c r="AH241" t="str">
        <f>"М 5.5.2"</f>
        <v>М 5.5.2</v>
      </c>
      <c r="AI241" t="str">
        <f>"ППК 5.5.8"</f>
        <v>ППК 5.5.8</v>
      </c>
      <c r="AJ241" t="str">
        <f>""</f>
        <v/>
      </c>
      <c r="AK241" t="str">
        <f t="shared" si="100"/>
        <v>Нет</v>
      </c>
      <c r="AL241" t="str">
        <f>"51.66645 36.066877, 51.666285 36.066998, 51.666227 36.067022, 51.665196 36.067344, 51.665049 36.067999"</f>
        <v>51.66645 36.066877, 51.666285 36.066998, 51.666227 36.067022, 51.665196 36.067344, 51.665049 36.067999</v>
      </c>
      <c r="AM241" t="str">
        <f>"20000008043849"</f>
        <v>20000008043849</v>
      </c>
    </row>
    <row r="242" spans="1:39" x14ac:dyDescent="0.25">
      <c r="A242">
        <v>907</v>
      </c>
      <c r="B242" t="str">
        <f t="shared" si="95"/>
        <v>Курск</v>
      </c>
      <c r="C242">
        <v>849704</v>
      </c>
      <c r="D242" t="str">
        <f t="shared" si="96"/>
        <v>Оптический кабель</v>
      </c>
      <c r="E242" t="str">
        <f>"[46/2242] М 3.5.1 - ГОК3.5.1.1 Курск, Островского, 4  п. 3"</f>
        <v>[46/2242] М 3.5.1 - ГОК3.5.1.1 Курск, Островского, 4  п. 3</v>
      </c>
      <c r="F242" t="str">
        <f>"ДПТс-П-16А 2(6) 7кН (Мод:Кр,Нат)(Вол:Кр,Жел,Зел,..,Ор,Фиол)"</f>
        <v>ДПТс-П-16А 2(6) 7кН (Мод:Кр,Нат)(Вол:Кр,Жел,Зел,..,Ор,Фиол)</v>
      </c>
      <c r="G242" t="str">
        <f>""</f>
        <v/>
      </c>
      <c r="H242" t="str">
        <f>"МС 3.5"</f>
        <v>МС 3.5</v>
      </c>
      <c r="I242">
        <v>242</v>
      </c>
      <c r="J242">
        <v>370</v>
      </c>
      <c r="K242">
        <v>60</v>
      </c>
      <c r="L242">
        <v>370</v>
      </c>
      <c r="M242" t="str">
        <f>"Воздушная трасса по стойкам"</f>
        <v>Воздушная трасса по стойкам</v>
      </c>
      <c r="N242" t="str">
        <f>"16.10.20122"</f>
        <v>16.10.20122</v>
      </c>
      <c r="O242">
        <v>10</v>
      </c>
      <c r="P242">
        <v>10</v>
      </c>
      <c r="Q242" t="str">
        <f>""</f>
        <v/>
      </c>
      <c r="R242" t="str">
        <f>"Курск, Островского, 4"</f>
        <v>Курск, Островского, 4</v>
      </c>
      <c r="S242" t="str">
        <f>""</f>
        <v/>
      </c>
      <c r="T242" t="str">
        <f>"46/2242"</f>
        <v>46/2242</v>
      </c>
      <c r="U242" t="str">
        <f t="shared" si="108"/>
        <v>Магистральная ВОЛС</v>
      </c>
      <c r="V242" t="str">
        <f t="shared" si="111"/>
        <v>Нет</v>
      </c>
      <c r="W242" t="str">
        <f t="shared" si="111"/>
        <v>Нет</v>
      </c>
      <c r="X242" t="str">
        <f t="shared" si="111"/>
        <v>Нет</v>
      </c>
      <c r="Y242" t="str">
        <f t="shared" si="111"/>
        <v>Нет</v>
      </c>
      <c r="Z242" t="str">
        <f t="shared" si="104"/>
        <v>Нет</v>
      </c>
      <c r="AA242" t="str">
        <f>""</f>
        <v/>
      </c>
      <c r="AB242" t="str">
        <f t="shared" si="97"/>
        <v>Нет</v>
      </c>
      <c r="AC242" t="str">
        <f>"М 3.5.1 - ППК 3.5.1"</f>
        <v>М 3.5.1 - ППК 3.5.1</v>
      </c>
      <c r="AD242" t="str">
        <f t="shared" si="105"/>
        <v>02.02.2012</v>
      </c>
      <c r="AE242" t="str">
        <f>""</f>
        <v/>
      </c>
      <c r="AF242" t="str">
        <f>"[427837] М 3.5.1"</f>
        <v>[427837] М 3.5.1</v>
      </c>
      <c r="AG242" t="str">
        <f>"[453646] ГОК3.5.1.1 Курск, Островского, 4  п. 3"</f>
        <v>[453646] ГОК3.5.1.1 Курск, Островского, 4  п. 3</v>
      </c>
      <c r="AH242" t="str">
        <f>"М 3.5.1"</f>
        <v>М 3.5.1</v>
      </c>
      <c r="AI242" t="str">
        <f>"ППК 3.5.1"</f>
        <v>ППК 3.5.1</v>
      </c>
      <c r="AJ242" t="str">
        <f>""</f>
        <v/>
      </c>
      <c r="AK242" t="str">
        <f t="shared" si="100"/>
        <v>Нет</v>
      </c>
      <c r="AL242" t="str">
        <f>"51.755339 36.214373, 51.755419 36.214518, 51.75503 36.213885, 51.75508 36.213257, 51.755127 36.212474, 51.755575 36.211771"</f>
        <v>51.755339 36.214373, 51.755419 36.214518, 51.75503 36.213885, 51.75508 36.213257, 51.755127 36.212474, 51.755575 36.211771</v>
      </c>
      <c r="AM242" t="str">
        <f>"20000008039153"</f>
        <v>20000008039153</v>
      </c>
    </row>
    <row r="243" spans="1:39" x14ac:dyDescent="0.25">
      <c r="A243">
        <v>907</v>
      </c>
      <c r="B243" t="str">
        <f t="shared" si="95"/>
        <v>Курск</v>
      </c>
      <c r="C243">
        <v>849923</v>
      </c>
      <c r="D243" t="str">
        <f t="shared" si="96"/>
        <v>Оптический кабель</v>
      </c>
      <c r="E243" t="str">
        <f>"[46/2252] Т 7.3 - М 3.5.3"</f>
        <v>[46/2252] Т 7.3 - М 3.5.3</v>
      </c>
      <c r="F243" t="str">
        <f>"ДПТс-П-16А 2(6) 7кН (Мод:Кр,Нат)(Вол:Кр,Жел,Зел,..,Ор,Фиол)"</f>
        <v>ДПТс-П-16А 2(6) 7кН (Мод:Кр,Нат)(Вол:Кр,Жел,Зел,..,Ор,Фиол)</v>
      </c>
      <c r="G243" t="str">
        <f>""</f>
        <v/>
      </c>
      <c r="H243" t="str">
        <f>"МС 3.5"</f>
        <v>МС 3.5</v>
      </c>
      <c r="I243">
        <v>218</v>
      </c>
      <c r="J243">
        <v>600</v>
      </c>
      <c r="K243">
        <v>0</v>
      </c>
      <c r="L243">
        <v>249.27</v>
      </c>
      <c r="M243" t="str">
        <f>"Опоры"</f>
        <v>Опоры</v>
      </c>
      <c r="N243" t="str">
        <f>"18.10.20122"</f>
        <v>18.10.20122</v>
      </c>
      <c r="O243">
        <v>16</v>
      </c>
      <c r="P243">
        <v>16</v>
      </c>
      <c r="Q243" t="str">
        <f>""</f>
        <v/>
      </c>
      <c r="R243" t="str">
        <f>""</f>
        <v/>
      </c>
      <c r="S243" t="str">
        <f>""</f>
        <v/>
      </c>
      <c r="T243" t="str">
        <f>"46/2252"</f>
        <v>46/2252</v>
      </c>
      <c r="U243" t="str">
        <f t="shared" si="108"/>
        <v>Магистральная ВОЛС</v>
      </c>
      <c r="V243" t="str">
        <f t="shared" si="111"/>
        <v>Нет</v>
      </c>
      <c r="W243" t="str">
        <f t="shared" si="111"/>
        <v>Нет</v>
      </c>
      <c r="X243" t="str">
        <f t="shared" si="111"/>
        <v>Нет</v>
      </c>
      <c r="Y243" t="str">
        <f t="shared" si="111"/>
        <v>Нет</v>
      </c>
      <c r="Z243" t="str">
        <f>"Да"</f>
        <v>Да</v>
      </c>
      <c r="AA243" t="str">
        <f>""</f>
        <v/>
      </c>
      <c r="AB243" t="str">
        <f t="shared" si="97"/>
        <v>Нет</v>
      </c>
      <c r="AC243" t="str">
        <f>"Т 7.3 - ППК 3.5.3"</f>
        <v>Т 7.3 - ППК 3.5.3</v>
      </c>
      <c r="AD243" t="str">
        <f t="shared" si="105"/>
        <v>02.02.2012</v>
      </c>
      <c r="AE243" t="str">
        <f>""</f>
        <v/>
      </c>
      <c r="AF243" t="str">
        <f>"[397437] Т 7.3"</f>
        <v>[397437] Т 7.3</v>
      </c>
      <c r="AG243" t="str">
        <f>"[883056] М 3.5.3"</f>
        <v>[883056] М 3.5.3</v>
      </c>
      <c r="AH243" t="str">
        <f>"Т 7.3"</f>
        <v>Т 7.3</v>
      </c>
      <c r="AI243" t="str">
        <f>"ППК 3.5.3"</f>
        <v>ППК 3.5.3</v>
      </c>
      <c r="AJ243" t="str">
        <f>""</f>
        <v/>
      </c>
      <c r="AK243" t="str">
        <f t="shared" si="100"/>
        <v>Нет</v>
      </c>
      <c r="AL243" t="str">
        <f>"51.755422 36.214925, 51.755334 36.215096, 51.755282 36.214969, 51.755103 36.214663, 51.754926 36.214387, 51.754768 36.214137, 51.754486 36.213676, 51.754287 36.213266, 51.754102 36.212929"</f>
        <v>51.755422 36.214925, 51.755334 36.215096, 51.755282 36.214969, 51.755103 36.214663, 51.754926 36.214387, 51.754768 36.214137, 51.754486 36.213676, 51.754287 36.213266, 51.754102 36.212929</v>
      </c>
      <c r="AM243" t="str">
        <f>"20000008004375"</f>
        <v>20000008004375</v>
      </c>
    </row>
    <row r="244" spans="1:39" x14ac:dyDescent="0.25">
      <c r="A244">
        <v>907</v>
      </c>
      <c r="B244" t="str">
        <f t="shared" si="95"/>
        <v>Курск</v>
      </c>
      <c r="C244">
        <v>850243</v>
      </c>
      <c r="D244" t="str">
        <f t="shared" si="96"/>
        <v>Оптический кабель</v>
      </c>
      <c r="E244" t="str">
        <f>"[46/2255] Т 1.19 - Т 1.20"</f>
        <v>[46/2255] Т 1.19 - Т 1.20</v>
      </c>
      <c r="F244" t="str">
        <f>"ОКМС-64 (G.652.D) 7кН (Мод:Кр,Жел, 4Нат)"</f>
        <v>ОКМС-64 (G.652.D) 7кН (Мод:Кр,Жел, 4Нат)</v>
      </c>
      <c r="G244" t="str">
        <f>""</f>
        <v/>
      </c>
      <c r="H244" t="str">
        <f>"ТС"</f>
        <v>ТС</v>
      </c>
      <c r="I244">
        <v>59</v>
      </c>
      <c r="J244">
        <v>100</v>
      </c>
      <c r="K244">
        <v>0</v>
      </c>
      <c r="M244" t="str">
        <f>"Опоры"</f>
        <v>Опоры</v>
      </c>
      <c r="N244" t="str">
        <f>"19.10.20122"</f>
        <v>19.10.20122</v>
      </c>
      <c r="O244">
        <v>64</v>
      </c>
      <c r="P244">
        <v>64</v>
      </c>
      <c r="Q244" t="str">
        <f>""</f>
        <v/>
      </c>
      <c r="R244" t="str">
        <f>""</f>
        <v/>
      </c>
      <c r="S244" t="str">
        <f>"09.07.2024"</f>
        <v>09.07.2024</v>
      </c>
      <c r="T244" t="str">
        <f>"46/2255"</f>
        <v>46/2255</v>
      </c>
      <c r="U244" t="str">
        <f>"Транспортная ВОЛС"</f>
        <v>Транспортная ВОЛС</v>
      </c>
      <c r="V244" t="str">
        <f t="shared" si="111"/>
        <v>Нет</v>
      </c>
      <c r="W244" t="str">
        <f t="shared" si="111"/>
        <v>Нет</v>
      </c>
      <c r="X244" t="str">
        <f t="shared" si="111"/>
        <v>Нет</v>
      </c>
      <c r="Y244" t="str">
        <f t="shared" si="111"/>
        <v>Нет</v>
      </c>
      <c r="Z244" t="str">
        <f t="shared" ref="Z244:Z251" si="112">"Нет"</f>
        <v>Нет</v>
      </c>
      <c r="AA244" t="str">
        <f>""</f>
        <v/>
      </c>
      <c r="AB244" t="str">
        <f t="shared" si="97"/>
        <v>Нет</v>
      </c>
      <c r="AC244" t="str">
        <f>"Т6.3 - МУП-4"</f>
        <v>Т6.3 - МУП-4</v>
      </c>
      <c r="AD244" t="str">
        <f t="shared" si="105"/>
        <v>02.02.2012</v>
      </c>
      <c r="AE244" t="str">
        <f>"ООО ""Спецстроймонтаж-36"""</f>
        <v>ООО "Спецстроймонтаж-36"</v>
      </c>
      <c r="AF244" t="str">
        <f>"[454850] Т 1.19"</f>
        <v>[454850] Т 1.19</v>
      </c>
      <c r="AG244" t="str">
        <f>"[885387] Т 1.20"</f>
        <v>[885387] Т 1.20</v>
      </c>
      <c r="AH244" t="str">
        <f>""</f>
        <v/>
      </c>
      <c r="AI244" t="str">
        <f>""</f>
        <v/>
      </c>
      <c r="AJ244" t="str">
        <f>""</f>
        <v/>
      </c>
      <c r="AK244" t="str">
        <f t="shared" si="100"/>
        <v>Нет</v>
      </c>
      <c r="AL244" t="str">
        <f>"51.75872 36.236856, 51.758534 36.237092, 51.758291 36.237371"</f>
        <v>51.75872 36.236856, 51.758534 36.237092, 51.758291 36.237371</v>
      </c>
      <c r="AM244" t="str">
        <f>"20000007993403"</f>
        <v>20000007993403</v>
      </c>
    </row>
    <row r="245" spans="1:39" x14ac:dyDescent="0.25">
      <c r="A245">
        <v>907</v>
      </c>
      <c r="B245" t="str">
        <f t="shared" si="95"/>
        <v>Курск</v>
      </c>
      <c r="C245">
        <v>850623</v>
      </c>
      <c r="D245" t="str">
        <f t="shared" si="96"/>
        <v>Оптический кабель</v>
      </c>
      <c r="E245" t="str">
        <f>"[46/2279] М 1.3.8 - ГОК1.3.8.1 Курск, Дейнеки, 20  п. 2"</f>
        <v>[46/2279] М 1.3.8 - ГОК1.3.8.1 Курск, Дейнеки, 20  п. 2</v>
      </c>
      <c r="F245" t="str">
        <f>"ДПТс-П-16А 2(6) 7кН (Мод:Кр,Нат)(Вол:Кр,Жел,Зел,..,Ор,Фиол)"</f>
        <v>ДПТс-П-16А 2(6) 7кН (Мод:Кр,Нат)(Вол:Кр,Жел,Зел,..,Ор,Фиол)</v>
      </c>
      <c r="G245" t="str">
        <f>""</f>
        <v/>
      </c>
      <c r="H245" t="str">
        <f>"МС 1.3"</f>
        <v>МС 1.3</v>
      </c>
      <c r="I245">
        <v>9</v>
      </c>
      <c r="J245">
        <v>50</v>
      </c>
      <c r="K245">
        <v>0</v>
      </c>
      <c r="L245">
        <v>50</v>
      </c>
      <c r="M245" t="str">
        <f>"Воздушная трасса по стойкам"</f>
        <v>Воздушная трасса по стойкам</v>
      </c>
      <c r="N245" t="str">
        <f>"22.10.20122"</f>
        <v>22.10.20122</v>
      </c>
      <c r="O245">
        <v>10</v>
      </c>
      <c r="P245">
        <v>10</v>
      </c>
      <c r="Q245" t="str">
        <f>""</f>
        <v/>
      </c>
      <c r="R245" t="str">
        <f>"Курск, Дейнеки, 20"</f>
        <v>Курск, Дейнеки, 20</v>
      </c>
      <c r="S245" t="str">
        <f>""</f>
        <v/>
      </c>
      <c r="T245" t="str">
        <f>"46/2279"</f>
        <v>46/2279</v>
      </c>
      <c r="U245" t="str">
        <f>"Магистральная ВОЛС"</f>
        <v>Магистральная ВОЛС</v>
      </c>
      <c r="V245" t="str">
        <f t="shared" si="111"/>
        <v>Нет</v>
      </c>
      <c r="W245" t="str">
        <f t="shared" si="111"/>
        <v>Нет</v>
      </c>
      <c r="X245" t="str">
        <f t="shared" si="111"/>
        <v>Нет</v>
      </c>
      <c r="Y245" t="str">
        <f t="shared" si="111"/>
        <v>Нет</v>
      </c>
      <c r="Z245" t="str">
        <f t="shared" si="112"/>
        <v>Нет</v>
      </c>
      <c r="AA245" t="str">
        <f>""</f>
        <v/>
      </c>
      <c r="AB245" t="str">
        <f t="shared" si="97"/>
        <v>Нет</v>
      </c>
      <c r="AC245" t="str">
        <f>"М 1.3.8 - ППК 1.3.8"</f>
        <v>М 1.3.8 - ППК 1.3.8</v>
      </c>
      <c r="AD245" t="str">
        <f t="shared" si="105"/>
        <v>02.02.2012</v>
      </c>
      <c r="AE245" t="str">
        <f>""</f>
        <v/>
      </c>
      <c r="AF245" t="str">
        <f>"[350322] М 1.3.8"</f>
        <v>[350322] М 1.3.8</v>
      </c>
      <c r="AG245" t="str">
        <f>"[457524] ГОК1.3.8.1 Курск, Дейнеки, 20  п. 2"</f>
        <v>[457524] ГОК1.3.8.1 Курск, Дейнеки, 20  п. 2</v>
      </c>
      <c r="AH245" t="str">
        <f>"М 1.3.8"</f>
        <v>М 1.3.8</v>
      </c>
      <c r="AI245" t="str">
        <f>"ППК 1.3.8"</f>
        <v>ППК 1.3.8</v>
      </c>
      <c r="AJ245" t="str">
        <f>""</f>
        <v/>
      </c>
      <c r="AK245" t="str">
        <f t="shared" si="100"/>
        <v>Нет</v>
      </c>
      <c r="AL245" t="str">
        <f>"51.703501 36.143729, 51.703462 36.143615"</f>
        <v>51.703501 36.143729, 51.703462 36.143615</v>
      </c>
      <c r="AM245" t="str">
        <f>"20000008024536"</f>
        <v>20000008024536</v>
      </c>
    </row>
    <row r="246" spans="1:39" x14ac:dyDescent="0.25">
      <c r="A246">
        <v>907</v>
      </c>
      <c r="B246" t="str">
        <f t="shared" si="95"/>
        <v>Курск</v>
      </c>
      <c r="C246">
        <v>851403</v>
      </c>
      <c r="D246" t="str">
        <f t="shared" si="96"/>
        <v>Оптический кабель</v>
      </c>
      <c r="E246" t="str">
        <f>"[46/2308] М 1.4.5 - ГОК1.4.6.1 Курск, Сумская, 46 б п. 2"</f>
        <v>[46/2308] М 1.4.5 - ГОК1.4.6.1 Курск, Сумская, 46 б п. 2</v>
      </c>
      <c r="F246" t="str">
        <f>"ДПТс-П-16А 2(6) 7кН (Мод:Кр,Нат)(Вол:Кр,Жел,Зел,..,Ор,Фиол)"</f>
        <v>ДПТс-П-16А 2(6) 7кН (Мод:Кр,Нат)(Вол:Кр,Жел,Зел,..,Ор,Фиол)</v>
      </c>
      <c r="G246" t="str">
        <f>""</f>
        <v/>
      </c>
      <c r="H246" t="str">
        <f>"МС 1.4"</f>
        <v>МС 1.4</v>
      </c>
      <c r="I246">
        <v>106</v>
      </c>
      <c r="J246">
        <v>120</v>
      </c>
      <c r="K246">
        <v>0</v>
      </c>
      <c r="L246">
        <v>120</v>
      </c>
      <c r="M246" t="str">
        <f>"Воздушная трасса по стойкам"</f>
        <v>Воздушная трасса по стойкам</v>
      </c>
      <c r="N246" t="str">
        <f>"31.10.20122"</f>
        <v>31.10.20122</v>
      </c>
      <c r="O246">
        <v>10</v>
      </c>
      <c r="P246">
        <v>10</v>
      </c>
      <c r="Q246" t="str">
        <f>""</f>
        <v/>
      </c>
      <c r="R246" t="str">
        <f>"Курск, Сумская, 46 б"</f>
        <v>Курск, Сумская, 46 б</v>
      </c>
      <c r="S246" t="str">
        <f>""</f>
        <v/>
      </c>
      <c r="T246" t="str">
        <f>"46/2308"</f>
        <v>46/2308</v>
      </c>
      <c r="U246" t="str">
        <f>"Магистральная ВОЛС"</f>
        <v>Магистральная ВОЛС</v>
      </c>
      <c r="V246" t="str">
        <f t="shared" si="111"/>
        <v>Нет</v>
      </c>
      <c r="W246" t="str">
        <f t="shared" si="111"/>
        <v>Нет</v>
      </c>
      <c r="X246" t="str">
        <f t="shared" si="111"/>
        <v>Нет</v>
      </c>
      <c r="Y246" t="str">
        <f t="shared" si="111"/>
        <v>Нет</v>
      </c>
      <c r="Z246" t="str">
        <f t="shared" si="112"/>
        <v>Нет</v>
      </c>
      <c r="AA246" t="str">
        <f>""</f>
        <v/>
      </c>
      <c r="AB246" t="str">
        <f t="shared" si="97"/>
        <v>Нет</v>
      </c>
      <c r="AC246" t="str">
        <f>"М 1.4.5 - ППК 1.4.6"</f>
        <v>М 1.4.5 - ППК 1.4.6</v>
      </c>
      <c r="AD246" t="str">
        <f t="shared" si="105"/>
        <v>02.02.2012</v>
      </c>
      <c r="AE246" t="str">
        <f>""</f>
        <v/>
      </c>
      <c r="AF246" t="str">
        <f>"[367118] М 1.4.5"</f>
        <v>[367118] М 1.4.5</v>
      </c>
      <c r="AG246" t="str">
        <f>"[461033] ГОК1.4.6.1 Курск, Сумская, 46 б п. 2"</f>
        <v>[461033] ГОК1.4.6.1 Курск, Сумская, 46 б п. 2</v>
      </c>
      <c r="AH246" t="str">
        <f>"М 1.4.5"</f>
        <v>М 1.4.5</v>
      </c>
      <c r="AI246" t="str">
        <f>"ППК 1.4.6"</f>
        <v>ППК 1.4.6</v>
      </c>
      <c r="AJ246" t="str">
        <f>""</f>
        <v/>
      </c>
      <c r="AK246" t="str">
        <f t="shared" si="100"/>
        <v>Нет</v>
      </c>
      <c r="AL246" t="str">
        <f>"51.71018 36.142284, 51.710107 36.141098, 51.71019 36.140785"</f>
        <v>51.71018 36.142284, 51.710107 36.141098, 51.71019 36.140785</v>
      </c>
      <c r="AM246" t="str">
        <f>"20000008039140"</f>
        <v>20000008039140</v>
      </c>
    </row>
    <row r="247" spans="1:39" x14ac:dyDescent="0.25">
      <c r="A247">
        <v>907</v>
      </c>
      <c r="B247" t="str">
        <f t="shared" si="95"/>
        <v>Курск</v>
      </c>
      <c r="C247">
        <v>851583</v>
      </c>
      <c r="D247" t="str">
        <f t="shared" si="96"/>
        <v>Оптический кабель</v>
      </c>
      <c r="E247" t="str">
        <f>"[46/2321] М 1.4.4 - ГОК1.4.5.1 Курск, Ольшанского, 43 б п. 1"</f>
        <v>[46/2321] М 1.4.4 - ГОК1.4.5.1 Курск, Ольшанского, 43 б п. 1</v>
      </c>
      <c r="F247" t="str">
        <f>"ДПТс-П-16А 2(6) 7кН (Мод:Кр,Нат)(Вол:Кр,Жел,Зел,..,Ор,Фиол)"</f>
        <v>ДПТс-П-16А 2(6) 7кН (Мод:Кр,Нат)(Вол:Кр,Жел,Зел,..,Ор,Фиол)</v>
      </c>
      <c r="G247" t="str">
        <f>""</f>
        <v/>
      </c>
      <c r="H247" t="str">
        <f>"МС 1.4"</f>
        <v>МС 1.4</v>
      </c>
      <c r="I247">
        <v>21</v>
      </c>
      <c r="J247">
        <v>40</v>
      </c>
      <c r="K247">
        <v>0</v>
      </c>
      <c r="L247">
        <v>40</v>
      </c>
      <c r="M247" t="str">
        <f>"Воздушная трасса по стойкам"</f>
        <v>Воздушная трасса по стойкам</v>
      </c>
      <c r="N247" t="str">
        <f>"01.11.20122"</f>
        <v>01.11.20122</v>
      </c>
      <c r="O247">
        <v>10</v>
      </c>
      <c r="P247">
        <v>10</v>
      </c>
      <c r="Q247" t="str">
        <f>""</f>
        <v/>
      </c>
      <c r="R247" t="str">
        <f>"Курск, Ольшанского, 43 б"</f>
        <v>Курск, Ольшанского, 43 б</v>
      </c>
      <c r="S247" t="str">
        <f>""</f>
        <v/>
      </c>
      <c r="T247" t="str">
        <f>"46/2321"</f>
        <v>46/2321</v>
      </c>
      <c r="U247" t="str">
        <f>"Магистральная ВОЛС"</f>
        <v>Магистральная ВОЛС</v>
      </c>
      <c r="V247" t="str">
        <f t="shared" si="111"/>
        <v>Нет</v>
      </c>
      <c r="W247" t="str">
        <f t="shared" si="111"/>
        <v>Нет</v>
      </c>
      <c r="X247" t="str">
        <f t="shared" si="111"/>
        <v>Нет</v>
      </c>
      <c r="Y247" t="str">
        <f t="shared" si="111"/>
        <v>Нет</v>
      </c>
      <c r="Z247" t="str">
        <f t="shared" si="112"/>
        <v>Нет</v>
      </c>
      <c r="AA247" t="str">
        <f>""</f>
        <v/>
      </c>
      <c r="AB247" t="str">
        <f t="shared" si="97"/>
        <v>Нет</v>
      </c>
      <c r="AC247" t="str">
        <f>"М 1.4.4 - ППК 1.4.5"</f>
        <v>М 1.4.4 - ППК 1.4.5</v>
      </c>
      <c r="AD247" t="str">
        <f t="shared" si="105"/>
        <v>02.02.2012</v>
      </c>
      <c r="AE247" t="str">
        <f>""</f>
        <v/>
      </c>
      <c r="AF247" t="str">
        <f>"[367098] М 1.4.4"</f>
        <v>[367098] М 1.4.4</v>
      </c>
      <c r="AG247" t="str">
        <f>"[461046] ГОК1.4.5.1 Курск, Ольшанского, 43 б п. 1"</f>
        <v>[461046] ГОК1.4.5.1 Курск, Ольшанского, 43 б п. 1</v>
      </c>
      <c r="AH247" t="str">
        <f>"М 1.4.4"</f>
        <v>М 1.4.4</v>
      </c>
      <c r="AI247" t="str">
        <f>"ППК 1.4.5"</f>
        <v>ППК 1.4.5</v>
      </c>
      <c r="AJ247" t="str">
        <f>""</f>
        <v/>
      </c>
      <c r="AK247" t="str">
        <f t="shared" si="100"/>
        <v>Нет</v>
      </c>
      <c r="AL247" t="str">
        <f>"51.708776 36.140842, 51.708957 36.140947"</f>
        <v>51.708776 36.140842, 51.708957 36.140947</v>
      </c>
      <c r="AM247" t="str">
        <f>"20000008014280"</f>
        <v>20000008014280</v>
      </c>
    </row>
    <row r="248" spans="1:39" x14ac:dyDescent="0.25">
      <c r="A248">
        <v>907</v>
      </c>
      <c r="B248" t="str">
        <f t="shared" si="95"/>
        <v>Курск</v>
      </c>
      <c r="C248">
        <v>851763</v>
      </c>
      <c r="D248" t="str">
        <f t="shared" si="96"/>
        <v>Оптический кабель</v>
      </c>
      <c r="E248" t="str">
        <f>"[46/2332] М 1.3.2 - ГОК1.3.2.1 Курск, Заводская, 35  п. 1"</f>
        <v>[46/2332] М 1.3.2 - ГОК1.3.2.1 Курск, Заводская, 35  п. 1</v>
      </c>
      <c r="F248" t="str">
        <f>"ДПТс-П-16А 2(6) 7кН (Мод:Кр,Нат)(Вол:Кр,Жел,Зел,..,Ор,Фиол)"</f>
        <v>ДПТс-П-16А 2(6) 7кН (Мод:Кр,Нат)(Вол:Кр,Жел,Зел,..,Ор,Фиол)</v>
      </c>
      <c r="G248" t="str">
        <f>""</f>
        <v/>
      </c>
      <c r="H248" t="str">
        <f>"МС 1.3"</f>
        <v>МС 1.3</v>
      </c>
      <c r="I248">
        <v>10</v>
      </c>
      <c r="J248">
        <v>50</v>
      </c>
      <c r="K248">
        <v>0</v>
      </c>
      <c r="L248">
        <v>50</v>
      </c>
      <c r="M248" t="str">
        <f>"Воздушная трасса по стойкам"</f>
        <v>Воздушная трасса по стойкам</v>
      </c>
      <c r="N248" t="str">
        <f>"01.11.20122"</f>
        <v>01.11.20122</v>
      </c>
      <c r="O248">
        <v>10</v>
      </c>
      <c r="P248">
        <v>10</v>
      </c>
      <c r="Q248" t="str">
        <f>""</f>
        <v/>
      </c>
      <c r="R248" t="str">
        <f>"Курск, Заводская, 35"</f>
        <v>Курск, Заводская, 35</v>
      </c>
      <c r="S248" t="str">
        <f>""</f>
        <v/>
      </c>
      <c r="T248" t="str">
        <f>"46/2332"</f>
        <v>46/2332</v>
      </c>
      <c r="U248" t="str">
        <f>"Магистральная ВОЛС"</f>
        <v>Магистральная ВОЛС</v>
      </c>
      <c r="V248" t="str">
        <f t="shared" ref="V248:Y267" si="113">"Нет"</f>
        <v>Нет</v>
      </c>
      <c r="W248" t="str">
        <f t="shared" si="113"/>
        <v>Нет</v>
      </c>
      <c r="X248" t="str">
        <f t="shared" si="113"/>
        <v>Нет</v>
      </c>
      <c r="Y248" t="str">
        <f t="shared" si="113"/>
        <v>Нет</v>
      </c>
      <c r="Z248" t="str">
        <f t="shared" si="112"/>
        <v>Нет</v>
      </c>
      <c r="AA248" t="str">
        <f>""</f>
        <v/>
      </c>
      <c r="AB248" t="str">
        <f t="shared" si="97"/>
        <v>Нет</v>
      </c>
      <c r="AC248" t="str">
        <f>"М 1.3.2 - ППК 1.3.2"</f>
        <v>М 1.3.2 - ППК 1.3.2</v>
      </c>
      <c r="AD248" t="str">
        <f t="shared" si="105"/>
        <v>02.02.2012</v>
      </c>
      <c r="AE248" t="str">
        <f>""</f>
        <v/>
      </c>
      <c r="AF248" t="str">
        <f>"[350342] М 1.3.2"</f>
        <v>[350342] М 1.3.2</v>
      </c>
      <c r="AG248" t="str">
        <f>"[462233] ГОК1.3.2.1 Курск, Заводская, 35  п. 1"</f>
        <v>[462233] ГОК1.3.2.1 Курск, Заводская, 35  п. 1</v>
      </c>
      <c r="AH248" t="str">
        <f>"М 1.3.2"</f>
        <v>М 1.3.2</v>
      </c>
      <c r="AI248" t="str">
        <f>"ППК 1.3.2"</f>
        <v>ППК 1.3.2</v>
      </c>
      <c r="AJ248" t="str">
        <f>""</f>
        <v/>
      </c>
      <c r="AK248" t="str">
        <f t="shared" si="100"/>
        <v>Нет</v>
      </c>
      <c r="AL248" t="str">
        <f>"51.700037 36.147984, 51.700125 36.147933"</f>
        <v>51.700037 36.147984, 51.700125 36.147933</v>
      </c>
      <c r="AM248" t="str">
        <f>"20000008030157"</f>
        <v>20000008030157</v>
      </c>
    </row>
    <row r="249" spans="1:39" x14ac:dyDescent="0.25">
      <c r="A249">
        <v>907</v>
      </c>
      <c r="B249" t="str">
        <f t="shared" si="95"/>
        <v>Курск</v>
      </c>
      <c r="C249">
        <v>852503</v>
      </c>
      <c r="D249" t="str">
        <f t="shared" si="96"/>
        <v>Оптический кабель</v>
      </c>
      <c r="E249" t="str">
        <f>"[46/2365] М 3.2.7 - ГОК3.2.7.1 Курск, Карла Маркса, 14  п. 3"</f>
        <v>[46/2365] М 3.2.7 - ГОК3.2.7.1 Курск, Карла Маркса, 14  п. 3</v>
      </c>
      <c r="F249" t="str">
        <f>"ДПТс-П-16А 2(6) 7кН (Мод:Кр,Нат)(Вол:Кр,Жел,Зел,..,Ор,Фиол)"</f>
        <v>ДПТс-П-16А 2(6) 7кН (Мод:Кр,Нат)(Вол:Кр,Жел,Зел,..,Ор,Фиол)</v>
      </c>
      <c r="G249" t="str">
        <f>""</f>
        <v/>
      </c>
      <c r="H249" t="str">
        <f>"МС 3.2"</f>
        <v>МС 3.2</v>
      </c>
      <c r="I249">
        <v>51</v>
      </c>
      <c r="J249">
        <v>60</v>
      </c>
      <c r="K249">
        <v>0</v>
      </c>
      <c r="L249">
        <v>60</v>
      </c>
      <c r="M249" t="str">
        <f>"Воздушная трасса по стойкам"</f>
        <v>Воздушная трасса по стойкам</v>
      </c>
      <c r="N249" t="str">
        <f>"16.11.20122"</f>
        <v>16.11.20122</v>
      </c>
      <c r="O249">
        <v>10</v>
      </c>
      <c r="P249">
        <v>10</v>
      </c>
      <c r="Q249" t="str">
        <f>""</f>
        <v/>
      </c>
      <c r="R249" t="str">
        <f>"Курск, Карла Маркса, 14"</f>
        <v>Курск, Карла Маркса, 14</v>
      </c>
      <c r="S249" t="str">
        <f>""</f>
        <v/>
      </c>
      <c r="T249" t="str">
        <f>"46/2365"</f>
        <v>46/2365</v>
      </c>
      <c r="U249" t="str">
        <f>"Магистральная ВОЛС"</f>
        <v>Магистральная ВОЛС</v>
      </c>
      <c r="V249" t="str">
        <f t="shared" si="113"/>
        <v>Нет</v>
      </c>
      <c r="W249" t="str">
        <f t="shared" si="113"/>
        <v>Нет</v>
      </c>
      <c r="X249" t="str">
        <f t="shared" si="113"/>
        <v>Нет</v>
      </c>
      <c r="Y249" t="str">
        <f t="shared" si="113"/>
        <v>Нет</v>
      </c>
      <c r="Z249" t="str">
        <f t="shared" si="112"/>
        <v>Нет</v>
      </c>
      <c r="AA249" t="str">
        <f>""</f>
        <v/>
      </c>
      <c r="AB249" t="str">
        <f t="shared" si="97"/>
        <v>Нет</v>
      </c>
      <c r="AC249" t="str">
        <f>"М 3.2.7 - ППК 3.2.7"</f>
        <v>М 3.2.7 - ППК 3.2.7</v>
      </c>
      <c r="AD249" t="str">
        <f t="shared" si="105"/>
        <v>02.02.2012</v>
      </c>
      <c r="AE249" t="str">
        <f>""</f>
        <v/>
      </c>
      <c r="AF249" t="str">
        <f>"[390119] М 3.2.7"</f>
        <v>[390119] М 3.2.7</v>
      </c>
      <c r="AG249" t="str">
        <f>"[464500] ГОК3.2.7.1 Курск, Карла Маркса, 14  п. 3"</f>
        <v>[464500] ГОК3.2.7.1 Курск, Карла Маркса, 14  п. 3</v>
      </c>
      <c r="AH249" t="str">
        <f>"М 3.2.7"</f>
        <v>М 3.2.7</v>
      </c>
      <c r="AI249" t="str">
        <f>"ППК 3.2.7"</f>
        <v>ППК 3.2.7</v>
      </c>
      <c r="AJ249" t="str">
        <f>""</f>
        <v/>
      </c>
      <c r="AK249" t="str">
        <f t="shared" si="100"/>
        <v>Нет</v>
      </c>
      <c r="AL249" t="str">
        <f>"51.754245 36.188466, 51.754201 36.188633, 51.753967 36.188757, 51.753991 36.188918"</f>
        <v>51.754245 36.188466, 51.754201 36.188633, 51.753967 36.188757, 51.753991 36.188918</v>
      </c>
      <c r="AM249" t="str">
        <f>"20000008014290"</f>
        <v>20000008014290</v>
      </c>
    </row>
    <row r="250" spans="1:39" x14ac:dyDescent="0.25">
      <c r="A250">
        <v>907</v>
      </c>
      <c r="B250" t="str">
        <f t="shared" si="95"/>
        <v>Курск</v>
      </c>
      <c r="C250">
        <v>853445</v>
      </c>
      <c r="D250" t="str">
        <f t="shared" si="96"/>
        <v>Оптический кабель</v>
      </c>
      <c r="E250" t="str">
        <f>"[46/2375] ТОК1.5 Курск, Добролюбова, 22 а п.  - Т5.1"</f>
        <v>[46/2375] ТОК1.5 Курск, Добролюбова, 22 а п.  - Т5.1</v>
      </c>
      <c r="F250" t="str">
        <f>"ДПТа-П-64А 6(6) 7кН (Кр,Жел,Зел,..,8-Фиол,9-Бел,..,Бир,Роз)"</f>
        <v>ДПТа-П-64А 6(6) 7кН (Кр,Жел,Зел,..,8-Фиол,9-Бел,..,Бир,Роз)</v>
      </c>
      <c r="G250" t="str">
        <f>""</f>
        <v/>
      </c>
      <c r="H250" t="str">
        <f t="shared" ref="H250:H256" si="114">"ТС"</f>
        <v>ТС</v>
      </c>
      <c r="I250">
        <v>1173</v>
      </c>
      <c r="J250">
        <v>1550</v>
      </c>
      <c r="K250">
        <v>350</v>
      </c>
      <c r="L250">
        <v>1580</v>
      </c>
      <c r="M250" t="str">
        <f>"Опоры"</f>
        <v>Опоры</v>
      </c>
      <c r="N250" t="str">
        <f>"07.12.20122"</f>
        <v>07.12.20122</v>
      </c>
      <c r="O250">
        <v>64</v>
      </c>
      <c r="P250">
        <v>64</v>
      </c>
      <c r="Q250" t="str">
        <f>"Курск, Добролюбова, 22 а"</f>
        <v>Курск, Добролюбова, 22 а</v>
      </c>
      <c r="R250" t="str">
        <f>""</f>
        <v/>
      </c>
      <c r="S250" t="str">
        <f>""</f>
        <v/>
      </c>
      <c r="T250" t="str">
        <f>"46/2375"</f>
        <v>46/2375</v>
      </c>
      <c r="U250" t="str">
        <f t="shared" ref="U250:U256" si="115">"Транспортная ВОЛС"</f>
        <v>Транспортная ВОЛС</v>
      </c>
      <c r="V250" t="str">
        <f t="shared" si="113"/>
        <v>Нет</v>
      </c>
      <c r="W250" t="str">
        <f t="shared" si="113"/>
        <v>Нет</v>
      </c>
      <c r="X250" t="str">
        <f t="shared" si="113"/>
        <v>Нет</v>
      </c>
      <c r="Y250" t="str">
        <f t="shared" si="113"/>
        <v>Нет</v>
      </c>
      <c r="Z250" t="str">
        <f t="shared" si="112"/>
        <v>Нет</v>
      </c>
      <c r="AA250" t="str">
        <f>""</f>
        <v/>
      </c>
      <c r="AB250" t="str">
        <f t="shared" si="97"/>
        <v>Нет</v>
      </c>
      <c r="AC250" t="str">
        <f>"Добролюбова 22а - Т5.1"</f>
        <v>Добролюбова 22а - Т5.1</v>
      </c>
      <c r="AD250" t="str">
        <f>"10.11.2011"</f>
        <v>10.11.2011</v>
      </c>
      <c r="AE250" t="str">
        <f>""</f>
        <v/>
      </c>
      <c r="AF250" t="str">
        <f>"[496004] ТОК1.5 Курск, Добролюбова, 22 а п."</f>
        <v>[496004] ТОК1.5 Курск, Добролюбова, 22 а п.</v>
      </c>
      <c r="AG250" t="str">
        <f>"[466033] Т5.1"</f>
        <v>[466033] Т5.1</v>
      </c>
      <c r="AH250" t="str">
        <f>"Добролюбова 22а"</f>
        <v>Добролюбова 22а</v>
      </c>
      <c r="AI250" t="str">
        <f>"Т5.1"</f>
        <v>Т5.1</v>
      </c>
      <c r="AJ250" t="str">
        <f>""</f>
        <v/>
      </c>
      <c r="AK250" t="str">
        <f t="shared" si="100"/>
        <v>Нет</v>
      </c>
      <c r="AL250" t="s">
        <v>62</v>
      </c>
      <c r="AM250" t="str">
        <f>"20000008031657"</f>
        <v>20000008031657</v>
      </c>
    </row>
    <row r="251" spans="1:39" x14ac:dyDescent="0.25">
      <c r="A251">
        <v>907</v>
      </c>
      <c r="B251" t="str">
        <f t="shared" si="95"/>
        <v>Курск</v>
      </c>
      <c r="C251">
        <v>853465</v>
      </c>
      <c r="D251" t="str">
        <f t="shared" si="96"/>
        <v>Оптический кабель</v>
      </c>
      <c r="E251" t="str">
        <f>"[46/2379] Т5.3 - Т 1.17"</f>
        <v>[46/2379] Т5.3 - Т 1.17</v>
      </c>
      <c r="F251" t="str">
        <f>"ДПТа-П-128А 8(9) 7кН (Вол:Кр,Жел,Зел,...,Лайм,Нат)"</f>
        <v>ДПТа-П-128А 8(9) 7кН (Вол:Кр,Жел,Зел,...,Лайм,Нат)</v>
      </c>
      <c r="G251" t="str">
        <f>""</f>
        <v/>
      </c>
      <c r="H251" t="str">
        <f t="shared" si="114"/>
        <v>ТС</v>
      </c>
      <c r="I251">
        <v>891</v>
      </c>
      <c r="J251">
        <v>1010</v>
      </c>
      <c r="K251">
        <v>0</v>
      </c>
      <c r="L251">
        <v>1025</v>
      </c>
      <c r="M251" t="str">
        <f>"Опоры"</f>
        <v>Опоры</v>
      </c>
      <c r="N251" t="str">
        <f>"07.12.20122"</f>
        <v>07.12.20122</v>
      </c>
      <c r="O251">
        <v>128</v>
      </c>
      <c r="P251">
        <v>128</v>
      </c>
      <c r="Q251" t="str">
        <f>""</f>
        <v/>
      </c>
      <c r="R251" t="str">
        <f>""</f>
        <v/>
      </c>
      <c r="S251" t="str">
        <f>""</f>
        <v/>
      </c>
      <c r="T251" t="str">
        <f>"46/2379"</f>
        <v>46/2379</v>
      </c>
      <c r="U251" t="str">
        <f t="shared" si="115"/>
        <v>Транспортная ВОЛС</v>
      </c>
      <c r="V251" t="str">
        <f t="shared" si="113"/>
        <v>Нет</v>
      </c>
      <c r="W251" t="str">
        <f t="shared" si="113"/>
        <v>Нет</v>
      </c>
      <c r="X251" t="str">
        <f t="shared" si="113"/>
        <v>Нет</v>
      </c>
      <c r="Y251" t="str">
        <f t="shared" si="113"/>
        <v>Нет</v>
      </c>
      <c r="Z251" t="str">
        <f t="shared" si="112"/>
        <v>Нет</v>
      </c>
      <c r="AA251" t="str">
        <f>""</f>
        <v/>
      </c>
      <c r="AB251" t="str">
        <f t="shared" si="97"/>
        <v>Нет</v>
      </c>
      <c r="AC251" t="str">
        <f>"Т5.3 - Карла Маркса 62/21"</f>
        <v>Т5.3 - Карла Маркса 62/21</v>
      </c>
      <c r="AD251" t="str">
        <f>"10.11.2011"</f>
        <v>10.11.2011</v>
      </c>
      <c r="AE251" t="str">
        <f>""</f>
        <v/>
      </c>
      <c r="AF251" t="str">
        <f>"[466045] Т5.3"</f>
        <v>[466045] Т5.3</v>
      </c>
      <c r="AG251" t="str">
        <f>"[872968] Т 1.17"</f>
        <v>[872968] Т 1.17</v>
      </c>
      <c r="AH251" t="str">
        <f>"Т5.3"</f>
        <v>Т5.3</v>
      </c>
      <c r="AI251" t="str">
        <f>"Карла Маркса 62/21"</f>
        <v>Карла Маркса 62/21</v>
      </c>
      <c r="AJ251" t="str">
        <f>""</f>
        <v/>
      </c>
      <c r="AK251" t="str">
        <f t="shared" si="100"/>
        <v>Нет</v>
      </c>
      <c r="AL251" t="s">
        <v>63</v>
      </c>
      <c r="AM251" t="str">
        <f>"20000008045125"</f>
        <v>20000008045125</v>
      </c>
    </row>
    <row r="252" spans="1:39" x14ac:dyDescent="0.25">
      <c r="A252">
        <v>907</v>
      </c>
      <c r="B252" t="str">
        <f t="shared" si="95"/>
        <v>Курск</v>
      </c>
      <c r="C252">
        <v>854144</v>
      </c>
      <c r="D252" t="str">
        <f t="shared" si="96"/>
        <v>Оптический кабель</v>
      </c>
      <c r="E252" t="str">
        <f>"[46/2385] Т 2.3 - Т 2.5"</f>
        <v>[46/2385] Т 2.3 - Т 2.5</v>
      </c>
      <c r="F252" t="str">
        <f>"ДПТа-П-64А 6(6) 7кН (Кр,Жел,Зел,..,8-Фиол,9-Бел,..,Бир,Роз)"</f>
        <v>ДПТа-П-64А 6(6) 7кН (Кр,Жел,Зел,..,8-Фиол,9-Бел,..,Бир,Роз)</v>
      </c>
      <c r="G252" t="str">
        <f>""</f>
        <v/>
      </c>
      <c r="H252" t="str">
        <f t="shared" si="114"/>
        <v>ТС</v>
      </c>
      <c r="I252">
        <v>786</v>
      </c>
      <c r="J252">
        <v>788</v>
      </c>
      <c r="K252">
        <v>0</v>
      </c>
      <c r="L252">
        <v>795</v>
      </c>
      <c r="M252" t="str">
        <f>"Опоры"</f>
        <v>Опоры</v>
      </c>
      <c r="N252" t="str">
        <f>"12.12.20122"</f>
        <v>12.12.20122</v>
      </c>
      <c r="O252">
        <v>64</v>
      </c>
      <c r="P252">
        <v>64</v>
      </c>
      <c r="Q252" t="str">
        <f>""</f>
        <v/>
      </c>
      <c r="R252" t="str">
        <f>""</f>
        <v/>
      </c>
      <c r="S252" t="str">
        <f>""</f>
        <v/>
      </c>
      <c r="T252" t="str">
        <f>"46/2385"</f>
        <v>46/2385</v>
      </c>
      <c r="U252" t="str">
        <f t="shared" si="115"/>
        <v>Транспортная ВОЛС</v>
      </c>
      <c r="V252" t="str">
        <f t="shared" si="113"/>
        <v>Нет</v>
      </c>
      <c r="W252" t="str">
        <f t="shared" si="113"/>
        <v>Нет</v>
      </c>
      <c r="X252" t="str">
        <f t="shared" si="113"/>
        <v>Нет</v>
      </c>
      <c r="Y252" t="str">
        <f t="shared" si="113"/>
        <v>Нет</v>
      </c>
      <c r="Z252" t="str">
        <f>"Да"</f>
        <v>Да</v>
      </c>
      <c r="AA252" t="str">
        <f>""</f>
        <v/>
      </c>
      <c r="AB252" t="str">
        <f t="shared" si="97"/>
        <v>Нет</v>
      </c>
      <c r="AC252" t="str">
        <f>"Т2.3 - Т2.5"</f>
        <v>Т2.3 - Т2.5</v>
      </c>
      <c r="AD252" t="str">
        <f>"12.12.2011"</f>
        <v>12.12.2011</v>
      </c>
      <c r="AE252" t="str">
        <f>""</f>
        <v/>
      </c>
      <c r="AF252" t="str">
        <f>"[342263] Т 2.3"</f>
        <v>[342263] Т 2.3</v>
      </c>
      <c r="AG252" t="str">
        <f>"[466633] Т 2.5"</f>
        <v>[466633] Т 2.5</v>
      </c>
      <c r="AH252" t="str">
        <f>"Т2.3"</f>
        <v>Т2.3</v>
      </c>
      <c r="AI252" t="str">
        <f>"Т2.5"</f>
        <v>Т2.5</v>
      </c>
      <c r="AJ252" t="str">
        <f>""</f>
        <v/>
      </c>
      <c r="AK252" t="str">
        <f t="shared" si="100"/>
        <v>Нет</v>
      </c>
      <c r="AL252" t="s">
        <v>64</v>
      </c>
      <c r="AM252" t="str">
        <f>"20000008026200"</f>
        <v>20000008026200</v>
      </c>
    </row>
    <row r="253" spans="1:39" x14ac:dyDescent="0.25">
      <c r="A253">
        <v>907</v>
      </c>
      <c r="B253" t="str">
        <f t="shared" si="95"/>
        <v>Курск</v>
      </c>
      <c r="C253">
        <v>854149</v>
      </c>
      <c r="D253" t="str">
        <f t="shared" si="96"/>
        <v>Оптический кабель</v>
      </c>
      <c r="E253" t="str">
        <f>"[46/2386] Т 2.5 - Т2.4.1"</f>
        <v>[46/2386] Т 2.5 - Т2.4.1</v>
      </c>
      <c r="F253" t="str">
        <f>"ДПТа-П-64А 6(6) 7кН (Кр,Жел,Зел,..,8-Фиол,9-Бел,..,Бир,Роз)"</f>
        <v>ДПТа-П-64А 6(6) 7кН (Кр,Жел,Зел,..,8-Фиол,9-Бел,..,Бир,Роз)</v>
      </c>
      <c r="G253" t="str">
        <f>""</f>
        <v/>
      </c>
      <c r="H253" t="str">
        <f t="shared" si="114"/>
        <v>ТС</v>
      </c>
      <c r="I253">
        <v>360</v>
      </c>
      <c r="J253">
        <v>371.8</v>
      </c>
      <c r="K253">
        <v>0</v>
      </c>
      <c r="L253">
        <v>372.26</v>
      </c>
      <c r="M253" t="str">
        <f>""</f>
        <v/>
      </c>
      <c r="N253" t="str">
        <f>"12.12.20122"</f>
        <v>12.12.20122</v>
      </c>
      <c r="O253">
        <v>64</v>
      </c>
      <c r="P253">
        <v>63</v>
      </c>
      <c r="Q253" t="str">
        <f>""</f>
        <v/>
      </c>
      <c r="R253" t="str">
        <f>""</f>
        <v/>
      </c>
      <c r="S253" t="str">
        <f>""</f>
        <v/>
      </c>
      <c r="T253" t="str">
        <f>"46/2386"</f>
        <v>46/2386</v>
      </c>
      <c r="U253" t="str">
        <f t="shared" si="115"/>
        <v>Транспортная ВОЛС</v>
      </c>
      <c r="V253" t="str">
        <f t="shared" si="113"/>
        <v>Нет</v>
      </c>
      <c r="W253" t="str">
        <f t="shared" si="113"/>
        <v>Нет</v>
      </c>
      <c r="X253" t="str">
        <f t="shared" si="113"/>
        <v>Нет</v>
      </c>
      <c r="Y253" t="str">
        <f t="shared" si="113"/>
        <v>Нет</v>
      </c>
      <c r="Z253" t="str">
        <f>"Нет"</f>
        <v>Нет</v>
      </c>
      <c r="AA253" t="str">
        <f>""</f>
        <v/>
      </c>
      <c r="AB253" t="str">
        <f t="shared" si="97"/>
        <v>Нет</v>
      </c>
      <c r="AC253" t="str">
        <f>"Т2.5 - Т2.4"</f>
        <v>Т2.5 - Т2.4</v>
      </c>
      <c r="AD253" t="str">
        <f>"12.12.2011"</f>
        <v>12.12.2011</v>
      </c>
      <c r="AE253" t="str">
        <f>""</f>
        <v/>
      </c>
      <c r="AF253" t="str">
        <f>"[466633] Т 2.5"</f>
        <v>[466633] Т 2.5</v>
      </c>
      <c r="AG253" t="str">
        <f>"[536882] Т2.4.1"</f>
        <v>[536882] Т2.4.1</v>
      </c>
      <c r="AH253" t="str">
        <f>"Т2.5"</f>
        <v>Т2.5</v>
      </c>
      <c r="AI253" t="str">
        <f>"Т2.4"</f>
        <v>Т2.4</v>
      </c>
      <c r="AJ253" t="str">
        <f>""</f>
        <v/>
      </c>
      <c r="AK253" t="str">
        <f t="shared" si="100"/>
        <v>Нет</v>
      </c>
      <c r="AL253" t="str">
        <f>"51.763476 36.173009, 51.76358 36.173407, 51.763689 36.173887, 51.763804 36.174351, 51.763926 36.17486, 51.764044 36.175339, 51.764166 36.175845, 51.764292 36.176354, 51.764412 36.176844, 51.764538 36.177392, 51.764658 36.177879"</f>
        <v>51.763476 36.173009, 51.76358 36.173407, 51.763689 36.173887, 51.763804 36.174351, 51.763926 36.17486, 51.764044 36.175339, 51.764166 36.175845, 51.764292 36.176354, 51.764412 36.176844, 51.764538 36.177392, 51.764658 36.177879</v>
      </c>
      <c r="AM253" t="str">
        <f>"20000007993397"</f>
        <v>20000007993397</v>
      </c>
    </row>
    <row r="254" spans="1:39" x14ac:dyDescent="0.25">
      <c r="A254">
        <v>907</v>
      </c>
      <c r="B254" t="str">
        <f t="shared" si="95"/>
        <v>Курск</v>
      </c>
      <c r="C254">
        <v>855225</v>
      </c>
      <c r="D254" t="str">
        <f t="shared" si="96"/>
        <v>Оптический кабель</v>
      </c>
      <c r="E254" t="str">
        <f>"[46/2401] Т3.5 - ТОК5.5 Курск, Гагарина, 26 а п. 1"</f>
        <v>[46/2401] Т3.5 - ТОК5.5 Курск, Гагарина, 26 а п. 1</v>
      </c>
      <c r="F254" t="str">
        <f>"ДПТа-П-64А 6(6) 7кН (Кр,Жел,Зел,..,8-Фиол,9-Бел,..,Бир,Роз)"</f>
        <v>ДПТа-П-64А 6(6) 7кН (Кр,Жел,Зел,..,8-Фиол,9-Бел,..,Бир,Роз)</v>
      </c>
      <c r="G254" t="str">
        <f>""</f>
        <v/>
      </c>
      <c r="H254" t="str">
        <f t="shared" si="114"/>
        <v>ТС</v>
      </c>
      <c r="I254">
        <v>452</v>
      </c>
      <c r="J254">
        <v>817</v>
      </c>
      <c r="K254">
        <v>300</v>
      </c>
      <c r="L254">
        <v>825</v>
      </c>
      <c r="M254" t="str">
        <f>"Опоры"</f>
        <v>Опоры</v>
      </c>
      <c r="N254" t="str">
        <f>"28.01.20133"</f>
        <v>28.01.20133</v>
      </c>
      <c r="O254">
        <v>64</v>
      </c>
      <c r="P254">
        <v>64</v>
      </c>
      <c r="Q254" t="str">
        <f>""</f>
        <v/>
      </c>
      <c r="R254" t="str">
        <f>"Курск, Гагарина, 26 а"</f>
        <v>Курск, Гагарина, 26 а</v>
      </c>
      <c r="S254" t="str">
        <f>""</f>
        <v/>
      </c>
      <c r="T254" t="str">
        <f>"46/2401"</f>
        <v>46/2401</v>
      </c>
      <c r="U254" t="str">
        <f t="shared" si="115"/>
        <v>Транспортная ВОЛС</v>
      </c>
      <c r="V254" t="str">
        <f t="shared" si="113"/>
        <v>Нет</v>
      </c>
      <c r="W254" t="str">
        <f t="shared" si="113"/>
        <v>Нет</v>
      </c>
      <c r="X254" t="str">
        <f t="shared" si="113"/>
        <v>Нет</v>
      </c>
      <c r="Y254" t="str">
        <f t="shared" si="113"/>
        <v>Нет</v>
      </c>
      <c r="Z254" t="str">
        <f>"Нет"</f>
        <v>Нет</v>
      </c>
      <c r="AA254" t="str">
        <f>""</f>
        <v/>
      </c>
      <c r="AB254" t="str">
        <f t="shared" si="97"/>
        <v>Нет</v>
      </c>
      <c r="AC254" t="str">
        <f>"Т3.5 - МГС5"</f>
        <v>Т3.5 - МГС5</v>
      </c>
      <c r="AD254" t="str">
        <f>"02.02.2012"</f>
        <v>02.02.2012</v>
      </c>
      <c r="AE254" t="str">
        <f>""</f>
        <v/>
      </c>
      <c r="AF254" t="str">
        <f>"[469450] Т3.5"</f>
        <v>[469450] Т3.5</v>
      </c>
      <c r="AG254" t="str">
        <f>"[469102] ТОК5.5 Курск, Гагарина, 26 а п. 1"</f>
        <v>[469102] ТОК5.5 Курск, Гагарина, 26 а п. 1</v>
      </c>
      <c r="AH254" t="str">
        <f>"Т3.5"</f>
        <v>Т3.5</v>
      </c>
      <c r="AI254" t="str">
        <f>"МГС5"</f>
        <v>МГС5</v>
      </c>
      <c r="AJ254" t="str">
        <f>""</f>
        <v/>
      </c>
      <c r="AK254" t="str">
        <f t="shared" si="100"/>
        <v>Нет</v>
      </c>
      <c r="AL254" t="str">
        <f>"51.668238 36.13794, 51.668381 36.137393, 51.668508 36.136784, 51.668254 36.136354, 51.668336 36.135958, 51.668407 36.135631, 51.668607 36.135607, 51.668747 36.13507, 51.668857 36.134601, 51.668977 36.134091, 51.669094 36.133563, 51.669451 36.132227"</f>
        <v>51.668238 36.13794, 51.668381 36.137393, 51.668508 36.136784, 51.668254 36.136354, 51.668336 36.135958, 51.668407 36.135631, 51.668607 36.135607, 51.668747 36.13507, 51.668857 36.134601, 51.668977 36.134091, 51.669094 36.133563, 51.669451 36.132227</v>
      </c>
      <c r="AM254" t="str">
        <f>"20000008007474"</f>
        <v>20000008007474</v>
      </c>
    </row>
    <row r="255" spans="1:39" x14ac:dyDescent="0.25">
      <c r="A255">
        <v>907</v>
      </c>
      <c r="B255" t="str">
        <f t="shared" si="95"/>
        <v>Курск</v>
      </c>
      <c r="C255">
        <v>855245</v>
      </c>
      <c r="D255" t="str">
        <f t="shared" si="96"/>
        <v>Оптический кабель</v>
      </c>
      <c r="E255" t="str">
        <f>"[46/2405] Т3.1 - Т3.6"</f>
        <v>[46/2405] Т3.1 - Т3.6</v>
      </c>
      <c r="F255" t="str">
        <f>"ДПТа-П-64А 6(6) 7кН (Кр,Жел,Зел,..,8-Фиол,9-Бел,..,Бир,Роз)"</f>
        <v>ДПТа-П-64А 6(6) 7кН (Кр,Жел,Зел,..,8-Фиол,9-Бел,..,Бир,Роз)</v>
      </c>
      <c r="G255" t="str">
        <f>""</f>
        <v/>
      </c>
      <c r="H255" t="str">
        <f t="shared" si="114"/>
        <v>ТС</v>
      </c>
      <c r="I255">
        <v>364</v>
      </c>
      <c r="J255">
        <v>486</v>
      </c>
      <c r="K255">
        <v>100</v>
      </c>
      <c r="L255">
        <v>495</v>
      </c>
      <c r="M255" t="str">
        <f>"Опоры"</f>
        <v>Опоры</v>
      </c>
      <c r="N255" t="str">
        <f>"28.01.20133"</f>
        <v>28.01.20133</v>
      </c>
      <c r="O255">
        <v>64</v>
      </c>
      <c r="P255">
        <v>64</v>
      </c>
      <c r="Q255" t="str">
        <f>""</f>
        <v/>
      </c>
      <c r="R255" t="str">
        <f>""</f>
        <v/>
      </c>
      <c r="S255" t="str">
        <f>""</f>
        <v/>
      </c>
      <c r="T255" t="str">
        <f>"46/2405"</f>
        <v>46/2405</v>
      </c>
      <c r="U255" t="str">
        <f t="shared" si="115"/>
        <v>Транспортная ВОЛС</v>
      </c>
      <c r="V255" t="str">
        <f t="shared" si="113"/>
        <v>Нет</v>
      </c>
      <c r="W255" t="str">
        <f t="shared" si="113"/>
        <v>Нет</v>
      </c>
      <c r="X255" t="str">
        <f t="shared" si="113"/>
        <v>Нет</v>
      </c>
      <c r="Y255" t="str">
        <f t="shared" si="113"/>
        <v>Нет</v>
      </c>
      <c r="Z255" t="str">
        <f>"Да"</f>
        <v>Да</v>
      </c>
      <c r="AA255" t="str">
        <f>""</f>
        <v/>
      </c>
      <c r="AB255" t="str">
        <f t="shared" si="97"/>
        <v>Нет</v>
      </c>
      <c r="AC255" t="str">
        <f>"Т3.1 - Т3.2"</f>
        <v>Т3.1 - Т3.2</v>
      </c>
      <c r="AD255" t="str">
        <f>"02.02.2012"</f>
        <v>02.02.2012</v>
      </c>
      <c r="AE255" t="str">
        <f>""</f>
        <v/>
      </c>
      <c r="AF255" t="str">
        <f>"[469466] Т3.1"</f>
        <v>[469466] Т3.1</v>
      </c>
      <c r="AG255" t="str">
        <f>"[469446] Т3.6"</f>
        <v>[469446] Т3.6</v>
      </c>
      <c r="AH255" t="str">
        <f>"Т3.1"</f>
        <v>Т3.1</v>
      </c>
      <c r="AI255" t="str">
        <f>"Т3.6"</f>
        <v>Т3.6</v>
      </c>
      <c r="AJ255" t="str">
        <f>""</f>
        <v/>
      </c>
      <c r="AK255" t="str">
        <f t="shared" si="100"/>
        <v>Нет</v>
      </c>
      <c r="AL255" t="s">
        <v>65</v>
      </c>
      <c r="AM255" t="str">
        <f>"20000008007473"</f>
        <v>20000008007473</v>
      </c>
    </row>
    <row r="256" spans="1:39" x14ac:dyDescent="0.25">
      <c r="A256">
        <v>907</v>
      </c>
      <c r="B256" t="str">
        <f t="shared" si="95"/>
        <v>Курск</v>
      </c>
      <c r="C256">
        <v>855250</v>
      </c>
      <c r="D256" t="str">
        <f t="shared" si="96"/>
        <v>Оптический кабель</v>
      </c>
      <c r="E256" t="str">
        <f>"[46/2406] ТОК1.3 Курск, Добролюбова, 22 а п.  - Т3.8"</f>
        <v>[46/2406] ТОК1.3 Курск, Добролюбова, 22 а п.  - Т3.8</v>
      </c>
      <c r="F256" t="str">
        <f>"ДПТа-П-64А 6(6) 7кН (Кр,Жел,Зел,..,8-Фиол,9-Бел,..,Бир,Роз)"</f>
        <v>ДПТа-П-64А 6(6) 7кН (Кр,Жел,Зел,..,8-Фиол,9-Бел,..,Бир,Роз)</v>
      </c>
      <c r="G256" t="str">
        <f>""</f>
        <v/>
      </c>
      <c r="H256" t="str">
        <f t="shared" si="114"/>
        <v>ТС</v>
      </c>
      <c r="I256">
        <v>559</v>
      </c>
      <c r="J256">
        <v>775</v>
      </c>
      <c r="K256">
        <v>175</v>
      </c>
      <c r="L256">
        <v>785</v>
      </c>
      <c r="M256" t="str">
        <f>"Опоры"</f>
        <v>Опоры</v>
      </c>
      <c r="N256" t="str">
        <f>"28.01.20133"</f>
        <v>28.01.20133</v>
      </c>
      <c r="O256">
        <v>64</v>
      </c>
      <c r="P256">
        <v>64</v>
      </c>
      <c r="Q256" t="str">
        <f>"Курск, Добролюбова, 22 а"</f>
        <v>Курск, Добролюбова, 22 а</v>
      </c>
      <c r="R256" t="str">
        <f>""</f>
        <v/>
      </c>
      <c r="S256" t="str">
        <f>""</f>
        <v/>
      </c>
      <c r="T256" t="str">
        <f>"46/2406"</f>
        <v>46/2406</v>
      </c>
      <c r="U256" t="str">
        <f t="shared" si="115"/>
        <v>Транспортная ВОЛС</v>
      </c>
      <c r="V256" t="str">
        <f t="shared" si="113"/>
        <v>Нет</v>
      </c>
      <c r="W256" t="str">
        <f t="shared" si="113"/>
        <v>Нет</v>
      </c>
      <c r="X256" t="str">
        <f t="shared" si="113"/>
        <v>Нет</v>
      </c>
      <c r="Y256" t="str">
        <f t="shared" si="113"/>
        <v>Нет</v>
      </c>
      <c r="Z256" t="str">
        <f>"Нет"</f>
        <v>Нет</v>
      </c>
      <c r="AA256" t="str">
        <f>""</f>
        <v/>
      </c>
      <c r="AB256" t="str">
        <f t="shared" si="97"/>
        <v>Нет</v>
      </c>
      <c r="AC256" t="str">
        <f>"ЦГС - Т3.1"</f>
        <v>ЦГС - Т3.1</v>
      </c>
      <c r="AD256" t="str">
        <f>"02.02.2012"</f>
        <v>02.02.2012</v>
      </c>
      <c r="AE256" t="str">
        <f>""</f>
        <v/>
      </c>
      <c r="AF256" t="str">
        <f>"[491161] ТОК1.3 Курск, Добролюбова, 22 а п."</f>
        <v>[491161] ТОК1.3 Курск, Добролюбова, 22 а п.</v>
      </c>
      <c r="AG256" t="str">
        <f>"[492250] Т3.8"</f>
        <v>[492250] Т3.8</v>
      </c>
      <c r="AH256" t="str">
        <f>"ТОК1.3"</f>
        <v>ТОК1.3</v>
      </c>
      <c r="AI256" t="str">
        <f>"Т3.8"</f>
        <v>Т3.8</v>
      </c>
      <c r="AJ256" t="str">
        <f>""</f>
        <v/>
      </c>
      <c r="AK256" t="str">
        <f t="shared" si="100"/>
        <v>Нет</v>
      </c>
      <c r="AL256" t="s">
        <v>66</v>
      </c>
      <c r="AM256" t="str">
        <f>"20000008045581"</f>
        <v>20000008045581</v>
      </c>
    </row>
    <row r="257" spans="1:39" x14ac:dyDescent="0.25">
      <c r="A257">
        <v>907</v>
      </c>
      <c r="B257" t="str">
        <f t="shared" si="95"/>
        <v>Курск</v>
      </c>
      <c r="C257">
        <v>855770</v>
      </c>
      <c r="D257" t="str">
        <f t="shared" si="96"/>
        <v>Оптический кабель</v>
      </c>
      <c r="E257" t="str">
        <f>"[46/3295] М 3.4.4 - ГОК3.4.2.1 Курск, Блинова, 2 /1 п. 1"</f>
        <v>[46/3295] М 3.4.4 - ГОК3.4.2.1 Курск, Блинова, 2 /1 п. 1</v>
      </c>
      <c r="F257" t="str">
        <f>"ДПТс-П-16А 2(6) 7кН (Мод:Кр,Нат)(Вол:Кр,Жел,Зел,..,Ор,Фиол)"</f>
        <v>ДПТс-П-16А 2(6) 7кН (Мод:Кр,Нат)(Вол:Кр,Жел,Зел,..,Ор,Фиол)</v>
      </c>
      <c r="G257" t="str">
        <f>""</f>
        <v/>
      </c>
      <c r="H257" t="str">
        <f>"МС 3.4"</f>
        <v>МС 3.4</v>
      </c>
      <c r="I257">
        <v>49</v>
      </c>
      <c r="J257">
        <v>140</v>
      </c>
      <c r="K257">
        <v>50</v>
      </c>
      <c r="L257">
        <v>142</v>
      </c>
      <c r="M257" t="str">
        <f>"Воздушная трасса по стойкам"</f>
        <v>Воздушная трасса по стойкам</v>
      </c>
      <c r="N257" t="str">
        <f>"01.02.20133"</f>
        <v>01.02.20133</v>
      </c>
      <c r="O257">
        <v>12</v>
      </c>
      <c r="P257">
        <v>12</v>
      </c>
      <c r="Q257" t="str">
        <f>""</f>
        <v/>
      </c>
      <c r="R257" t="str">
        <f>"Курск, Блинова, 2 /1"</f>
        <v>Курск, Блинова, 2 /1</v>
      </c>
      <c r="S257" t="str">
        <f>""</f>
        <v/>
      </c>
      <c r="T257" t="str">
        <f>"46/3295"</f>
        <v>46/3295</v>
      </c>
      <c r="U257" t="str">
        <f>"Магистральная ВОЛС"</f>
        <v>Магистральная ВОЛС</v>
      </c>
      <c r="V257" t="str">
        <f t="shared" si="113"/>
        <v>Нет</v>
      </c>
      <c r="W257" t="str">
        <f t="shared" si="113"/>
        <v>Нет</v>
      </c>
      <c r="X257" t="str">
        <f t="shared" si="113"/>
        <v>Нет</v>
      </c>
      <c r="Y257" t="str">
        <f t="shared" si="113"/>
        <v>Нет</v>
      </c>
      <c r="Z257" t="str">
        <f>"Нет"</f>
        <v>Нет</v>
      </c>
      <c r="AA257" t="str">
        <f>""</f>
        <v/>
      </c>
      <c r="AB257" t="str">
        <f t="shared" si="97"/>
        <v>Нет</v>
      </c>
      <c r="AC257" t="str">
        <f>"М 3.4.4 - ГОК 3.4.2"</f>
        <v>М 3.4.4 - ГОК 3.4.2</v>
      </c>
      <c r="AD257" t="str">
        <f>"02.09.2011"</f>
        <v>02.09.2011</v>
      </c>
      <c r="AE257" t="str">
        <f>""</f>
        <v/>
      </c>
      <c r="AF257" t="str">
        <f>"[367180] М 3.4.4"</f>
        <v>[367180] М 3.4.4</v>
      </c>
      <c r="AG257" t="str">
        <f>"[469941] ГОК3.4.2.1 Курск, Блинова, 2 /1 п. 1"</f>
        <v>[469941] ГОК3.4.2.1 Курск, Блинова, 2 /1 п. 1</v>
      </c>
      <c r="AH257" t="str">
        <f>"М 3.4.4"</f>
        <v>М 3.4.4</v>
      </c>
      <c r="AI257" t="str">
        <f>"ГОК 3.4.2"</f>
        <v>ГОК 3.4.2</v>
      </c>
      <c r="AJ257" t="str">
        <f>""</f>
        <v/>
      </c>
      <c r="AK257" t="str">
        <f t="shared" si="100"/>
        <v>Нет</v>
      </c>
      <c r="AL257" t="str">
        <f>"51.745912 36.198878, 51.746059 36.198759, 51.746268 36.198461"</f>
        <v>51.745912 36.198878, 51.746059 36.198759, 51.746268 36.198461</v>
      </c>
      <c r="AM257" t="str">
        <f>"20000008014287"</f>
        <v>20000008014287</v>
      </c>
    </row>
    <row r="258" spans="1:39" x14ac:dyDescent="0.25">
      <c r="A258">
        <v>907</v>
      </c>
      <c r="B258" t="str">
        <f t="shared" ref="B258:B321" si="116">"Курск"</f>
        <v>Курск</v>
      </c>
      <c r="C258">
        <v>856965</v>
      </c>
      <c r="D258" t="str">
        <f t="shared" ref="D258:D321" si="117">"Оптический кабель"</f>
        <v>Оптический кабель</v>
      </c>
      <c r="E258" t="str">
        <f>"[46/2441] М 5.2.3 - М 5.2.13"</f>
        <v>[46/2441] М 5.2.3 - М 5.2.13</v>
      </c>
      <c r="F258" t="str">
        <f>"ДПТс-П-08А 1(6) 7кН (Кр,Жел,Зел,Син,Кор,Чер,Ор,Фиол)"</f>
        <v>ДПТс-П-08А 1(6) 7кН (Кр,Жел,Зел,Син,Кор,Чер,Ор,Фиол)</v>
      </c>
      <c r="G258" t="str">
        <f>""</f>
        <v/>
      </c>
      <c r="H258" t="str">
        <f>"ТС"</f>
        <v>ТС</v>
      </c>
      <c r="I258">
        <v>48</v>
      </c>
      <c r="J258">
        <v>58</v>
      </c>
      <c r="K258">
        <v>0</v>
      </c>
      <c r="L258">
        <v>59</v>
      </c>
      <c r="M258" t="str">
        <f>"Воздушная трасса по стойкам"</f>
        <v>Воздушная трасса по стойкам</v>
      </c>
      <c r="N258" t="str">
        <f>"21.03.20133"</f>
        <v>21.03.20133</v>
      </c>
      <c r="O258">
        <v>2</v>
      </c>
      <c r="P258">
        <v>2</v>
      </c>
      <c r="Q258" t="str">
        <f>""</f>
        <v/>
      </c>
      <c r="R258" t="str">
        <f>""</f>
        <v/>
      </c>
      <c r="S258" t="str">
        <f>""</f>
        <v/>
      </c>
      <c r="T258" t="str">
        <f>"46/2441"</f>
        <v>46/2441</v>
      </c>
      <c r="U258" t="str">
        <f>"Магистральная ВОЛС"</f>
        <v>Магистральная ВОЛС</v>
      </c>
      <c r="V258" t="str">
        <f t="shared" si="113"/>
        <v>Нет</v>
      </c>
      <c r="W258" t="str">
        <f t="shared" si="113"/>
        <v>Нет</v>
      </c>
      <c r="X258" t="str">
        <f t="shared" si="113"/>
        <v>Нет</v>
      </c>
      <c r="Y258" t="str">
        <f t="shared" si="113"/>
        <v>Нет</v>
      </c>
      <c r="Z258" t="str">
        <f>"Да"</f>
        <v>Да</v>
      </c>
      <c r="AA258" t="str">
        <f>""</f>
        <v/>
      </c>
      <c r="AB258" t="str">
        <f t="shared" si="97"/>
        <v>Нет</v>
      </c>
      <c r="AC258" t="str">
        <f>"М 5.2.3 - М 5.2.12"</f>
        <v>М 5.2.3 - М 5.2.12</v>
      </c>
      <c r="AD258" t="str">
        <f>"10.10.2011"</f>
        <v>10.10.2011</v>
      </c>
      <c r="AE258" t="str">
        <f>""</f>
        <v/>
      </c>
      <c r="AF258" t="str">
        <f>"[382825] М 5.2.3"</f>
        <v>[382825] М 5.2.3</v>
      </c>
      <c r="AG258" t="str">
        <f>"[473433] М 5.2.13"</f>
        <v>[473433] М 5.2.13</v>
      </c>
      <c r="AH258" t="str">
        <f>"М 5.2.3"</f>
        <v>М 5.2.3</v>
      </c>
      <c r="AI258" t="str">
        <f>"М 5.2.12"</f>
        <v>М 5.2.12</v>
      </c>
      <c r="AJ258" t="str">
        <f>""</f>
        <v/>
      </c>
      <c r="AK258" t="str">
        <f t="shared" si="100"/>
        <v>Нет</v>
      </c>
      <c r="AL258" t="str">
        <f>"51.671274 36.147745, 51.671655 36.148068"</f>
        <v>51.671274 36.147745, 51.671655 36.148068</v>
      </c>
      <c r="AM258" t="str">
        <f>"20000008023661"</f>
        <v>20000008023661</v>
      </c>
    </row>
    <row r="259" spans="1:39" x14ac:dyDescent="0.25">
      <c r="A259">
        <v>907</v>
      </c>
      <c r="B259" t="str">
        <f t="shared" si="116"/>
        <v>Курск</v>
      </c>
      <c r="C259">
        <v>861784</v>
      </c>
      <c r="D259" t="str">
        <f t="shared" si="117"/>
        <v>Оптический кабель</v>
      </c>
      <c r="E259" t="str">
        <f>"[46/2513] М 3.4.5 - ГОК3.4.3.1 Курск, Л.Толстого, 1  п. 3"</f>
        <v>[46/2513] М 3.4.5 - ГОК3.4.3.1 Курск, Л.Толстого, 1  п. 3</v>
      </c>
      <c r="F259" t="str">
        <f>"ДПТс-П-16А 2(6) 7кН (Мод:Кр,Нат)(Вол:Кр,Жел,Зел,..,Ор,Фиол)"</f>
        <v>ДПТс-П-16А 2(6) 7кН (Мод:Кр,Нат)(Вол:Кр,Жел,Зел,..,Ор,Фиол)</v>
      </c>
      <c r="G259" t="str">
        <f>""</f>
        <v/>
      </c>
      <c r="H259" t="str">
        <f>"МС 3.4"</f>
        <v>МС 3.4</v>
      </c>
      <c r="I259">
        <v>80</v>
      </c>
      <c r="J259">
        <v>80</v>
      </c>
      <c r="K259">
        <v>0</v>
      </c>
      <c r="L259">
        <v>81</v>
      </c>
      <c r="M259" t="str">
        <f>"Воздушная трасса по стойкам"</f>
        <v>Воздушная трасса по стойкам</v>
      </c>
      <c r="N259" t="str">
        <f>"14.08.20133"</f>
        <v>14.08.20133</v>
      </c>
      <c r="O259">
        <v>10</v>
      </c>
      <c r="P259">
        <v>10</v>
      </c>
      <c r="Q259" t="str">
        <f>""</f>
        <v/>
      </c>
      <c r="R259" t="str">
        <f>"Курск, Л.Толстого, 1"</f>
        <v>Курск, Л.Толстого, 1</v>
      </c>
      <c r="S259" t="str">
        <f>""</f>
        <v/>
      </c>
      <c r="T259" t="str">
        <f>"46/2513"</f>
        <v>46/2513</v>
      </c>
      <c r="U259" t="str">
        <f>"Магистральная ВОЛС"</f>
        <v>Магистральная ВОЛС</v>
      </c>
      <c r="V259" t="str">
        <f t="shared" si="113"/>
        <v>Нет</v>
      </c>
      <c r="W259" t="str">
        <f t="shared" si="113"/>
        <v>Нет</v>
      </c>
      <c r="X259" t="str">
        <f t="shared" si="113"/>
        <v>Нет</v>
      </c>
      <c r="Y259" t="str">
        <f t="shared" si="113"/>
        <v>Нет</v>
      </c>
      <c r="Z259" t="str">
        <f>"Да"</f>
        <v>Да</v>
      </c>
      <c r="AA259" t="str">
        <f>""</f>
        <v/>
      </c>
      <c r="AB259" t="str">
        <f t="shared" si="97"/>
        <v>Нет</v>
      </c>
      <c r="AC259" t="str">
        <f>""</f>
        <v/>
      </c>
      <c r="AD259" t="str">
        <f>"10.10.2011"</f>
        <v>10.10.2011</v>
      </c>
      <c r="AE259" t="str">
        <f>""</f>
        <v/>
      </c>
      <c r="AF259" t="str">
        <f>"[367176] М 3.4.5"</f>
        <v>[367176] М 3.4.5</v>
      </c>
      <c r="AG259" t="str">
        <f>"[478046] ГОК3.4.3.1 Курск, Л.Толстого, 1  п. 3"</f>
        <v>[478046] ГОК3.4.3.1 Курск, Л.Толстого, 1  п. 3</v>
      </c>
      <c r="AH259" t="str">
        <f>"М3.4.5"</f>
        <v>М3.4.5</v>
      </c>
      <c r="AI259" t="str">
        <f>"ГОК3.4.3.1"</f>
        <v>ГОК3.4.3.1</v>
      </c>
      <c r="AJ259" t="str">
        <f>""</f>
        <v/>
      </c>
      <c r="AK259" t="str">
        <f t="shared" si="100"/>
        <v>Нет</v>
      </c>
      <c r="AL259" t="str">
        <f>"51.745573 36.201714, 51.745695 36.201728, 51.746211 36.202213"</f>
        <v>51.745573 36.201714, 51.745695 36.201728, 51.746211 36.202213</v>
      </c>
      <c r="AM259" t="str">
        <f>"20000008014286"</f>
        <v>20000008014286</v>
      </c>
    </row>
    <row r="260" spans="1:39" x14ac:dyDescent="0.25">
      <c r="A260">
        <v>907</v>
      </c>
      <c r="B260" t="str">
        <f t="shared" si="116"/>
        <v>Курск</v>
      </c>
      <c r="C260">
        <v>863006</v>
      </c>
      <c r="D260" t="str">
        <f t="shared" si="117"/>
        <v>Оптический кабель</v>
      </c>
      <c r="E260" t="str">
        <f>"[46/2533] МОК2.5.2 Курск, Дружбы Пр-Кт, 4 б п.  - М 2.1.10"</f>
        <v>[46/2533] МОК2.5.2 Курск, Дружбы Пр-Кт, 4 б п.  - М 2.1.10</v>
      </c>
      <c r="F260" t="str">
        <f>"ДПТа-П-64А 6(6) 7кН (Кр,Жел,Зел,..,8-Фиол,9-Бел,..,Бир,Роз)"</f>
        <v>ДПТа-П-64А 6(6) 7кН (Кр,Жел,Зел,..,8-Фиол,9-Бел,..,Бир,Роз)</v>
      </c>
      <c r="G260" t="str">
        <f>""</f>
        <v/>
      </c>
      <c r="H260" t="str">
        <f>"МС 2.1"</f>
        <v>МС 2.1</v>
      </c>
      <c r="I260">
        <v>446</v>
      </c>
      <c r="J260">
        <v>520</v>
      </c>
      <c r="K260">
        <v>40</v>
      </c>
      <c r="L260">
        <v>528</v>
      </c>
      <c r="M260" t="str">
        <f>"Воздушная трасса по стойкам"</f>
        <v>Воздушная трасса по стойкам</v>
      </c>
      <c r="N260" t="str">
        <f>"01.10.20133"</f>
        <v>01.10.20133</v>
      </c>
      <c r="O260">
        <v>64</v>
      </c>
      <c r="P260">
        <v>64</v>
      </c>
      <c r="Q260" t="str">
        <f>"Курск, Дружбы Пр-Кт, 4 б"</f>
        <v>Курск, Дружбы Пр-Кт, 4 б</v>
      </c>
      <c r="R260" t="str">
        <f>""</f>
        <v/>
      </c>
      <c r="S260" t="str">
        <f>""</f>
        <v/>
      </c>
      <c r="T260" t="str">
        <f>"46/2533"</f>
        <v>46/2533</v>
      </c>
      <c r="U260" t="str">
        <f>"Магистральная ВОЛС"</f>
        <v>Магистральная ВОЛС</v>
      </c>
      <c r="V260" t="str">
        <f t="shared" si="113"/>
        <v>Нет</v>
      </c>
      <c r="W260" t="str">
        <f t="shared" si="113"/>
        <v>Нет</v>
      </c>
      <c r="X260" t="str">
        <f t="shared" si="113"/>
        <v>Нет</v>
      </c>
      <c r="Y260" t="str">
        <f t="shared" si="113"/>
        <v>Нет</v>
      </c>
      <c r="Z260" t="str">
        <f>"Да"</f>
        <v>Да</v>
      </c>
      <c r="AA260" t="str">
        <f>""</f>
        <v/>
      </c>
      <c r="AB260" t="str">
        <f t="shared" si="97"/>
        <v>Нет</v>
      </c>
      <c r="AC260" t="str">
        <f>""</f>
        <v/>
      </c>
      <c r="AD260" t="str">
        <f>"09.12.2011"</f>
        <v>09.12.2011</v>
      </c>
      <c r="AE260" t="str">
        <f>""</f>
        <v/>
      </c>
      <c r="AF260" t="str">
        <f>"[481481] МОК2.5.2 Курск, Дружбы Пр-Кт, 4 б п."</f>
        <v>[481481] МОК2.5.2 Курск, Дружбы Пр-Кт, 4 б п.</v>
      </c>
      <c r="AG260" t="str">
        <f>"[268692] М 2.1.10"</f>
        <v>[268692] М 2.1.10</v>
      </c>
      <c r="AH260" t="str">
        <f>"М2.1.10"</f>
        <v>М2.1.10</v>
      </c>
      <c r="AI260" t="str">
        <f>"МОК2.5.2"</f>
        <v>МОК2.5.2</v>
      </c>
      <c r="AJ260" t="str">
        <f>""</f>
        <v/>
      </c>
      <c r="AK260" t="str">
        <f t="shared" si="100"/>
        <v>Нет</v>
      </c>
      <c r="AL260" t="str">
        <f>"51.742514 36.139501, 51.742579 36.139886, 51.742881 36.140767, 51.743526 36.140271, 51.743774 36.141047, 51.744439 36.140493, 51.745269 36.139976, 51.745372 36.140335"</f>
        <v>51.742514 36.139501, 51.742579 36.139886, 51.742881 36.140767, 51.743526 36.140271, 51.743774 36.141047, 51.744439 36.140493, 51.745269 36.139976, 51.745372 36.140335</v>
      </c>
      <c r="AM260" t="str">
        <f>"20000008026195"</f>
        <v>20000008026195</v>
      </c>
    </row>
    <row r="261" spans="1:39" x14ac:dyDescent="0.25">
      <c r="A261">
        <v>907</v>
      </c>
      <c r="B261" t="str">
        <f t="shared" si="116"/>
        <v>Курск</v>
      </c>
      <c r="C261">
        <v>863081</v>
      </c>
      <c r="D261" t="str">
        <f t="shared" si="117"/>
        <v>Оптический кабель</v>
      </c>
      <c r="E261" t="str">
        <f>"[46/3301] МОК 2.2.1 Курск, Дружбы Пр-Кт, 4 б п.  - М 2.2.9"</f>
        <v>[46/3301] МОК 2.2.1 Курск, Дружбы Пр-Кт, 4 б п.  - М 2.2.9</v>
      </c>
      <c r="F261" t="str">
        <f>"ДПТа-П-128А 8(9) 7кН (Вол:Кр,Жел,Зел,...,Лайм,Нат)"</f>
        <v>ДПТа-П-128А 8(9) 7кН (Вол:Кр,Жел,Зел,...,Лайм,Нат)</v>
      </c>
      <c r="G261" t="str">
        <f>""</f>
        <v/>
      </c>
      <c r="H261" t="str">
        <f>"МС 2.4"</f>
        <v>МС 2.4</v>
      </c>
      <c r="I261">
        <v>42</v>
      </c>
      <c r="J261">
        <v>85</v>
      </c>
      <c r="K261">
        <v>0</v>
      </c>
      <c r="L261">
        <v>86</v>
      </c>
      <c r="M261" t="str">
        <f>"Воздушная трасса по стойкам"</f>
        <v>Воздушная трасса по стойкам</v>
      </c>
      <c r="N261" t="str">
        <f>"01.10.20133"</f>
        <v>01.10.20133</v>
      </c>
      <c r="O261">
        <v>128</v>
      </c>
      <c r="P261">
        <v>128</v>
      </c>
      <c r="Q261" t="str">
        <f>"Курск, Дружбы Пр-Кт, 4 б"</f>
        <v>Курск, Дружбы Пр-Кт, 4 б</v>
      </c>
      <c r="R261" t="str">
        <f>""</f>
        <v/>
      </c>
      <c r="S261" t="str">
        <f>""</f>
        <v/>
      </c>
      <c r="T261" t="str">
        <f>"46/3301"</f>
        <v>46/3301</v>
      </c>
      <c r="U261" t="str">
        <f>"Магистральная ВОЛС"</f>
        <v>Магистральная ВОЛС</v>
      </c>
      <c r="V261" t="str">
        <f t="shared" si="113"/>
        <v>Нет</v>
      </c>
      <c r="W261" t="str">
        <f t="shared" si="113"/>
        <v>Нет</v>
      </c>
      <c r="X261" t="str">
        <f t="shared" si="113"/>
        <v>Нет</v>
      </c>
      <c r="Y261" t="str">
        <f t="shared" si="113"/>
        <v>Нет</v>
      </c>
      <c r="Z261" t="str">
        <f>"Да"</f>
        <v>Да</v>
      </c>
      <c r="AA261" t="str">
        <f>""</f>
        <v/>
      </c>
      <c r="AB261" t="str">
        <f>"Да"</f>
        <v>Да</v>
      </c>
      <c r="AC261" t="str">
        <f>""</f>
        <v/>
      </c>
      <c r="AD261" t="str">
        <f>"06.07.2012"</f>
        <v>06.07.2012</v>
      </c>
      <c r="AE261" t="str">
        <f>""</f>
        <v/>
      </c>
      <c r="AF261" t="str">
        <f>"[481348] МОК 2.2.1 Курск, Дружбы Пр-Кт, 4 б п."</f>
        <v>[481348] МОК 2.2.1 Курск, Дружбы Пр-Кт, 4 б п.</v>
      </c>
      <c r="AG261" t="str">
        <f>"[486846] М 2.2.9"</f>
        <v>[486846] М 2.2.9</v>
      </c>
      <c r="AH261" t="str">
        <f>"М2.2.9"</f>
        <v>М2.2.9</v>
      </c>
      <c r="AI261" t="str">
        <f>"МОК2.2.1"</f>
        <v>МОК2.2.1</v>
      </c>
      <c r="AJ261" t="str">
        <f>""</f>
        <v/>
      </c>
      <c r="AK261" t="str">
        <f t="shared" si="100"/>
        <v>Нет</v>
      </c>
      <c r="AL261" t="str">
        <f>"51.742444 36.139475, 51.74257 36.14005"</f>
        <v>51.742444 36.139475, 51.74257 36.14005</v>
      </c>
      <c r="AM261" t="str">
        <f>"20000008036101"</f>
        <v>20000008036101</v>
      </c>
    </row>
    <row r="262" spans="1:39" x14ac:dyDescent="0.25">
      <c r="A262">
        <v>907</v>
      </c>
      <c r="B262" t="str">
        <f t="shared" si="116"/>
        <v>Курск</v>
      </c>
      <c r="C262">
        <v>864602</v>
      </c>
      <c r="D262" t="str">
        <f t="shared" si="117"/>
        <v>Оптический кабель</v>
      </c>
      <c r="E262" t="str">
        <f>"[46/2541] Т3.8 - Т3.1"</f>
        <v>[46/2541] Т3.8 - Т3.1</v>
      </c>
      <c r="F262" t="str">
        <f>"ДПТа-П-64А 6(6) 7кН (Кр,Жел,Зел,..,8-Фиол,9-Бел,..,Бир,Роз)"</f>
        <v>ДПТа-П-64А 6(6) 7кН (Кр,Жел,Зел,..,8-Фиол,9-Бел,..,Бир,Роз)</v>
      </c>
      <c r="G262" t="str">
        <f>""</f>
        <v/>
      </c>
      <c r="H262" t="str">
        <f>"ТС"</f>
        <v>ТС</v>
      </c>
      <c r="I262">
        <v>796</v>
      </c>
      <c r="J262">
        <v>930</v>
      </c>
      <c r="K262">
        <v>75</v>
      </c>
      <c r="L262">
        <v>940</v>
      </c>
      <c r="M262" t="str">
        <f>"Опоры"</f>
        <v>Опоры</v>
      </c>
      <c r="N262" t="str">
        <f>"06.12.20133"</f>
        <v>06.12.20133</v>
      </c>
      <c r="O262">
        <v>64</v>
      </c>
      <c r="P262">
        <v>64</v>
      </c>
      <c r="Q262" t="str">
        <f>""</f>
        <v/>
      </c>
      <c r="R262" t="str">
        <f>""</f>
        <v/>
      </c>
      <c r="S262" t="str">
        <f>""</f>
        <v/>
      </c>
      <c r="T262" t="str">
        <f>"46/2541"</f>
        <v>46/2541</v>
      </c>
      <c r="U262" t="str">
        <f>"Транспортная ВОЛС"</f>
        <v>Транспортная ВОЛС</v>
      </c>
      <c r="V262" t="str">
        <f t="shared" si="113"/>
        <v>Нет</v>
      </c>
      <c r="W262" t="str">
        <f t="shared" si="113"/>
        <v>Нет</v>
      </c>
      <c r="X262" t="str">
        <f t="shared" si="113"/>
        <v>Нет</v>
      </c>
      <c r="Y262" t="str">
        <f t="shared" si="113"/>
        <v>Нет</v>
      </c>
      <c r="Z262" t="str">
        <f>"Нет"</f>
        <v>Нет</v>
      </c>
      <c r="AA262" t="str">
        <f>""</f>
        <v/>
      </c>
      <c r="AB262" t="str">
        <f t="shared" ref="AB262:AB293" si="118">"Нет"</f>
        <v>Нет</v>
      </c>
      <c r="AC262" t="str">
        <f>"ЦГС - Т3.1"</f>
        <v>ЦГС - Т3.1</v>
      </c>
      <c r="AD262" t="str">
        <f>"02.02.2012"</f>
        <v>02.02.2012</v>
      </c>
      <c r="AE262" t="str">
        <f>""</f>
        <v/>
      </c>
      <c r="AF262" t="str">
        <f>"[492250] Т3.8"</f>
        <v>[492250] Т3.8</v>
      </c>
      <c r="AG262" t="str">
        <f>"[469466] Т3.1"</f>
        <v>[469466] Т3.1</v>
      </c>
      <c r="AH262" t="str">
        <f>"Т3.8"</f>
        <v>Т3.8</v>
      </c>
      <c r="AI262" t="str">
        <f>"Т3.1"</f>
        <v>Т3.1</v>
      </c>
      <c r="AJ262" t="str">
        <f>""</f>
        <v/>
      </c>
      <c r="AK262" t="str">
        <f t="shared" si="100"/>
        <v>Нет</v>
      </c>
      <c r="AL262" t="str">
        <f>"51.718897 36.188375, 51.711916 36.186367"</f>
        <v>51.718897 36.188375, 51.711916 36.186367</v>
      </c>
      <c r="AM262" t="str">
        <f>"20000008036627"</f>
        <v>20000008036627</v>
      </c>
    </row>
    <row r="263" spans="1:39" x14ac:dyDescent="0.25">
      <c r="A263">
        <v>907</v>
      </c>
      <c r="B263" t="str">
        <f t="shared" si="116"/>
        <v>Курск</v>
      </c>
      <c r="C263">
        <v>864753</v>
      </c>
      <c r="D263" t="str">
        <f t="shared" si="117"/>
        <v>Оптический кабель</v>
      </c>
      <c r="E263" t="str">
        <f>"[46/2545] М2.7.1 - М2.7.2"</f>
        <v>[46/2545] М2.7.1 - М2.7.2</v>
      </c>
      <c r="F263" t="str">
        <f>"ДПТа-П-64А 6(6) 7кН (Кр,Жел,Зел,..,8-Фиол,9-Бел,..,Бир,Роз)"</f>
        <v>ДПТа-П-64А 6(6) 7кН (Кр,Жел,Зел,..,8-Фиол,9-Бел,..,Бир,Роз)</v>
      </c>
      <c r="G263" t="str">
        <f>""</f>
        <v/>
      </c>
      <c r="H263" t="str">
        <f>"МС 2.7"</f>
        <v>МС 2.7</v>
      </c>
      <c r="I263">
        <v>254</v>
      </c>
      <c r="J263">
        <v>350</v>
      </c>
      <c r="K263">
        <v>30</v>
      </c>
      <c r="L263">
        <v>358</v>
      </c>
      <c r="M263" t="str">
        <f>"Опоры"</f>
        <v>Опоры</v>
      </c>
      <c r="N263" t="str">
        <f>"11.12.20133"</f>
        <v>11.12.20133</v>
      </c>
      <c r="O263">
        <v>49</v>
      </c>
      <c r="P263">
        <v>46</v>
      </c>
      <c r="Q263" t="str">
        <f>""</f>
        <v/>
      </c>
      <c r="R263" t="str">
        <f>""</f>
        <v/>
      </c>
      <c r="S263" t="str">
        <f>""</f>
        <v/>
      </c>
      <c r="T263" t="str">
        <f>"46/2545"</f>
        <v>46/2545</v>
      </c>
      <c r="U263" t="str">
        <f t="shared" ref="U263:U268" si="119">"Магистральная ВОЛС"</f>
        <v>Магистральная ВОЛС</v>
      </c>
      <c r="V263" t="str">
        <f t="shared" si="113"/>
        <v>Нет</v>
      </c>
      <c r="W263" t="str">
        <f t="shared" si="113"/>
        <v>Нет</v>
      </c>
      <c r="X263" t="str">
        <f t="shared" si="113"/>
        <v>Нет</v>
      </c>
      <c r="Y263" t="str">
        <f t="shared" si="113"/>
        <v>Нет</v>
      </c>
      <c r="Z263" t="str">
        <f>"Да"</f>
        <v>Да</v>
      </c>
      <c r="AA263" t="str">
        <f>""</f>
        <v/>
      </c>
      <c r="AB263" t="str">
        <f t="shared" si="118"/>
        <v>Нет</v>
      </c>
      <c r="AC263" t="str">
        <f>""</f>
        <v/>
      </c>
      <c r="AD263" t="str">
        <f>"10.10.2011"</f>
        <v>10.10.2011</v>
      </c>
      <c r="AE263" t="str">
        <f>""</f>
        <v/>
      </c>
      <c r="AF263" t="str">
        <f>"[492646] М2.7.1"</f>
        <v>[492646] М2.7.1</v>
      </c>
      <c r="AG263" t="str">
        <f>"[508466] М2.7.2"</f>
        <v>[508466] М2.7.2</v>
      </c>
      <c r="AH263" t="str">
        <f>"М2.7.1"</f>
        <v>М2.7.1</v>
      </c>
      <c r="AI263" t="str">
        <f>"М2.5.6"</f>
        <v>М2.5.6</v>
      </c>
      <c r="AJ263" t="str">
        <f>""</f>
        <v/>
      </c>
      <c r="AK263" t="str">
        <f t="shared" si="100"/>
        <v>Нет</v>
      </c>
      <c r="AL263" t="str">
        <f>"51.727644 36.140669, 51.727417 36.140336, 51.727168 36.139968, 51.726889 36.139673, 51.726633 36.139399, 51.72641 36.138639, 51.726391 36.137869"</f>
        <v>51.727644 36.140669, 51.727417 36.140336, 51.727168 36.139968, 51.726889 36.139673, 51.726633 36.139399, 51.72641 36.138639, 51.726391 36.137869</v>
      </c>
      <c r="AM263" t="str">
        <f>"20000007993326"</f>
        <v>20000007993326</v>
      </c>
    </row>
    <row r="264" spans="1:39" x14ac:dyDescent="0.25">
      <c r="A264">
        <v>907</v>
      </c>
      <c r="B264" t="str">
        <f t="shared" si="116"/>
        <v>Курск</v>
      </c>
      <c r="C264">
        <v>881046</v>
      </c>
      <c r="D264" t="str">
        <f t="shared" si="117"/>
        <v>Оптический кабель</v>
      </c>
      <c r="E264" t="str">
        <f>"[46/3308] М 3.2.9 - М 3.2.10"</f>
        <v>[46/3308] М 3.2.9 - М 3.2.10</v>
      </c>
      <c r="F264" t="str">
        <f>"ДПТа-П-64А 6(6) 7кН (Кр,Жел,Зел,..,8-Фиол,9-Бел,..,Бир,Роз)"</f>
        <v>ДПТа-П-64А 6(6) 7кН (Кр,Жел,Зел,..,8-Фиол,9-Бел,..,Бир,Роз)</v>
      </c>
      <c r="G264" t="str">
        <f>""</f>
        <v/>
      </c>
      <c r="H264" t="str">
        <f>"МС 3.2"</f>
        <v>МС 3.2</v>
      </c>
      <c r="I264">
        <v>177</v>
      </c>
      <c r="J264">
        <v>200</v>
      </c>
      <c r="K264">
        <v>15</v>
      </c>
      <c r="L264">
        <v>203.52</v>
      </c>
      <c r="M264" t="str">
        <f>"Опоры"</f>
        <v>Опоры</v>
      </c>
      <c r="N264" t="str">
        <f>"19.01.20155"</f>
        <v>19.01.20155</v>
      </c>
      <c r="O264">
        <v>64</v>
      </c>
      <c r="P264">
        <v>64</v>
      </c>
      <c r="Q264" t="str">
        <f>""</f>
        <v/>
      </c>
      <c r="R264" t="str">
        <f>""</f>
        <v/>
      </c>
      <c r="S264" t="str">
        <f>""</f>
        <v/>
      </c>
      <c r="T264" t="str">
        <f>"46/3308"</f>
        <v>46/3308</v>
      </c>
      <c r="U264" t="str">
        <f t="shared" si="119"/>
        <v>Магистральная ВОЛС</v>
      </c>
      <c r="V264" t="str">
        <f t="shared" si="113"/>
        <v>Нет</v>
      </c>
      <c r="W264" t="str">
        <f t="shared" si="113"/>
        <v>Нет</v>
      </c>
      <c r="X264" t="str">
        <f t="shared" si="113"/>
        <v>Нет</v>
      </c>
      <c r="Y264" t="str">
        <f t="shared" si="113"/>
        <v>Нет</v>
      </c>
      <c r="Z264" t="str">
        <f>"Нет"</f>
        <v>Нет</v>
      </c>
      <c r="AA264" t="str">
        <f>""</f>
        <v/>
      </c>
      <c r="AB264" t="str">
        <f t="shared" si="118"/>
        <v>Нет</v>
      </c>
      <c r="AC264" t="str">
        <f>"М 3.2.2 - М 3.2.3"</f>
        <v>М 3.2.2 - М 3.2.3</v>
      </c>
      <c r="AD264" t="str">
        <f>"02.02.2012"</f>
        <v>02.02.2012</v>
      </c>
      <c r="AE264" t="str">
        <f>""</f>
        <v/>
      </c>
      <c r="AF264" t="str">
        <f>"[498670] М 3.2.9"</f>
        <v>[498670] М 3.2.9</v>
      </c>
      <c r="AG264" t="str">
        <f>"[498666] М 3.2.10"</f>
        <v>[498666] М 3.2.10</v>
      </c>
      <c r="AH264" t="str">
        <f>"М 3.2.2"</f>
        <v>М 3.2.2</v>
      </c>
      <c r="AI264" t="str">
        <f>"М 3.2.3"</f>
        <v>М 3.2.3</v>
      </c>
      <c r="AJ264" t="str">
        <f>""</f>
        <v/>
      </c>
      <c r="AK264" t="str">
        <f t="shared" si="100"/>
        <v>Нет</v>
      </c>
      <c r="AL264" t="str">
        <f>"51.760378 36.186932, 51.760723 36.186753, 51.761383 36.18749, 51.761546 36.188132"</f>
        <v>51.760378 36.186932, 51.760723 36.186753, 51.761383 36.18749, 51.761546 36.188132</v>
      </c>
      <c r="AM264" t="str">
        <f>"20000008017096"</f>
        <v>20000008017096</v>
      </c>
    </row>
    <row r="265" spans="1:39" x14ac:dyDescent="0.25">
      <c r="A265">
        <v>907</v>
      </c>
      <c r="B265" t="str">
        <f t="shared" si="116"/>
        <v>Курск</v>
      </c>
      <c r="C265">
        <v>882351</v>
      </c>
      <c r="D265" t="str">
        <f t="shared" si="117"/>
        <v>Оптический кабель</v>
      </c>
      <c r="E265" t="str">
        <f>"[46/2584] М 5.3.9 - ОК 5.1.1-6 ППК 5.1.1 Курск, Кулакова Пр-Кт, 28  п. 1"</f>
        <v>[46/2584] М 5.3.9 - ОК 5.1.1-6 ППК 5.1.1 Курск, Кулакова Пр-Кт, 28  п. 1</v>
      </c>
      <c r="F265" t="str">
        <f>"ДПТс-П-08А 1(6) 7кН (Кр,Жел,Зел,Син,Кор,Чер,Ор,Фиол)"</f>
        <v>ДПТс-П-08А 1(6) 7кН (Кр,Жел,Зел,Син,Кор,Чер,Ор,Фиол)</v>
      </c>
      <c r="G265" t="str">
        <f>""</f>
        <v/>
      </c>
      <c r="H265" t="str">
        <f>"МС 5.3"</f>
        <v>МС 5.3</v>
      </c>
      <c r="I265">
        <v>79</v>
      </c>
      <c r="J265">
        <v>85</v>
      </c>
      <c r="K265">
        <v>0</v>
      </c>
      <c r="M265" t="str">
        <f>""</f>
        <v/>
      </c>
      <c r="N265" t="str">
        <f>"15.06.20155"</f>
        <v>15.06.20155</v>
      </c>
      <c r="O265">
        <v>1</v>
      </c>
      <c r="P265">
        <v>1</v>
      </c>
      <c r="Q265" t="str">
        <f>""</f>
        <v/>
      </c>
      <c r="R265" t="str">
        <f>"Курск, Кулакова Пр-Кт, 28"</f>
        <v>Курск, Кулакова Пр-Кт, 28</v>
      </c>
      <c r="S265" t="str">
        <f>""</f>
        <v/>
      </c>
      <c r="T265" t="str">
        <f>"46/2584"</f>
        <v>46/2584</v>
      </c>
      <c r="U265" t="str">
        <f t="shared" si="119"/>
        <v>Магистральная ВОЛС</v>
      </c>
      <c r="V265" t="str">
        <f t="shared" si="113"/>
        <v>Нет</v>
      </c>
      <c r="W265" t="str">
        <f t="shared" si="113"/>
        <v>Нет</v>
      </c>
      <c r="X265" t="str">
        <f t="shared" si="113"/>
        <v>Нет</v>
      </c>
      <c r="Y265" t="str">
        <f t="shared" si="113"/>
        <v>Нет</v>
      </c>
      <c r="Z265" t="str">
        <f>"Да"</f>
        <v>Да</v>
      </c>
      <c r="AA265" t="str">
        <f>""</f>
        <v/>
      </c>
      <c r="AB265" t="str">
        <f t="shared" si="118"/>
        <v>Нет</v>
      </c>
      <c r="AC265" t="str">
        <f>""</f>
        <v/>
      </c>
      <c r="AD265" t="str">
        <f>""</f>
        <v/>
      </c>
      <c r="AE265" t="str">
        <f>""</f>
        <v/>
      </c>
      <c r="AF265" t="str">
        <f>"[506266] М 5.3.9"</f>
        <v>[506266] М 5.3.9</v>
      </c>
      <c r="AG265" t="str">
        <f>"[500866] ОК 5.1.1-6 ППК 5.1.1 Курск, Кулакова Пр-Кт, 28  п. 1"</f>
        <v>[500866] ОК 5.1.1-6 ППК 5.1.1 Курск, Кулакова Пр-Кт, 28  п. 1</v>
      </c>
      <c r="AH265" t="str">
        <f>"М5.3.9"</f>
        <v>М5.3.9</v>
      </c>
      <c r="AI265" t="str">
        <f>"ОК 5.1.1-6 ППК 5.1.1 пр-кт. Кулакова 28"</f>
        <v>ОК 5.1.1-6 ППК 5.1.1 пр-кт. Кулакова 28</v>
      </c>
      <c r="AJ265" t="str">
        <f>""</f>
        <v/>
      </c>
      <c r="AK265" t="str">
        <f t="shared" si="100"/>
        <v>Нет</v>
      </c>
      <c r="AL265" t="str">
        <f>"51.665763 36.139562, 51.665652 36.139772, 51.66556 36.14015, 51.665535 36.140134, 51.665476 36.140098, 51.6655 36.140054, 51.66555 36.140087, 51.665594 36.139928"</f>
        <v>51.665763 36.139562, 51.665652 36.139772, 51.66556 36.14015, 51.665535 36.140134, 51.665476 36.140098, 51.6655 36.140054, 51.66555 36.140087, 51.665594 36.139928</v>
      </c>
      <c r="AM265" t="str">
        <f>"20000008046473"</f>
        <v>20000008046473</v>
      </c>
    </row>
    <row r="266" spans="1:39" x14ac:dyDescent="0.25">
      <c r="A266">
        <v>907</v>
      </c>
      <c r="B266" t="str">
        <f t="shared" si="116"/>
        <v>Курск</v>
      </c>
      <c r="C266">
        <v>886570</v>
      </c>
      <c r="D266" t="str">
        <f t="shared" si="117"/>
        <v>Оптический кабель</v>
      </c>
      <c r="E266" t="str">
        <f>"[46/2640] М 2.5.6 - М2.5.15"</f>
        <v>[46/2640] М 2.5.6 - М2.5.15</v>
      </c>
      <c r="F266" t="str">
        <f>"ДПТа-П-64А 6(6) 7кН (Кр,Жел,Зел,..,8-Фиол,9-Бел,..,Бир,Роз)"</f>
        <v>ДПТа-П-64А 6(6) 7кН (Кр,Жел,Зел,..,8-Фиол,9-Бел,..,Бир,Роз)</v>
      </c>
      <c r="G266" t="str">
        <f>""</f>
        <v/>
      </c>
      <c r="H266" t="str">
        <f>"МС 2.5"</f>
        <v>МС 2.5</v>
      </c>
      <c r="I266">
        <v>333</v>
      </c>
      <c r="J266">
        <v>400</v>
      </c>
      <c r="K266">
        <v>0</v>
      </c>
      <c r="M266" t="str">
        <f>""</f>
        <v/>
      </c>
      <c r="N266" t="str">
        <f>"03.02.20166"</f>
        <v>03.02.20166</v>
      </c>
      <c r="O266">
        <v>64</v>
      </c>
      <c r="P266">
        <v>64</v>
      </c>
      <c r="Q266" t="str">
        <f>""</f>
        <v/>
      </c>
      <c r="R266" t="str">
        <f>""</f>
        <v/>
      </c>
      <c r="S266" t="str">
        <f>""</f>
        <v/>
      </c>
      <c r="T266" t="str">
        <f>"46/2640"</f>
        <v>46/2640</v>
      </c>
      <c r="U266" t="str">
        <f t="shared" si="119"/>
        <v>Магистральная ВОЛС</v>
      </c>
      <c r="V266" t="str">
        <f t="shared" si="113"/>
        <v>Нет</v>
      </c>
      <c r="W266" t="str">
        <f t="shared" si="113"/>
        <v>Нет</v>
      </c>
      <c r="X266" t="str">
        <f t="shared" si="113"/>
        <v>Нет</v>
      </c>
      <c r="Y266" t="str">
        <f t="shared" si="113"/>
        <v>Нет</v>
      </c>
      <c r="Z266" t="str">
        <f>"Нет"</f>
        <v>Нет</v>
      </c>
      <c r="AA266" t="str">
        <f>""</f>
        <v/>
      </c>
      <c r="AB266" t="str">
        <f t="shared" si="118"/>
        <v>Нет</v>
      </c>
      <c r="AC266" t="str">
        <f>""</f>
        <v/>
      </c>
      <c r="AD266" t="str">
        <f>""</f>
        <v/>
      </c>
      <c r="AE266" t="str">
        <f>""</f>
        <v/>
      </c>
      <c r="AF266" t="str">
        <f>"[340476] М 2.5.6"</f>
        <v>[340476] М 2.5.6</v>
      </c>
      <c r="AG266" t="str">
        <f>"[508666] М2.5.15"</f>
        <v>[508666] М2.5.15</v>
      </c>
      <c r="AH266" t="str">
        <f>"Бойцов 9-й дивизии 185"</f>
        <v>Бойцов 9-й дивизии 185</v>
      </c>
      <c r="AI266" t="str">
        <f>"Бойцов 9-й дивизии  195"</f>
        <v>Бойцов 9-й дивизии  195</v>
      </c>
      <c r="AJ266" t="str">
        <f>""</f>
        <v/>
      </c>
      <c r="AK266" t="str">
        <f t="shared" si="100"/>
        <v>Нет</v>
      </c>
      <c r="AL266" t="str">
        <f>"51.725954 36.138245, 51.725857 36.138115, 51.725246 36.137501, 51.724862 36.137124, 51.72479 36.137113, 51.724225 36.136604, 51.724115 36.136477, 51.723655 36.13605, 51.723435 36.135798, 51.72339 36.135797"</f>
        <v>51.725954 36.138245, 51.725857 36.138115, 51.725246 36.137501, 51.724862 36.137124, 51.72479 36.137113, 51.724225 36.136604, 51.724115 36.136477, 51.723655 36.13605, 51.723435 36.135798, 51.72339 36.135797</v>
      </c>
      <c r="AM266" t="str">
        <f>"20000008007470"</f>
        <v>20000008007470</v>
      </c>
    </row>
    <row r="267" spans="1:39" x14ac:dyDescent="0.25">
      <c r="A267">
        <v>907</v>
      </c>
      <c r="B267" t="str">
        <f t="shared" si="116"/>
        <v>Курск</v>
      </c>
      <c r="C267">
        <v>886867</v>
      </c>
      <c r="D267" t="str">
        <f t="shared" si="117"/>
        <v>Оптический кабель</v>
      </c>
      <c r="E267" t="str">
        <f>"[46/2642] М 1.3.23 - М 1.3.8"</f>
        <v>[46/2642] М 1.3.23 - М 1.3.8</v>
      </c>
      <c r="F267" t="str">
        <f>"ДПТа-П-64А 6(6) 7кН (Кр,Жел,Зел,..,8-Фиол,9-Бел,..,Бир,Роз)"</f>
        <v>ДПТа-П-64А 6(6) 7кН (Кр,Жел,Зел,..,8-Фиол,9-Бел,..,Бир,Роз)</v>
      </c>
      <c r="G267" t="str">
        <f>""</f>
        <v/>
      </c>
      <c r="H267" t="str">
        <f>"МС 1.3"</f>
        <v>МС 1.3</v>
      </c>
      <c r="I267">
        <v>30</v>
      </c>
      <c r="J267">
        <v>54</v>
      </c>
      <c r="K267">
        <v>0</v>
      </c>
      <c r="L267">
        <v>55</v>
      </c>
      <c r="M267" t="str">
        <f>""</f>
        <v/>
      </c>
      <c r="N267" t="str">
        <f>"04.03.20166"</f>
        <v>04.03.20166</v>
      </c>
      <c r="O267">
        <v>64</v>
      </c>
      <c r="P267">
        <v>64</v>
      </c>
      <c r="Q267" t="str">
        <f>""</f>
        <v/>
      </c>
      <c r="R267" t="str">
        <f>""</f>
        <v/>
      </c>
      <c r="S267" t="str">
        <f>""</f>
        <v/>
      </c>
      <c r="T267" t="str">
        <f>"46/2642"</f>
        <v>46/2642</v>
      </c>
      <c r="U267" t="str">
        <f t="shared" si="119"/>
        <v>Магистральная ВОЛС</v>
      </c>
      <c r="V267" t="str">
        <f t="shared" si="113"/>
        <v>Нет</v>
      </c>
      <c r="W267" t="str">
        <f t="shared" si="113"/>
        <v>Нет</v>
      </c>
      <c r="X267" t="str">
        <f t="shared" si="113"/>
        <v>Нет</v>
      </c>
      <c r="Y267" t="str">
        <f t="shared" si="113"/>
        <v>Нет</v>
      </c>
      <c r="Z267" t="str">
        <f>"Да"</f>
        <v>Да</v>
      </c>
      <c r="AA267" t="str">
        <f>""</f>
        <v/>
      </c>
      <c r="AB267" t="str">
        <f t="shared" si="118"/>
        <v>Нет</v>
      </c>
      <c r="AC267" t="str">
        <f>""</f>
        <v/>
      </c>
      <c r="AD267" t="str">
        <f>""</f>
        <v/>
      </c>
      <c r="AE267" t="str">
        <f>""</f>
        <v/>
      </c>
      <c r="AF267" t="str">
        <f>"[509666] М 1.3.23"</f>
        <v>[509666] М 1.3.23</v>
      </c>
      <c r="AG267" t="str">
        <f>"[350322] М 1.3.8"</f>
        <v>[350322] М 1.3.8</v>
      </c>
      <c r="AH267" t="str">
        <f>"М 1.3.23"</f>
        <v>М 1.3.23</v>
      </c>
      <c r="AI267" t="str">
        <f>"М 1.3.8"</f>
        <v>М 1.3.8</v>
      </c>
      <c r="AJ267" t="str">
        <f>""</f>
        <v/>
      </c>
      <c r="AK267" t="str">
        <f t="shared" si="100"/>
        <v>Нет</v>
      </c>
      <c r="AL267" t="str">
        <f>"51.703245 36.143554, 51.703492 36.143729"</f>
        <v>51.703245 36.143554, 51.703492 36.143729</v>
      </c>
      <c r="AM267" t="str">
        <f>"20000008031667"</f>
        <v>20000008031667</v>
      </c>
    </row>
    <row r="268" spans="1:39" x14ac:dyDescent="0.25">
      <c r="A268">
        <v>907</v>
      </c>
      <c r="B268" t="str">
        <f t="shared" si="116"/>
        <v>Курск</v>
      </c>
      <c r="C268">
        <v>887727</v>
      </c>
      <c r="D268" t="str">
        <f t="shared" si="117"/>
        <v>Оптический кабель</v>
      </c>
      <c r="E268" t="str">
        <f>"[46/2657] М 1.4.8 - М 1.4.5"</f>
        <v>[46/2657] М 1.4.8 - М 1.4.5</v>
      </c>
      <c r="F268" t="str">
        <f>"ДПТа-П-64А 6(6) 7кН (Кр,Жел,Зел,..,8-Фиол,9-Бел,..,Бир,Роз)"</f>
        <v>ДПТа-П-64А 6(6) 7кН (Кр,Жел,Зел,..,8-Фиол,9-Бел,..,Бир,Роз)</v>
      </c>
      <c r="G268" t="str">
        <f>""</f>
        <v/>
      </c>
      <c r="H268" t="str">
        <f>"МС 1.4"</f>
        <v>МС 1.4</v>
      </c>
      <c r="I268">
        <v>47</v>
      </c>
      <c r="J268">
        <v>54</v>
      </c>
      <c r="K268">
        <v>5</v>
      </c>
      <c r="L268">
        <v>77.180000000000007</v>
      </c>
      <c r="M268" t="str">
        <f>"Опоры"</f>
        <v>Опоры</v>
      </c>
      <c r="N268" t="str">
        <f>"07.04.20166"</f>
        <v>07.04.20166</v>
      </c>
      <c r="O268">
        <v>64</v>
      </c>
      <c r="P268">
        <v>64</v>
      </c>
      <c r="Q268" t="str">
        <f>""</f>
        <v/>
      </c>
      <c r="R268" t="str">
        <f>""</f>
        <v/>
      </c>
      <c r="S268" t="str">
        <f>""</f>
        <v/>
      </c>
      <c r="T268" t="str">
        <f>"46/2657"</f>
        <v>46/2657</v>
      </c>
      <c r="U268" t="str">
        <f t="shared" si="119"/>
        <v>Магистральная ВОЛС</v>
      </c>
      <c r="V268" t="str">
        <f t="shared" ref="V268:Y287" si="120">"Нет"</f>
        <v>Нет</v>
      </c>
      <c r="W268" t="str">
        <f t="shared" si="120"/>
        <v>Нет</v>
      </c>
      <c r="X268" t="str">
        <f t="shared" si="120"/>
        <v>Нет</v>
      </c>
      <c r="Y268" t="str">
        <f t="shared" si="120"/>
        <v>Нет</v>
      </c>
      <c r="Z268" t="str">
        <f>"Нет"</f>
        <v>Нет</v>
      </c>
      <c r="AA268" t="str">
        <f>""</f>
        <v/>
      </c>
      <c r="AB268" t="str">
        <f t="shared" si="118"/>
        <v>Нет</v>
      </c>
      <c r="AC268" t="str">
        <f>"М 1.4.6 - М 1.4.5"</f>
        <v>М 1.4.6 - М 1.4.5</v>
      </c>
      <c r="AD268" t="str">
        <f>"02.02.2012"</f>
        <v>02.02.2012</v>
      </c>
      <c r="AE268" t="str">
        <f>"""Спецстроймонтаж-36"""</f>
        <v>"Спецстроймонтаж-36"</v>
      </c>
      <c r="AF268" t="str">
        <f>"[511266] М 1.4.8"</f>
        <v>[511266] М 1.4.8</v>
      </c>
      <c r="AG268" t="str">
        <f>"[367118] М 1.4.5"</f>
        <v>[367118] М 1.4.5</v>
      </c>
      <c r="AH268" t="str">
        <f>"М 1.4.8"</f>
        <v>М 1.4.8</v>
      </c>
      <c r="AI268" t="str">
        <f>"М 1.4.5"</f>
        <v>М 1.4.5</v>
      </c>
      <c r="AJ268" t="str">
        <f>""</f>
        <v/>
      </c>
      <c r="AK268" t="str">
        <f t="shared" ref="AK268:AK286" si="121">"Нет"</f>
        <v>Нет</v>
      </c>
      <c r="AL268" t="str">
        <f>"51.710602 36.1423, 51.710179 36.142284"</f>
        <v>51.710602 36.1423, 51.710179 36.142284</v>
      </c>
      <c r="AM268" t="str">
        <f>"20000008040063"</f>
        <v>20000008040063</v>
      </c>
    </row>
    <row r="269" spans="1:39" x14ac:dyDescent="0.25">
      <c r="A269">
        <v>907</v>
      </c>
      <c r="B269" t="str">
        <f t="shared" si="116"/>
        <v>Курск</v>
      </c>
      <c r="C269">
        <v>889947</v>
      </c>
      <c r="D269" t="str">
        <f t="shared" si="117"/>
        <v>Оптический кабель</v>
      </c>
      <c r="E269" t="str">
        <f>"[46/2677] Т3.8 - ОК 1.1.1 - 57 Курск, Кожевенная 1-Я, 13  п. 1"</f>
        <v>[46/2677] Т3.8 - ОК 1.1.1 - 57 Курск, Кожевенная 1-Я, 13  п. 1</v>
      </c>
      <c r="F269" t="str">
        <f>"ДПТс-П-08А 1(6) 7кН (Кр,Жел,Зел,Син,Кор,Чер,Ор,Фиол)"</f>
        <v>ДПТс-П-08А 1(6) 7кН (Кр,Жел,Зел,Син,Кор,Чер,Ор,Фиол)</v>
      </c>
      <c r="G269" t="str">
        <f>""</f>
        <v/>
      </c>
      <c r="H269" t="str">
        <f>"ТС"</f>
        <v>ТС</v>
      </c>
      <c r="I269">
        <v>59</v>
      </c>
      <c r="J269">
        <v>130</v>
      </c>
      <c r="K269">
        <v>0</v>
      </c>
      <c r="M269" t="str">
        <f>""</f>
        <v/>
      </c>
      <c r="N269" t="str">
        <f>"30.08.20166"</f>
        <v>30.08.20166</v>
      </c>
      <c r="O269">
        <v>1</v>
      </c>
      <c r="P269">
        <v>1</v>
      </c>
      <c r="Q269" t="str">
        <f>""</f>
        <v/>
      </c>
      <c r="R269" t="str">
        <f>"Курск, Кожевенная 1-Я, 13"</f>
        <v>Курск, Кожевенная 1-Я, 13</v>
      </c>
      <c r="S269" t="str">
        <f>""</f>
        <v/>
      </c>
      <c r="T269" t="str">
        <f>"46/2677"</f>
        <v>46/2677</v>
      </c>
      <c r="U269" t="str">
        <f>"Транспортная ВОЛС"</f>
        <v>Транспортная ВОЛС</v>
      </c>
      <c r="V269" t="str">
        <f t="shared" si="120"/>
        <v>Нет</v>
      </c>
      <c r="W269" t="str">
        <f t="shared" si="120"/>
        <v>Нет</v>
      </c>
      <c r="X269" t="str">
        <f t="shared" si="120"/>
        <v>Нет</v>
      </c>
      <c r="Y269" t="str">
        <f t="shared" si="120"/>
        <v>Нет</v>
      </c>
      <c r="Z269" t="str">
        <f>"Да"</f>
        <v>Да</v>
      </c>
      <c r="AA269" t="str">
        <f>""</f>
        <v/>
      </c>
      <c r="AB269" t="str">
        <f t="shared" si="118"/>
        <v>Нет</v>
      </c>
      <c r="AC269" t="str">
        <f>""</f>
        <v/>
      </c>
      <c r="AD269" t="str">
        <f>""</f>
        <v/>
      </c>
      <c r="AE269" t="str">
        <f>""</f>
        <v/>
      </c>
      <c r="AF269" t="str">
        <f>"[492250] Т3.8"</f>
        <v>[492250] Т3.8</v>
      </c>
      <c r="AG269" t="str">
        <f>"[513666] ОК 1.1.1 - 57 Курск, Кожевенная 1-Я, 13  п. 1"</f>
        <v>[513666] ОК 1.1.1 - 57 Курск, Кожевенная 1-Я, 13  п. 1</v>
      </c>
      <c r="AH269" t="str">
        <f>"Т 3.8"</f>
        <v>Т 3.8</v>
      </c>
      <c r="AI269" t="str">
        <f>"1-я Кожевенная д.13"</f>
        <v>1-я Кожевенная д.13</v>
      </c>
      <c r="AJ269" t="str">
        <f>""</f>
        <v/>
      </c>
      <c r="AK269" t="str">
        <f t="shared" si="121"/>
        <v>Нет</v>
      </c>
      <c r="AL269" t="str">
        <f>"51.718956 36.188322, 51.719215 36.188382, 51.719199 36.188107, 51.719277 36.188008"</f>
        <v>51.718956 36.188322, 51.719215 36.188382, 51.719199 36.188107, 51.719277 36.188008</v>
      </c>
      <c r="AM269" t="str">
        <f>"20000008034511"</f>
        <v>20000008034511</v>
      </c>
    </row>
    <row r="270" spans="1:39" x14ac:dyDescent="0.25">
      <c r="A270">
        <v>907</v>
      </c>
      <c r="B270" t="str">
        <f t="shared" si="116"/>
        <v>Курск</v>
      </c>
      <c r="C270">
        <v>894548</v>
      </c>
      <c r="D270" t="str">
        <f t="shared" si="117"/>
        <v>Оптический кабель</v>
      </c>
      <c r="E270" t="str">
        <f>"[46/2769] М 5.6.7 - М 5.6.8"</f>
        <v>[46/2769] М 5.6.7 - М 5.6.8</v>
      </c>
      <c r="F270" t="str">
        <f>"ДПТа-П-64А 6(6) 7кН (Кр,Жел,Зел,..,8-Фиол,9-Бел,..,Бир,Роз)"</f>
        <v>ДПТа-П-64А 6(6) 7кН (Кр,Жел,Зел,..,8-Фиол,9-Бел,..,Бир,Роз)</v>
      </c>
      <c r="G270" t="str">
        <f>""</f>
        <v/>
      </c>
      <c r="H270" t="str">
        <f>"МС 5.6"</f>
        <v>МС 5.6</v>
      </c>
      <c r="I270">
        <v>78</v>
      </c>
      <c r="J270">
        <v>140</v>
      </c>
      <c r="K270">
        <v>50</v>
      </c>
      <c r="L270">
        <v>128.80000000000001</v>
      </c>
      <c r="M270" t="str">
        <f>"Опоры"</f>
        <v>Опоры</v>
      </c>
      <c r="N270" t="str">
        <f>"09.08.20177"</f>
        <v>09.08.20177</v>
      </c>
      <c r="O270">
        <v>64</v>
      </c>
      <c r="P270">
        <v>64</v>
      </c>
      <c r="Q270" t="str">
        <f>""</f>
        <v/>
      </c>
      <c r="R270" t="str">
        <f>""</f>
        <v/>
      </c>
      <c r="S270" t="str">
        <f>""</f>
        <v/>
      </c>
      <c r="T270" t="str">
        <f>"46/2769"</f>
        <v>46/2769</v>
      </c>
      <c r="U270" t="str">
        <f>"Магистральная ВОЛС"</f>
        <v>Магистральная ВОЛС</v>
      </c>
      <c r="V270" t="str">
        <f t="shared" si="120"/>
        <v>Нет</v>
      </c>
      <c r="W270" t="str">
        <f t="shared" si="120"/>
        <v>Нет</v>
      </c>
      <c r="X270" t="str">
        <f t="shared" si="120"/>
        <v>Нет</v>
      </c>
      <c r="Y270" t="str">
        <f t="shared" si="120"/>
        <v>Нет</v>
      </c>
      <c r="Z270" t="str">
        <f>"Нет"</f>
        <v>Нет</v>
      </c>
      <c r="AA270" t="str">
        <f>""</f>
        <v/>
      </c>
      <c r="AB270" t="str">
        <f t="shared" si="118"/>
        <v>Нет</v>
      </c>
      <c r="AC270" t="str">
        <f>"М 5.6.1 - М 5.6.2"</f>
        <v>М 5.6.1 - М 5.6.2</v>
      </c>
      <c r="AD270" t="str">
        <f>"02.02.2012"</f>
        <v>02.02.2012</v>
      </c>
      <c r="AE270" t="str">
        <f>""</f>
        <v/>
      </c>
      <c r="AF270" t="str">
        <f>"[527666] М 5.6.7"</f>
        <v>[527666] М 5.6.7</v>
      </c>
      <c r="AG270" t="str">
        <f>"[527670] М 5.6.8"</f>
        <v>[527670] М 5.6.8</v>
      </c>
      <c r="AH270" t="str">
        <f>"М 5.6.7"</f>
        <v>М 5.6.7</v>
      </c>
      <c r="AI270" t="str">
        <f>"М 5.6.8"</f>
        <v>М 5.6.8</v>
      </c>
      <c r="AJ270" t="str">
        <f>""</f>
        <v/>
      </c>
      <c r="AK270" t="str">
        <f t="shared" si="121"/>
        <v>Нет</v>
      </c>
      <c r="AL270" t="str">
        <f>"51.650708 36.129659, 51.650527 36.129553, 51.650303 36.129407, 51.650222 36.129591, 51.650167 36.12979"</f>
        <v>51.650708 36.129659, 51.650527 36.129553, 51.650303 36.129407, 51.650222 36.129591, 51.650167 36.12979</v>
      </c>
      <c r="AM270" t="str">
        <f>"20000007993318"</f>
        <v>20000007993318</v>
      </c>
    </row>
    <row r="271" spans="1:39" x14ac:dyDescent="0.25">
      <c r="A271">
        <v>907</v>
      </c>
      <c r="B271" t="str">
        <f t="shared" si="116"/>
        <v>Курск</v>
      </c>
      <c r="C271">
        <v>894649</v>
      </c>
      <c r="D271" t="str">
        <f t="shared" si="117"/>
        <v>Оптический кабель</v>
      </c>
      <c r="E271" t="str">
        <f>"[46/2768] М 5.6.8 - М 5.6.2"</f>
        <v>[46/2768] М 5.6.8 - М 5.6.2</v>
      </c>
      <c r="F271" t="str">
        <f>"ДПТа-П-64А 6(6) 7кН (Кр,Жел,Зел,..,8-Фиол,9-Бел,..,Бир,Роз)"</f>
        <v>ДПТа-П-64А 6(6) 7кН (Кр,Жел,Зел,..,8-Фиол,9-Бел,..,Бир,Роз)</v>
      </c>
      <c r="G271" t="str">
        <f>""</f>
        <v/>
      </c>
      <c r="H271" t="str">
        <f>"МС 5.6"</f>
        <v>МС 5.6</v>
      </c>
      <c r="I271">
        <v>333</v>
      </c>
      <c r="J271">
        <v>457.28</v>
      </c>
      <c r="K271">
        <v>60</v>
      </c>
      <c r="L271">
        <v>457.81</v>
      </c>
      <c r="M271" t="str">
        <f>"Опоры"</f>
        <v>Опоры</v>
      </c>
      <c r="N271" t="str">
        <f>"09.08.20177"</f>
        <v>09.08.20177</v>
      </c>
      <c r="O271">
        <v>64</v>
      </c>
      <c r="P271">
        <v>64</v>
      </c>
      <c r="Q271" t="str">
        <f>""</f>
        <v/>
      </c>
      <c r="R271" t="str">
        <f>""</f>
        <v/>
      </c>
      <c r="S271" t="str">
        <f>""</f>
        <v/>
      </c>
      <c r="T271" t="str">
        <f>"46/2768"</f>
        <v>46/2768</v>
      </c>
      <c r="U271" t="str">
        <f>"Магистральная ВОЛС"</f>
        <v>Магистральная ВОЛС</v>
      </c>
      <c r="V271" t="str">
        <f t="shared" si="120"/>
        <v>Нет</v>
      </c>
      <c r="W271" t="str">
        <f t="shared" si="120"/>
        <v>Нет</v>
      </c>
      <c r="X271" t="str">
        <f t="shared" si="120"/>
        <v>Нет</v>
      </c>
      <c r="Y271" t="str">
        <f t="shared" si="120"/>
        <v>Нет</v>
      </c>
      <c r="Z271" t="str">
        <f>"Да"</f>
        <v>Да</v>
      </c>
      <c r="AA271" t="str">
        <f>""</f>
        <v/>
      </c>
      <c r="AB271" t="str">
        <f t="shared" si="118"/>
        <v>Нет</v>
      </c>
      <c r="AC271" t="str">
        <f>"М 5.6.1 - М 5.6.2"</f>
        <v>М 5.6.1 - М 5.6.2</v>
      </c>
      <c r="AD271" t="str">
        <f>"02.02.2012"</f>
        <v>02.02.2012</v>
      </c>
      <c r="AE271" t="str">
        <f>""</f>
        <v/>
      </c>
      <c r="AF271" t="str">
        <f>"[527670] М 5.6.8"</f>
        <v>[527670] М 5.6.8</v>
      </c>
      <c r="AG271" t="str">
        <f>"[414854] М 5.6.2"</f>
        <v>[414854] М 5.6.2</v>
      </c>
      <c r="AH271" t="str">
        <f>"М 5.6.8"</f>
        <v>М 5.6.8</v>
      </c>
      <c r="AI271" t="str">
        <f>"М 5.6.2"</f>
        <v>М 5.6.2</v>
      </c>
      <c r="AJ271" t="str">
        <f>""</f>
        <v/>
      </c>
      <c r="AK271" t="str">
        <f t="shared" si="121"/>
        <v>Нет</v>
      </c>
      <c r="AL271" t="str">
        <f>"51.650167 36.12979, 51.650297 36.13001, 51.650254 36.130471, 51.650197 36.130949, 51.65016 36.131378, 51.650111 36.131877, 51.650077 36.132317, 51.650031 36.13274, 51.649991 36.133159, 51.649947 36.133593, 51.64991 36.134038, 51.649954 36.134664"</f>
        <v>51.650167 36.12979, 51.650297 36.13001, 51.650254 36.130471, 51.650197 36.130949, 51.65016 36.131378, 51.650111 36.131877, 51.650077 36.132317, 51.650031 36.13274, 51.649991 36.133159, 51.649947 36.133593, 51.64991 36.134038, 51.649954 36.134664</v>
      </c>
      <c r="AM271" t="str">
        <f>"20000008031638"</f>
        <v>20000008031638</v>
      </c>
    </row>
    <row r="272" spans="1:39" x14ac:dyDescent="0.25">
      <c r="A272">
        <v>907</v>
      </c>
      <c r="B272" t="str">
        <f t="shared" si="116"/>
        <v>Курск</v>
      </c>
      <c r="C272">
        <v>895431</v>
      </c>
      <c r="D272" t="str">
        <f t="shared" si="117"/>
        <v>Оптический кабель</v>
      </c>
      <c r="E272" t="str">
        <f>"[46/2791] ТОК3.7 Курск, Карла Маркса, 62 /21 п. 1 - Т 7.2"</f>
        <v>[46/2791] ТОК3.7 Курск, Карла Маркса, 62 /21 п. 1 - Т 7.2</v>
      </c>
      <c r="F272" t="str">
        <f>"ДОЛ-У-6И(2х4)(4х12) 2,7кН"</f>
        <v>ДОЛ-У-6И(2х4)(4х12) 2,7кН</v>
      </c>
      <c r="G272" t="str">
        <f>""</f>
        <v/>
      </c>
      <c r="H272" t="str">
        <f>"ТС"</f>
        <v>ТС</v>
      </c>
      <c r="I272">
        <v>998</v>
      </c>
      <c r="J272">
        <v>1131</v>
      </c>
      <c r="K272">
        <v>20</v>
      </c>
      <c r="M272" t="str">
        <f>"Телефонная канализация"</f>
        <v>Телефонная канализация</v>
      </c>
      <c r="N272" t="str">
        <f>"30.10.20177"</f>
        <v>30.10.20177</v>
      </c>
      <c r="O272">
        <v>64</v>
      </c>
      <c r="P272">
        <v>64</v>
      </c>
      <c r="Q272" t="str">
        <f>"Курск, Карла Маркса, 62 /21"</f>
        <v>Курск, Карла Маркса, 62 /21</v>
      </c>
      <c r="R272" t="str">
        <f>""</f>
        <v/>
      </c>
      <c r="S272" t="str">
        <f>"01.04.2017"</f>
        <v>01.04.2017</v>
      </c>
      <c r="T272" t="str">
        <f>"46/2791"</f>
        <v>46/2791</v>
      </c>
      <c r="U272" t="str">
        <f>"Транспортная ВОЛС"</f>
        <v>Транспортная ВОЛС</v>
      </c>
      <c r="V272" t="str">
        <f t="shared" si="120"/>
        <v>Нет</v>
      </c>
      <c r="W272" t="str">
        <f t="shared" si="120"/>
        <v>Нет</v>
      </c>
      <c r="X272" t="str">
        <f t="shared" si="120"/>
        <v>Нет</v>
      </c>
      <c r="Y272" t="str">
        <f t="shared" si="120"/>
        <v>Нет</v>
      </c>
      <c r="Z272" t="str">
        <f>"Да"</f>
        <v>Да</v>
      </c>
      <c r="AA272" t="str">
        <f>"ООО Фирма ""Наше дело"""</f>
        <v>ООО Фирма "Наше дело"</v>
      </c>
      <c r="AB272" t="str">
        <f t="shared" si="118"/>
        <v>Нет</v>
      </c>
      <c r="AC272" t="str">
        <f>""</f>
        <v/>
      </c>
      <c r="AD272" t="str">
        <f>""</f>
        <v/>
      </c>
      <c r="AE272" t="str">
        <f>""</f>
        <v/>
      </c>
      <c r="AF272" t="str">
        <f>"[398724] ТОК3.7 Курск, Карла Маркса, 62 /21 п. 1"</f>
        <v>[398724] ТОК3.7 Курск, Карла Маркса, 62 /21 п. 1</v>
      </c>
      <c r="AG272" t="str">
        <f>"[397441] Т 7.2"</f>
        <v>[397441] Т 7.2</v>
      </c>
      <c r="AH272" t="str">
        <f>"Карла Маркса 62/21"</f>
        <v>Карла Маркса 62/21</v>
      </c>
      <c r="AI272" t="str">
        <f>"Карла Маркса 17"</f>
        <v>Карла Маркса 17</v>
      </c>
      <c r="AJ272" t="str">
        <f>""</f>
        <v/>
      </c>
      <c r="AK272" t="str">
        <f t="shared" si="121"/>
        <v>Нет</v>
      </c>
      <c r="AL272" t="s">
        <v>67</v>
      </c>
      <c r="AM272" t="str">
        <f>"20000008194247"</f>
        <v>20000008194247</v>
      </c>
    </row>
    <row r="273" spans="1:39" x14ac:dyDescent="0.25">
      <c r="A273">
        <v>907</v>
      </c>
      <c r="B273" t="str">
        <f t="shared" si="116"/>
        <v>Курск</v>
      </c>
      <c r="C273">
        <v>895588</v>
      </c>
      <c r="D273" t="str">
        <f t="shared" si="117"/>
        <v>Оптический кабель</v>
      </c>
      <c r="E273" t="str">
        <f>"[46/2792] Т 7.2 - T 7.5"</f>
        <v>[46/2792] Т 7.2 - T 7.5</v>
      </c>
      <c r="F273" t="str">
        <f>"ДОЛ-У-6И(2х4)(4х12) 2,7кН"</f>
        <v>ДОЛ-У-6И(2х4)(4х12) 2,7кН</v>
      </c>
      <c r="G273" t="str">
        <f>""</f>
        <v/>
      </c>
      <c r="H273" t="str">
        <f>"ТС"</f>
        <v>ТС</v>
      </c>
      <c r="I273">
        <v>152</v>
      </c>
      <c r="J273">
        <v>204</v>
      </c>
      <c r="K273">
        <v>0</v>
      </c>
      <c r="M273" t="str">
        <f>""</f>
        <v/>
      </c>
      <c r="N273" t="str">
        <f>"30.10.20177"</f>
        <v>30.10.20177</v>
      </c>
      <c r="O273">
        <v>64</v>
      </c>
      <c r="P273">
        <v>64</v>
      </c>
      <c r="Q273" t="str">
        <f>""</f>
        <v/>
      </c>
      <c r="R273" t="str">
        <f>""</f>
        <v/>
      </c>
      <c r="S273" t="str">
        <f>"20.09.2017"</f>
        <v>20.09.2017</v>
      </c>
      <c r="T273" t="str">
        <f>"46/2792"</f>
        <v>46/2792</v>
      </c>
      <c r="U273" t="str">
        <f>"Транспортная ВОЛС"</f>
        <v>Транспортная ВОЛС</v>
      </c>
      <c r="V273" t="str">
        <f t="shared" si="120"/>
        <v>Нет</v>
      </c>
      <c r="W273" t="str">
        <f t="shared" si="120"/>
        <v>Нет</v>
      </c>
      <c r="X273" t="str">
        <f t="shared" si="120"/>
        <v>Нет</v>
      </c>
      <c r="Y273" t="str">
        <f t="shared" si="120"/>
        <v>Нет</v>
      </c>
      <c r="Z273" t="str">
        <f>"Нет"</f>
        <v>Нет</v>
      </c>
      <c r="AA273" t="str">
        <f>""</f>
        <v/>
      </c>
      <c r="AB273" t="str">
        <f t="shared" si="118"/>
        <v>Нет</v>
      </c>
      <c r="AC273" t="str">
        <f>""</f>
        <v/>
      </c>
      <c r="AD273" t="str">
        <f>""</f>
        <v/>
      </c>
      <c r="AE273" t="str">
        <f>""</f>
        <v/>
      </c>
      <c r="AF273" t="str">
        <f>"[397441] Т 7.2"</f>
        <v>[397441] Т 7.2</v>
      </c>
      <c r="AG273" t="str">
        <f>"[510697] T 7.5"</f>
        <v>[510697] T 7.5</v>
      </c>
      <c r="AH273" t="str">
        <f>"Т7.2"</f>
        <v>Т7.2</v>
      </c>
      <c r="AI273" t="str">
        <f>"Т7.5"</f>
        <v>Т7.5</v>
      </c>
      <c r="AJ273" t="str">
        <f>""</f>
        <v/>
      </c>
      <c r="AK273" t="str">
        <f t="shared" si="121"/>
        <v>Нет</v>
      </c>
      <c r="AL273" t="str">
        <f>"51.750974 36.192643, 51.751016 36.192807, 51.750621 36.193263, 51.750547 36.193362, 51.750564 36.193539, 51.750275 36.19384, 51.750138 36.193893, 51.750056 36.193908"</f>
        <v>51.750974 36.192643, 51.751016 36.192807, 51.750621 36.193263, 51.750547 36.193362, 51.750564 36.193539, 51.750275 36.19384, 51.750138 36.193893, 51.750056 36.193908</v>
      </c>
      <c r="AM273" t="str">
        <f>"20000008194248"</f>
        <v>20000008194248</v>
      </c>
    </row>
    <row r="274" spans="1:39" x14ac:dyDescent="0.25">
      <c r="A274">
        <v>907</v>
      </c>
      <c r="B274" t="str">
        <f t="shared" si="116"/>
        <v>Курск</v>
      </c>
      <c r="C274">
        <v>896984</v>
      </c>
      <c r="D274" t="str">
        <f t="shared" si="117"/>
        <v>Оптический кабель</v>
      </c>
      <c r="E274" t="str">
        <f>"[46/3326] М.5.4.17 - М 5.4.15"</f>
        <v>[46/3326] М.5.4.17 - М 5.4.15</v>
      </c>
      <c r="F274" t="str">
        <f>"ДПТа-П-128А 8(9) 7кН (Вол:Кр,Жел,Зел,...,Лайм,Нат)"</f>
        <v>ДПТа-П-128А 8(9) 7кН (Вол:Кр,Жел,Зел,...,Лайм,Нат)</v>
      </c>
      <c r="G274" t="str">
        <f>""</f>
        <v/>
      </c>
      <c r="H274" t="str">
        <f>"МС 5.4"</f>
        <v>МС 5.4</v>
      </c>
      <c r="I274">
        <v>27</v>
      </c>
      <c r="J274">
        <v>52.41</v>
      </c>
      <c r="K274">
        <v>25</v>
      </c>
      <c r="L274">
        <v>52.59</v>
      </c>
      <c r="M274" t="str">
        <f>"Опоры"</f>
        <v>Опоры</v>
      </c>
      <c r="N274" t="str">
        <f>"28.11.20177"</f>
        <v>28.11.20177</v>
      </c>
      <c r="O274">
        <v>128</v>
      </c>
      <c r="P274">
        <v>128</v>
      </c>
      <c r="Q274" t="str">
        <f>""</f>
        <v/>
      </c>
      <c r="R274" t="str">
        <f>""</f>
        <v/>
      </c>
      <c r="S274" t="str">
        <f>""</f>
        <v/>
      </c>
      <c r="T274" t="str">
        <f>"46/3326"</f>
        <v>46/3326</v>
      </c>
      <c r="U274" t="str">
        <f>"Магистральная ВОЛС"</f>
        <v>Магистральная ВОЛС</v>
      </c>
      <c r="V274" t="str">
        <f t="shared" si="120"/>
        <v>Нет</v>
      </c>
      <c r="W274" t="str">
        <f t="shared" si="120"/>
        <v>Нет</v>
      </c>
      <c r="X274" t="str">
        <f t="shared" si="120"/>
        <v>Нет</v>
      </c>
      <c r="Y274" t="str">
        <f t="shared" si="120"/>
        <v>Нет</v>
      </c>
      <c r="Z274" t="str">
        <f>"Нет"</f>
        <v>Нет</v>
      </c>
      <c r="AA274" t="str">
        <f>""</f>
        <v/>
      </c>
      <c r="AB274" t="str">
        <f t="shared" si="118"/>
        <v>Нет</v>
      </c>
      <c r="AC274" t="str">
        <f>"М 5.4.14 - М 5.4.15"</f>
        <v>М 5.4.14 - М 5.4.15</v>
      </c>
      <c r="AD274" t="str">
        <f>"19.06.2011"</f>
        <v>19.06.2011</v>
      </c>
      <c r="AE274" t="str">
        <f>""</f>
        <v/>
      </c>
      <c r="AF274" t="str">
        <f>"[531666] М.5.4.17"</f>
        <v>[531666] М.5.4.17</v>
      </c>
      <c r="AG274" t="str">
        <f>"[391923] М 5.4.15"</f>
        <v>[391923] М 5.4.15</v>
      </c>
      <c r="AH274" t="str">
        <f>"М 5.4.14"</f>
        <v>М 5.4.14</v>
      </c>
      <c r="AI274" t="str">
        <f>"М 5.4.15"</f>
        <v>М 5.4.15</v>
      </c>
      <c r="AJ274" t="str">
        <f>""</f>
        <v/>
      </c>
      <c r="AK274" t="str">
        <f t="shared" si="121"/>
        <v>Нет</v>
      </c>
      <c r="AL274" t="str">
        <f>"51.667931 36.094565, 51.667924 36.094961"</f>
        <v>51.667931 36.094565, 51.667924 36.094961</v>
      </c>
      <c r="AM274" t="str">
        <f>"20000008048475"</f>
        <v>20000008048475</v>
      </c>
    </row>
    <row r="275" spans="1:39" x14ac:dyDescent="0.25">
      <c r="A275">
        <v>907</v>
      </c>
      <c r="B275" t="str">
        <f t="shared" si="116"/>
        <v>Курск</v>
      </c>
      <c r="C275">
        <v>898367</v>
      </c>
      <c r="D275" t="str">
        <f t="shared" si="117"/>
        <v>Оптический кабель</v>
      </c>
      <c r="E275" t="str">
        <f>"[46/2906] Т 2.6 - Т 2.2"</f>
        <v>[46/2906] Т 2.6 - Т 2.2</v>
      </c>
      <c r="F275" t="str">
        <f t="shared" ref="F275:F280" si="122">"ДПТа-П-64А 6(6) 7кН (Кр,Жел,Зел,..,8-Фиол,9-Бел,..,Бир,Роз)"</f>
        <v>ДПТа-П-64А 6(6) 7кН (Кр,Жел,Зел,..,8-Фиол,9-Бел,..,Бир,Роз)</v>
      </c>
      <c r="G275" t="str">
        <f>""</f>
        <v/>
      </c>
      <c r="H275" t="str">
        <f>"ТС"</f>
        <v>ТС</v>
      </c>
      <c r="I275">
        <v>356</v>
      </c>
      <c r="J275">
        <v>375.9</v>
      </c>
      <c r="K275">
        <v>18</v>
      </c>
      <c r="L275">
        <v>377.08</v>
      </c>
      <c r="M275" t="str">
        <f>"Опоры"</f>
        <v>Опоры</v>
      </c>
      <c r="N275" t="str">
        <f>"27.03.20188"</f>
        <v>27.03.20188</v>
      </c>
      <c r="O275">
        <v>64</v>
      </c>
      <c r="P275">
        <v>64</v>
      </c>
      <c r="Q275" t="str">
        <f>""</f>
        <v/>
      </c>
      <c r="R275" t="str">
        <f>""</f>
        <v/>
      </c>
      <c r="S275" t="str">
        <f>""</f>
        <v/>
      </c>
      <c r="T275" t="str">
        <f>"46/2906"</f>
        <v>46/2906</v>
      </c>
      <c r="U275" t="str">
        <f>"Транспортная ВОЛС"</f>
        <v>Транспортная ВОЛС</v>
      </c>
      <c r="V275" t="str">
        <f t="shared" si="120"/>
        <v>Нет</v>
      </c>
      <c r="W275" t="str">
        <f t="shared" si="120"/>
        <v>Нет</v>
      </c>
      <c r="X275" t="str">
        <f t="shared" si="120"/>
        <v>Нет</v>
      </c>
      <c r="Y275" t="str">
        <f t="shared" si="120"/>
        <v>Нет</v>
      </c>
      <c r="Z275" t="str">
        <f>"Нет"</f>
        <v>Нет</v>
      </c>
      <c r="AA275" t="str">
        <f>""</f>
        <v/>
      </c>
      <c r="AB275" t="str">
        <f t="shared" si="118"/>
        <v>Нет</v>
      </c>
      <c r="AC275" t="str">
        <f>"Т 2.1 - Т 2.2"</f>
        <v>Т 2.1 - Т 2.2</v>
      </c>
      <c r="AD275" t="str">
        <f>"12.12.2011"</f>
        <v>12.12.2011</v>
      </c>
      <c r="AE275" t="str">
        <f>""</f>
        <v/>
      </c>
      <c r="AF275" t="str">
        <f>"[534894] Т 2.6"</f>
        <v>[534894] Т 2.6</v>
      </c>
      <c r="AG275" t="str">
        <f>"[342267] Т 2.2"</f>
        <v>[342267] Т 2.2</v>
      </c>
      <c r="AH275" t="str">
        <f>"Т 2.1"</f>
        <v>Т 2.1</v>
      </c>
      <c r="AI275" t="str">
        <f>"Т 2.2"</f>
        <v>Т 2.2</v>
      </c>
      <c r="AJ275" t="str">
        <f>""</f>
        <v/>
      </c>
      <c r="AK275" t="str">
        <f t="shared" si="121"/>
        <v>Нет</v>
      </c>
      <c r="AL275" t="str">
        <f>"51.756226 36.144881, 51.756271 36.145335, 51.756294 36.145906, 51.756313 36.146487, 51.756339 36.147132, 51.756364 36.147726, 51.75639 36.148316, 51.756414 36.148871, 51.756462 36.149388, 51.75679 36.150003"</f>
        <v>51.756226 36.144881, 51.756271 36.145335, 51.756294 36.145906, 51.756313 36.146487, 51.756339 36.147132, 51.756364 36.147726, 51.75639 36.148316, 51.756414 36.148871, 51.756462 36.149388, 51.75679 36.150003</v>
      </c>
      <c r="AM275" t="str">
        <f>"20000008007472"</f>
        <v>20000008007472</v>
      </c>
    </row>
    <row r="276" spans="1:39" x14ac:dyDescent="0.25">
      <c r="A276">
        <v>907</v>
      </c>
      <c r="B276" t="str">
        <f t="shared" si="116"/>
        <v>Курск</v>
      </c>
      <c r="C276">
        <v>899214</v>
      </c>
      <c r="D276" t="str">
        <f t="shared" si="117"/>
        <v>Оптический кабель</v>
      </c>
      <c r="E276" t="str">
        <f>"[46/2915] Т 2.3.1 - Т 2.3"</f>
        <v>[46/2915] Т 2.3.1 - Т 2.3</v>
      </c>
      <c r="F276" t="str">
        <f t="shared" si="122"/>
        <v>ДПТа-П-64А 6(6) 7кН (Кр,Жел,Зел,..,8-Фиол,9-Бел,..,Бир,Роз)</v>
      </c>
      <c r="G276" t="str">
        <f>""</f>
        <v/>
      </c>
      <c r="H276" t="str">
        <f>"ТС"</f>
        <v>ТС</v>
      </c>
      <c r="I276">
        <v>309</v>
      </c>
      <c r="J276">
        <v>430.84</v>
      </c>
      <c r="K276">
        <v>100</v>
      </c>
      <c r="L276">
        <v>434.28</v>
      </c>
      <c r="M276" t="str">
        <f>"Опоры"</f>
        <v>Опоры</v>
      </c>
      <c r="N276" t="str">
        <f>"10.09.20188"</f>
        <v>10.09.20188</v>
      </c>
      <c r="O276">
        <v>64</v>
      </c>
      <c r="P276">
        <v>64</v>
      </c>
      <c r="Q276" t="str">
        <f>""</f>
        <v/>
      </c>
      <c r="R276" t="str">
        <f>""</f>
        <v/>
      </c>
      <c r="S276" t="str">
        <f>""</f>
        <v/>
      </c>
      <c r="T276" t="str">
        <f>"46/2915"</f>
        <v>46/2915</v>
      </c>
      <c r="U276" t="str">
        <f>"Транспортная ВОЛС"</f>
        <v>Транспортная ВОЛС</v>
      </c>
      <c r="V276" t="str">
        <f t="shared" si="120"/>
        <v>Нет</v>
      </c>
      <c r="W276" t="str">
        <f t="shared" si="120"/>
        <v>Нет</v>
      </c>
      <c r="X276" t="str">
        <f t="shared" si="120"/>
        <v>Нет</v>
      </c>
      <c r="Y276" t="str">
        <f t="shared" si="120"/>
        <v>Нет</v>
      </c>
      <c r="Z276" t="str">
        <f>"Нет"</f>
        <v>Нет</v>
      </c>
      <c r="AA276" t="str">
        <f>""</f>
        <v/>
      </c>
      <c r="AB276" t="str">
        <f t="shared" si="118"/>
        <v>Нет</v>
      </c>
      <c r="AC276" t="str">
        <f>"Т 2.2 - Т 2.3"</f>
        <v>Т 2.2 - Т 2.3</v>
      </c>
      <c r="AD276" t="str">
        <f>"12.12.2011"</f>
        <v>12.12.2011</v>
      </c>
      <c r="AE276" t="str">
        <f>""</f>
        <v/>
      </c>
      <c r="AF276" t="str">
        <f>"[537175] Т 2.3.1"</f>
        <v>[537175] Т 2.3.1</v>
      </c>
      <c r="AG276" t="str">
        <f>"[342263] Т 2.3"</f>
        <v>[342263] Т 2.3</v>
      </c>
      <c r="AH276" t="str">
        <f>"Т 2.2"</f>
        <v>Т 2.2</v>
      </c>
      <c r="AI276" t="str">
        <f>"Т 2.3"</f>
        <v>Т 2.3</v>
      </c>
      <c r="AJ276" t="str">
        <f>""</f>
        <v/>
      </c>
      <c r="AK276" t="str">
        <f t="shared" si="121"/>
        <v>Нет</v>
      </c>
      <c r="AL276" t="str">
        <f>"51.75908 36.158925, 51.759141 36.159073, 51.759326 36.159528, 51.759518 36.159974, 51.759708 36.160385, 51.759906 36.160784, 51.760117 36.161184, 51.760331 36.161597, 51.760546 36.162013, 51.760851 36.162261"</f>
        <v>51.75908 36.158925, 51.759141 36.159073, 51.759326 36.159528, 51.759518 36.159974, 51.759708 36.160385, 51.759906 36.160784, 51.760117 36.161184, 51.760331 36.161597, 51.760546 36.162013, 51.760851 36.162261</v>
      </c>
      <c r="AM276" t="str">
        <f>"20000008036626"</f>
        <v>20000008036626</v>
      </c>
    </row>
    <row r="277" spans="1:39" x14ac:dyDescent="0.25">
      <c r="A277">
        <v>907</v>
      </c>
      <c r="B277" t="str">
        <f t="shared" si="116"/>
        <v>Курск</v>
      </c>
      <c r="C277">
        <v>899309</v>
      </c>
      <c r="D277" t="str">
        <f t="shared" si="117"/>
        <v>Оптический кабель</v>
      </c>
      <c r="E277" t="str">
        <f>"[46/2916] Т 2.3.2 - Т 2.3.1"</f>
        <v>[46/2916] Т 2.3.2 - Т 2.3.1</v>
      </c>
      <c r="F277" t="str">
        <f t="shared" si="122"/>
        <v>ДПТа-П-64А 6(6) 7кН (Кр,Жел,Зел,..,8-Фиол,9-Бел,..,Бир,Роз)</v>
      </c>
      <c r="G277" t="str">
        <f>""</f>
        <v/>
      </c>
      <c r="H277" t="str">
        <f>"ТС"</f>
        <v>ТС</v>
      </c>
      <c r="I277">
        <v>11</v>
      </c>
      <c r="J277">
        <v>11.95</v>
      </c>
      <c r="K277">
        <v>0</v>
      </c>
      <c r="L277">
        <v>12.05</v>
      </c>
      <c r="M277" t="str">
        <f>"Опоры"</f>
        <v>Опоры</v>
      </c>
      <c r="N277" t="str">
        <f>"10.09.20188"</f>
        <v>10.09.20188</v>
      </c>
      <c r="O277">
        <v>64</v>
      </c>
      <c r="P277">
        <v>64</v>
      </c>
      <c r="Q277" t="str">
        <f>""</f>
        <v/>
      </c>
      <c r="R277" t="str">
        <f>""</f>
        <v/>
      </c>
      <c r="S277" t="str">
        <f>""</f>
        <v/>
      </c>
      <c r="T277" t="str">
        <f>"46/2916"</f>
        <v>46/2916</v>
      </c>
      <c r="U277" t="str">
        <f>"Транспортная ВОЛС"</f>
        <v>Транспортная ВОЛС</v>
      </c>
      <c r="V277" t="str">
        <f t="shared" si="120"/>
        <v>Нет</v>
      </c>
      <c r="W277" t="str">
        <f t="shared" si="120"/>
        <v>Нет</v>
      </c>
      <c r="X277" t="str">
        <f t="shared" si="120"/>
        <v>Нет</v>
      </c>
      <c r="Y277" t="str">
        <f t="shared" si="120"/>
        <v>Нет</v>
      </c>
      <c r="Z277" t="str">
        <f>"Нет"</f>
        <v>Нет</v>
      </c>
      <c r="AA277" t="str">
        <f>""</f>
        <v/>
      </c>
      <c r="AB277" t="str">
        <f t="shared" si="118"/>
        <v>Нет</v>
      </c>
      <c r="AC277" t="str">
        <f>"Т 2.2 - Т 2.3"</f>
        <v>Т 2.2 - Т 2.3</v>
      </c>
      <c r="AD277" t="str">
        <f>"12.12.2011"</f>
        <v>12.12.2011</v>
      </c>
      <c r="AE277" t="str">
        <f>""</f>
        <v/>
      </c>
      <c r="AF277" t="str">
        <f>"[537171] Т 2.3.2"</f>
        <v>[537171] Т 2.3.2</v>
      </c>
      <c r="AG277" t="str">
        <f>"[537175] Т 2.3.1"</f>
        <v>[537175] Т 2.3.1</v>
      </c>
      <c r="AH277" t="str">
        <f>"Т 2.2"</f>
        <v>Т 2.2</v>
      </c>
      <c r="AI277" t="str">
        <f>"Т 2.3"</f>
        <v>Т 2.3</v>
      </c>
      <c r="AJ277" t="str">
        <f>""</f>
        <v/>
      </c>
      <c r="AK277" t="str">
        <f t="shared" si="121"/>
        <v>Нет</v>
      </c>
      <c r="AL277" t="str">
        <f>"51.759034 36.158786, 51.759086 36.158925"</f>
        <v>51.759034 36.158786, 51.759086 36.158925</v>
      </c>
      <c r="AM277" t="str">
        <f>"20000008036625"</f>
        <v>20000008036625</v>
      </c>
    </row>
    <row r="278" spans="1:39" x14ac:dyDescent="0.25">
      <c r="A278">
        <v>907</v>
      </c>
      <c r="B278" t="str">
        <f t="shared" si="116"/>
        <v>Курск</v>
      </c>
      <c r="C278">
        <v>903732</v>
      </c>
      <c r="D278" t="str">
        <f t="shared" si="117"/>
        <v>Оптический кабель</v>
      </c>
      <c r="E278" t="str">
        <f>"[46/2939] Т2.4.1 - Т 2.4"</f>
        <v>[46/2939] Т2.4.1 - Т 2.4</v>
      </c>
      <c r="F278" t="str">
        <f t="shared" si="122"/>
        <v>ДПТа-П-64А 6(6) 7кН (Кр,Жел,Зел,..,8-Фиол,9-Бел,..,Бир,Роз)</v>
      </c>
      <c r="G278" t="str">
        <f>""</f>
        <v/>
      </c>
      <c r="H278" t="str">
        <f>"ТС"</f>
        <v>ТС</v>
      </c>
      <c r="I278">
        <v>1117</v>
      </c>
      <c r="J278">
        <v>1148</v>
      </c>
      <c r="K278">
        <v>30</v>
      </c>
      <c r="L278">
        <v>1149</v>
      </c>
      <c r="M278" t="str">
        <f>"Телефонная канализация"</f>
        <v>Телефонная канализация</v>
      </c>
      <c r="N278" t="str">
        <f>"22.11.20188"</f>
        <v>22.11.20188</v>
      </c>
      <c r="O278">
        <v>64</v>
      </c>
      <c r="P278">
        <v>64</v>
      </c>
      <c r="Q278" t="str">
        <f>""</f>
        <v/>
      </c>
      <c r="R278" t="str">
        <f>""</f>
        <v/>
      </c>
      <c r="S278" t="str">
        <f>""</f>
        <v/>
      </c>
      <c r="T278" t="str">
        <f>"46/2939"</f>
        <v>46/2939</v>
      </c>
      <c r="U278" t="str">
        <f>"Транспортная ВОЛС"</f>
        <v>Транспортная ВОЛС</v>
      </c>
      <c r="V278" t="str">
        <f t="shared" si="120"/>
        <v>Нет</v>
      </c>
      <c r="W278" t="str">
        <f t="shared" si="120"/>
        <v>Нет</v>
      </c>
      <c r="X278" t="str">
        <f t="shared" si="120"/>
        <v>Нет</v>
      </c>
      <c r="Y278" t="str">
        <f t="shared" si="120"/>
        <v>Нет</v>
      </c>
      <c r="Z278" t="str">
        <f>"Да"</f>
        <v>Да</v>
      </c>
      <c r="AA278" t="str">
        <f>"Курская Телефонная Компания"</f>
        <v>Курская Телефонная Компания</v>
      </c>
      <c r="AB278" t="str">
        <f t="shared" si="118"/>
        <v>Нет</v>
      </c>
      <c r="AC278" t="str">
        <f>"Т2.5 - Т2.4"</f>
        <v>Т2.5 - Т2.4</v>
      </c>
      <c r="AD278" t="str">
        <f>"12.12.2011"</f>
        <v>12.12.2011</v>
      </c>
      <c r="AE278" t="str">
        <f>""</f>
        <v/>
      </c>
      <c r="AF278" t="str">
        <f>"[536882] Т2.4.1"</f>
        <v>[536882] Т2.4.1</v>
      </c>
      <c r="AG278" t="str">
        <f>"[342259] Т 2.4"</f>
        <v>[342259] Т 2.4</v>
      </c>
      <c r="AH278" t="str">
        <f>"Т2.5"</f>
        <v>Т2.5</v>
      </c>
      <c r="AI278" t="str">
        <f>"Т2.4"</f>
        <v>Т2.4</v>
      </c>
      <c r="AJ278" t="str">
        <f>""</f>
        <v/>
      </c>
      <c r="AK278" t="str">
        <f t="shared" si="121"/>
        <v>Нет</v>
      </c>
      <c r="AL278" t="str">
        <f>"51.764713 36.177892, 51.76464 36.177927, 51.762347 36.179138, 51.762613 36.180574, 51.762985 36.18247, 51.763255 36.183945, 51.763454 36.18494, 51.762575 36.185517, 51.761844 36.185957, 51.760748 36.18659, 51.759891 36.187074"</f>
        <v>51.764713 36.177892, 51.76464 36.177927, 51.762347 36.179138, 51.762613 36.180574, 51.762985 36.18247, 51.763255 36.183945, 51.763454 36.18494, 51.762575 36.185517, 51.761844 36.185957, 51.760748 36.18659, 51.759891 36.187074</v>
      </c>
      <c r="AM278" t="str">
        <f>"20000008031656"</f>
        <v>20000008031656</v>
      </c>
    </row>
    <row r="279" spans="1:39" x14ac:dyDescent="0.25">
      <c r="A279">
        <v>907</v>
      </c>
      <c r="B279" t="str">
        <f t="shared" si="116"/>
        <v>Курск</v>
      </c>
      <c r="C279">
        <v>903849</v>
      </c>
      <c r="D279" t="str">
        <f t="shared" si="117"/>
        <v>Оптический кабель</v>
      </c>
      <c r="E279" t="str">
        <f>"[46/2940] М 3.1.27 - М 3.1.32"</f>
        <v>[46/2940] М 3.1.27 - М 3.1.32</v>
      </c>
      <c r="F279" t="str">
        <f t="shared" si="122"/>
        <v>ДПТа-П-64А 6(6) 7кН (Кр,Жел,Зел,..,8-Фиол,9-Бел,..,Бир,Роз)</v>
      </c>
      <c r="G279" t="str">
        <f>"Фактически, кабель имеет следующий порядок: (1-5 модули): Крас, Желт, Зелен, Синий, Коричн, Черн, Оранж, Фиолет, Бел, Серый, Бирюз, Роз. (6 модуль): Красн, Желт, Зелен, Синий."</f>
        <v>Фактически, кабель имеет следующий порядок: (1-5 модули): Крас, Желт, Зелен, Синий, Коричн, Черн, Оранж, Фиолет, Бел, Серый, Бирюз, Роз. (6 модуль): Красн, Желт, Зелен, Синий.</v>
      </c>
      <c r="H279" t="str">
        <f>"МС 3.1"</f>
        <v>МС 3.1</v>
      </c>
      <c r="I279">
        <v>37</v>
      </c>
      <c r="J279">
        <v>37.520000000000003</v>
      </c>
      <c r="K279">
        <v>0</v>
      </c>
      <c r="L279">
        <v>37.6</v>
      </c>
      <c r="M279" t="str">
        <f>"Опоры"</f>
        <v>Опоры</v>
      </c>
      <c r="N279" t="str">
        <f>"22.11.20188"</f>
        <v>22.11.20188</v>
      </c>
      <c r="O279">
        <v>64</v>
      </c>
      <c r="P279">
        <v>64</v>
      </c>
      <c r="Q279" t="str">
        <f>""</f>
        <v/>
      </c>
      <c r="R279" t="str">
        <f>""</f>
        <v/>
      </c>
      <c r="S279" t="str">
        <f>""</f>
        <v/>
      </c>
      <c r="T279" t="str">
        <f>"46/2940"</f>
        <v>46/2940</v>
      </c>
      <c r="U279" t="str">
        <f t="shared" ref="U279:U305" si="123">"Магистральная ВОЛС"</f>
        <v>Магистральная ВОЛС</v>
      </c>
      <c r="V279" t="str">
        <f t="shared" si="120"/>
        <v>Нет</v>
      </c>
      <c r="W279" t="str">
        <f t="shared" si="120"/>
        <v>Нет</v>
      </c>
      <c r="X279" t="str">
        <f t="shared" si="120"/>
        <v>Нет</v>
      </c>
      <c r="Y279" t="str">
        <f t="shared" si="120"/>
        <v>Нет</v>
      </c>
      <c r="Z279" t="str">
        <f>"Нет"</f>
        <v>Нет</v>
      </c>
      <c r="AA279" t="str">
        <f>""</f>
        <v/>
      </c>
      <c r="AB279" t="str">
        <f t="shared" si="118"/>
        <v>Нет</v>
      </c>
      <c r="AC279" t="str">
        <f>"МГС 3 - М 3.1.8"</f>
        <v>МГС 3 - М 3.1.8</v>
      </c>
      <c r="AD279" t="str">
        <f>"02.02.2012"</f>
        <v>02.02.2012</v>
      </c>
      <c r="AE279" t="str">
        <f>""</f>
        <v/>
      </c>
      <c r="AF279" t="str">
        <f>"[538982] М 3.1.27"</f>
        <v>[538982] М 3.1.27</v>
      </c>
      <c r="AG279" t="str">
        <f>"[800685] М 3.1.32"</f>
        <v>[800685] М 3.1.32</v>
      </c>
      <c r="AH279" t="str">
        <f>"МОК 3.1.28"</f>
        <v>МОК 3.1.28</v>
      </c>
      <c r="AI279" t="str">
        <f>"МОК 3.1.27"</f>
        <v>МОК 3.1.27</v>
      </c>
      <c r="AJ279" t="str">
        <f>""</f>
        <v/>
      </c>
      <c r="AK279" t="str">
        <f t="shared" si="121"/>
        <v>Нет</v>
      </c>
      <c r="AL279" t="str">
        <f>"51.765894 36.181344, 51.76601 36.180833"</f>
        <v>51.765894 36.181344, 51.76601 36.180833</v>
      </c>
      <c r="AM279" t="str">
        <f>"20000008036122"</f>
        <v>20000008036122</v>
      </c>
    </row>
    <row r="280" spans="1:39" x14ac:dyDescent="0.25">
      <c r="A280">
        <v>907</v>
      </c>
      <c r="B280" t="str">
        <f t="shared" si="116"/>
        <v>Курск</v>
      </c>
      <c r="C280">
        <v>903961</v>
      </c>
      <c r="D280" t="str">
        <f t="shared" si="117"/>
        <v>Оптический кабель</v>
      </c>
      <c r="E280" t="str">
        <f>"[46/2941] М 3.1.28 - М 3.1.27"</f>
        <v>[46/2941] М 3.1.28 - М 3.1.27</v>
      </c>
      <c r="F280" t="str">
        <f t="shared" si="122"/>
        <v>ДПТа-П-64А 6(6) 7кН (Кр,Жел,Зел,..,8-Фиол,9-Бел,..,Бир,Роз)</v>
      </c>
      <c r="G280" t="str">
        <f>"Фактически, кабель имеет следующий порядок: (1-8 модули): Красн, Синий, Зелен, Натур, Желт, Розов, Фиолет, Бирюз."</f>
        <v>Фактически, кабель имеет следующий порядок: (1-8 модули): Красн, Синий, Зелен, Натур, Желт, Розов, Фиолет, Бирюз.</v>
      </c>
      <c r="H280" t="str">
        <f>"МС 3.1"</f>
        <v>МС 3.1</v>
      </c>
      <c r="I280">
        <v>900</v>
      </c>
      <c r="J280">
        <v>1001</v>
      </c>
      <c r="K280">
        <v>100</v>
      </c>
      <c r="L280">
        <v>1002</v>
      </c>
      <c r="M280" t="str">
        <f>"Опоры"</f>
        <v>Опоры</v>
      </c>
      <c r="N280" t="str">
        <f>"22.11.20188"</f>
        <v>22.11.20188</v>
      </c>
      <c r="O280">
        <v>64</v>
      </c>
      <c r="P280">
        <v>64</v>
      </c>
      <c r="Q280" t="str">
        <f>""</f>
        <v/>
      </c>
      <c r="R280" t="str">
        <f>""</f>
        <v/>
      </c>
      <c r="S280" t="str">
        <f>""</f>
        <v/>
      </c>
      <c r="T280" t="str">
        <f>"46/2941"</f>
        <v>46/2941</v>
      </c>
      <c r="U280" t="str">
        <f t="shared" si="123"/>
        <v>Магистральная ВОЛС</v>
      </c>
      <c r="V280" t="str">
        <f t="shared" si="120"/>
        <v>Нет</v>
      </c>
      <c r="W280" t="str">
        <f t="shared" si="120"/>
        <v>Нет</v>
      </c>
      <c r="X280" t="str">
        <f t="shared" si="120"/>
        <v>Нет</v>
      </c>
      <c r="Y280" t="str">
        <f t="shared" si="120"/>
        <v>Нет</v>
      </c>
      <c r="Z280" t="str">
        <f>"Нет"</f>
        <v>Нет</v>
      </c>
      <c r="AA280" t="str">
        <f>""</f>
        <v/>
      </c>
      <c r="AB280" t="str">
        <f t="shared" si="118"/>
        <v>Нет</v>
      </c>
      <c r="AC280" t="str">
        <f>"МГС 3 - М 3.1.8"</f>
        <v>МГС 3 - М 3.1.8</v>
      </c>
      <c r="AD280" t="str">
        <f>"02.02.2012"</f>
        <v>02.02.2012</v>
      </c>
      <c r="AE280" t="str">
        <f>""</f>
        <v/>
      </c>
      <c r="AF280" t="str">
        <f>"[538986] М 3.1.28"</f>
        <v>[538986] М 3.1.28</v>
      </c>
      <c r="AG280" t="str">
        <f>"[538982] М 3.1.27"</f>
        <v>[538982] М 3.1.27</v>
      </c>
      <c r="AH280" t="str">
        <f>"МГС 3"</f>
        <v>МГС 3</v>
      </c>
      <c r="AI280" t="str">
        <f>"М 3.1.8"</f>
        <v>М 3.1.8</v>
      </c>
      <c r="AJ280" t="str">
        <f>""</f>
        <v/>
      </c>
      <c r="AK280" t="str">
        <f t="shared" si="121"/>
        <v>Нет</v>
      </c>
      <c r="AL280" t="s">
        <v>68</v>
      </c>
      <c r="AM280" t="str">
        <f>"20000008031642"</f>
        <v>20000008031642</v>
      </c>
    </row>
    <row r="281" spans="1:39" x14ac:dyDescent="0.25">
      <c r="A281">
        <v>907</v>
      </c>
      <c r="B281" t="str">
        <f t="shared" si="116"/>
        <v>Курск</v>
      </c>
      <c r="C281">
        <v>904892</v>
      </c>
      <c r="D281" t="str">
        <f t="shared" si="117"/>
        <v>Оптический кабель</v>
      </c>
      <c r="E281" t="str">
        <f>"[46/2961] М 3.1.31 - М 3.1.9"</f>
        <v>[46/2961] М 3.1.31 - М 3.1.9</v>
      </c>
      <c r="F281" t="str">
        <f>"ДПТс-П-16А 2(6) 7кН (Мод:Кр,Нат)(Вол:Кр,Жел,Зел,..,Ор,Фиол)"</f>
        <v>ДПТс-П-16А 2(6) 7кН (Мод:Кр,Нат)(Вол:Кр,Жел,Зел,..,Ор,Фиол)</v>
      </c>
      <c r="G281" t="str">
        <f>""</f>
        <v/>
      </c>
      <c r="H281" t="str">
        <f>"МС 3.1"</f>
        <v>МС 3.1</v>
      </c>
      <c r="I281">
        <v>893</v>
      </c>
      <c r="J281">
        <v>982.83</v>
      </c>
      <c r="K281">
        <v>80</v>
      </c>
      <c r="L281">
        <v>983.64</v>
      </c>
      <c r="M281" t="str">
        <f>"Опоры"</f>
        <v>Опоры</v>
      </c>
      <c r="N281" t="str">
        <f>"17.12.20188"</f>
        <v>17.12.20188</v>
      </c>
      <c r="O281">
        <v>16</v>
      </c>
      <c r="P281">
        <v>10</v>
      </c>
      <c r="Q281" t="str">
        <f>""</f>
        <v/>
      </c>
      <c r="R281" t="str">
        <f>""</f>
        <v/>
      </c>
      <c r="S281" t="str">
        <f>""</f>
        <v/>
      </c>
      <c r="T281" t="str">
        <f>"46/2961"</f>
        <v>46/2961</v>
      </c>
      <c r="U281" t="str">
        <f t="shared" si="123"/>
        <v>Магистральная ВОЛС</v>
      </c>
      <c r="V281" t="str">
        <f t="shared" si="120"/>
        <v>Нет</v>
      </c>
      <c r="W281" t="str">
        <f t="shared" si="120"/>
        <v>Нет</v>
      </c>
      <c r="X281" t="str">
        <f t="shared" si="120"/>
        <v>Нет</v>
      </c>
      <c r="Y281" t="str">
        <f t="shared" si="120"/>
        <v>Нет</v>
      </c>
      <c r="Z281" t="str">
        <f>"Нет"</f>
        <v>Нет</v>
      </c>
      <c r="AA281" t="str">
        <f>""</f>
        <v/>
      </c>
      <c r="AB281" t="str">
        <f t="shared" si="118"/>
        <v>Нет</v>
      </c>
      <c r="AC281" t="str">
        <f>"М 3.1.8 - М 3.1.9"</f>
        <v>М 3.1.8 - М 3.1.9</v>
      </c>
      <c r="AD281" t="str">
        <f>"22.03.2012"</f>
        <v>22.03.2012</v>
      </c>
      <c r="AE281" t="str">
        <f>""</f>
        <v/>
      </c>
      <c r="AF281" t="str">
        <f>"[540152] М 3.1.31"</f>
        <v>[540152] М 3.1.31</v>
      </c>
      <c r="AG281" t="str">
        <f>"[344776] М 3.1.9"</f>
        <v>[344776] М 3.1.9</v>
      </c>
      <c r="AH281" t="str">
        <f>"М 3.1.8"</f>
        <v>М 3.1.8</v>
      </c>
      <c r="AI281" t="str">
        <f>"М 3.1.9"</f>
        <v>М 3.1.9</v>
      </c>
      <c r="AJ281" t="str">
        <f>""</f>
        <v/>
      </c>
      <c r="AK281" t="str">
        <f t="shared" si="121"/>
        <v>Нет</v>
      </c>
      <c r="AL281" t="s">
        <v>69</v>
      </c>
      <c r="AM281" t="str">
        <f>"20000008014288"</f>
        <v>20000008014288</v>
      </c>
    </row>
    <row r="282" spans="1:39" x14ac:dyDescent="0.25">
      <c r="A282">
        <v>907</v>
      </c>
      <c r="B282" t="str">
        <f t="shared" si="116"/>
        <v>Курск</v>
      </c>
      <c r="C282">
        <v>905598</v>
      </c>
      <c r="D282" t="str">
        <f t="shared" si="117"/>
        <v>Оптический кабель</v>
      </c>
      <c r="E282" t="str">
        <f>"[46/2982] М 3.1.29 - М 3.1.30"</f>
        <v>[46/2982] М 3.1.29 - М 3.1.30</v>
      </c>
      <c r="F282" t="str">
        <f>"SNR-FOCA-UT1-08"</f>
        <v>SNR-FOCA-UT1-08</v>
      </c>
      <c r="G282" t="str">
        <f>"Микрооператор Аксинет. Кабель был заменён на ДПТ 08"</f>
        <v>Микрооператор Аксинет. Кабель был заменён на ДПТ 08</v>
      </c>
      <c r="H282" t="str">
        <f>"МС 3.1"</f>
        <v>МС 3.1</v>
      </c>
      <c r="I282">
        <v>28</v>
      </c>
      <c r="J282">
        <v>28</v>
      </c>
      <c r="K282">
        <v>0</v>
      </c>
      <c r="L282">
        <v>30</v>
      </c>
      <c r="M282" t="str">
        <f>"Переход с дома на опору"</f>
        <v>Переход с дома на опору</v>
      </c>
      <c r="N282" t="str">
        <f>"30.01.20199"</f>
        <v>30.01.20199</v>
      </c>
      <c r="O282">
        <v>6</v>
      </c>
      <c r="P282">
        <v>5</v>
      </c>
      <c r="Q282" t="str">
        <f>""</f>
        <v/>
      </c>
      <c r="R282" t="str">
        <f>""</f>
        <v/>
      </c>
      <c r="S282" t="str">
        <f>"30.01.2019"</f>
        <v>30.01.2019</v>
      </c>
      <c r="T282" t="str">
        <f>"46/2982"</f>
        <v>46/2982</v>
      </c>
      <c r="U282" t="str">
        <f t="shared" si="123"/>
        <v>Магистральная ВОЛС</v>
      </c>
      <c r="V282" t="str">
        <f t="shared" si="120"/>
        <v>Нет</v>
      </c>
      <c r="W282" t="str">
        <f t="shared" si="120"/>
        <v>Нет</v>
      </c>
      <c r="X282" t="str">
        <f t="shared" si="120"/>
        <v>Нет</v>
      </c>
      <c r="Y282" t="str">
        <f t="shared" si="120"/>
        <v>Нет</v>
      </c>
      <c r="Z282" t="str">
        <f t="shared" ref="Z282:Z290" si="124">"Да"</f>
        <v>Да</v>
      </c>
      <c r="AA282" t="str">
        <f>""</f>
        <v/>
      </c>
      <c r="AB282" t="str">
        <f t="shared" si="118"/>
        <v>Нет</v>
      </c>
      <c r="AC282" t="str">
        <f>""</f>
        <v/>
      </c>
      <c r="AD282" t="str">
        <f>"30.01.2019"</f>
        <v>30.01.2019</v>
      </c>
      <c r="AE282" t="str">
        <f>""</f>
        <v/>
      </c>
      <c r="AF282" t="str">
        <f>"[540119] М 3.1.29"</f>
        <v>[540119] М 3.1.29</v>
      </c>
      <c r="AG282" t="str">
        <f>"[546561] М 3.1.30"</f>
        <v>[546561] М 3.1.30</v>
      </c>
      <c r="AH282" t="str">
        <f>""</f>
        <v/>
      </c>
      <c r="AI282" t="str">
        <f>""</f>
        <v/>
      </c>
      <c r="AJ282" t="str">
        <f>""</f>
        <v/>
      </c>
      <c r="AK282" t="str">
        <f t="shared" si="121"/>
        <v>Нет</v>
      </c>
      <c r="AL282" t="str">
        <f>"51.768021 36.182548, 51.767991 36.182952"</f>
        <v>51.768021 36.182548, 51.767991 36.182952</v>
      </c>
      <c r="AM282" t="str">
        <f>""</f>
        <v/>
      </c>
    </row>
    <row r="283" spans="1:39" x14ac:dyDescent="0.25">
      <c r="A283">
        <v>907</v>
      </c>
      <c r="B283" t="str">
        <f t="shared" si="116"/>
        <v>Курск</v>
      </c>
      <c r="C283">
        <v>905601</v>
      </c>
      <c r="D283" t="str">
        <f t="shared" si="117"/>
        <v>Оптический кабель</v>
      </c>
      <c r="E283" t="str">
        <f>"[46/2983] М 3.1.30 - ОК12 ППК 3.1.9 Курск, Карла Маркса, 71 а п. 1"</f>
        <v>[46/2983] М 3.1.30 - ОК12 ППК 3.1.9 Курск, Карла Маркса, 71 а п. 1</v>
      </c>
      <c r="F283" t="str">
        <f>"SNR-FOCA-UT1-08"</f>
        <v>SNR-FOCA-UT1-08</v>
      </c>
      <c r="G283" t="str">
        <f>"Микрооператор Аксинет. Кабель был заменён на ДПТ 08"</f>
        <v>Микрооператор Аксинет. Кабель был заменён на ДПТ 08</v>
      </c>
      <c r="H283" t="str">
        <f>"МС 3.1"</f>
        <v>МС 3.1</v>
      </c>
      <c r="I283">
        <v>118</v>
      </c>
      <c r="J283">
        <v>118</v>
      </c>
      <c r="K283">
        <v>0</v>
      </c>
      <c r="L283">
        <v>125</v>
      </c>
      <c r="M283" t="str">
        <f>"Переход с дома на опору"</f>
        <v>Переход с дома на опору</v>
      </c>
      <c r="N283" t="str">
        <f>"30.01.20199"</f>
        <v>30.01.20199</v>
      </c>
      <c r="O283">
        <v>5</v>
      </c>
      <c r="P283">
        <v>5</v>
      </c>
      <c r="Q283" t="str">
        <f>""</f>
        <v/>
      </c>
      <c r="R283" t="str">
        <f>"Курск, Карла Маркса, 71 а"</f>
        <v>Курск, Карла Маркса, 71 а</v>
      </c>
      <c r="S283" t="str">
        <f>"30.01.2019"</f>
        <v>30.01.2019</v>
      </c>
      <c r="T283" t="str">
        <f>"46/2983"</f>
        <v>46/2983</v>
      </c>
      <c r="U283" t="str">
        <f t="shared" si="123"/>
        <v>Магистральная ВОЛС</v>
      </c>
      <c r="V283" t="str">
        <f t="shared" si="120"/>
        <v>Нет</v>
      </c>
      <c r="W283" t="str">
        <f t="shared" si="120"/>
        <v>Нет</v>
      </c>
      <c r="X283" t="str">
        <f t="shared" si="120"/>
        <v>Нет</v>
      </c>
      <c r="Y283" t="str">
        <f t="shared" si="120"/>
        <v>Нет</v>
      </c>
      <c r="Z283" t="str">
        <f t="shared" si="124"/>
        <v>Да</v>
      </c>
      <c r="AA283" t="str">
        <f>""</f>
        <v/>
      </c>
      <c r="AB283" t="str">
        <f t="shared" si="118"/>
        <v>Нет</v>
      </c>
      <c r="AC283" t="str">
        <f>""</f>
        <v/>
      </c>
      <c r="AD283" t="str">
        <f>"30.01.2019"</f>
        <v>30.01.2019</v>
      </c>
      <c r="AE283" t="str">
        <f>""</f>
        <v/>
      </c>
      <c r="AF283" t="str">
        <f>"[546561] М 3.1.30"</f>
        <v>[546561] М 3.1.30</v>
      </c>
      <c r="AG283" t="str">
        <f>"[541731] ОК12 ППК 3.1.9 Курск, Карла Маркса, 71 а п. 1"</f>
        <v>[541731] ОК12 ППК 3.1.9 Курск, Карла Маркса, 71 а п. 1</v>
      </c>
      <c r="AH283" t="str">
        <f>""</f>
        <v/>
      </c>
      <c r="AI283" t="str">
        <f>""</f>
        <v/>
      </c>
      <c r="AJ283" t="str">
        <f>""</f>
        <v/>
      </c>
      <c r="AK283" t="str">
        <f t="shared" si="121"/>
        <v>Нет</v>
      </c>
      <c r="AL283" t="str">
        <f>"51.768017 36.183009, 51.767997 36.183327, 51.767989 36.183353, 51.767737 36.183469, 51.767352 36.183686, 51.767199 36.183811"</f>
        <v>51.768017 36.183009, 51.767997 36.183327, 51.767989 36.183353, 51.767737 36.183469, 51.767352 36.183686, 51.767199 36.183811</v>
      </c>
      <c r="AM283" t="str">
        <f>""</f>
        <v/>
      </c>
    </row>
    <row r="284" spans="1:39" x14ac:dyDescent="0.25">
      <c r="A284">
        <v>907</v>
      </c>
      <c r="B284" t="str">
        <f t="shared" si="116"/>
        <v>Курск</v>
      </c>
      <c r="C284">
        <v>905694</v>
      </c>
      <c r="D284" t="str">
        <f t="shared" si="117"/>
        <v>Оптический кабель</v>
      </c>
      <c r="E284" t="str">
        <f>"[46/2987] М 3.2.2 - ГОК3.2.3.1 Курск, Карла Маркса, 65  п. 2"</f>
        <v>[46/2987] М 3.2.2 - ГОК3.2.3.1 Курск, Карла Маркса, 65  п. 2</v>
      </c>
      <c r="F284" t="str">
        <f>"SNR-FOCA-UT1-12"</f>
        <v>SNR-FOCA-UT1-12</v>
      </c>
      <c r="G284" t="str">
        <f>""</f>
        <v/>
      </c>
      <c r="H284" t="str">
        <f>"МС 3.2"</f>
        <v>МС 3.2</v>
      </c>
      <c r="I284">
        <v>23</v>
      </c>
      <c r="J284">
        <v>30</v>
      </c>
      <c r="K284">
        <v>0</v>
      </c>
      <c r="L284">
        <v>35</v>
      </c>
      <c r="M284" t="str">
        <f>""</f>
        <v/>
      </c>
      <c r="N284" t="str">
        <f>"05.02.20199"</f>
        <v>05.02.20199</v>
      </c>
      <c r="O284">
        <v>8</v>
      </c>
      <c r="P284">
        <v>6</v>
      </c>
      <c r="Q284" t="str">
        <f>""</f>
        <v/>
      </c>
      <c r="R284" t="str">
        <f>"Курск, Карла Маркса, 65"</f>
        <v>Курск, Карла Маркса, 65</v>
      </c>
      <c r="S284" t="str">
        <f>"05.02.2019"</f>
        <v>05.02.2019</v>
      </c>
      <c r="T284" t="str">
        <f>"46/2987"</f>
        <v>46/2987</v>
      </c>
      <c r="U284" t="str">
        <f t="shared" si="123"/>
        <v>Магистральная ВОЛС</v>
      </c>
      <c r="V284" t="str">
        <f t="shared" si="120"/>
        <v>Нет</v>
      </c>
      <c r="W284" t="str">
        <f t="shared" si="120"/>
        <v>Нет</v>
      </c>
      <c r="X284" t="str">
        <f t="shared" si="120"/>
        <v>Нет</v>
      </c>
      <c r="Y284" t="str">
        <f t="shared" si="120"/>
        <v>Нет</v>
      </c>
      <c r="Z284" t="str">
        <f t="shared" si="124"/>
        <v>Да</v>
      </c>
      <c r="AA284" t="str">
        <f>""</f>
        <v/>
      </c>
      <c r="AB284" t="str">
        <f t="shared" si="118"/>
        <v>Нет</v>
      </c>
      <c r="AC284" t="str">
        <f>""</f>
        <v/>
      </c>
      <c r="AD284" t="str">
        <f>"06.02.2019"</f>
        <v>06.02.2019</v>
      </c>
      <c r="AE284" t="str">
        <f>""</f>
        <v/>
      </c>
      <c r="AF284" t="str">
        <f>"[390139] М 3.2.2"</f>
        <v>[390139] М 3.2.2</v>
      </c>
      <c r="AG284" t="str">
        <f>"[545923] ГОК3.2.3.1 Курск, Карла Маркса, 65  п. 2"</f>
        <v>[545923] ГОК3.2.3.1 Курск, Карла Маркса, 65  п. 2</v>
      </c>
      <c r="AH284" t="str">
        <f>""</f>
        <v/>
      </c>
      <c r="AI284" t="str">
        <f>""</f>
        <v/>
      </c>
      <c r="AJ284" t="str">
        <f>""</f>
        <v/>
      </c>
      <c r="AK284" t="str">
        <f t="shared" si="121"/>
        <v>Нет</v>
      </c>
      <c r="AL284" t="str">
        <f>"51.760243 36.187055, 51.760441 36.186958"</f>
        <v>51.760243 36.187055, 51.760441 36.186958</v>
      </c>
      <c r="AM284" t="str">
        <f>""</f>
        <v/>
      </c>
    </row>
    <row r="285" spans="1:39" x14ac:dyDescent="0.25">
      <c r="A285">
        <v>907</v>
      </c>
      <c r="B285" t="str">
        <f t="shared" si="116"/>
        <v>Курск</v>
      </c>
      <c r="C285">
        <v>905984</v>
      </c>
      <c r="D285" t="str">
        <f t="shared" si="117"/>
        <v>Оптический кабель</v>
      </c>
      <c r="E285" t="str">
        <f>"[46/2995] М1.1.15 - ОК1.1 ППК 1.1.10 Курск, Почтовая, 12  п. 2"</f>
        <v>[46/2995] М1.1.15 - ОК1.1 ППК 1.1.10 Курск, Почтовая, 12  п. 2</v>
      </c>
      <c r="F285" t="str">
        <f>"ДПТс-П-16А 2(6) 7кН (Мод:Кр,Нат)(Вол:Кр,Жел,Зел,..,Ор,Фиол)"</f>
        <v>ДПТс-П-16А 2(6) 7кН (Мод:Кр,Нат)(Вол:Кр,Жел,Зел,..,Ор,Фиол)</v>
      </c>
      <c r="G285" t="str">
        <f>"Микрооператор"</f>
        <v>Микрооператор</v>
      </c>
      <c r="H285" t="str">
        <f>"ТС"</f>
        <v>ТС</v>
      </c>
      <c r="I285">
        <v>44</v>
      </c>
      <c r="J285">
        <v>405</v>
      </c>
      <c r="K285">
        <v>0</v>
      </c>
      <c r="L285">
        <v>408</v>
      </c>
      <c r="M285" t="str">
        <f>""</f>
        <v/>
      </c>
      <c r="N285" t="str">
        <f>"26.02.20199"</f>
        <v>26.02.20199</v>
      </c>
      <c r="O285">
        <v>9</v>
      </c>
      <c r="P285">
        <v>9</v>
      </c>
      <c r="Q285" t="str">
        <f>""</f>
        <v/>
      </c>
      <c r="R285" t="str">
        <f>"Курск, Почтовая, 12"</f>
        <v>Курск, Почтовая, 12</v>
      </c>
      <c r="S285" t="str">
        <f>"26.02.2019"</f>
        <v>26.02.2019</v>
      </c>
      <c r="T285" t="str">
        <f>"46/2995"</f>
        <v>46/2995</v>
      </c>
      <c r="U285" t="str">
        <f t="shared" si="123"/>
        <v>Магистральная ВОЛС</v>
      </c>
      <c r="V285" t="str">
        <f t="shared" si="120"/>
        <v>Нет</v>
      </c>
      <c r="W285" t="str">
        <f t="shared" si="120"/>
        <v>Нет</v>
      </c>
      <c r="X285" t="str">
        <f t="shared" si="120"/>
        <v>Нет</v>
      </c>
      <c r="Y285" t="str">
        <f t="shared" si="120"/>
        <v>Нет</v>
      </c>
      <c r="Z285" t="str">
        <f t="shared" si="124"/>
        <v>Да</v>
      </c>
      <c r="AA285" t="str">
        <f>""</f>
        <v/>
      </c>
      <c r="AB285" t="str">
        <f t="shared" si="118"/>
        <v>Нет</v>
      </c>
      <c r="AC285" t="str">
        <f>""</f>
        <v/>
      </c>
      <c r="AD285" t="str">
        <f>"26.02.2019"</f>
        <v>26.02.2019</v>
      </c>
      <c r="AE285" t="str">
        <f>""</f>
        <v/>
      </c>
      <c r="AF285" t="str">
        <f>"[641521] М1.1.15"</f>
        <v>[641521] М1.1.15</v>
      </c>
      <c r="AG285" t="str">
        <f>"[541119] ОК1.1 ППК 1.1.10 Курск, Почтовая, 12  п. 2"</f>
        <v>[541119] ОК1.1 ППК 1.1.10 Курск, Почтовая, 12  п. 2</v>
      </c>
      <c r="AH285" t="str">
        <f>""</f>
        <v/>
      </c>
      <c r="AI285" t="str">
        <f>""</f>
        <v/>
      </c>
      <c r="AJ285" t="str">
        <f>""</f>
        <v/>
      </c>
      <c r="AK285" t="str">
        <f t="shared" si="121"/>
        <v>Нет</v>
      </c>
      <c r="AL285" t="str">
        <f>"51.733252 36.188602, 51.733213 36.188547, 51.732962 36.188564, 51.732966 36.188571, 51.733041 36.188587"</f>
        <v>51.733252 36.188602, 51.733213 36.188547, 51.732962 36.188564, 51.732966 36.188571, 51.733041 36.188587</v>
      </c>
      <c r="AM285" t="str">
        <f>"20000008047940"</f>
        <v>20000008047940</v>
      </c>
    </row>
    <row r="286" spans="1:39" x14ac:dyDescent="0.25">
      <c r="A286">
        <v>907</v>
      </c>
      <c r="B286" t="str">
        <f t="shared" si="116"/>
        <v>Курск</v>
      </c>
      <c r="C286">
        <v>906793</v>
      </c>
      <c r="D286" t="str">
        <f t="shared" si="117"/>
        <v>Оптический кабель</v>
      </c>
      <c r="E286" t="str">
        <f>"[46/3016] М 2.5.11 - М 2.5.16"</f>
        <v>[46/3016] М 2.5.11 - М 2.5.16</v>
      </c>
      <c r="F286" t="str">
        <f>"ДПТа-П-64А 6(6) 7кН (Кр,Жел,Зел,..,8-Фиол,9-Бел,..,Бир,Роз)"</f>
        <v>ДПТа-П-64А 6(6) 7кН (Кр,Жел,Зел,..,8-Фиол,9-Бел,..,Бир,Роз)</v>
      </c>
      <c r="G286" t="str">
        <f>""</f>
        <v/>
      </c>
      <c r="H286" t="str">
        <f>"МС 2.5"</f>
        <v>МС 2.5</v>
      </c>
      <c r="I286">
        <v>348</v>
      </c>
      <c r="J286">
        <v>360</v>
      </c>
      <c r="K286">
        <v>0</v>
      </c>
      <c r="L286">
        <v>363</v>
      </c>
      <c r="M286" t="str">
        <f>""</f>
        <v/>
      </c>
      <c r="N286" t="str">
        <f>"13.05.20199"</f>
        <v>13.05.20199</v>
      </c>
      <c r="O286">
        <v>40</v>
      </c>
      <c r="P286">
        <v>30</v>
      </c>
      <c r="Q286" t="str">
        <f>""</f>
        <v/>
      </c>
      <c r="R286" t="str">
        <f>""</f>
        <v/>
      </c>
      <c r="S286" t="str">
        <f>"13.05.2019"</f>
        <v>13.05.2019</v>
      </c>
      <c r="T286" t="str">
        <f>"46/3016"</f>
        <v>46/3016</v>
      </c>
      <c r="U286" t="str">
        <f t="shared" si="123"/>
        <v>Магистральная ВОЛС</v>
      </c>
      <c r="V286" t="str">
        <f t="shared" si="120"/>
        <v>Нет</v>
      </c>
      <c r="W286" t="str">
        <f t="shared" si="120"/>
        <v>Нет</v>
      </c>
      <c r="X286" t="str">
        <f t="shared" si="120"/>
        <v>Нет</v>
      </c>
      <c r="Y286" t="str">
        <f t="shared" si="120"/>
        <v>Нет</v>
      </c>
      <c r="Z286" t="str">
        <f t="shared" si="124"/>
        <v>Да</v>
      </c>
      <c r="AA286" t="str">
        <f>""</f>
        <v/>
      </c>
      <c r="AB286" t="str">
        <f t="shared" si="118"/>
        <v>Нет</v>
      </c>
      <c r="AC286" t="str">
        <f>""</f>
        <v/>
      </c>
      <c r="AD286" t="str">
        <f>"13.05.2019"</f>
        <v>13.05.2019</v>
      </c>
      <c r="AE286" t="str">
        <f>""</f>
        <v/>
      </c>
      <c r="AF286" t="str">
        <f>"[440445] М 2.5.11"</f>
        <v>[440445] М 2.5.11</v>
      </c>
      <c r="AG286" t="str">
        <f>"[548274] М 2.5.16"</f>
        <v>[548274] М 2.5.16</v>
      </c>
      <c r="AH286" t="str">
        <f>""</f>
        <v/>
      </c>
      <c r="AI286" t="str">
        <f>""</f>
        <v/>
      </c>
      <c r="AJ286" t="str">
        <f>""</f>
        <v/>
      </c>
      <c r="AK286" t="str">
        <f t="shared" si="121"/>
        <v>Нет</v>
      </c>
      <c r="AL286" t="str">
        <f>"51.722958 36.137756, 51.722401 36.137745, 51.721916 36.137698, 51.721593 36.137686, 51.721609 36.138586, 51.721034 36.138571, 51.720627 36.138805, 51.720619 36.139125"</f>
        <v>51.722958 36.137756, 51.722401 36.137745, 51.721916 36.137698, 51.721593 36.137686, 51.721609 36.138586, 51.721034 36.138571, 51.720627 36.138805, 51.720619 36.139125</v>
      </c>
      <c r="AM286" t="str">
        <f>"20000008031652"</f>
        <v>20000008031652</v>
      </c>
    </row>
    <row r="287" spans="1:39" x14ac:dyDescent="0.25">
      <c r="A287">
        <v>907</v>
      </c>
      <c r="B287" t="str">
        <f t="shared" si="116"/>
        <v>Курск</v>
      </c>
      <c r="C287">
        <v>906798</v>
      </c>
      <c r="D287" t="str">
        <f t="shared" si="117"/>
        <v>Оптический кабель</v>
      </c>
      <c r="E287" t="str">
        <f>"[46/3017] М 2.5.16 - М 2.5.17"</f>
        <v>[46/3017] М 2.5.16 - М 2.5.17</v>
      </c>
      <c r="F287" t="str">
        <f>"ДПТа-П-64А 6(6) 7кН (Кр,Жел,Зел,..,8-Фиол,9-Бел,..,Бир,Роз)"</f>
        <v>ДПТа-П-64А 6(6) 7кН (Кр,Жел,Зел,..,8-Фиол,9-Бел,..,Бир,Роз)</v>
      </c>
      <c r="G287" t="str">
        <f>"Не скоммутирован"</f>
        <v>Не скоммутирован</v>
      </c>
      <c r="H287" t="str">
        <f>"МС 2.5"</f>
        <v>МС 2.5</v>
      </c>
      <c r="I287">
        <v>75</v>
      </c>
      <c r="J287">
        <v>85</v>
      </c>
      <c r="K287">
        <v>0</v>
      </c>
      <c r="L287">
        <v>87</v>
      </c>
      <c r="M287" t="str">
        <f>""</f>
        <v/>
      </c>
      <c r="N287" t="str">
        <f>"13.05.20199"</f>
        <v>13.05.20199</v>
      </c>
      <c r="O287">
        <v>36</v>
      </c>
      <c r="P287">
        <v>30</v>
      </c>
      <c r="Q287" t="str">
        <f>""</f>
        <v/>
      </c>
      <c r="R287" t="str">
        <f>""</f>
        <v/>
      </c>
      <c r="S287" t="str">
        <f>"13.05.2019"</f>
        <v>13.05.2019</v>
      </c>
      <c r="T287" t="str">
        <f>"46/3017"</f>
        <v>46/3017</v>
      </c>
      <c r="U287" t="str">
        <f t="shared" si="123"/>
        <v>Магистральная ВОЛС</v>
      </c>
      <c r="V287" t="str">
        <f t="shared" si="120"/>
        <v>Нет</v>
      </c>
      <c r="W287" t="str">
        <f t="shared" si="120"/>
        <v>Нет</v>
      </c>
      <c r="X287" t="str">
        <f t="shared" si="120"/>
        <v>Нет</v>
      </c>
      <c r="Y287" t="str">
        <f t="shared" si="120"/>
        <v>Нет</v>
      </c>
      <c r="Z287" t="str">
        <f t="shared" si="124"/>
        <v>Да</v>
      </c>
      <c r="AA287" t="str">
        <f>""</f>
        <v/>
      </c>
      <c r="AB287" t="str">
        <f t="shared" si="118"/>
        <v>Нет</v>
      </c>
      <c r="AC287" t="str">
        <f>""</f>
        <v/>
      </c>
      <c r="AD287" t="str">
        <f>"13.05.2019"</f>
        <v>13.05.2019</v>
      </c>
      <c r="AE287" t="str">
        <f>""</f>
        <v/>
      </c>
      <c r="AF287" t="str">
        <f>"[548274] М 2.5.16"</f>
        <v>[548274] М 2.5.16</v>
      </c>
      <c r="AG287" t="str">
        <f>"[548266] М 2.5.17"</f>
        <v>[548266] М 2.5.17</v>
      </c>
      <c r="AH287" t="str">
        <f>""</f>
        <v/>
      </c>
      <c r="AI287" t="str">
        <f>""</f>
        <v/>
      </c>
      <c r="AJ287" t="str">
        <f>""</f>
        <v/>
      </c>
      <c r="AK287" t="str">
        <f>"Да"</f>
        <v>Да</v>
      </c>
      <c r="AL287" t="str">
        <f>"51.720619 36.139141, 51.72061 36.139512, 51.720334 36.139653, 51.720177 36.139676"</f>
        <v>51.720619 36.139141, 51.72061 36.139512, 51.720334 36.139653, 51.720177 36.139676</v>
      </c>
      <c r="AM287" t="str">
        <f>""</f>
        <v/>
      </c>
    </row>
    <row r="288" spans="1:39" x14ac:dyDescent="0.25">
      <c r="A288">
        <v>907</v>
      </c>
      <c r="B288" t="str">
        <f t="shared" si="116"/>
        <v>Курск</v>
      </c>
      <c r="C288">
        <v>906803</v>
      </c>
      <c r="D288" t="str">
        <f t="shared" si="117"/>
        <v>Оптический кабель</v>
      </c>
      <c r="E288" t="str">
        <f>"[46/3018]  - "</f>
        <v xml:space="preserve">[46/3018]  - </v>
      </c>
      <c r="F288" t="str">
        <f>"ДПТа-П-64А 6(6) 7кН (Кр,Жел,Зел,..,8-Фиол,9-Бел,..,Бир,Роз)"</f>
        <v>ДПТа-П-64А 6(6) 7кН (Кр,Жел,Зел,..,8-Фиол,9-Бел,..,Бир,Роз)</v>
      </c>
      <c r="G288" t="str">
        <f>"Не скоммутирован"</f>
        <v>Не скоммутирован</v>
      </c>
      <c r="H288" t="str">
        <f>"МС 2.5"</f>
        <v>МС 2.5</v>
      </c>
      <c r="I288">
        <v>149</v>
      </c>
      <c r="J288">
        <v>140</v>
      </c>
      <c r="K288">
        <v>0</v>
      </c>
      <c r="L288">
        <v>145</v>
      </c>
      <c r="M288" t="str">
        <f>""</f>
        <v/>
      </c>
      <c r="N288" t="str">
        <f>"13.05.20199"</f>
        <v>13.05.20199</v>
      </c>
      <c r="O288">
        <v>0</v>
      </c>
      <c r="P288">
        <v>0</v>
      </c>
      <c r="Q288" t="str">
        <f>""</f>
        <v/>
      </c>
      <c r="R288" t="str">
        <f>""</f>
        <v/>
      </c>
      <c r="S288" t="str">
        <f>"13.05.2019"</f>
        <v>13.05.2019</v>
      </c>
      <c r="T288" t="str">
        <f>"46/3018"</f>
        <v>46/3018</v>
      </c>
      <c r="U288" t="str">
        <f t="shared" si="123"/>
        <v>Магистральная ВОЛС</v>
      </c>
      <c r="V288" t="str">
        <f t="shared" ref="V288:Y307" si="125">"Нет"</f>
        <v>Нет</v>
      </c>
      <c r="W288" t="str">
        <f t="shared" si="125"/>
        <v>Нет</v>
      </c>
      <c r="X288" t="str">
        <f t="shared" si="125"/>
        <v>Нет</v>
      </c>
      <c r="Y288" t="str">
        <f t="shared" si="125"/>
        <v>Нет</v>
      </c>
      <c r="Z288" t="str">
        <f t="shared" si="124"/>
        <v>Да</v>
      </c>
      <c r="AA288" t="str">
        <f>""</f>
        <v/>
      </c>
      <c r="AB288" t="str">
        <f t="shared" si="118"/>
        <v>Нет</v>
      </c>
      <c r="AC288" t="str">
        <f>""</f>
        <v/>
      </c>
      <c r="AD288" t="str">
        <f>"13.05.2019"</f>
        <v>13.05.2019</v>
      </c>
      <c r="AE288" t="str">
        <f>""</f>
        <v/>
      </c>
      <c r="AF288" t="str">
        <f>""</f>
        <v/>
      </c>
      <c r="AG288" t="str">
        <f>""</f>
        <v/>
      </c>
      <c r="AH288" t="str">
        <f>""</f>
        <v/>
      </c>
      <c r="AI288" t="str">
        <f>""</f>
        <v/>
      </c>
      <c r="AJ288" t="str">
        <f>""</f>
        <v/>
      </c>
      <c r="AK288" t="str">
        <f>"Да"</f>
        <v>Да</v>
      </c>
      <c r="AL288" t="str">
        <f>"51.720158 36.139679, 51.719803 36.139684, 51.719982 36.140837, 51.720233 36.14081"</f>
        <v>51.720158 36.139679, 51.719803 36.139684, 51.719982 36.140837, 51.720233 36.14081</v>
      </c>
      <c r="AM288" t="str">
        <f>""</f>
        <v/>
      </c>
    </row>
    <row r="289" spans="1:39" x14ac:dyDescent="0.25">
      <c r="A289">
        <v>907</v>
      </c>
      <c r="B289" t="str">
        <f t="shared" si="116"/>
        <v>Курск</v>
      </c>
      <c r="C289">
        <v>906852</v>
      </c>
      <c r="D289" t="str">
        <f t="shared" si="117"/>
        <v>Оптический кабель</v>
      </c>
      <c r="E289" t="str">
        <f>"[46/3020] М 2.5.16 - ГОК2.5.10.1 Курск, Вячеслава Клыкова Пр-Кт, 68  п. 1"</f>
        <v>[46/3020] М 2.5.16 - ГОК2.5.10.1 Курск, Вячеслава Клыкова Пр-Кт, 68  п. 1</v>
      </c>
      <c r="F289" t="str">
        <f>"ДПТс-П-16А 2(6) 7кН (Мод:Кр,Нат)(Вол:Кр,Жел,Зел,..,Ор,Фиол)"</f>
        <v>ДПТс-П-16А 2(6) 7кН (Мод:Кр,Нат)(Вол:Кр,Жел,Зел,..,Ор,Фиол)</v>
      </c>
      <c r="G289" t="str">
        <f>""</f>
        <v/>
      </c>
      <c r="H289" t="str">
        <f>"МС 2.5"</f>
        <v>МС 2.5</v>
      </c>
      <c r="I289">
        <v>61</v>
      </c>
      <c r="J289">
        <v>60</v>
      </c>
      <c r="K289">
        <v>0</v>
      </c>
      <c r="L289">
        <v>65</v>
      </c>
      <c r="M289" t="str">
        <f>""</f>
        <v/>
      </c>
      <c r="N289" t="str">
        <f>"13.05.20199"</f>
        <v>13.05.20199</v>
      </c>
      <c r="O289">
        <v>10</v>
      </c>
      <c r="P289">
        <v>10</v>
      </c>
      <c r="Q289" t="str">
        <f>""</f>
        <v/>
      </c>
      <c r="R289" t="str">
        <f>"Курск, Вячеслава Клыкова Пр-Кт, 68"</f>
        <v>Курск, Вячеслава Клыкова Пр-Кт, 68</v>
      </c>
      <c r="S289" t="str">
        <f>"13.05.2019"</f>
        <v>13.05.2019</v>
      </c>
      <c r="T289" t="str">
        <f>"46/3020"</f>
        <v>46/3020</v>
      </c>
      <c r="U289" t="str">
        <f t="shared" si="123"/>
        <v>Магистральная ВОЛС</v>
      </c>
      <c r="V289" t="str">
        <f t="shared" si="125"/>
        <v>Нет</v>
      </c>
      <c r="W289" t="str">
        <f t="shared" si="125"/>
        <v>Нет</v>
      </c>
      <c r="X289" t="str">
        <f t="shared" si="125"/>
        <v>Нет</v>
      </c>
      <c r="Y289" t="str">
        <f t="shared" si="125"/>
        <v>Нет</v>
      </c>
      <c r="Z289" t="str">
        <f t="shared" si="124"/>
        <v>Да</v>
      </c>
      <c r="AA289" t="str">
        <f>""</f>
        <v/>
      </c>
      <c r="AB289" t="str">
        <f t="shared" si="118"/>
        <v>Нет</v>
      </c>
      <c r="AC289" t="str">
        <f>""</f>
        <v/>
      </c>
      <c r="AD289" t="str">
        <f>"13.05.2019"</f>
        <v>13.05.2019</v>
      </c>
      <c r="AE289" t="str">
        <f>""</f>
        <v/>
      </c>
      <c r="AF289" t="str">
        <f>"[548274] М 2.5.16"</f>
        <v>[548274] М 2.5.16</v>
      </c>
      <c r="AG289" t="str">
        <f>"[550798] ГОК2.5.10.1 Курск, Вячеслава Клыкова Пр-Кт, 68  п. 1"</f>
        <v>[550798] ГОК2.5.10.1 Курск, Вячеслава Клыкова Пр-Кт, 68  п. 1</v>
      </c>
      <c r="AH289" t="str">
        <f>""</f>
        <v/>
      </c>
      <c r="AI289" t="str">
        <f>""</f>
        <v/>
      </c>
      <c r="AJ289" t="str">
        <f>""</f>
        <v/>
      </c>
      <c r="AK289" t="str">
        <f t="shared" ref="AK289:AK312" si="126">"Нет"</f>
        <v>Нет</v>
      </c>
      <c r="AL289" t="str">
        <f>"51.720642 36.139097, 51.720648 36.138824, 51.720673 36.138867, 51.72065 36.139417"</f>
        <v>51.720642 36.139097, 51.720648 36.138824, 51.720673 36.138867, 51.72065 36.139417</v>
      </c>
      <c r="AM289" t="str">
        <f>"20000008035575"</f>
        <v>20000008035575</v>
      </c>
    </row>
    <row r="290" spans="1:39" x14ac:dyDescent="0.25">
      <c r="A290">
        <v>907</v>
      </c>
      <c r="B290" t="str">
        <f t="shared" si="116"/>
        <v>Курск</v>
      </c>
      <c r="C290">
        <v>907142</v>
      </c>
      <c r="D290" t="str">
        <f t="shared" si="117"/>
        <v>Оптический кабель</v>
      </c>
      <c r="E290" t="str">
        <f>"[46/3034] М 3.1.31 - ОК12.1 ППК 3.1.7 Курск, Карла Маркса, 77 б п. 1"</f>
        <v>[46/3034] М 3.1.31 - ОК12.1 ППК 3.1.7 Курск, Карла Маркса, 77 б п. 1</v>
      </c>
      <c r="F290" t="str">
        <f>"ДОТс-П-08У(1х8) 7кН (Мод:Нат)(Вол:Син,Ор,Зел,Кор,...,Кр,Чер)"</f>
        <v>ДОТс-П-08У(1х8) 7кН (Мод:Нат)(Вол:Син,Ор,Зел,Кор,...,Кр,Чер)</v>
      </c>
      <c r="G290" t="str">
        <f>""</f>
        <v/>
      </c>
      <c r="H290" t="str">
        <f>"МС 3.1"</f>
        <v>МС 3.1</v>
      </c>
      <c r="I290">
        <v>144</v>
      </c>
      <c r="J290">
        <v>200</v>
      </c>
      <c r="K290">
        <v>0</v>
      </c>
      <c r="L290">
        <v>205</v>
      </c>
      <c r="M290" t="str">
        <f>""</f>
        <v/>
      </c>
      <c r="N290" t="str">
        <f>"19.05.20199"</f>
        <v>19.05.20199</v>
      </c>
      <c r="O290">
        <v>4</v>
      </c>
      <c r="P290">
        <v>3</v>
      </c>
      <c r="Q290" t="str">
        <f>""</f>
        <v/>
      </c>
      <c r="R290" t="str">
        <f>"Курск, Карла Маркса, 77 б"</f>
        <v>Курск, Карла Маркса, 77 б</v>
      </c>
      <c r="S290" t="str">
        <f>""</f>
        <v/>
      </c>
      <c r="T290" t="str">
        <f>"46/3034"</f>
        <v>46/3034</v>
      </c>
      <c r="U290" t="str">
        <f t="shared" si="123"/>
        <v>Магистральная ВОЛС</v>
      </c>
      <c r="V290" t="str">
        <f t="shared" si="125"/>
        <v>Нет</v>
      </c>
      <c r="W290" t="str">
        <f t="shared" si="125"/>
        <v>Нет</v>
      </c>
      <c r="X290" t="str">
        <f t="shared" si="125"/>
        <v>Нет</v>
      </c>
      <c r="Y290" t="str">
        <f t="shared" si="125"/>
        <v>Нет</v>
      </c>
      <c r="Z290" t="str">
        <f t="shared" si="124"/>
        <v>Да</v>
      </c>
      <c r="AA290" t="str">
        <f>""</f>
        <v/>
      </c>
      <c r="AB290" t="str">
        <f t="shared" si="118"/>
        <v>Нет</v>
      </c>
      <c r="AC290" t="str">
        <f>""</f>
        <v/>
      </c>
      <c r="AD290" t="str">
        <f>""</f>
        <v/>
      </c>
      <c r="AE290" t="str">
        <f>""</f>
        <v/>
      </c>
      <c r="AF290" t="str">
        <f>"[551121] М 3.1.31"</f>
        <v>[551121] М 3.1.31</v>
      </c>
      <c r="AG290" t="str">
        <f>"[550020] ОК12.1 ППК 3.1.7 Курск, Карла Маркса, 77 б п. 1"</f>
        <v>[550020] ОК12.1 ППК 3.1.7 Курск, Карла Маркса, 77 б п. 1</v>
      </c>
      <c r="AH290" t="str">
        <f>""</f>
        <v/>
      </c>
      <c r="AI290" t="str">
        <f>""</f>
        <v/>
      </c>
      <c r="AJ290" t="str">
        <f>""</f>
        <v/>
      </c>
      <c r="AK290" t="str">
        <f t="shared" si="126"/>
        <v>Нет</v>
      </c>
      <c r="AL290" t="str">
        <f>"51.793468 36.164191, 51.793266 36.164499, 51.793051 36.164777, 51.793517 36.164981, 51.793504 36.165394"</f>
        <v>51.793468 36.164191, 51.793266 36.164499, 51.793051 36.164777, 51.793517 36.164981, 51.793504 36.165394</v>
      </c>
      <c r="AM290" t="str">
        <f>"20000008045618"</f>
        <v>20000008045618</v>
      </c>
    </row>
    <row r="291" spans="1:39" x14ac:dyDescent="0.25">
      <c r="A291">
        <v>907</v>
      </c>
      <c r="B291" t="str">
        <f t="shared" si="116"/>
        <v>Курск</v>
      </c>
      <c r="C291">
        <v>907496</v>
      </c>
      <c r="D291" t="str">
        <f t="shared" si="117"/>
        <v>Оптический кабель</v>
      </c>
      <c r="E291" t="str">
        <f>"[46/3042] М 2.3.18 - М 2.3.10"</f>
        <v>[46/3042] М 2.3.18 - М 2.3.10</v>
      </c>
      <c r="F291" t="str">
        <f>"ДПТа-П-64А 6(6) 7кН (Кр,Жел,Зел,..,8-Фиол,9-Бел,..,Бир,Роз)"</f>
        <v>ДПТа-П-64А 6(6) 7кН (Кр,Жел,Зел,..,8-Фиол,9-Бел,..,Бир,Роз)</v>
      </c>
      <c r="G291" t="str">
        <f>""</f>
        <v/>
      </c>
      <c r="H291" t="str">
        <f>"МС 2.3"</f>
        <v>МС 2.3</v>
      </c>
      <c r="I291">
        <v>298</v>
      </c>
      <c r="J291">
        <v>289.89</v>
      </c>
      <c r="K291">
        <v>30</v>
      </c>
      <c r="L291">
        <v>293.11</v>
      </c>
      <c r="M291" t="str">
        <f>"Воздушная трасса по стойкам"</f>
        <v>Воздушная трасса по стойкам</v>
      </c>
      <c r="N291" t="str">
        <f>"20.06.20199"</f>
        <v>20.06.20199</v>
      </c>
      <c r="O291">
        <v>64</v>
      </c>
      <c r="P291">
        <v>64</v>
      </c>
      <c r="Q291" t="str">
        <f>""</f>
        <v/>
      </c>
      <c r="R291" t="str">
        <f>""</f>
        <v/>
      </c>
      <c r="S291" t="str">
        <f>""</f>
        <v/>
      </c>
      <c r="T291" t="str">
        <f>"46/3042"</f>
        <v>46/3042</v>
      </c>
      <c r="U291" t="str">
        <f t="shared" si="123"/>
        <v>Магистральная ВОЛС</v>
      </c>
      <c r="V291" t="str">
        <f t="shared" si="125"/>
        <v>Нет</v>
      </c>
      <c r="W291" t="str">
        <f t="shared" si="125"/>
        <v>Нет</v>
      </c>
      <c r="X291" t="str">
        <f t="shared" si="125"/>
        <v>Нет</v>
      </c>
      <c r="Y291" t="str">
        <f t="shared" si="125"/>
        <v>Нет</v>
      </c>
      <c r="Z291" t="str">
        <f>"Нет"</f>
        <v>Нет</v>
      </c>
      <c r="AA291" t="str">
        <f>""</f>
        <v/>
      </c>
      <c r="AB291" t="str">
        <f t="shared" si="118"/>
        <v>Нет</v>
      </c>
      <c r="AC291" t="str">
        <f>"М 2.3.9 - М 2.3.10"</f>
        <v>М 2.3.9 - М 2.3.10</v>
      </c>
      <c r="AD291" t="str">
        <f>"01.02.2012"</f>
        <v>01.02.2012</v>
      </c>
      <c r="AE291" t="str">
        <f>""</f>
        <v/>
      </c>
      <c r="AF291" t="str">
        <f>"[549969] М 2.3.18"</f>
        <v>[549969] М 2.3.18</v>
      </c>
      <c r="AG291" t="str">
        <f>"[321217] М 2.3.10"</f>
        <v>[321217] М 2.3.10</v>
      </c>
      <c r="AH291" t="str">
        <f>"М 2.3.9"</f>
        <v>М 2.3.9</v>
      </c>
      <c r="AI291" t="str">
        <f>"М 2.3.10"</f>
        <v>М 2.3.10</v>
      </c>
      <c r="AJ291" t="str">
        <f>""</f>
        <v/>
      </c>
      <c r="AK291" t="str">
        <f t="shared" si="126"/>
        <v>Нет</v>
      </c>
      <c r="AL291" t="s">
        <v>70</v>
      </c>
      <c r="AM291" t="str">
        <f>"20000008031649"</f>
        <v>20000008031649</v>
      </c>
    </row>
    <row r="292" spans="1:39" x14ac:dyDescent="0.25">
      <c r="A292">
        <v>907</v>
      </c>
      <c r="B292" t="str">
        <f t="shared" si="116"/>
        <v>Курск</v>
      </c>
      <c r="C292">
        <v>907589</v>
      </c>
      <c r="D292" t="str">
        <f t="shared" si="117"/>
        <v>Оптический кабель</v>
      </c>
      <c r="E292" t="str">
        <f>"[46/3043] М 2.3.17 - М 2.3.18"</f>
        <v>[46/3043] М 2.3.17 - М 2.3.18</v>
      </c>
      <c r="F292" t="str">
        <f>"ДПТа-П-64А 6(6) 7кН (Кр,Жел,Зел,..,8-Фиол,9-Бел,..,Бир,Роз)"</f>
        <v>ДПТа-П-64А 6(6) 7кН (Кр,Жел,Зел,..,8-Фиол,9-Бел,..,Бир,Роз)</v>
      </c>
      <c r="G292" t="str">
        <f>""</f>
        <v/>
      </c>
      <c r="H292" t="str">
        <f>"МС 2.3"</f>
        <v>МС 2.3</v>
      </c>
      <c r="I292">
        <v>124</v>
      </c>
      <c r="J292">
        <v>127.01</v>
      </c>
      <c r="K292">
        <v>0</v>
      </c>
      <c r="L292">
        <v>128.43</v>
      </c>
      <c r="M292" t="str">
        <f>"Воздушная трасса по стойкам"</f>
        <v>Воздушная трасса по стойкам</v>
      </c>
      <c r="N292" t="str">
        <f>"20.06.20199"</f>
        <v>20.06.20199</v>
      </c>
      <c r="O292">
        <v>64</v>
      </c>
      <c r="P292">
        <v>64</v>
      </c>
      <c r="Q292" t="str">
        <f>""</f>
        <v/>
      </c>
      <c r="R292" t="str">
        <f>""</f>
        <v/>
      </c>
      <c r="S292" t="str">
        <f>""</f>
        <v/>
      </c>
      <c r="T292" t="str">
        <f>"46/3043"</f>
        <v>46/3043</v>
      </c>
      <c r="U292" t="str">
        <f t="shared" si="123"/>
        <v>Магистральная ВОЛС</v>
      </c>
      <c r="V292" t="str">
        <f t="shared" si="125"/>
        <v>Нет</v>
      </c>
      <c r="W292" t="str">
        <f t="shared" si="125"/>
        <v>Нет</v>
      </c>
      <c r="X292" t="str">
        <f t="shared" si="125"/>
        <v>Нет</v>
      </c>
      <c r="Y292" t="str">
        <f t="shared" si="125"/>
        <v>Нет</v>
      </c>
      <c r="Z292" t="str">
        <f>"Нет"</f>
        <v>Нет</v>
      </c>
      <c r="AA292" t="str">
        <f>""</f>
        <v/>
      </c>
      <c r="AB292" t="str">
        <f t="shared" si="118"/>
        <v>Нет</v>
      </c>
      <c r="AC292" t="str">
        <f>"М 2.3.9 - М 2.3.10"</f>
        <v>М 2.3.9 - М 2.3.10</v>
      </c>
      <c r="AD292" t="str">
        <f>"01.02.2012"</f>
        <v>01.02.2012</v>
      </c>
      <c r="AE292" t="str">
        <f>""</f>
        <v/>
      </c>
      <c r="AF292" t="str">
        <f>"[549965] М 2.3.17"</f>
        <v>[549965] М 2.3.17</v>
      </c>
      <c r="AG292" t="str">
        <f>"[549969] М 2.3.18"</f>
        <v>[549969] М 2.3.18</v>
      </c>
      <c r="AH292" t="str">
        <f>"М 2.3.9"</f>
        <v>М 2.3.9</v>
      </c>
      <c r="AI292" t="str">
        <f>"М 2.3.10"</f>
        <v>М 2.3.10</v>
      </c>
      <c r="AJ292" t="str">
        <f>""</f>
        <v/>
      </c>
      <c r="AK292" t="str">
        <f t="shared" si="126"/>
        <v>Нет</v>
      </c>
      <c r="AL292" t="str">
        <f>"51.727154 36.147723, 51.727204 36.147548, 51.727162 36.147096, 51.726915 36.14694, 51.726659 36.146783, 51.726641 36.146812, 51.726625 36.146835, 51.726614 36.146853, 51.726602 36.146877, 51.726591 36.146898, 51.726582 36.146922, 51.726602 36.146974"</f>
        <v>51.727154 36.147723, 51.727204 36.147548, 51.727162 36.147096, 51.726915 36.14694, 51.726659 36.146783, 51.726641 36.146812, 51.726625 36.146835, 51.726614 36.146853, 51.726602 36.146877, 51.726591 36.146898, 51.726582 36.146922, 51.726602 36.146974</v>
      </c>
      <c r="AM292" t="str">
        <f>"20000007993370"</f>
        <v>20000007993370</v>
      </c>
    </row>
    <row r="293" spans="1:39" x14ac:dyDescent="0.25">
      <c r="A293">
        <v>907</v>
      </c>
      <c r="B293" t="str">
        <f t="shared" si="116"/>
        <v>Курск</v>
      </c>
      <c r="C293">
        <v>907704</v>
      </c>
      <c r="D293" t="str">
        <f t="shared" si="117"/>
        <v>Оптический кабель</v>
      </c>
      <c r="E293" t="str">
        <f>"[46/3044] М 2.3.19 - М 2.3.11"</f>
        <v>[46/3044] М 2.3.19 - М 2.3.11</v>
      </c>
      <c r="F293" t="str">
        <f>"ДПТа-П-64А 6(6) 7кН (Кр,Жел,Зел,..,8-Фиол,9-Бел,..,Бир,Роз)"</f>
        <v>ДПТа-П-64А 6(6) 7кН (Кр,Жел,Зел,..,8-Фиол,9-Бел,..,Бир,Роз)</v>
      </c>
      <c r="G293" t="str">
        <f>""</f>
        <v/>
      </c>
      <c r="H293" t="str">
        <f>"МС 2.3"</f>
        <v>МС 2.3</v>
      </c>
      <c r="I293">
        <v>31</v>
      </c>
      <c r="J293">
        <v>58.4</v>
      </c>
      <c r="K293">
        <v>40</v>
      </c>
      <c r="L293">
        <v>58.55</v>
      </c>
      <c r="M293" t="str">
        <f>"Опоры"</f>
        <v>Опоры</v>
      </c>
      <c r="N293" t="str">
        <f>"25.06.20199"</f>
        <v>25.06.20199</v>
      </c>
      <c r="O293">
        <v>64</v>
      </c>
      <c r="P293">
        <v>64</v>
      </c>
      <c r="Q293" t="str">
        <f>""</f>
        <v/>
      </c>
      <c r="R293" t="str">
        <f>""</f>
        <v/>
      </c>
      <c r="S293" t="str">
        <f>""</f>
        <v/>
      </c>
      <c r="T293" t="str">
        <f>"46/3044"</f>
        <v>46/3044</v>
      </c>
      <c r="U293" t="str">
        <f t="shared" si="123"/>
        <v>Магистральная ВОЛС</v>
      </c>
      <c r="V293" t="str">
        <f t="shared" si="125"/>
        <v>Нет</v>
      </c>
      <c r="W293" t="str">
        <f t="shared" si="125"/>
        <v>Нет</v>
      </c>
      <c r="X293" t="str">
        <f t="shared" si="125"/>
        <v>Нет</v>
      </c>
      <c r="Y293" t="str">
        <f t="shared" si="125"/>
        <v>Нет</v>
      </c>
      <c r="Z293" t="str">
        <f>"Нет"</f>
        <v>Нет</v>
      </c>
      <c r="AA293" t="str">
        <f>""</f>
        <v/>
      </c>
      <c r="AB293" t="str">
        <f t="shared" si="118"/>
        <v>Нет</v>
      </c>
      <c r="AC293" t="str">
        <f>"М 2.3.10 - М 2.3.11"</f>
        <v>М 2.3.10 - М 2.3.11</v>
      </c>
      <c r="AD293" t="str">
        <f>"01.02.2012"</f>
        <v>01.02.2012</v>
      </c>
      <c r="AE293" t="str">
        <f>""</f>
        <v/>
      </c>
      <c r="AF293" t="str">
        <f>"[552119] М 2.3.19"</f>
        <v>[552119] М 2.3.19</v>
      </c>
      <c r="AG293" t="str">
        <f>"[321213] М 2.3.11"</f>
        <v>[321213] М 2.3.11</v>
      </c>
      <c r="AH293" t="str">
        <f>"М 2.3.10"</f>
        <v>М 2.3.10</v>
      </c>
      <c r="AI293" t="str">
        <f>"М 2.3.11"</f>
        <v>М 2.3.11</v>
      </c>
      <c r="AJ293" t="str">
        <f>""</f>
        <v/>
      </c>
      <c r="AK293" t="str">
        <f t="shared" si="126"/>
        <v>Нет</v>
      </c>
      <c r="AL293" t="str">
        <f>"51.729751 36.147002, 51.729738 36.146938, 51.729696 36.146728"</f>
        <v>51.729751 36.147002, 51.729738 36.146938, 51.729696 36.146728</v>
      </c>
      <c r="AM293" t="str">
        <f>"20000008045158"</f>
        <v>20000008045158</v>
      </c>
    </row>
    <row r="294" spans="1:39" x14ac:dyDescent="0.25">
      <c r="A294">
        <v>907</v>
      </c>
      <c r="B294" t="str">
        <f t="shared" si="116"/>
        <v>Курск</v>
      </c>
      <c r="C294">
        <v>907783</v>
      </c>
      <c r="D294" t="str">
        <f t="shared" si="117"/>
        <v>Оптический кабель</v>
      </c>
      <c r="E294" t="str">
        <f>"[46/3045] М 2.3.20 - М 2.3.19"</f>
        <v>[46/3045] М 2.3.20 - М 2.3.19</v>
      </c>
      <c r="F294" t="str">
        <f>"ДПТа-П-64А 6(6) 7кН (Кр,Жел,Зел,..,8-Фиол,9-Бел,..,Бир,Роз)"</f>
        <v>ДПТа-П-64А 6(6) 7кН (Кр,Жел,Зел,..,8-Фиол,9-Бел,..,Бир,Роз)</v>
      </c>
      <c r="G294" t="str">
        <f>""</f>
        <v/>
      </c>
      <c r="H294" t="str">
        <f>"МС 2.3"</f>
        <v>МС 2.3</v>
      </c>
      <c r="I294">
        <v>10</v>
      </c>
      <c r="J294">
        <v>27.76</v>
      </c>
      <c r="K294">
        <v>0</v>
      </c>
      <c r="L294">
        <v>27.83</v>
      </c>
      <c r="M294" t="str">
        <f>"Опоры"</f>
        <v>Опоры</v>
      </c>
      <c r="N294" t="str">
        <f>"25.06.20199"</f>
        <v>25.06.20199</v>
      </c>
      <c r="O294">
        <v>64</v>
      </c>
      <c r="P294">
        <v>64</v>
      </c>
      <c r="Q294" t="str">
        <f>""</f>
        <v/>
      </c>
      <c r="R294" t="str">
        <f>""</f>
        <v/>
      </c>
      <c r="S294" t="str">
        <f>""</f>
        <v/>
      </c>
      <c r="T294" t="str">
        <f>"46/3045"</f>
        <v>46/3045</v>
      </c>
      <c r="U294" t="str">
        <f t="shared" si="123"/>
        <v>Магистральная ВОЛС</v>
      </c>
      <c r="V294" t="str">
        <f t="shared" si="125"/>
        <v>Нет</v>
      </c>
      <c r="W294" t="str">
        <f t="shared" si="125"/>
        <v>Нет</v>
      </c>
      <c r="X294" t="str">
        <f t="shared" si="125"/>
        <v>Нет</v>
      </c>
      <c r="Y294" t="str">
        <f t="shared" si="125"/>
        <v>Нет</v>
      </c>
      <c r="Z294" t="str">
        <f>"Нет"</f>
        <v>Нет</v>
      </c>
      <c r="AA294" t="str">
        <f>""</f>
        <v/>
      </c>
      <c r="AB294" t="str">
        <f t="shared" ref="AB294:AB325" si="127">"Нет"</f>
        <v>Нет</v>
      </c>
      <c r="AC294" t="str">
        <f>"М 2.3.10 - М 2.3.11"</f>
        <v>М 2.3.10 - М 2.3.11</v>
      </c>
      <c r="AD294" t="str">
        <f>"01.02.2012"</f>
        <v>01.02.2012</v>
      </c>
      <c r="AE294" t="str">
        <f>""</f>
        <v/>
      </c>
      <c r="AF294" t="str">
        <f>"[552123] М 2.3.20"</f>
        <v>[552123] М 2.3.20</v>
      </c>
      <c r="AG294" t="str">
        <f>"[552119] М 2.3.19"</f>
        <v>[552119] М 2.3.19</v>
      </c>
      <c r="AH294" t="str">
        <f>"М 2.3.10"</f>
        <v>М 2.3.10</v>
      </c>
      <c r="AI294" t="str">
        <f>"М 2.3.11"</f>
        <v>М 2.3.11</v>
      </c>
      <c r="AJ294" t="str">
        <f>""</f>
        <v/>
      </c>
      <c r="AK294" t="str">
        <f t="shared" si="126"/>
        <v>Нет</v>
      </c>
      <c r="AL294" t="str">
        <f>"51.729715 36.147219, 51.729751 36.147002"</f>
        <v>51.729715 36.147219, 51.729751 36.147002</v>
      </c>
      <c r="AM294" t="str">
        <f>"20000008045157"</f>
        <v>20000008045157</v>
      </c>
    </row>
    <row r="295" spans="1:39" x14ac:dyDescent="0.25">
      <c r="A295">
        <v>907</v>
      </c>
      <c r="B295" t="str">
        <f t="shared" si="116"/>
        <v>Курск</v>
      </c>
      <c r="C295">
        <v>908170</v>
      </c>
      <c r="D295" t="str">
        <f t="shared" si="117"/>
        <v>Оптический кабель</v>
      </c>
      <c r="E295" t="str">
        <f>"[46/3081] М 1.2.7 - М 1.2.4"</f>
        <v>[46/3081] М 1.2.7 - М 1.2.4</v>
      </c>
      <c r="F295" t="str">
        <f>"ДПТа-П-64А 6(6) 7кН (Кр,Жел,Зел,..,8-Фиол,9-Бел,..,Бир,Роз)"</f>
        <v>ДПТа-П-64А 6(6) 7кН (Кр,Жел,Зел,..,8-Фиол,9-Бел,..,Бир,Роз)</v>
      </c>
      <c r="G295" t="str">
        <f>""</f>
        <v/>
      </c>
      <c r="H295" t="str">
        <f>"МС 1.2"</f>
        <v>МС 1.2</v>
      </c>
      <c r="I295">
        <v>1620</v>
      </c>
      <c r="J295">
        <v>1677.84</v>
      </c>
      <c r="K295">
        <v>150</v>
      </c>
      <c r="L295">
        <v>1695.29</v>
      </c>
      <c r="M295" t="str">
        <f>"Опоры"</f>
        <v>Опоры</v>
      </c>
      <c r="N295" t="str">
        <f>"09.08.20199"</f>
        <v>09.08.20199</v>
      </c>
      <c r="O295">
        <v>64</v>
      </c>
      <c r="P295">
        <v>64</v>
      </c>
      <c r="Q295" t="str">
        <f>""</f>
        <v/>
      </c>
      <c r="R295" t="str">
        <f>""</f>
        <v/>
      </c>
      <c r="S295" t="str">
        <f>""</f>
        <v/>
      </c>
      <c r="T295" t="str">
        <f>"46/3081"</f>
        <v>46/3081</v>
      </c>
      <c r="U295" t="str">
        <f t="shared" si="123"/>
        <v>Магистральная ВОЛС</v>
      </c>
      <c r="V295" t="str">
        <f t="shared" si="125"/>
        <v>Нет</v>
      </c>
      <c r="W295" t="str">
        <f t="shared" si="125"/>
        <v>Нет</v>
      </c>
      <c r="X295" t="str">
        <f t="shared" si="125"/>
        <v>Нет</v>
      </c>
      <c r="Y295" t="str">
        <f t="shared" si="125"/>
        <v>Нет</v>
      </c>
      <c r="Z295" t="str">
        <f>"Нет"</f>
        <v>Нет</v>
      </c>
      <c r="AA295" t="str">
        <f>""</f>
        <v/>
      </c>
      <c r="AB295" t="str">
        <f t="shared" si="127"/>
        <v>Нет</v>
      </c>
      <c r="AC295" t="str">
        <f>"М 1.2.2 - М 1.2.4"</f>
        <v>М 1.2.2 - М 1.2.4</v>
      </c>
      <c r="AD295" t="str">
        <f>"02.09.2011"</f>
        <v>02.09.2011</v>
      </c>
      <c r="AE295" t="str">
        <f>"ООО ""Элпек"""</f>
        <v>ООО "Элпек"</v>
      </c>
      <c r="AF295" t="str">
        <f>"[552766] М 1.2.7"</f>
        <v>[552766] М 1.2.7</v>
      </c>
      <c r="AG295" t="str">
        <f>"[266743] М 1.2.4"</f>
        <v>[266743] М 1.2.4</v>
      </c>
      <c r="AH295" t="str">
        <f>"М 1.2.2"</f>
        <v>М 1.2.2</v>
      </c>
      <c r="AI295" t="str">
        <f>"М 1.2.4"</f>
        <v>М 1.2.4</v>
      </c>
      <c r="AJ295" t="str">
        <f>""</f>
        <v/>
      </c>
      <c r="AK295" t="str">
        <f t="shared" si="126"/>
        <v>Нет</v>
      </c>
      <c r="AL295" t="s">
        <v>71</v>
      </c>
      <c r="AM295" t="str">
        <f>"20000008036635"</f>
        <v>20000008036635</v>
      </c>
    </row>
    <row r="296" spans="1:39" x14ac:dyDescent="0.25">
      <c r="A296">
        <v>907</v>
      </c>
      <c r="B296" t="str">
        <f t="shared" si="116"/>
        <v>Курск</v>
      </c>
      <c r="C296">
        <v>908632</v>
      </c>
      <c r="D296" t="str">
        <f t="shared" si="117"/>
        <v>Оптический кабель</v>
      </c>
      <c r="E296" t="str">
        <f>"[46/3084] М 2.5.17 - ГОК2.5.11.1 Курск, Вячеслава Клыкова Пр-Кт, 80  п. 1"</f>
        <v>[46/3084] М 2.5.17 - ГОК2.5.11.1 Курск, Вячеслава Клыкова Пр-Кт, 80  п. 1</v>
      </c>
      <c r="F296" t="str">
        <f>"ДПТс-П-16А 2(6) 7кН (Мод:Кр,Нат)(Вол:Кр,Жел,Зел,..,Ор,Фиол)"</f>
        <v>ДПТс-П-16А 2(6) 7кН (Мод:Кр,Нат)(Вол:Кр,Жел,Зел,..,Ор,Фиол)</v>
      </c>
      <c r="G296" t="str">
        <f>""</f>
        <v/>
      </c>
      <c r="H296" t="str">
        <f>"МС 2.5"</f>
        <v>МС 2.5</v>
      </c>
      <c r="I296">
        <v>19</v>
      </c>
      <c r="J296">
        <v>30</v>
      </c>
      <c r="K296">
        <v>0</v>
      </c>
      <c r="L296">
        <v>35</v>
      </c>
      <c r="M296" t="str">
        <f>""</f>
        <v/>
      </c>
      <c r="N296" t="str">
        <f>"20.08.20199"</f>
        <v>20.08.20199</v>
      </c>
      <c r="O296">
        <v>10</v>
      </c>
      <c r="P296">
        <v>10</v>
      </c>
      <c r="Q296" t="str">
        <f>""</f>
        <v/>
      </c>
      <c r="R296" t="str">
        <f>"Курск, Вячеслава Клыкова Пр-Кт, 80"</f>
        <v>Курск, Вячеслава Клыкова Пр-Кт, 80</v>
      </c>
      <c r="S296" t="str">
        <f>"08.05.2019"</f>
        <v>08.05.2019</v>
      </c>
      <c r="T296" t="str">
        <f>"46/3084"</f>
        <v>46/3084</v>
      </c>
      <c r="U296" t="str">
        <f t="shared" si="123"/>
        <v>Магистральная ВОЛС</v>
      </c>
      <c r="V296" t="str">
        <f t="shared" si="125"/>
        <v>Нет</v>
      </c>
      <c r="W296" t="str">
        <f t="shared" si="125"/>
        <v>Нет</v>
      </c>
      <c r="X296" t="str">
        <f t="shared" si="125"/>
        <v>Нет</v>
      </c>
      <c r="Y296" t="str">
        <f t="shared" si="125"/>
        <v>Нет</v>
      </c>
      <c r="Z296" t="str">
        <f t="shared" ref="Z296:Z304" si="128">"Да"</f>
        <v>Да</v>
      </c>
      <c r="AA296" t="str">
        <f>""</f>
        <v/>
      </c>
      <c r="AB296" t="str">
        <f t="shared" si="127"/>
        <v>Нет</v>
      </c>
      <c r="AC296" t="str">
        <f>""</f>
        <v/>
      </c>
      <c r="AD296" t="str">
        <f>"17.04.2019"</f>
        <v>17.04.2019</v>
      </c>
      <c r="AE296" t="str">
        <f>""</f>
        <v/>
      </c>
      <c r="AF296" t="str">
        <f>"[548266] М 2.5.17"</f>
        <v>[548266] М 2.5.17</v>
      </c>
      <c r="AG296" t="str">
        <f>"[554008] ГОК2.5.11.1 Курск, Вячеслава Клыкова Пр-Кт, 80  п. 1"</f>
        <v>[554008] ГОК2.5.11.1 Курск, Вячеслава Клыкова Пр-Кт, 80  п. 1</v>
      </c>
      <c r="AH296" t="str">
        <f>""</f>
        <v/>
      </c>
      <c r="AI296" t="str">
        <f>""</f>
        <v/>
      </c>
      <c r="AJ296" t="str">
        <f>""</f>
        <v/>
      </c>
      <c r="AK296" t="str">
        <f t="shared" si="126"/>
        <v>Нет</v>
      </c>
      <c r="AL296" t="str">
        <f>"51.720157 36.139738, 51.720256 36.139733, 51.72031 36.13973, 51.720306 36.139702"</f>
        <v>51.720157 36.139738, 51.720256 36.139733, 51.72031 36.13973, 51.720306 36.139702</v>
      </c>
      <c r="AM296" t="str">
        <f>"20000008035574"</f>
        <v>20000008035574</v>
      </c>
    </row>
    <row r="297" spans="1:39" x14ac:dyDescent="0.25">
      <c r="A297">
        <v>907</v>
      </c>
      <c r="B297" t="str">
        <f t="shared" si="116"/>
        <v>Курск</v>
      </c>
      <c r="C297">
        <v>910292</v>
      </c>
      <c r="D297" t="str">
        <f t="shared" si="117"/>
        <v>Оптический кабель</v>
      </c>
      <c r="E297" t="str">
        <f>"[46/3136] М 2.6.8 - ГОК2.6.5.1 Курск, Запольная, 60 а п. 1"</f>
        <v>[46/3136] М 2.6.8 - ГОК2.6.5.1 Курск, Запольная, 60 а п. 1</v>
      </c>
      <c r="F297" t="str">
        <f>"ДПТс-П-16А 2(6) 7кН (Мод:Кр,Нат)(Вол:Кр,Жел,Зел,..,Ор,Фиол)"</f>
        <v>ДПТс-П-16А 2(6) 7кН (Мод:Кр,Нат)(Вол:Кр,Жел,Зел,..,Ор,Фиол)</v>
      </c>
      <c r="G297" t="str">
        <f>""</f>
        <v/>
      </c>
      <c r="H297" t="str">
        <f>"МС 2.6"</f>
        <v>МС 2.6</v>
      </c>
      <c r="I297">
        <v>134</v>
      </c>
      <c r="J297">
        <v>150</v>
      </c>
      <c r="K297">
        <v>0</v>
      </c>
      <c r="L297">
        <v>155</v>
      </c>
      <c r="M297" t="str">
        <f>""</f>
        <v/>
      </c>
      <c r="N297" t="str">
        <f>"23.10.20199"</f>
        <v>23.10.20199</v>
      </c>
      <c r="O297">
        <v>6</v>
      </c>
      <c r="P297">
        <v>3</v>
      </c>
      <c r="Q297" t="str">
        <f>""</f>
        <v/>
      </c>
      <c r="R297" t="str">
        <f>"Курск, Запольная, 60 а"</f>
        <v>Курск, Запольная, 60 а</v>
      </c>
      <c r="S297" t="str">
        <f>"28.08.2019"</f>
        <v>28.08.2019</v>
      </c>
      <c r="T297" t="str">
        <f>"46/3136"</f>
        <v>46/3136</v>
      </c>
      <c r="U297" t="str">
        <f t="shared" si="123"/>
        <v>Магистральная ВОЛС</v>
      </c>
      <c r="V297" t="str">
        <f t="shared" si="125"/>
        <v>Нет</v>
      </c>
      <c r="W297" t="str">
        <f t="shared" si="125"/>
        <v>Нет</v>
      </c>
      <c r="X297" t="str">
        <f t="shared" si="125"/>
        <v>Нет</v>
      </c>
      <c r="Y297" t="str">
        <f t="shared" si="125"/>
        <v>Нет</v>
      </c>
      <c r="Z297" t="str">
        <f t="shared" si="128"/>
        <v>Да</v>
      </c>
      <c r="AA297" t="str">
        <f>""</f>
        <v/>
      </c>
      <c r="AB297" t="str">
        <f t="shared" si="127"/>
        <v>Нет</v>
      </c>
      <c r="AC297" t="str">
        <f>""</f>
        <v/>
      </c>
      <c r="AD297" t="str">
        <f>""</f>
        <v/>
      </c>
      <c r="AE297" t="str">
        <f>""</f>
        <v/>
      </c>
      <c r="AF297" t="str">
        <f>"[443245] М 2.6.8"</f>
        <v>[443245] М 2.6.8</v>
      </c>
      <c r="AG297" t="str">
        <f>"[628594] ГОК2.6.5.1 Курск, Запольная, 60 а п. 1"</f>
        <v>[628594] ГОК2.6.5.1 Курск, Запольная, 60 а п. 1</v>
      </c>
      <c r="AH297" t="str">
        <f>""</f>
        <v/>
      </c>
      <c r="AI297" t="str">
        <f>""</f>
        <v/>
      </c>
      <c r="AJ297" t="str">
        <f>""</f>
        <v/>
      </c>
      <c r="AK297" t="str">
        <f t="shared" si="126"/>
        <v>Нет</v>
      </c>
      <c r="AL297" t="str">
        <f>"51.740081 36.14928, 51.740137 36.149553, 51.740178 36.1496, 51.740254 36.149597, 51.740376 36.149594, 51.740504 36.149588, 51.740567 36.149587, 51.740841 36.149353, 51.740907 36.149377, 51.740986 36.149326, 51.740958 36.149243, 51.740898 36.149274"</f>
        <v>51.740081 36.14928, 51.740137 36.149553, 51.740178 36.1496, 51.740254 36.149597, 51.740376 36.149594, 51.740504 36.149588, 51.740567 36.149587, 51.740841 36.149353, 51.740907 36.149377, 51.740986 36.149326, 51.740958 36.149243, 51.740898 36.149274</v>
      </c>
      <c r="AM297" t="str">
        <f>"20000008039157"</f>
        <v>20000008039157</v>
      </c>
    </row>
    <row r="298" spans="1:39" x14ac:dyDescent="0.25">
      <c r="A298">
        <v>907</v>
      </c>
      <c r="B298" t="str">
        <f t="shared" si="116"/>
        <v>Курск</v>
      </c>
      <c r="C298">
        <v>910641</v>
      </c>
      <c r="D298" t="str">
        <f t="shared" si="117"/>
        <v>Оптический кабель</v>
      </c>
      <c r="E298" t="str">
        <f>"[46/3147] МОК 2.7.1 Курск, Дружбы Пр-Кт, 4 б п.  - М 2.7.3"</f>
        <v>[46/3147] МОК 2.7.1 Курск, Дружбы Пр-Кт, 4 б п.  - М 2.7.3</v>
      </c>
      <c r="F298" t="str">
        <f t="shared" ref="F298:F304" si="129">"ДОТс-П-64А 6кН"</f>
        <v>ДОТс-П-64А 6кН</v>
      </c>
      <c r="G298" t="str">
        <f>""</f>
        <v/>
      </c>
      <c r="H298" t="str">
        <f t="shared" ref="H298:H305" si="130">"МС 2.7"</f>
        <v>МС 2.7</v>
      </c>
      <c r="I298">
        <v>786</v>
      </c>
      <c r="J298">
        <v>999.27</v>
      </c>
      <c r="K298">
        <v>0</v>
      </c>
      <c r="L298">
        <v>1007.27</v>
      </c>
      <c r="M298" t="str">
        <f t="shared" ref="M298:M304" si="131">"Воздушная трасса по стойкам"</f>
        <v>Воздушная трасса по стойкам</v>
      </c>
      <c r="N298" t="str">
        <f t="shared" ref="N298:N303" si="132">"08.11.20199"</f>
        <v>08.11.20199</v>
      </c>
      <c r="O298">
        <v>72</v>
      </c>
      <c r="P298">
        <v>64</v>
      </c>
      <c r="Q298" t="str">
        <f>"Курск, Дружбы Пр-Кт, 4 б"</f>
        <v>Курск, Дружбы Пр-Кт, 4 б</v>
      </c>
      <c r="R298" t="str">
        <f>""</f>
        <v/>
      </c>
      <c r="S298" t="str">
        <f t="shared" ref="S298:S304" si="133">"09.07.2019"</f>
        <v>09.07.2019</v>
      </c>
      <c r="T298" t="str">
        <f>"46/3147"</f>
        <v>46/3147</v>
      </c>
      <c r="U298" t="str">
        <f t="shared" si="123"/>
        <v>Магистральная ВОЛС</v>
      </c>
      <c r="V298" t="str">
        <f t="shared" si="125"/>
        <v>Нет</v>
      </c>
      <c r="W298" t="str">
        <f t="shared" si="125"/>
        <v>Нет</v>
      </c>
      <c r="X298" t="str">
        <f t="shared" si="125"/>
        <v>Нет</v>
      </c>
      <c r="Y298" t="str">
        <f t="shared" si="125"/>
        <v>Нет</v>
      </c>
      <c r="Z298" t="str">
        <f t="shared" si="128"/>
        <v>Да</v>
      </c>
      <c r="AA298" t="str">
        <f>""</f>
        <v/>
      </c>
      <c r="AB298" t="str">
        <f t="shared" si="127"/>
        <v>Нет</v>
      </c>
      <c r="AC298" t="str">
        <f>""</f>
        <v/>
      </c>
      <c r="AD298" t="str">
        <f>""</f>
        <v/>
      </c>
      <c r="AE298" t="str">
        <f>""</f>
        <v/>
      </c>
      <c r="AF298" t="str">
        <f>"[631167] МОК 2.7.1 Курск, Дружбы Пр-Кт, 4 б п."</f>
        <v>[631167] МОК 2.7.1 Курск, Дружбы Пр-Кт, 4 б п.</v>
      </c>
      <c r="AG298" t="str">
        <f>"[629580] М 2.7.3"</f>
        <v>[629580] М 2.7.3</v>
      </c>
      <c r="AH298" t="str">
        <f>""</f>
        <v/>
      </c>
      <c r="AI298" t="str">
        <f>""</f>
        <v/>
      </c>
      <c r="AJ298" t="str">
        <f>""</f>
        <v/>
      </c>
      <c r="AK298" t="str">
        <f t="shared" si="126"/>
        <v>Нет</v>
      </c>
      <c r="AL298" t="s">
        <v>72</v>
      </c>
      <c r="AM298" t="str">
        <f>"20000008199345"</f>
        <v>20000008199345</v>
      </c>
    </row>
    <row r="299" spans="1:39" x14ac:dyDescent="0.25">
      <c r="A299">
        <v>907</v>
      </c>
      <c r="B299" t="str">
        <f t="shared" si="116"/>
        <v>Курск</v>
      </c>
      <c r="C299">
        <v>910855</v>
      </c>
      <c r="D299" t="str">
        <f t="shared" si="117"/>
        <v>Оптический кабель</v>
      </c>
      <c r="E299" t="str">
        <f>"[46/3148] М 2.7.3 - М 2.7.11"</f>
        <v>[46/3148] М 2.7.3 - М 2.7.11</v>
      </c>
      <c r="F299" t="str">
        <f t="shared" si="129"/>
        <v>ДОТс-П-64А 6кН</v>
      </c>
      <c r="G299" t="str">
        <f>""</f>
        <v/>
      </c>
      <c r="H299" t="str">
        <f t="shared" si="130"/>
        <v>МС 2.7</v>
      </c>
      <c r="I299">
        <v>371</v>
      </c>
      <c r="J299">
        <v>1024.74</v>
      </c>
      <c r="K299">
        <v>15</v>
      </c>
      <c r="L299">
        <v>481.75</v>
      </c>
      <c r="M299" t="str">
        <f t="shared" si="131"/>
        <v>Воздушная трасса по стойкам</v>
      </c>
      <c r="N299" t="str">
        <f t="shared" si="132"/>
        <v>08.11.20199</v>
      </c>
      <c r="O299">
        <v>72</v>
      </c>
      <c r="P299">
        <v>72</v>
      </c>
      <c r="Q299" t="str">
        <f>""</f>
        <v/>
      </c>
      <c r="R299" t="str">
        <f>""</f>
        <v/>
      </c>
      <c r="S299" t="str">
        <f t="shared" si="133"/>
        <v>09.07.2019</v>
      </c>
      <c r="T299" t="str">
        <f>"46/3148"</f>
        <v>46/3148</v>
      </c>
      <c r="U299" t="str">
        <f t="shared" si="123"/>
        <v>Магистральная ВОЛС</v>
      </c>
      <c r="V299" t="str">
        <f t="shared" si="125"/>
        <v>Нет</v>
      </c>
      <c r="W299" t="str">
        <f t="shared" si="125"/>
        <v>Нет</v>
      </c>
      <c r="X299" t="str">
        <f t="shared" si="125"/>
        <v>Нет</v>
      </c>
      <c r="Y299" t="str">
        <f t="shared" si="125"/>
        <v>Нет</v>
      </c>
      <c r="Z299" t="str">
        <f t="shared" si="128"/>
        <v>Да</v>
      </c>
      <c r="AA299" t="str">
        <f>""</f>
        <v/>
      </c>
      <c r="AB299" t="str">
        <f t="shared" si="127"/>
        <v>Нет</v>
      </c>
      <c r="AC299" t="str">
        <f>""</f>
        <v/>
      </c>
      <c r="AD299" t="str">
        <f>""</f>
        <v/>
      </c>
      <c r="AE299" t="str">
        <f>""</f>
        <v/>
      </c>
      <c r="AF299" t="str">
        <f>"[629580] М 2.7.3"</f>
        <v>[629580] М 2.7.3</v>
      </c>
      <c r="AG299" t="str">
        <f>"[855767] М 2.7.11"</f>
        <v>[855767] М 2.7.11</v>
      </c>
      <c r="AH299" t="str">
        <f>""</f>
        <v/>
      </c>
      <c r="AI299" t="str">
        <f>""</f>
        <v/>
      </c>
      <c r="AJ299" t="str">
        <f>""</f>
        <v/>
      </c>
      <c r="AK299" t="str">
        <f t="shared" si="126"/>
        <v>Нет</v>
      </c>
      <c r="AL299" t="s">
        <v>73</v>
      </c>
      <c r="AM299" t="str">
        <f>"20000008199346"</f>
        <v>20000008199346</v>
      </c>
    </row>
    <row r="300" spans="1:39" x14ac:dyDescent="0.25">
      <c r="A300">
        <v>907</v>
      </c>
      <c r="B300" t="str">
        <f t="shared" si="116"/>
        <v>Курск</v>
      </c>
      <c r="C300">
        <v>911176</v>
      </c>
      <c r="D300" t="str">
        <f t="shared" si="117"/>
        <v>Оптический кабель</v>
      </c>
      <c r="E300" t="str">
        <f>"[46/3149] М 2.7.4 - М 2.7.10"</f>
        <v>[46/3149] М 2.7.4 - М 2.7.10</v>
      </c>
      <c r="F300" t="str">
        <f t="shared" si="129"/>
        <v>ДОТс-П-64А 6кН</v>
      </c>
      <c r="G300" t="str">
        <f>""</f>
        <v/>
      </c>
      <c r="H300" t="str">
        <f t="shared" si="130"/>
        <v>МС 2.7</v>
      </c>
      <c r="I300">
        <v>143</v>
      </c>
      <c r="J300">
        <v>179.59</v>
      </c>
      <c r="K300">
        <v>0</v>
      </c>
      <c r="L300">
        <v>181.02</v>
      </c>
      <c r="M300" t="str">
        <f t="shared" si="131"/>
        <v>Воздушная трасса по стойкам</v>
      </c>
      <c r="N300" t="str">
        <f t="shared" si="132"/>
        <v>08.11.20199</v>
      </c>
      <c r="O300">
        <v>72</v>
      </c>
      <c r="P300">
        <v>72</v>
      </c>
      <c r="Q300" t="str">
        <f>""</f>
        <v/>
      </c>
      <c r="R300" t="str">
        <f>""</f>
        <v/>
      </c>
      <c r="S300" t="str">
        <f t="shared" si="133"/>
        <v>09.07.2019</v>
      </c>
      <c r="T300" t="str">
        <f>"46/3149"</f>
        <v>46/3149</v>
      </c>
      <c r="U300" t="str">
        <f t="shared" si="123"/>
        <v>Магистральная ВОЛС</v>
      </c>
      <c r="V300" t="str">
        <f t="shared" si="125"/>
        <v>Нет</v>
      </c>
      <c r="W300" t="str">
        <f t="shared" si="125"/>
        <v>Нет</v>
      </c>
      <c r="X300" t="str">
        <f t="shared" si="125"/>
        <v>Нет</v>
      </c>
      <c r="Y300" t="str">
        <f t="shared" si="125"/>
        <v>Нет</v>
      </c>
      <c r="Z300" t="str">
        <f t="shared" si="128"/>
        <v>Да</v>
      </c>
      <c r="AA300" t="str">
        <f>""</f>
        <v/>
      </c>
      <c r="AB300" t="str">
        <f t="shared" si="127"/>
        <v>Нет</v>
      </c>
      <c r="AC300" t="str">
        <f>""</f>
        <v/>
      </c>
      <c r="AD300" t="str">
        <f>""</f>
        <v/>
      </c>
      <c r="AE300" t="str">
        <f>""</f>
        <v/>
      </c>
      <c r="AF300" t="str">
        <f>"[629576] М 2.7.4"</f>
        <v>[629576] М 2.7.4</v>
      </c>
      <c r="AG300" t="str">
        <f>"[800414] М 2.7.10"</f>
        <v>[800414] М 2.7.10</v>
      </c>
      <c r="AH300" t="str">
        <f>""</f>
        <v/>
      </c>
      <c r="AI300" t="str">
        <f>""</f>
        <v/>
      </c>
      <c r="AJ300" t="str">
        <f>""</f>
        <v/>
      </c>
      <c r="AK300" t="str">
        <f t="shared" si="126"/>
        <v>Нет</v>
      </c>
      <c r="AL300" t="str">
        <f>"51.732515 36.139224, 51.732434 36.139023, 51.732191 36.138378, 51.732014 36.137493, 51.731959 36.137365"</f>
        <v>51.732515 36.139224, 51.732434 36.139023, 51.732191 36.138378, 51.732014 36.137493, 51.731959 36.137365</v>
      </c>
      <c r="AM300" t="str">
        <f>"20000008199344"</f>
        <v>20000008199344</v>
      </c>
    </row>
    <row r="301" spans="1:39" x14ac:dyDescent="0.25">
      <c r="A301">
        <v>907</v>
      </c>
      <c r="B301" t="str">
        <f t="shared" si="116"/>
        <v>Курск</v>
      </c>
      <c r="C301">
        <v>911355</v>
      </c>
      <c r="D301" t="str">
        <f t="shared" si="117"/>
        <v>Оптический кабель</v>
      </c>
      <c r="E301" t="str">
        <f>"[46/3150] М 2.7.5 - М 2.7.6"</f>
        <v>[46/3150] М 2.7.5 - М 2.7.6</v>
      </c>
      <c r="F301" t="str">
        <f t="shared" si="129"/>
        <v>ДОТс-П-64А 6кН</v>
      </c>
      <c r="G301" t="str">
        <f>""</f>
        <v/>
      </c>
      <c r="H301" t="str">
        <f t="shared" si="130"/>
        <v>МС 2.7</v>
      </c>
      <c r="I301">
        <v>654</v>
      </c>
      <c r="J301">
        <v>821.75</v>
      </c>
      <c r="K301">
        <v>0</v>
      </c>
      <c r="L301">
        <v>828.32</v>
      </c>
      <c r="M301" t="str">
        <f t="shared" si="131"/>
        <v>Воздушная трасса по стойкам</v>
      </c>
      <c r="N301" t="str">
        <f t="shared" si="132"/>
        <v>08.11.20199</v>
      </c>
      <c r="O301">
        <v>72</v>
      </c>
      <c r="P301">
        <v>64</v>
      </c>
      <c r="Q301" t="str">
        <f>""</f>
        <v/>
      </c>
      <c r="R301" t="str">
        <f>""</f>
        <v/>
      </c>
      <c r="S301" t="str">
        <f t="shared" si="133"/>
        <v>09.07.2019</v>
      </c>
      <c r="T301" t="str">
        <f>"46/3150"</f>
        <v>46/3150</v>
      </c>
      <c r="U301" t="str">
        <f t="shared" si="123"/>
        <v>Магистральная ВОЛС</v>
      </c>
      <c r="V301" t="str">
        <f t="shared" si="125"/>
        <v>Нет</v>
      </c>
      <c r="W301" t="str">
        <f t="shared" si="125"/>
        <v>Нет</v>
      </c>
      <c r="X301" t="str">
        <f t="shared" si="125"/>
        <v>Нет</v>
      </c>
      <c r="Y301" t="str">
        <f t="shared" si="125"/>
        <v>Нет</v>
      </c>
      <c r="Z301" t="str">
        <f t="shared" si="128"/>
        <v>Да</v>
      </c>
      <c r="AA301" t="str">
        <f>""</f>
        <v/>
      </c>
      <c r="AB301" t="str">
        <f t="shared" si="127"/>
        <v>Нет</v>
      </c>
      <c r="AC301" t="str">
        <f>""</f>
        <v/>
      </c>
      <c r="AD301" t="str">
        <f>""</f>
        <v/>
      </c>
      <c r="AE301" t="str">
        <f>""</f>
        <v/>
      </c>
      <c r="AF301" t="str">
        <f>"[629572] М 2.7.5"</f>
        <v>[629572] М 2.7.5</v>
      </c>
      <c r="AG301" t="str">
        <f>"[629568] М 2.7.6"</f>
        <v>[629568] М 2.7.6</v>
      </c>
      <c r="AH301" t="str">
        <f>""</f>
        <v/>
      </c>
      <c r="AI301" t="str">
        <f>""</f>
        <v/>
      </c>
      <c r="AJ301" t="str">
        <f>""</f>
        <v/>
      </c>
      <c r="AK301" t="str">
        <f t="shared" si="126"/>
        <v>Нет</v>
      </c>
      <c r="AL301" t="str">
        <f>"51.726843 36.136352, 51.726407 36.137008, 51.726386 36.136261, 51.725704 36.13625, 51.725502 36.135113, 51.724877 36.135113, 51.724555 36.135087, 51.724321 36.135098, 51.72413 36.133828, 51.72352 36.13387, 51.722786 36.133342"</f>
        <v>51.726843 36.136352, 51.726407 36.137008, 51.726386 36.136261, 51.725704 36.13625, 51.725502 36.135113, 51.724877 36.135113, 51.724555 36.135087, 51.724321 36.135098, 51.72413 36.133828, 51.72352 36.13387, 51.722786 36.133342</v>
      </c>
      <c r="AM301" t="str">
        <f>"20000008199341"</f>
        <v>20000008199341</v>
      </c>
    </row>
    <row r="302" spans="1:39" x14ac:dyDescent="0.25">
      <c r="A302">
        <v>907</v>
      </c>
      <c r="B302" t="str">
        <f t="shared" si="116"/>
        <v>Курск</v>
      </c>
      <c r="C302">
        <v>911494</v>
      </c>
      <c r="D302" t="str">
        <f t="shared" si="117"/>
        <v>Оптический кабель</v>
      </c>
      <c r="E302" t="str">
        <f>"[46/3151] М 2.7.6 - М 2.7.7"</f>
        <v>[46/3151] М 2.7.6 - М 2.7.7</v>
      </c>
      <c r="F302" t="str">
        <f t="shared" si="129"/>
        <v>ДОТс-П-64А 6кН</v>
      </c>
      <c r="G302" t="str">
        <f>""</f>
        <v/>
      </c>
      <c r="H302" t="str">
        <f t="shared" si="130"/>
        <v>МС 2.7</v>
      </c>
      <c r="I302">
        <v>207</v>
      </c>
      <c r="J302">
        <v>308.02</v>
      </c>
      <c r="K302">
        <v>30</v>
      </c>
      <c r="L302">
        <v>310.49</v>
      </c>
      <c r="M302" t="str">
        <f t="shared" si="131"/>
        <v>Воздушная трасса по стойкам</v>
      </c>
      <c r="N302" t="str">
        <f t="shared" si="132"/>
        <v>08.11.20199</v>
      </c>
      <c r="O302">
        <v>72</v>
      </c>
      <c r="P302">
        <v>64</v>
      </c>
      <c r="Q302" t="str">
        <f>""</f>
        <v/>
      </c>
      <c r="R302" t="str">
        <f>""</f>
        <v/>
      </c>
      <c r="S302" t="str">
        <f t="shared" si="133"/>
        <v>09.07.2019</v>
      </c>
      <c r="T302" t="str">
        <f>"46/3151"</f>
        <v>46/3151</v>
      </c>
      <c r="U302" t="str">
        <f t="shared" si="123"/>
        <v>Магистральная ВОЛС</v>
      </c>
      <c r="V302" t="str">
        <f t="shared" si="125"/>
        <v>Нет</v>
      </c>
      <c r="W302" t="str">
        <f t="shared" si="125"/>
        <v>Нет</v>
      </c>
      <c r="X302" t="str">
        <f t="shared" si="125"/>
        <v>Нет</v>
      </c>
      <c r="Y302" t="str">
        <f t="shared" si="125"/>
        <v>Нет</v>
      </c>
      <c r="Z302" t="str">
        <f t="shared" si="128"/>
        <v>Да</v>
      </c>
      <c r="AA302" t="str">
        <f>""</f>
        <v/>
      </c>
      <c r="AB302" t="str">
        <f t="shared" si="127"/>
        <v>Нет</v>
      </c>
      <c r="AC302" t="str">
        <f>""</f>
        <v/>
      </c>
      <c r="AD302" t="str">
        <f>""</f>
        <v/>
      </c>
      <c r="AE302" t="str">
        <f>""</f>
        <v/>
      </c>
      <c r="AF302" t="str">
        <f>"[629568] М 2.7.6"</f>
        <v>[629568] М 2.7.6</v>
      </c>
      <c r="AG302" t="str">
        <f>"[629564] М 2.7.7"</f>
        <v>[629564] М 2.7.7</v>
      </c>
      <c r="AH302" t="str">
        <f>""</f>
        <v/>
      </c>
      <c r="AI302" t="str">
        <f>""</f>
        <v/>
      </c>
      <c r="AJ302" t="str">
        <f>""</f>
        <v/>
      </c>
      <c r="AK302" t="str">
        <f t="shared" si="126"/>
        <v>Нет</v>
      </c>
      <c r="AL302" t="str">
        <f>"51.722786 36.133342, 51.721163 36.131872"</f>
        <v>51.722786 36.133342, 51.721163 36.131872</v>
      </c>
      <c r="AM302" t="str">
        <f>"20000008199347"</f>
        <v>20000008199347</v>
      </c>
    </row>
    <row r="303" spans="1:39" x14ac:dyDescent="0.25">
      <c r="A303">
        <v>907</v>
      </c>
      <c r="B303" t="str">
        <f t="shared" si="116"/>
        <v>Курск</v>
      </c>
      <c r="C303">
        <v>911613</v>
      </c>
      <c r="D303" t="str">
        <f t="shared" si="117"/>
        <v>Оптический кабель</v>
      </c>
      <c r="E303" t="str">
        <f>"[46/3152] М 2.7.7 - М 2.7.8"</f>
        <v>[46/3152] М 2.7.7 - М 2.7.8</v>
      </c>
      <c r="F303" t="str">
        <f t="shared" si="129"/>
        <v>ДОТс-П-64А 6кН</v>
      </c>
      <c r="G303" t="str">
        <f>""</f>
        <v/>
      </c>
      <c r="H303" t="str">
        <f t="shared" si="130"/>
        <v>МС 2.7</v>
      </c>
      <c r="I303">
        <v>533</v>
      </c>
      <c r="J303">
        <v>631.71</v>
      </c>
      <c r="K303">
        <v>0</v>
      </c>
      <c r="L303">
        <v>636.76</v>
      </c>
      <c r="M303" t="str">
        <f t="shared" si="131"/>
        <v>Воздушная трасса по стойкам</v>
      </c>
      <c r="N303" t="str">
        <f t="shared" si="132"/>
        <v>08.11.20199</v>
      </c>
      <c r="O303">
        <v>72</v>
      </c>
      <c r="P303">
        <v>64</v>
      </c>
      <c r="Q303" t="str">
        <f>""</f>
        <v/>
      </c>
      <c r="R303" t="str">
        <f>""</f>
        <v/>
      </c>
      <c r="S303" t="str">
        <f t="shared" si="133"/>
        <v>09.07.2019</v>
      </c>
      <c r="T303" t="str">
        <f>"46/3152"</f>
        <v>46/3152</v>
      </c>
      <c r="U303" t="str">
        <f t="shared" si="123"/>
        <v>Магистральная ВОЛС</v>
      </c>
      <c r="V303" t="str">
        <f t="shared" si="125"/>
        <v>Нет</v>
      </c>
      <c r="W303" t="str">
        <f t="shared" si="125"/>
        <v>Нет</v>
      </c>
      <c r="X303" t="str">
        <f t="shared" si="125"/>
        <v>Нет</v>
      </c>
      <c r="Y303" t="str">
        <f t="shared" si="125"/>
        <v>Нет</v>
      </c>
      <c r="Z303" t="str">
        <f t="shared" si="128"/>
        <v>Да</v>
      </c>
      <c r="AA303" t="str">
        <f>""</f>
        <v/>
      </c>
      <c r="AB303" t="str">
        <f t="shared" si="127"/>
        <v>Нет</v>
      </c>
      <c r="AC303" t="str">
        <f>""</f>
        <v/>
      </c>
      <c r="AD303" t="str">
        <f>""</f>
        <v/>
      </c>
      <c r="AE303" t="str">
        <f>""</f>
        <v/>
      </c>
      <c r="AF303" t="str">
        <f>"[629564] М 2.7.7"</f>
        <v>[629564] М 2.7.7</v>
      </c>
      <c r="AG303" t="str">
        <f>"[629899] М 2.7.8"</f>
        <v>[629899] М 2.7.8</v>
      </c>
      <c r="AH303" t="str">
        <f>""</f>
        <v/>
      </c>
      <c r="AI303" t="str">
        <f>""</f>
        <v/>
      </c>
      <c r="AJ303" t="str">
        <f>""</f>
        <v/>
      </c>
      <c r="AK303" t="str">
        <f t="shared" si="126"/>
        <v>Нет</v>
      </c>
      <c r="AL303" t="str">
        <f>"51.721066 36.131501, 51.72114 36.131244, 51.720971 36.130687, 51.720612 36.130715, 51.720181 36.130761, 51.719821 36.130766, 51.719686 36.130774, 51.719359 36.129831, 51.719291 36.129657, 51.719268 36.128424, 51.719205 36.126496, 51.719028 36.126607"</f>
        <v>51.721066 36.131501, 51.72114 36.131244, 51.720971 36.130687, 51.720612 36.130715, 51.720181 36.130761, 51.719821 36.130766, 51.719686 36.130774, 51.719359 36.129831, 51.719291 36.129657, 51.719268 36.128424, 51.719205 36.126496, 51.719028 36.126607</v>
      </c>
      <c r="AM303" t="str">
        <f>"20000008199348"</f>
        <v>20000008199348</v>
      </c>
    </row>
    <row r="304" spans="1:39" x14ac:dyDescent="0.25">
      <c r="A304">
        <v>907</v>
      </c>
      <c r="B304" t="str">
        <f t="shared" si="116"/>
        <v>Курск</v>
      </c>
      <c r="C304">
        <v>911735</v>
      </c>
      <c r="D304" t="str">
        <f t="shared" si="117"/>
        <v>Оптический кабель</v>
      </c>
      <c r="E304" t="str">
        <f>"[46/3153] М 2.7.8 - М 2.7.9"</f>
        <v>[46/3153] М 2.7.8 - М 2.7.9</v>
      </c>
      <c r="F304" t="str">
        <f t="shared" si="129"/>
        <v>ДОТс-П-64А 6кН</v>
      </c>
      <c r="G304" t="str">
        <f>""</f>
        <v/>
      </c>
      <c r="H304" t="str">
        <f t="shared" si="130"/>
        <v>МС 2.7</v>
      </c>
      <c r="I304">
        <v>152</v>
      </c>
      <c r="J304">
        <v>194.35</v>
      </c>
      <c r="K304">
        <v>15</v>
      </c>
      <c r="L304">
        <v>195.91</v>
      </c>
      <c r="M304" t="str">
        <f t="shared" si="131"/>
        <v>Воздушная трасса по стойкам</v>
      </c>
      <c r="N304" t="str">
        <f>"13.11.20199"</f>
        <v>13.11.20199</v>
      </c>
      <c r="O304">
        <v>72</v>
      </c>
      <c r="P304">
        <v>55</v>
      </c>
      <c r="Q304" t="str">
        <f>""</f>
        <v/>
      </c>
      <c r="R304" t="str">
        <f>""</f>
        <v/>
      </c>
      <c r="S304" t="str">
        <f t="shared" si="133"/>
        <v>09.07.2019</v>
      </c>
      <c r="T304" t="str">
        <f>"46/3153"</f>
        <v>46/3153</v>
      </c>
      <c r="U304" t="str">
        <f t="shared" si="123"/>
        <v>Магистральная ВОЛС</v>
      </c>
      <c r="V304" t="str">
        <f t="shared" si="125"/>
        <v>Нет</v>
      </c>
      <c r="W304" t="str">
        <f t="shared" si="125"/>
        <v>Нет</v>
      </c>
      <c r="X304" t="str">
        <f t="shared" si="125"/>
        <v>Нет</v>
      </c>
      <c r="Y304" t="str">
        <f t="shared" si="125"/>
        <v>Нет</v>
      </c>
      <c r="Z304" t="str">
        <f t="shared" si="128"/>
        <v>Да</v>
      </c>
      <c r="AA304" t="str">
        <f>""</f>
        <v/>
      </c>
      <c r="AB304" t="str">
        <f t="shared" si="127"/>
        <v>Нет</v>
      </c>
      <c r="AC304" t="str">
        <f>""</f>
        <v/>
      </c>
      <c r="AD304" t="str">
        <f>""</f>
        <v/>
      </c>
      <c r="AE304" t="str">
        <f>""</f>
        <v/>
      </c>
      <c r="AF304" t="str">
        <f>"[629899] М 2.7.8"</f>
        <v>[629899] М 2.7.8</v>
      </c>
      <c r="AG304" t="str">
        <f>"[631236] М 2.7.9"</f>
        <v>[631236] М 2.7.9</v>
      </c>
      <c r="AH304" t="str">
        <f>""</f>
        <v/>
      </c>
      <c r="AI304" t="str">
        <f>""</f>
        <v/>
      </c>
      <c r="AJ304" t="str">
        <f>""</f>
        <v/>
      </c>
      <c r="AK304" t="str">
        <f t="shared" si="126"/>
        <v>Нет</v>
      </c>
      <c r="AL304" t="str">
        <f>"51.719028 36.126607, 51.718855 36.126531, 51.718396 36.126675, 51.718148 36.127055, 51.718076 36.127165, 51.717999 36.127361, 51.718005 36.127578"</f>
        <v>51.719028 36.126607, 51.718855 36.126531, 51.718396 36.126675, 51.718148 36.127055, 51.718076 36.127165, 51.717999 36.127361, 51.718005 36.127578</v>
      </c>
      <c r="AM304" t="str">
        <f>"20000008199343"</f>
        <v>20000008199343</v>
      </c>
    </row>
    <row r="305" spans="1:39" x14ac:dyDescent="0.25">
      <c r="A305">
        <v>907</v>
      </c>
      <c r="B305" t="str">
        <f t="shared" si="116"/>
        <v>Курск</v>
      </c>
      <c r="C305">
        <v>911830</v>
      </c>
      <c r="D305" t="str">
        <f t="shared" si="117"/>
        <v>Оптический кабель</v>
      </c>
      <c r="E305" t="str">
        <f>"[46/3154] М 2.7.8 - ГОК2.7.1 Курск, Вячеслава Клыкова Пр-Кт, 77  п. 2"</f>
        <v>[46/3154] М 2.7.8 - ГОК2.7.1 Курск, Вячеслава Клыкова Пр-Кт, 77  п. 2</v>
      </c>
      <c r="F305" t="str">
        <f>"ДПТс-П-16А 2(6) 7кН (Мод:Кр,Нат)(Вол:Кр,Жел,Зел,..,Ор,Фиол)"</f>
        <v>ДПТс-П-16А 2(6) 7кН (Мод:Кр,Нат)(Вол:Кр,Жел,Зел,..,Ор,Фиол)</v>
      </c>
      <c r="G305" t="str">
        <f>""</f>
        <v/>
      </c>
      <c r="H305" t="str">
        <f t="shared" si="130"/>
        <v>МС 2.7</v>
      </c>
      <c r="I305">
        <v>10</v>
      </c>
      <c r="J305">
        <v>20</v>
      </c>
      <c r="K305">
        <v>0</v>
      </c>
      <c r="L305">
        <v>23</v>
      </c>
      <c r="M305" t="str">
        <f>""</f>
        <v/>
      </c>
      <c r="N305" t="str">
        <f>"13.11.20199"</f>
        <v>13.11.20199</v>
      </c>
      <c r="O305">
        <v>10</v>
      </c>
      <c r="P305">
        <v>10</v>
      </c>
      <c r="Q305" t="str">
        <f>""</f>
        <v/>
      </c>
      <c r="R305" t="str">
        <f>"Курск, Вячеслава Клыкова Пр-Кт, 77"</f>
        <v>Курск, Вячеслава Клыкова Пр-Кт, 77</v>
      </c>
      <c r="S305" t="str">
        <f>"01.10.2019"</f>
        <v>01.10.2019</v>
      </c>
      <c r="T305" t="str">
        <f>"46/3154"</f>
        <v>46/3154</v>
      </c>
      <c r="U305" t="str">
        <f t="shared" si="123"/>
        <v>Магистральная ВОЛС</v>
      </c>
      <c r="V305" t="str">
        <f t="shared" si="125"/>
        <v>Нет</v>
      </c>
      <c r="W305" t="str">
        <f t="shared" si="125"/>
        <v>Нет</v>
      </c>
      <c r="X305" t="str">
        <f t="shared" si="125"/>
        <v>Нет</v>
      </c>
      <c r="Y305" t="str">
        <f t="shared" si="125"/>
        <v>Нет</v>
      </c>
      <c r="Z305" t="str">
        <f>"Нет"</f>
        <v>Нет</v>
      </c>
      <c r="AA305" t="str">
        <f>""</f>
        <v/>
      </c>
      <c r="AB305" t="str">
        <f t="shared" si="127"/>
        <v>Нет</v>
      </c>
      <c r="AC305" t="str">
        <f>""</f>
        <v/>
      </c>
      <c r="AD305" t="str">
        <f>""</f>
        <v/>
      </c>
      <c r="AE305" t="str">
        <f>""</f>
        <v/>
      </c>
      <c r="AF305" t="str">
        <f>"[629899] М 2.7.8"</f>
        <v>[629899] М 2.7.8</v>
      </c>
      <c r="AG305" t="str">
        <f>"[631052] ГОК2.7.1 Курск, Вячеслава Клыкова Пр-Кт, 77  п. 2"</f>
        <v>[631052] ГОК2.7.1 Курск, Вячеслава Клыкова Пр-Кт, 77  п. 2</v>
      </c>
      <c r="AH305" t="str">
        <f>""</f>
        <v/>
      </c>
      <c r="AI305" t="str">
        <f>""</f>
        <v/>
      </c>
      <c r="AJ305" t="str">
        <f>""</f>
        <v/>
      </c>
      <c r="AK305" t="str">
        <f t="shared" si="126"/>
        <v>Нет</v>
      </c>
      <c r="AL305" t="str">
        <f>"51.719021 36.126621, 51.719063 36.126593, 51.719106 36.126594"</f>
        <v>51.719021 36.126621, 51.719063 36.126593, 51.719106 36.126594</v>
      </c>
      <c r="AM305" t="str">
        <f>"20000008043852"</f>
        <v>20000008043852</v>
      </c>
    </row>
    <row r="306" spans="1:39" x14ac:dyDescent="0.25">
      <c r="A306">
        <v>907</v>
      </c>
      <c r="B306" t="str">
        <f t="shared" si="116"/>
        <v>Курск</v>
      </c>
      <c r="C306">
        <v>912179</v>
      </c>
      <c r="D306" t="str">
        <f t="shared" si="117"/>
        <v>Оптический кабель</v>
      </c>
      <c r="E306" t="str">
        <f>"[46/3165] ТОК1.6 Курск, Добролюбова, 22 а п.  - Т 6.1"</f>
        <v>[46/3165] ТОК1.6 Курск, Добролюбова, 22 а п.  - Т 6.1</v>
      </c>
      <c r="F306" t="str">
        <f t="shared" ref="F306:F311" si="134">"ОКМС-64 (G.652.D) 7кН (Мод:Кр,Жел, 4Нат)"</f>
        <v>ОКМС-64 (G.652.D) 7кН (Мод:Кр,Жел, 4Нат)</v>
      </c>
      <c r="G306" t="str">
        <f>""</f>
        <v/>
      </c>
      <c r="H306" t="str">
        <f t="shared" ref="H306:H311" si="135">"ТС"</f>
        <v>ТС</v>
      </c>
      <c r="I306">
        <v>266</v>
      </c>
      <c r="J306">
        <v>302.66000000000003</v>
      </c>
      <c r="K306">
        <v>15</v>
      </c>
      <c r="L306">
        <v>306.58999999999997</v>
      </c>
      <c r="M306" t="str">
        <f t="shared" ref="M306:M311" si="136">"Опоры"</f>
        <v>Опоры</v>
      </c>
      <c r="N306" t="str">
        <f t="shared" ref="N306:N311" si="137">"12.12.20199"</f>
        <v>12.12.20199</v>
      </c>
      <c r="O306">
        <v>64</v>
      </c>
      <c r="P306">
        <v>64</v>
      </c>
      <c r="Q306" t="str">
        <f>"Курск, Добролюбова, 22 а"</f>
        <v>Курск, Добролюбова, 22 а</v>
      </c>
      <c r="R306" t="str">
        <f>""</f>
        <v/>
      </c>
      <c r="S306" t="str">
        <f t="shared" ref="S306:S311" si="138">"11.12.2019"</f>
        <v>11.12.2019</v>
      </c>
      <c r="T306" t="str">
        <f>"46/3165"</f>
        <v>46/3165</v>
      </c>
      <c r="U306" t="str">
        <f t="shared" ref="U306:U311" si="139">"Транспортная ВОЛС"</f>
        <v>Транспортная ВОЛС</v>
      </c>
      <c r="V306" t="str">
        <f t="shared" si="125"/>
        <v>Нет</v>
      </c>
      <c r="W306" t="str">
        <f t="shared" si="125"/>
        <v>Нет</v>
      </c>
      <c r="X306" t="str">
        <f t="shared" si="125"/>
        <v>Нет</v>
      </c>
      <c r="Y306" t="str">
        <f t="shared" si="125"/>
        <v>Нет</v>
      </c>
      <c r="Z306" t="str">
        <f t="shared" ref="Z306:Z314" si="140">"Да"</f>
        <v>Да</v>
      </c>
      <c r="AA306" t="str">
        <f>""</f>
        <v/>
      </c>
      <c r="AB306" t="str">
        <f t="shared" si="127"/>
        <v>Нет</v>
      </c>
      <c r="AC306" t="str">
        <f>""</f>
        <v/>
      </c>
      <c r="AD306" t="str">
        <f>""</f>
        <v/>
      </c>
      <c r="AE306" t="str">
        <f>""</f>
        <v/>
      </c>
      <c r="AF306" t="str">
        <f>"[633129] ТОК1.6 Курск, Добролюбова, 22 а п."</f>
        <v>[633129] ТОК1.6 Курск, Добролюбова, 22 а п.</v>
      </c>
      <c r="AG306" t="str">
        <f>"[632747] Т 6.1"</f>
        <v>[632747] Т 6.1</v>
      </c>
      <c r="AH306" t="str">
        <f>""</f>
        <v/>
      </c>
      <c r="AI306" t="str">
        <f>""</f>
        <v/>
      </c>
      <c r="AJ306" t="str">
        <f>""</f>
        <v/>
      </c>
      <c r="AK306" t="str">
        <f t="shared" si="126"/>
        <v>Нет</v>
      </c>
      <c r="AL306" t="str">
        <f>"51.72328 36.188369, 51.723239 36.18825, 51.723172 36.188156, 51.722952 36.188325, 51.722782 36.188493, 51.722609 36.18878, 51.722525 36.189051, 51.722274 36.189275, 51.722229 36.189749, 51.72197 36.189956, 51.721837 36.190285, 51.721738 36.190784"</f>
        <v>51.72328 36.188369, 51.723239 36.18825, 51.723172 36.188156, 51.722952 36.188325, 51.722782 36.188493, 51.722609 36.18878, 51.722525 36.189051, 51.722274 36.189275, 51.722229 36.189749, 51.72197 36.189956, 51.721837 36.190285, 51.721738 36.190784</v>
      </c>
      <c r="AM306" t="str">
        <f>"20000008031632"</f>
        <v>20000008031632</v>
      </c>
    </row>
    <row r="307" spans="1:39" x14ac:dyDescent="0.25">
      <c r="A307">
        <v>907</v>
      </c>
      <c r="B307" t="str">
        <f t="shared" si="116"/>
        <v>Курск</v>
      </c>
      <c r="C307">
        <v>912562</v>
      </c>
      <c r="D307" t="str">
        <f t="shared" si="117"/>
        <v>Оптический кабель</v>
      </c>
      <c r="E307" t="str">
        <f>"[46/3167] Т 6.2 - Т 6.9"</f>
        <v>[46/3167] Т 6.2 - Т 6.9</v>
      </c>
      <c r="F307" t="str">
        <f t="shared" si="134"/>
        <v>ОКМС-64 (G.652.D) 7кН (Мод:Кр,Жел, 4Нат)</v>
      </c>
      <c r="G307" t="str">
        <f>""</f>
        <v/>
      </c>
      <c r="H307" t="str">
        <f t="shared" si="135"/>
        <v>ТС</v>
      </c>
      <c r="I307">
        <v>760</v>
      </c>
      <c r="J307">
        <v>2315.84</v>
      </c>
      <c r="K307">
        <v>15</v>
      </c>
      <c r="L307">
        <v>899.22</v>
      </c>
      <c r="M307" t="str">
        <f t="shared" si="136"/>
        <v>Опоры</v>
      </c>
      <c r="N307" t="str">
        <f t="shared" si="137"/>
        <v>12.12.20199</v>
      </c>
      <c r="O307">
        <v>64</v>
      </c>
      <c r="P307">
        <v>64</v>
      </c>
      <c r="Q307" t="str">
        <f>""</f>
        <v/>
      </c>
      <c r="R307" t="str">
        <f>""</f>
        <v/>
      </c>
      <c r="S307" t="str">
        <f t="shared" si="138"/>
        <v>11.12.2019</v>
      </c>
      <c r="T307" t="str">
        <f>"46/3167"</f>
        <v>46/3167</v>
      </c>
      <c r="U307" t="str">
        <f t="shared" si="139"/>
        <v>Транспортная ВОЛС</v>
      </c>
      <c r="V307" t="str">
        <f t="shared" si="125"/>
        <v>Нет</v>
      </c>
      <c r="W307" t="str">
        <f t="shared" si="125"/>
        <v>Нет</v>
      </c>
      <c r="X307" t="str">
        <f t="shared" si="125"/>
        <v>Нет</v>
      </c>
      <c r="Y307" t="str">
        <f t="shared" si="125"/>
        <v>Нет</v>
      </c>
      <c r="Z307" t="str">
        <f t="shared" si="140"/>
        <v>Да</v>
      </c>
      <c r="AA307" t="str">
        <f>""</f>
        <v/>
      </c>
      <c r="AB307" t="str">
        <f t="shared" si="127"/>
        <v>Нет</v>
      </c>
      <c r="AC307" t="str">
        <f>""</f>
        <v/>
      </c>
      <c r="AD307" t="str">
        <f>""</f>
        <v/>
      </c>
      <c r="AE307" t="str">
        <f>""</f>
        <v/>
      </c>
      <c r="AF307" t="str">
        <f>"[632743] Т 6.2"</f>
        <v>[632743] Т 6.2</v>
      </c>
      <c r="AG307" t="str">
        <f>"[845196] Т 6.9"</f>
        <v>[845196] Т 6.9</v>
      </c>
      <c r="AH307" t="str">
        <f>""</f>
        <v/>
      </c>
      <c r="AI307" t="str">
        <f>""</f>
        <v/>
      </c>
      <c r="AJ307" t="str">
        <f>""</f>
        <v/>
      </c>
      <c r="AK307" t="str">
        <f t="shared" si="126"/>
        <v>Нет</v>
      </c>
      <c r="AL307" t="s">
        <v>74</v>
      </c>
      <c r="AM307" t="str">
        <f>"20000008031634"</f>
        <v>20000008031634</v>
      </c>
    </row>
    <row r="308" spans="1:39" x14ac:dyDescent="0.25">
      <c r="A308">
        <v>907</v>
      </c>
      <c r="B308" t="str">
        <f t="shared" si="116"/>
        <v>Курск</v>
      </c>
      <c r="C308">
        <v>912973</v>
      </c>
      <c r="D308" t="str">
        <f t="shared" si="117"/>
        <v>Оптический кабель</v>
      </c>
      <c r="E308" t="str">
        <f>"[46/3168] Т 6.3 - Т 6.4"</f>
        <v>[46/3168] Т 6.3 - Т 6.4</v>
      </c>
      <c r="F308" t="str">
        <f t="shared" si="134"/>
        <v>ОКМС-64 (G.652.D) 7кН (Мод:Кр,Жел, 4Нат)</v>
      </c>
      <c r="G308" t="str">
        <f>""</f>
        <v/>
      </c>
      <c r="H308" t="str">
        <f t="shared" si="135"/>
        <v>ТС</v>
      </c>
      <c r="I308">
        <v>818</v>
      </c>
      <c r="J308">
        <v>956.03</v>
      </c>
      <c r="K308">
        <v>30</v>
      </c>
      <c r="L308">
        <v>968.44</v>
      </c>
      <c r="M308" t="str">
        <f t="shared" si="136"/>
        <v>Опоры</v>
      </c>
      <c r="N308" t="str">
        <f t="shared" si="137"/>
        <v>12.12.20199</v>
      </c>
      <c r="O308">
        <v>64</v>
      </c>
      <c r="P308">
        <v>64</v>
      </c>
      <c r="Q308" t="str">
        <f>""</f>
        <v/>
      </c>
      <c r="R308" t="str">
        <f>""</f>
        <v/>
      </c>
      <c r="S308" t="str">
        <f t="shared" si="138"/>
        <v>11.12.2019</v>
      </c>
      <c r="T308" t="str">
        <f>"46/3168"</f>
        <v>46/3168</v>
      </c>
      <c r="U308" t="str">
        <f t="shared" si="139"/>
        <v>Транспортная ВОЛС</v>
      </c>
      <c r="V308" t="str">
        <f t="shared" ref="V308:Y327" si="141">"Нет"</f>
        <v>Нет</v>
      </c>
      <c r="W308" t="str">
        <f t="shared" si="141"/>
        <v>Нет</v>
      </c>
      <c r="X308" t="str">
        <f t="shared" si="141"/>
        <v>Нет</v>
      </c>
      <c r="Y308" t="str">
        <f t="shared" si="141"/>
        <v>Нет</v>
      </c>
      <c r="Z308" t="str">
        <f t="shared" si="140"/>
        <v>Да</v>
      </c>
      <c r="AA308" t="str">
        <f>""</f>
        <v/>
      </c>
      <c r="AB308" t="str">
        <f t="shared" si="127"/>
        <v>Нет</v>
      </c>
      <c r="AC308" t="str">
        <f>""</f>
        <v/>
      </c>
      <c r="AD308" t="str">
        <f>""</f>
        <v/>
      </c>
      <c r="AE308" t="str">
        <f>""</f>
        <v/>
      </c>
      <c r="AF308" t="str">
        <f>"[632739] Т 6.3"</f>
        <v>[632739] Т 6.3</v>
      </c>
      <c r="AG308" t="str">
        <f>"[632735] Т 6.4"</f>
        <v>[632735] Т 6.4</v>
      </c>
      <c r="AH308" t="str">
        <f>""</f>
        <v/>
      </c>
      <c r="AI308" t="str">
        <f>""</f>
        <v/>
      </c>
      <c r="AJ308" t="str">
        <f>""</f>
        <v/>
      </c>
      <c r="AK308" t="str">
        <f t="shared" si="126"/>
        <v>Нет</v>
      </c>
      <c r="AL308" t="s">
        <v>75</v>
      </c>
      <c r="AM308" t="str">
        <f>"20000008031633"</f>
        <v>20000008031633</v>
      </c>
    </row>
    <row r="309" spans="1:39" x14ac:dyDescent="0.25">
      <c r="A309">
        <v>907</v>
      </c>
      <c r="B309" t="str">
        <f t="shared" si="116"/>
        <v>Курск</v>
      </c>
      <c r="C309">
        <v>913202</v>
      </c>
      <c r="D309" t="str">
        <f t="shared" si="117"/>
        <v>Оптический кабель</v>
      </c>
      <c r="E309" t="str">
        <f>"[46/3169] Т 6.4 - Т 6.5"</f>
        <v>[46/3169] Т 6.4 - Т 6.5</v>
      </c>
      <c r="F309" t="str">
        <f t="shared" si="134"/>
        <v>ОКМС-64 (G.652.D) 7кН (Мод:Кр,Жел, 4Нат)</v>
      </c>
      <c r="G309" t="str">
        <f>""</f>
        <v/>
      </c>
      <c r="H309" t="str">
        <f t="shared" si="135"/>
        <v>ТС</v>
      </c>
      <c r="I309">
        <v>1340</v>
      </c>
      <c r="J309">
        <v>1557.67</v>
      </c>
      <c r="K309">
        <v>35</v>
      </c>
      <c r="L309">
        <v>1577.9</v>
      </c>
      <c r="M309" t="str">
        <f t="shared" si="136"/>
        <v>Опоры</v>
      </c>
      <c r="N309" t="str">
        <f t="shared" si="137"/>
        <v>12.12.20199</v>
      </c>
      <c r="O309">
        <v>64</v>
      </c>
      <c r="P309">
        <v>64</v>
      </c>
      <c r="Q309" t="str">
        <f>""</f>
        <v/>
      </c>
      <c r="R309" t="str">
        <f>""</f>
        <v/>
      </c>
      <c r="S309" t="str">
        <f t="shared" si="138"/>
        <v>11.12.2019</v>
      </c>
      <c r="T309" t="str">
        <f>"46/3169"</f>
        <v>46/3169</v>
      </c>
      <c r="U309" t="str">
        <f t="shared" si="139"/>
        <v>Транспортная ВОЛС</v>
      </c>
      <c r="V309" t="str">
        <f t="shared" si="141"/>
        <v>Нет</v>
      </c>
      <c r="W309" t="str">
        <f t="shared" si="141"/>
        <v>Нет</v>
      </c>
      <c r="X309" t="str">
        <f t="shared" si="141"/>
        <v>Нет</v>
      </c>
      <c r="Y309" t="str">
        <f t="shared" si="141"/>
        <v>Нет</v>
      </c>
      <c r="Z309" t="str">
        <f t="shared" si="140"/>
        <v>Да</v>
      </c>
      <c r="AA309" t="str">
        <f>""</f>
        <v/>
      </c>
      <c r="AB309" t="str">
        <f t="shared" si="127"/>
        <v>Нет</v>
      </c>
      <c r="AC309" t="str">
        <f>""</f>
        <v/>
      </c>
      <c r="AD309" t="str">
        <f>""</f>
        <v/>
      </c>
      <c r="AE309" t="str">
        <f>""</f>
        <v/>
      </c>
      <c r="AF309" t="str">
        <f>"[632735] Т 6.4"</f>
        <v>[632735] Т 6.4</v>
      </c>
      <c r="AG309" t="str">
        <f>"[632731] Т 6.5"</f>
        <v>[632731] Т 6.5</v>
      </c>
      <c r="AH309" t="str">
        <f>""</f>
        <v/>
      </c>
      <c r="AI309" t="str">
        <f>""</f>
        <v/>
      </c>
      <c r="AJ309" t="str">
        <f>""</f>
        <v/>
      </c>
      <c r="AK309" t="str">
        <f t="shared" si="126"/>
        <v>Нет</v>
      </c>
      <c r="AL309" t="s">
        <v>76</v>
      </c>
      <c r="AM309" t="str">
        <f>"20000008040060"</f>
        <v>20000008040060</v>
      </c>
    </row>
    <row r="310" spans="1:39" x14ac:dyDescent="0.25">
      <c r="A310">
        <v>907</v>
      </c>
      <c r="B310" t="str">
        <f t="shared" si="116"/>
        <v>Курск</v>
      </c>
      <c r="C310">
        <v>913389</v>
      </c>
      <c r="D310" t="str">
        <f t="shared" si="117"/>
        <v>Оптический кабель</v>
      </c>
      <c r="E310" t="str">
        <f>"[46/3170] Т 6.5 - Т6.7.1"</f>
        <v>[46/3170] Т 6.5 - Т6.7.1</v>
      </c>
      <c r="F310" t="str">
        <f t="shared" si="134"/>
        <v>ОКМС-64 (G.652.D) 7кН (Мод:Кр,Жел, 4Нат)</v>
      </c>
      <c r="G310" t="str">
        <f>""</f>
        <v/>
      </c>
      <c r="H310" t="str">
        <f t="shared" si="135"/>
        <v>ТС</v>
      </c>
      <c r="I310">
        <v>448</v>
      </c>
      <c r="J310">
        <v>490</v>
      </c>
      <c r="K310">
        <v>20</v>
      </c>
      <c r="L310">
        <v>530.20000000000005</v>
      </c>
      <c r="M310" t="str">
        <f t="shared" si="136"/>
        <v>Опоры</v>
      </c>
      <c r="N310" t="str">
        <f t="shared" si="137"/>
        <v>12.12.20199</v>
      </c>
      <c r="O310">
        <v>64</v>
      </c>
      <c r="P310">
        <v>64</v>
      </c>
      <c r="Q310" t="str">
        <f>""</f>
        <v/>
      </c>
      <c r="R310" t="str">
        <f>""</f>
        <v/>
      </c>
      <c r="S310" t="str">
        <f t="shared" si="138"/>
        <v>11.12.2019</v>
      </c>
      <c r="T310" t="str">
        <f>"46/3170"</f>
        <v>46/3170</v>
      </c>
      <c r="U310" t="str">
        <f t="shared" si="139"/>
        <v>Транспортная ВОЛС</v>
      </c>
      <c r="V310" t="str">
        <f t="shared" si="141"/>
        <v>Нет</v>
      </c>
      <c r="W310" t="str">
        <f t="shared" si="141"/>
        <v>Нет</v>
      </c>
      <c r="X310" t="str">
        <f t="shared" si="141"/>
        <v>Нет</v>
      </c>
      <c r="Y310" t="str">
        <f t="shared" si="141"/>
        <v>Нет</v>
      </c>
      <c r="Z310" t="str">
        <f t="shared" si="140"/>
        <v>Да</v>
      </c>
      <c r="AA310" t="str">
        <f>""</f>
        <v/>
      </c>
      <c r="AB310" t="str">
        <f t="shared" si="127"/>
        <v>Нет</v>
      </c>
      <c r="AC310" t="str">
        <f>""</f>
        <v/>
      </c>
      <c r="AD310" t="str">
        <f>""</f>
        <v/>
      </c>
      <c r="AE310" t="str">
        <f>""</f>
        <v/>
      </c>
      <c r="AF310" t="str">
        <f>"[632731] Т 6.5"</f>
        <v>[632731] Т 6.5</v>
      </c>
      <c r="AG310" t="str">
        <f>"[868768] Т6.7.1"</f>
        <v>[868768] Т6.7.1</v>
      </c>
      <c r="AH310" t="str">
        <f>""</f>
        <v/>
      </c>
      <c r="AI310" t="str">
        <f>""</f>
        <v/>
      </c>
      <c r="AJ310" t="str">
        <f>""</f>
        <v/>
      </c>
      <c r="AK310" t="str">
        <f t="shared" si="126"/>
        <v>Нет</v>
      </c>
      <c r="AL310" t="s">
        <v>77</v>
      </c>
      <c r="AM310" t="str">
        <f>"20000008007439"</f>
        <v>20000008007439</v>
      </c>
    </row>
    <row r="311" spans="1:39" x14ac:dyDescent="0.25">
      <c r="A311">
        <v>907</v>
      </c>
      <c r="B311" t="str">
        <f t="shared" si="116"/>
        <v>Курск</v>
      </c>
      <c r="C311">
        <v>913501</v>
      </c>
      <c r="D311" t="str">
        <f t="shared" si="117"/>
        <v>Оптический кабель</v>
      </c>
      <c r="E311" t="str">
        <f>"[46/3171] Т 6.1 - Т 6.2"</f>
        <v>[46/3171] Т 6.1 - Т 6.2</v>
      </c>
      <c r="F311" t="str">
        <f t="shared" si="134"/>
        <v>ОКМС-64 (G.652.D) 7кН (Мод:Кр,Жел, 4Нат)</v>
      </c>
      <c r="G311" t="str">
        <f>""</f>
        <v/>
      </c>
      <c r="H311" t="str">
        <f t="shared" si="135"/>
        <v>ТС</v>
      </c>
      <c r="I311">
        <v>866</v>
      </c>
      <c r="J311">
        <v>996.8</v>
      </c>
      <c r="K311">
        <v>30</v>
      </c>
      <c r="L311">
        <v>1009.75</v>
      </c>
      <c r="M311" t="str">
        <f t="shared" si="136"/>
        <v>Опоры</v>
      </c>
      <c r="N311" t="str">
        <f t="shared" si="137"/>
        <v>12.12.20199</v>
      </c>
      <c r="O311">
        <v>64</v>
      </c>
      <c r="P311">
        <v>64</v>
      </c>
      <c r="Q311" t="str">
        <f>""</f>
        <v/>
      </c>
      <c r="R311" t="str">
        <f>""</f>
        <v/>
      </c>
      <c r="S311" t="str">
        <f t="shared" si="138"/>
        <v>11.12.2019</v>
      </c>
      <c r="T311" t="str">
        <f>"46/3171"</f>
        <v>46/3171</v>
      </c>
      <c r="U311" t="str">
        <f t="shared" si="139"/>
        <v>Транспортная ВОЛС</v>
      </c>
      <c r="V311" t="str">
        <f t="shared" si="141"/>
        <v>Нет</v>
      </c>
      <c r="W311" t="str">
        <f t="shared" si="141"/>
        <v>Нет</v>
      </c>
      <c r="X311" t="str">
        <f t="shared" si="141"/>
        <v>Нет</v>
      </c>
      <c r="Y311" t="str">
        <f t="shared" si="141"/>
        <v>Нет</v>
      </c>
      <c r="Z311" t="str">
        <f t="shared" si="140"/>
        <v>Да</v>
      </c>
      <c r="AA311" t="str">
        <f>""</f>
        <v/>
      </c>
      <c r="AB311" t="str">
        <f t="shared" si="127"/>
        <v>Нет</v>
      </c>
      <c r="AC311" t="str">
        <f>""</f>
        <v/>
      </c>
      <c r="AD311" t="str">
        <f>""</f>
        <v/>
      </c>
      <c r="AE311" t="str">
        <f>""</f>
        <v/>
      </c>
      <c r="AF311" t="str">
        <f>"[632747] Т 6.1"</f>
        <v>[632747] Т 6.1</v>
      </c>
      <c r="AG311" t="str">
        <f>"[632743] Т 6.2"</f>
        <v>[632743] Т 6.2</v>
      </c>
      <c r="AH311" t="str">
        <f>""</f>
        <v/>
      </c>
      <c r="AI311" t="str">
        <f>""</f>
        <v/>
      </c>
      <c r="AJ311" t="str">
        <f>""</f>
        <v/>
      </c>
      <c r="AK311" t="str">
        <f t="shared" si="126"/>
        <v>Нет</v>
      </c>
      <c r="AL311" t="s">
        <v>78</v>
      </c>
      <c r="AM311" t="str">
        <f>"20000008007438"</f>
        <v>20000008007438</v>
      </c>
    </row>
    <row r="312" spans="1:39" x14ac:dyDescent="0.25">
      <c r="A312">
        <v>907</v>
      </c>
      <c r="B312" t="str">
        <f t="shared" si="116"/>
        <v>Курск</v>
      </c>
      <c r="C312">
        <v>915073</v>
      </c>
      <c r="D312" t="str">
        <f t="shared" si="117"/>
        <v>Оптический кабель</v>
      </c>
      <c r="E312" t="str">
        <f>"[46/3188] М 4.2.5 - М 4.2.10"</f>
        <v>[46/3188] М 4.2.5 - М 4.2.10</v>
      </c>
      <c r="F312" t="str">
        <f>"ОКМС-32(G.652.D) 6кН"</f>
        <v>ОКМС-32(G.652.D) 6кН</v>
      </c>
      <c r="G312" t="str">
        <f>""</f>
        <v/>
      </c>
      <c r="H312" t="str">
        <f>"МС 4.2"</f>
        <v>МС 4.2</v>
      </c>
      <c r="I312">
        <v>434</v>
      </c>
      <c r="J312">
        <v>313.2</v>
      </c>
      <c r="K312">
        <v>0</v>
      </c>
      <c r="L312">
        <v>314.14999999999998</v>
      </c>
      <c r="M312" t="str">
        <f>""</f>
        <v/>
      </c>
      <c r="N312" t="str">
        <f>"22.01.20200"</f>
        <v>22.01.20200</v>
      </c>
      <c r="O312">
        <v>32</v>
      </c>
      <c r="P312">
        <v>32</v>
      </c>
      <c r="Q312" t="str">
        <f>""</f>
        <v/>
      </c>
      <c r="R312" t="str">
        <f>""</f>
        <v/>
      </c>
      <c r="S312" t="str">
        <f>"21.01.2020"</f>
        <v>21.01.2020</v>
      </c>
      <c r="T312" t="str">
        <f>"46/3188"</f>
        <v>46/3188</v>
      </c>
      <c r="U312" t="str">
        <f>"Магистральная ВОЛС"</f>
        <v>Магистральная ВОЛС</v>
      </c>
      <c r="V312" t="str">
        <f t="shared" si="141"/>
        <v>Нет</v>
      </c>
      <c r="W312" t="str">
        <f t="shared" si="141"/>
        <v>Нет</v>
      </c>
      <c r="X312" t="str">
        <f t="shared" si="141"/>
        <v>Нет</v>
      </c>
      <c r="Y312" t="str">
        <f t="shared" si="141"/>
        <v>Нет</v>
      </c>
      <c r="Z312" t="str">
        <f t="shared" si="140"/>
        <v>Да</v>
      </c>
      <c r="AA312" t="str">
        <f>""</f>
        <v/>
      </c>
      <c r="AB312" t="str">
        <f t="shared" si="127"/>
        <v>Нет</v>
      </c>
      <c r="AC312" t="str">
        <f>""</f>
        <v/>
      </c>
      <c r="AD312" t="str">
        <f>""</f>
        <v/>
      </c>
      <c r="AE312" t="str">
        <f>""</f>
        <v/>
      </c>
      <c r="AF312" t="str">
        <f>"[437445] М 4.2.5"</f>
        <v>[437445] М 4.2.5</v>
      </c>
      <c r="AG312" t="str">
        <f>"[802498] М 4.2.10"</f>
        <v>[802498] М 4.2.10</v>
      </c>
      <c r="AH312" t="str">
        <f>""</f>
        <v/>
      </c>
      <c r="AI312" t="str">
        <f>""</f>
        <v/>
      </c>
      <c r="AJ312" t="str">
        <f>""</f>
        <v/>
      </c>
      <c r="AK312" t="str">
        <f t="shared" si="126"/>
        <v>Нет</v>
      </c>
      <c r="AL312" t="s">
        <v>79</v>
      </c>
      <c r="AM312" t="str">
        <f>"20000008040061"</f>
        <v>20000008040061</v>
      </c>
    </row>
    <row r="313" spans="1:39" x14ac:dyDescent="0.25">
      <c r="A313">
        <v>907</v>
      </c>
      <c r="B313" t="str">
        <f t="shared" si="116"/>
        <v>Курск</v>
      </c>
      <c r="C313">
        <v>915127</v>
      </c>
      <c r="D313" t="str">
        <f t="shared" si="117"/>
        <v>Оптический кабель</v>
      </c>
      <c r="E313" t="str">
        <f>"[46/3189] М 4.2.12 - ГОК4.2.11.1 Курск, Агрегатная 1-Я, 38 б п. 2"</f>
        <v>[46/3189] М 4.2.12 - ГОК4.2.11.1 Курск, Агрегатная 1-Я, 38 б п. 2</v>
      </c>
      <c r="F313" t="str">
        <f>"ДПТс-П-16А 2(6) 7кН (Мод:Кр,Нат)(Вол:Кр,Жел,Зел,..,Ор,Фиол)"</f>
        <v>ДПТс-П-16А 2(6) 7кН (Мод:Кр,Нат)(Вол:Кр,Жел,Зел,..,Ор,Фиол)</v>
      </c>
      <c r="G313" t="str">
        <f>"ВОЛС в проекте"</f>
        <v>ВОЛС в проекте</v>
      </c>
      <c r="H313" t="str">
        <f>"МС 4.2"</f>
        <v>МС 4.2</v>
      </c>
      <c r="I313">
        <v>640</v>
      </c>
      <c r="J313">
        <v>750</v>
      </c>
      <c r="K313">
        <v>0</v>
      </c>
      <c r="L313">
        <v>753</v>
      </c>
      <c r="M313" t="str">
        <f>""</f>
        <v/>
      </c>
      <c r="N313" t="str">
        <f>"22.01.20200"</f>
        <v>22.01.20200</v>
      </c>
      <c r="O313">
        <v>6</v>
      </c>
      <c r="P313">
        <v>6</v>
      </c>
      <c r="Q313" t="str">
        <f>""</f>
        <v/>
      </c>
      <c r="R313" t="str">
        <f>"Курск, Агрегатная 1-Я, 38 б"</f>
        <v>Курск, Агрегатная 1-Я, 38 б</v>
      </c>
      <c r="S313" t="str">
        <f>"22.11.2019"</f>
        <v>22.11.2019</v>
      </c>
      <c r="T313" t="str">
        <f>"46/3189"</f>
        <v>46/3189</v>
      </c>
      <c r="U313" t="str">
        <f>"Магистральная ВОЛС"</f>
        <v>Магистральная ВОЛС</v>
      </c>
      <c r="V313" t="str">
        <f t="shared" si="141"/>
        <v>Нет</v>
      </c>
      <c r="W313" t="str">
        <f t="shared" si="141"/>
        <v>Нет</v>
      </c>
      <c r="X313" t="str">
        <f t="shared" si="141"/>
        <v>Нет</v>
      </c>
      <c r="Y313" t="str">
        <f t="shared" si="141"/>
        <v>Нет</v>
      </c>
      <c r="Z313" t="str">
        <f t="shared" si="140"/>
        <v>Да</v>
      </c>
      <c r="AA313" t="str">
        <f>""</f>
        <v/>
      </c>
      <c r="AB313" t="str">
        <f t="shared" si="127"/>
        <v>Нет</v>
      </c>
      <c r="AC313" t="str">
        <f>""</f>
        <v/>
      </c>
      <c r="AD313" t="str">
        <f>""</f>
        <v/>
      </c>
      <c r="AE313" t="str">
        <f>""</f>
        <v/>
      </c>
      <c r="AF313" t="str">
        <f>"[635045] М 4.2.12"</f>
        <v>[635045] М 4.2.12</v>
      </c>
      <c r="AG313" t="str">
        <f>"[636545] ГОК4.2.11.1 Курск, Агрегатная 1-Я, 38 б п. 2"</f>
        <v>[636545] ГОК4.2.11.1 Курск, Агрегатная 1-Я, 38 б п. 2</v>
      </c>
      <c r="AH313" t="str">
        <f>""</f>
        <v/>
      </c>
      <c r="AI313" t="str">
        <f>""</f>
        <v/>
      </c>
      <c r="AJ313" t="str">
        <f>""</f>
        <v/>
      </c>
      <c r="AK313" t="str">
        <f>"Да"</f>
        <v>Да</v>
      </c>
      <c r="AL313" t="s">
        <v>80</v>
      </c>
      <c r="AM313" t="str">
        <f>"20000008912268"</f>
        <v>20000008912268</v>
      </c>
    </row>
    <row r="314" spans="1:39" x14ac:dyDescent="0.25">
      <c r="A314">
        <v>907</v>
      </c>
      <c r="B314" t="str">
        <f t="shared" si="116"/>
        <v>Курск</v>
      </c>
      <c r="C314">
        <v>915155</v>
      </c>
      <c r="D314" t="str">
        <f t="shared" si="117"/>
        <v>Оптический кабель</v>
      </c>
      <c r="E314" t="str">
        <f>"[46/3190] М 4.2.12 - ГОК4.2.10.1 Курск, Весенний 2-Й Проезд, 22  п. 1"</f>
        <v>[46/3190] М 4.2.12 - ГОК4.2.10.1 Курск, Весенний 2-Й Проезд, 22  п. 1</v>
      </c>
      <c r="F314" t="str">
        <f>"ОКМС-32(G.652.D) 6кН"</f>
        <v>ОКМС-32(G.652.D) 6кН</v>
      </c>
      <c r="G314" t="str">
        <f>""</f>
        <v/>
      </c>
      <c r="H314" t="str">
        <f>"МС 4.2"</f>
        <v>МС 4.2</v>
      </c>
      <c r="I314">
        <v>636</v>
      </c>
      <c r="J314">
        <v>991.33</v>
      </c>
      <c r="K314">
        <v>0</v>
      </c>
      <c r="L314">
        <v>994.33</v>
      </c>
      <c r="M314" t="str">
        <f>""</f>
        <v/>
      </c>
      <c r="N314" t="str">
        <f>"22.01.20200"</f>
        <v>22.01.20200</v>
      </c>
      <c r="O314">
        <v>32</v>
      </c>
      <c r="P314">
        <v>10</v>
      </c>
      <c r="Q314" t="str">
        <f>""</f>
        <v/>
      </c>
      <c r="R314" t="str">
        <f>"Курск, Весенний 2-Й Проезд, 22"</f>
        <v>Курск, Весенний 2-Й Проезд, 22</v>
      </c>
      <c r="S314" t="str">
        <f>"21.01.2020"</f>
        <v>21.01.2020</v>
      </c>
      <c r="T314" t="str">
        <f>"46/3190"</f>
        <v>46/3190</v>
      </c>
      <c r="U314" t="str">
        <f>"Магистральная ВОЛС"</f>
        <v>Магистральная ВОЛС</v>
      </c>
      <c r="V314" t="str">
        <f t="shared" si="141"/>
        <v>Нет</v>
      </c>
      <c r="W314" t="str">
        <f t="shared" si="141"/>
        <v>Нет</v>
      </c>
      <c r="X314" t="str">
        <f t="shared" si="141"/>
        <v>Нет</v>
      </c>
      <c r="Y314" t="str">
        <f t="shared" si="141"/>
        <v>Нет</v>
      </c>
      <c r="Z314" t="str">
        <f t="shared" si="140"/>
        <v>Да</v>
      </c>
      <c r="AA314" t="str">
        <f>""</f>
        <v/>
      </c>
      <c r="AB314" t="str">
        <f t="shared" si="127"/>
        <v>Нет</v>
      </c>
      <c r="AC314" t="str">
        <f>""</f>
        <v/>
      </c>
      <c r="AD314" t="str">
        <f>""</f>
        <v/>
      </c>
      <c r="AE314" t="str">
        <f>""</f>
        <v/>
      </c>
      <c r="AF314" t="str">
        <f>"[635045] М 4.2.12"</f>
        <v>[635045] М 4.2.12</v>
      </c>
      <c r="AG314" t="str">
        <f>"[635161] ГОК4.2.10.1 Курск, Весенний 2-Й Проезд, 22  п. 1"</f>
        <v>[635161] ГОК4.2.10.1 Курск, Весенний 2-Й Проезд, 22  п. 1</v>
      </c>
      <c r="AH314" t="str">
        <f>""</f>
        <v/>
      </c>
      <c r="AI314" t="str">
        <f>""</f>
        <v/>
      </c>
      <c r="AJ314" t="str">
        <f>""</f>
        <v/>
      </c>
      <c r="AK314" t="str">
        <f t="shared" ref="AK314:AK320" si="142">"Нет"</f>
        <v>Нет</v>
      </c>
      <c r="AL314" t="s">
        <v>81</v>
      </c>
      <c r="AM314" t="str">
        <f>"20000008048485"</f>
        <v>20000008048485</v>
      </c>
    </row>
    <row r="315" spans="1:39" x14ac:dyDescent="0.25">
      <c r="A315">
        <v>907</v>
      </c>
      <c r="B315" t="str">
        <f t="shared" si="116"/>
        <v>Курск</v>
      </c>
      <c r="C315">
        <v>915913</v>
      </c>
      <c r="D315" t="str">
        <f t="shared" si="117"/>
        <v>Оптический кабель</v>
      </c>
      <c r="E315" t="str">
        <f>"[46/3199] М 5.6.11 - М 5.6.1"</f>
        <v>[46/3199] М 5.6.11 - М 5.6.1</v>
      </c>
      <c r="F315" t="str">
        <f>"ДПТа-П-64А 6(6) 7кН (Кр,Жел,Зел,..,8-Фиол,9-Бел,..,Бир,Роз)"</f>
        <v>ДПТа-П-64А 6(6) 7кН (Кр,Жел,Зел,..,8-Фиол,9-Бел,..,Бир,Роз)</v>
      </c>
      <c r="G315" t="str">
        <f>""</f>
        <v/>
      </c>
      <c r="H315" t="str">
        <f>"МС 5.6"</f>
        <v>МС 5.6</v>
      </c>
      <c r="I315">
        <v>571</v>
      </c>
      <c r="J315">
        <v>652.1</v>
      </c>
      <c r="K315">
        <v>100</v>
      </c>
      <c r="L315">
        <v>653.07000000000005</v>
      </c>
      <c r="M315" t="str">
        <f>"Опоры"</f>
        <v>Опоры</v>
      </c>
      <c r="N315" t="str">
        <f>"16.03.20200"</f>
        <v>16.03.20200</v>
      </c>
      <c r="O315">
        <v>64</v>
      </c>
      <c r="P315">
        <v>64</v>
      </c>
      <c r="Q315" t="str">
        <f>""</f>
        <v/>
      </c>
      <c r="R315" t="str">
        <f>""</f>
        <v/>
      </c>
      <c r="S315" t="str">
        <f>""</f>
        <v/>
      </c>
      <c r="T315" t="str">
        <f>"46/3199"</f>
        <v>46/3199</v>
      </c>
      <c r="U315" t="str">
        <f>"Магистральная ВОЛС"</f>
        <v>Магистральная ВОЛС</v>
      </c>
      <c r="V315" t="str">
        <f t="shared" si="141"/>
        <v>Нет</v>
      </c>
      <c r="W315" t="str">
        <f t="shared" si="141"/>
        <v>Нет</v>
      </c>
      <c r="X315" t="str">
        <f t="shared" si="141"/>
        <v>Нет</v>
      </c>
      <c r="Y315" t="str">
        <f t="shared" si="141"/>
        <v>Нет</v>
      </c>
      <c r="Z315" t="str">
        <f>"Нет"</f>
        <v>Нет</v>
      </c>
      <c r="AA315" t="str">
        <f>""</f>
        <v/>
      </c>
      <c r="AB315" t="str">
        <f t="shared" si="127"/>
        <v>Нет</v>
      </c>
      <c r="AC315" t="str">
        <f>"КРС МС-5.6 - М 5.6.1"</f>
        <v>КРС МС-5.6 - М 5.6.1</v>
      </c>
      <c r="AD315" t="str">
        <f>"02.02.2012"</f>
        <v>02.02.2012</v>
      </c>
      <c r="AE315" t="str">
        <f>""</f>
        <v/>
      </c>
      <c r="AF315" t="str">
        <f>"[637319] М 5.6.11"</f>
        <v>[637319] М 5.6.11</v>
      </c>
      <c r="AG315" t="str">
        <f>"[414850] М 5.6.1"</f>
        <v>[414850] М 5.6.1</v>
      </c>
      <c r="AH315" t="str">
        <f>"КРС МС-5.6"</f>
        <v>КРС МС-5.6</v>
      </c>
      <c r="AI315" t="str">
        <f>"М 5.6.1"</f>
        <v>М 5.6.1</v>
      </c>
      <c r="AJ315" t="str">
        <f>""</f>
        <v/>
      </c>
      <c r="AK315" t="str">
        <f t="shared" si="142"/>
        <v>Нет</v>
      </c>
      <c r="AL315" t="s">
        <v>82</v>
      </c>
      <c r="AM315" t="str">
        <f>"20000008017092"</f>
        <v>20000008017092</v>
      </c>
    </row>
    <row r="316" spans="1:39" x14ac:dyDescent="0.25">
      <c r="A316">
        <v>907</v>
      </c>
      <c r="B316" t="str">
        <f t="shared" si="116"/>
        <v>Курск</v>
      </c>
      <c r="C316">
        <v>916254</v>
      </c>
      <c r="D316" t="str">
        <f t="shared" si="117"/>
        <v>Оптический кабель</v>
      </c>
      <c r="E316" t="str">
        <f>"[46/3204] Т 4.1 -  Курск, Гайдара, 11  п. 2"</f>
        <v>[46/3204] Т 4.1 -  Курск, Гайдара, 11  п. 2</v>
      </c>
      <c r="F316" t="str">
        <f>"ДПТс-П-08А 1(6) 7кН (Кр,Жел,Зел,Син,Кор,Чер,Ор,Фиол)"</f>
        <v>ДПТс-П-08А 1(6) 7кН (Кр,Жел,Зел,Син,Кор,Чер,Ор,Фиол)</v>
      </c>
      <c r="G316" t="str">
        <f>""</f>
        <v/>
      </c>
      <c r="H316" t="str">
        <f>"ТС"</f>
        <v>ТС</v>
      </c>
      <c r="I316">
        <v>110</v>
      </c>
      <c r="J316">
        <v>115</v>
      </c>
      <c r="K316">
        <v>0</v>
      </c>
      <c r="L316">
        <v>115</v>
      </c>
      <c r="M316" t="str">
        <f>""</f>
        <v/>
      </c>
      <c r="N316" t="str">
        <f>"10.04.20200"</f>
        <v>10.04.20200</v>
      </c>
      <c r="O316">
        <v>2</v>
      </c>
      <c r="P316">
        <v>2</v>
      </c>
      <c r="Q316" t="str">
        <f>""</f>
        <v/>
      </c>
      <c r="R316" t="str">
        <f>"Курск, Гайдара, 11"</f>
        <v>Курск, Гайдара, 11</v>
      </c>
      <c r="S316" t="str">
        <f>"09.04.2020"</f>
        <v>09.04.2020</v>
      </c>
      <c r="T316" t="str">
        <f>"46/3204"</f>
        <v>46/3204</v>
      </c>
      <c r="U316" t="str">
        <f>"Транспортная ВОЛС"</f>
        <v>Транспортная ВОЛС</v>
      </c>
      <c r="V316" t="str">
        <f t="shared" si="141"/>
        <v>Нет</v>
      </c>
      <c r="W316" t="str">
        <f t="shared" si="141"/>
        <v>Нет</v>
      </c>
      <c r="X316" t="str">
        <f t="shared" si="141"/>
        <v>Нет</v>
      </c>
      <c r="Y316" t="str">
        <f t="shared" si="141"/>
        <v>Нет</v>
      </c>
      <c r="Z316" t="str">
        <f t="shared" ref="Z316:Z321" si="143">"Да"</f>
        <v>Да</v>
      </c>
      <c r="AA316" t="str">
        <f>""</f>
        <v/>
      </c>
      <c r="AB316" t="str">
        <f t="shared" si="127"/>
        <v>Нет</v>
      </c>
      <c r="AC316" t="str">
        <f>""</f>
        <v/>
      </c>
      <c r="AD316" t="str">
        <f>""</f>
        <v/>
      </c>
      <c r="AE316" t="str">
        <f>""</f>
        <v/>
      </c>
      <c r="AF316" t="str">
        <f>"[363649] Т 4.1"</f>
        <v>[363649] Т 4.1</v>
      </c>
      <c r="AG316" t="str">
        <f>"[546761]  Курск, Гайдара, 11  п. 2"</f>
        <v>[546761]  Курск, Гайдара, 11  п. 2</v>
      </c>
      <c r="AH316" t="str">
        <f>""</f>
        <v/>
      </c>
      <c r="AI316" t="str">
        <f>""</f>
        <v/>
      </c>
      <c r="AJ316" t="str">
        <f>""</f>
        <v/>
      </c>
      <c r="AK316" t="str">
        <f t="shared" si="142"/>
        <v>Нет</v>
      </c>
      <c r="AL316" t="str">
        <f>"51.7235 36.182714, 51.723554 36.182929, 51.723721 36.18341, 51.723948 36.183321, 51.724032 36.183545, 51.724139 36.18353"</f>
        <v>51.7235 36.182714, 51.723554 36.182929, 51.723721 36.18341, 51.723948 36.183321, 51.724032 36.183545, 51.724139 36.18353</v>
      </c>
      <c r="AM316" t="str">
        <f>"20000008038635"</f>
        <v>20000008038635</v>
      </c>
    </row>
    <row r="317" spans="1:39" x14ac:dyDescent="0.25">
      <c r="A317">
        <v>907</v>
      </c>
      <c r="B317" t="str">
        <f t="shared" si="116"/>
        <v>Курск</v>
      </c>
      <c r="C317">
        <v>916796</v>
      </c>
      <c r="D317" t="str">
        <f t="shared" si="117"/>
        <v>Оптический кабель</v>
      </c>
      <c r="E317" t="str">
        <f>"[46/3205] М 2.2.8 - М 2.6.8"</f>
        <v>[46/3205] М 2.2.8 - М 2.6.8</v>
      </c>
      <c r="F317" t="str">
        <f>"ИКАЛс-М6П-А48 7кН"</f>
        <v>ИКАЛс-М6П-А48 7кН</v>
      </c>
      <c r="G317" t="str">
        <f>""</f>
        <v/>
      </c>
      <c r="H317" t="str">
        <f>"МС 2.6"</f>
        <v>МС 2.6</v>
      </c>
      <c r="I317">
        <v>527</v>
      </c>
      <c r="J317">
        <v>610</v>
      </c>
      <c r="K317">
        <v>30</v>
      </c>
      <c r="L317">
        <v>611.29999999999995</v>
      </c>
      <c r="M317" t="str">
        <f t="shared" ref="M317:M352" si="144">"Опоры"</f>
        <v>Опоры</v>
      </c>
      <c r="N317" t="str">
        <f>"29.06.20200"</f>
        <v>29.06.20200</v>
      </c>
      <c r="O317">
        <v>16</v>
      </c>
      <c r="P317">
        <v>14</v>
      </c>
      <c r="Q317" t="str">
        <f>""</f>
        <v/>
      </c>
      <c r="R317" t="str">
        <f>""</f>
        <v/>
      </c>
      <c r="S317" t="str">
        <f>"28.06.2020"</f>
        <v>28.06.2020</v>
      </c>
      <c r="T317" t="str">
        <f>"46/3205"</f>
        <v>46/3205</v>
      </c>
      <c r="U317" t="str">
        <f t="shared" ref="U317:U360" si="145">"Магистральная ВОЛС"</f>
        <v>Магистральная ВОЛС</v>
      </c>
      <c r="V317" t="str">
        <f t="shared" si="141"/>
        <v>Нет</v>
      </c>
      <c r="W317" t="str">
        <f t="shared" si="141"/>
        <v>Нет</v>
      </c>
      <c r="X317" t="str">
        <f t="shared" si="141"/>
        <v>Нет</v>
      </c>
      <c r="Y317" t="str">
        <f t="shared" si="141"/>
        <v>Нет</v>
      </c>
      <c r="Z317" t="str">
        <f t="shared" si="143"/>
        <v>Да</v>
      </c>
      <c r="AA317" t="str">
        <f>""</f>
        <v/>
      </c>
      <c r="AB317" t="str">
        <f t="shared" si="127"/>
        <v>Нет</v>
      </c>
      <c r="AC317" t="str">
        <f>""</f>
        <v/>
      </c>
      <c r="AD317" t="str">
        <f>"19.06.2020"</f>
        <v>19.06.2020</v>
      </c>
      <c r="AE317" t="str">
        <f>""</f>
        <v/>
      </c>
      <c r="AF317" t="str">
        <f>"[329165] М 2.2.8"</f>
        <v>[329165] М 2.2.8</v>
      </c>
      <c r="AG317" t="str">
        <f>"[443245] М 2.6.8"</f>
        <v>[443245] М 2.6.8</v>
      </c>
      <c r="AH317" t="str">
        <f>""</f>
        <v/>
      </c>
      <c r="AI317" t="str">
        <f>""</f>
        <v/>
      </c>
      <c r="AJ317" t="str">
        <f>""</f>
        <v/>
      </c>
      <c r="AK317" t="str">
        <f t="shared" si="142"/>
        <v>Нет</v>
      </c>
      <c r="AL317" t="s">
        <v>83</v>
      </c>
      <c r="AM317" t="str">
        <f>"20000008045137"</f>
        <v>20000008045137</v>
      </c>
    </row>
    <row r="318" spans="1:39" x14ac:dyDescent="0.25">
      <c r="A318">
        <v>907</v>
      </c>
      <c r="B318" t="str">
        <f t="shared" si="116"/>
        <v>Курск</v>
      </c>
      <c r="C318">
        <v>918268</v>
      </c>
      <c r="D318" t="str">
        <f t="shared" si="117"/>
        <v>Оптический кабель</v>
      </c>
      <c r="E318" t="str">
        <f>"[46/3216] М 1.5.6 - М 1.1.10"</f>
        <v>[46/3216] М 1.5.6 - М 1.1.10</v>
      </c>
      <c r="F318" t="str">
        <f>"ДПТс-П-16А 2(6) 7кН (Мод:Кр,Нат)(Вол:Кр,Жел,Зел,..,Ор,Фиол)"</f>
        <v>ДПТс-П-16А 2(6) 7кН (Мод:Кр,Нат)(Вол:Кр,Жел,Зел,..,Ор,Фиол)</v>
      </c>
      <c r="G318" t="str">
        <f>""</f>
        <v/>
      </c>
      <c r="H318" t="str">
        <f>"МС 1.5"</f>
        <v>МС 1.5</v>
      </c>
      <c r="I318">
        <v>719</v>
      </c>
      <c r="J318">
        <v>720</v>
      </c>
      <c r="K318">
        <v>0</v>
      </c>
      <c r="L318">
        <v>721</v>
      </c>
      <c r="M318" t="str">
        <f t="shared" si="144"/>
        <v>Опоры</v>
      </c>
      <c r="N318" t="str">
        <f>"01.10.20200"</f>
        <v>01.10.20200</v>
      </c>
      <c r="O318">
        <v>16</v>
      </c>
      <c r="P318">
        <v>16</v>
      </c>
      <c r="Q318" t="str">
        <f>""</f>
        <v/>
      </c>
      <c r="R318" t="str">
        <f>""</f>
        <v/>
      </c>
      <c r="S318" t="str">
        <f>"01.10.2020"</f>
        <v>01.10.2020</v>
      </c>
      <c r="T318" t="str">
        <f>"46/3216"</f>
        <v>46/3216</v>
      </c>
      <c r="U318" t="str">
        <f t="shared" si="145"/>
        <v>Магистральная ВОЛС</v>
      </c>
      <c r="V318" t="str">
        <f t="shared" si="141"/>
        <v>Нет</v>
      </c>
      <c r="W318" t="str">
        <f t="shared" si="141"/>
        <v>Нет</v>
      </c>
      <c r="X318" t="str">
        <f t="shared" si="141"/>
        <v>Нет</v>
      </c>
      <c r="Y318" t="str">
        <f t="shared" si="141"/>
        <v>Нет</v>
      </c>
      <c r="Z318" t="str">
        <f t="shared" si="143"/>
        <v>Да</v>
      </c>
      <c r="AA318" t="str">
        <f>""</f>
        <v/>
      </c>
      <c r="AB318" t="str">
        <f t="shared" si="127"/>
        <v>Нет</v>
      </c>
      <c r="AC318" t="str">
        <f>""</f>
        <v/>
      </c>
      <c r="AD318" t="str">
        <f>""</f>
        <v/>
      </c>
      <c r="AE318" t="str">
        <f>""</f>
        <v/>
      </c>
      <c r="AF318" t="str">
        <f>"[357667] М 1.5.6"</f>
        <v>[357667] М 1.5.6</v>
      </c>
      <c r="AG318" t="str">
        <f>"[644719] М 1.1.10"</f>
        <v>[644719] М 1.1.10</v>
      </c>
      <c r="AH318" t="str">
        <f>""</f>
        <v/>
      </c>
      <c r="AI318" t="str">
        <f>""</f>
        <v/>
      </c>
      <c r="AJ318" t="str">
        <f>""</f>
        <v/>
      </c>
      <c r="AK318" t="str">
        <f t="shared" si="142"/>
        <v>Нет</v>
      </c>
      <c r="AL318" t="s">
        <v>84</v>
      </c>
      <c r="AM318" t="str">
        <f>"20000008015721"</f>
        <v>20000008015721</v>
      </c>
    </row>
    <row r="319" spans="1:39" x14ac:dyDescent="0.25">
      <c r="A319">
        <v>907</v>
      </c>
      <c r="B319" t="str">
        <f t="shared" si="116"/>
        <v>Курск</v>
      </c>
      <c r="C319">
        <v>918359</v>
      </c>
      <c r="D319" t="str">
        <f t="shared" si="117"/>
        <v>Оптический кабель</v>
      </c>
      <c r="E319" t="str">
        <f>"[46/3220] М 1.5.9 - М1.1.15"</f>
        <v>[46/3220] М 1.5.9 - М1.1.15</v>
      </c>
      <c r="F319" t="str">
        <f>"ДПТс-П-16А 2(6) 7кН (Мод:Кр,Нат)(Вол:Кр,Жел,Зел,..,Ор,Фиол)"</f>
        <v>ДПТс-П-16А 2(6) 7кН (Мод:Кр,Нат)(Вол:Кр,Жел,Зел,..,Ор,Фиол)</v>
      </c>
      <c r="G319" t="str">
        <f>""</f>
        <v/>
      </c>
      <c r="H319" t="str">
        <f>"МС 1.5"</f>
        <v>МС 1.5</v>
      </c>
      <c r="I319">
        <v>376</v>
      </c>
      <c r="J319">
        <v>375.19</v>
      </c>
      <c r="K319">
        <v>0</v>
      </c>
      <c r="L319">
        <v>376</v>
      </c>
      <c r="M319" t="str">
        <f t="shared" si="144"/>
        <v>Опоры</v>
      </c>
      <c r="N319" t="str">
        <f>"05.10.20200"</f>
        <v>05.10.20200</v>
      </c>
      <c r="O319">
        <v>16</v>
      </c>
      <c r="P319">
        <v>6</v>
      </c>
      <c r="Q319" t="str">
        <f>""</f>
        <v/>
      </c>
      <c r="R319" t="str">
        <f>""</f>
        <v/>
      </c>
      <c r="S319" t="str">
        <f>"19.11.2020"</f>
        <v>19.11.2020</v>
      </c>
      <c r="T319" t="str">
        <f>"46/3220"</f>
        <v>46/3220</v>
      </c>
      <c r="U319" t="str">
        <f t="shared" si="145"/>
        <v>Магистральная ВОЛС</v>
      </c>
      <c r="V319" t="str">
        <f t="shared" si="141"/>
        <v>Нет</v>
      </c>
      <c r="W319" t="str">
        <f t="shared" si="141"/>
        <v>Нет</v>
      </c>
      <c r="X319" t="str">
        <f t="shared" si="141"/>
        <v>Нет</v>
      </c>
      <c r="Y319" t="str">
        <f t="shared" si="141"/>
        <v>Нет</v>
      </c>
      <c r="Z319" t="str">
        <f t="shared" si="143"/>
        <v>Да</v>
      </c>
      <c r="AA319" t="str">
        <f>""</f>
        <v/>
      </c>
      <c r="AB319" t="str">
        <f t="shared" si="127"/>
        <v>Нет</v>
      </c>
      <c r="AC319" t="str">
        <f>""</f>
        <v/>
      </c>
      <c r="AD319" t="str">
        <f>""</f>
        <v/>
      </c>
      <c r="AE319" t="str">
        <f>""</f>
        <v/>
      </c>
      <c r="AF319" t="str">
        <f>"[641519] М 1.5.9"</f>
        <v>[641519] М 1.5.9</v>
      </c>
      <c r="AG319" t="str">
        <f>"[641521] М1.1.15"</f>
        <v>[641521] М1.1.15</v>
      </c>
      <c r="AH319" t="str">
        <f>""</f>
        <v/>
      </c>
      <c r="AI319" t="str">
        <f>""</f>
        <v/>
      </c>
      <c r="AJ319" t="str">
        <f>""</f>
        <v/>
      </c>
      <c r="AK319" t="str">
        <f t="shared" si="142"/>
        <v>Нет</v>
      </c>
      <c r="AL319" t="s">
        <v>85</v>
      </c>
      <c r="AM319" t="str">
        <f>"20000008039573"</f>
        <v>20000008039573</v>
      </c>
    </row>
    <row r="320" spans="1:39" x14ac:dyDescent="0.25">
      <c r="A320">
        <v>907</v>
      </c>
      <c r="B320" t="str">
        <f t="shared" si="116"/>
        <v>Курск</v>
      </c>
      <c r="C320">
        <v>919810</v>
      </c>
      <c r="D320" t="str">
        <f t="shared" si="117"/>
        <v>Оптический кабель</v>
      </c>
      <c r="E320" t="str">
        <f>"[46/3238] М 1.1.10 - М 1.5.9"</f>
        <v>[46/3238] М 1.1.10 - М 1.5.9</v>
      </c>
      <c r="F320" t="str">
        <f>"ДПТс-П-16А 2(6) 7кН (Мод:Кр,Нат)(Вол:Кр,Жел,Зел,..,Ор,Фиол)"</f>
        <v>ДПТс-П-16А 2(6) 7кН (Мод:Кр,Нат)(Вол:Кр,Жел,Зел,..,Ор,Фиол)</v>
      </c>
      <c r="G320" t="str">
        <f>""</f>
        <v/>
      </c>
      <c r="H320" t="str">
        <f>"МС 1.5"</f>
        <v>МС 1.5</v>
      </c>
      <c r="I320">
        <v>104</v>
      </c>
      <c r="J320">
        <v>104.4</v>
      </c>
      <c r="K320">
        <v>0</v>
      </c>
      <c r="L320">
        <v>105</v>
      </c>
      <c r="M320" t="str">
        <f t="shared" si="144"/>
        <v>Опоры</v>
      </c>
      <c r="N320" t="str">
        <f>"16.12.20200"</f>
        <v>16.12.20200</v>
      </c>
      <c r="O320">
        <v>16</v>
      </c>
      <c r="P320">
        <v>6</v>
      </c>
      <c r="Q320" t="str">
        <f>""</f>
        <v/>
      </c>
      <c r="R320" t="str">
        <f>""</f>
        <v/>
      </c>
      <c r="S320" t="str">
        <f>"01.10.2020"</f>
        <v>01.10.2020</v>
      </c>
      <c r="T320" t="str">
        <f>"46/3238"</f>
        <v>46/3238</v>
      </c>
      <c r="U320" t="str">
        <f t="shared" si="145"/>
        <v>Магистральная ВОЛС</v>
      </c>
      <c r="V320" t="str">
        <f t="shared" si="141"/>
        <v>Нет</v>
      </c>
      <c r="W320" t="str">
        <f t="shared" si="141"/>
        <v>Нет</v>
      </c>
      <c r="X320" t="str">
        <f t="shared" si="141"/>
        <v>Нет</v>
      </c>
      <c r="Y320" t="str">
        <f t="shared" si="141"/>
        <v>Нет</v>
      </c>
      <c r="Z320" t="str">
        <f t="shared" si="143"/>
        <v>Да</v>
      </c>
      <c r="AA320" t="str">
        <f>""</f>
        <v/>
      </c>
      <c r="AB320" t="str">
        <f t="shared" si="127"/>
        <v>Нет</v>
      </c>
      <c r="AC320" t="str">
        <f>""</f>
        <v/>
      </c>
      <c r="AD320" t="str">
        <f>""</f>
        <v/>
      </c>
      <c r="AE320" t="str">
        <f>""</f>
        <v/>
      </c>
      <c r="AF320" t="str">
        <f>"[644719] М 1.1.10"</f>
        <v>[644719] М 1.1.10</v>
      </c>
      <c r="AG320" t="str">
        <f>"[641519] М 1.5.9"</f>
        <v>[641519] М 1.5.9</v>
      </c>
      <c r="AH320" t="str">
        <f>""</f>
        <v/>
      </c>
      <c r="AI320" t="str">
        <f>""</f>
        <v/>
      </c>
      <c r="AJ320" t="str">
        <f>""</f>
        <v/>
      </c>
      <c r="AK320" t="str">
        <f t="shared" si="142"/>
        <v>Нет</v>
      </c>
      <c r="AL320" t="str">
        <f>"51.731666 36.183961, 51.732174 36.184313, 51.732237 36.184596, 51.732212 36.184775"</f>
        <v>51.731666 36.183961, 51.732174 36.184313, 51.732237 36.184596, 51.732212 36.184775</v>
      </c>
      <c r="AM320" t="str">
        <f>"20000008039572"</f>
        <v>20000008039572</v>
      </c>
    </row>
    <row r="321" spans="1:39" x14ac:dyDescent="0.25">
      <c r="A321">
        <v>907</v>
      </c>
      <c r="B321" t="str">
        <f t="shared" si="116"/>
        <v>Курск</v>
      </c>
      <c r="C321">
        <v>924033</v>
      </c>
      <c r="D321" t="str">
        <f t="shared" si="117"/>
        <v>Оптический кабель</v>
      </c>
      <c r="E321" t="str">
        <f>"[46/3395]  - "</f>
        <v xml:space="preserve">[46/3395]  - </v>
      </c>
      <c r="F321" t="str">
        <f>"ДОТс-П-08У(1х8) 7кН (Мод:Нат)(Вол:Син,Ор,Зел,Кор,...,Кр,Чер)"</f>
        <v>ДОТс-П-08У(1х8) 7кН (Мод:Нат)(Вол:Син,Ор,Зел,Кор,...,Кр,Чер)</v>
      </c>
      <c r="G321" t="str">
        <f>"необходима актулизация"</f>
        <v>необходима актулизация</v>
      </c>
      <c r="H321" t="str">
        <f>"МС 1.5"</f>
        <v>МС 1.5</v>
      </c>
      <c r="I321">
        <v>351</v>
      </c>
      <c r="J321">
        <v>450</v>
      </c>
      <c r="K321">
        <v>0</v>
      </c>
      <c r="L321">
        <v>460</v>
      </c>
      <c r="M321" t="str">
        <f t="shared" si="144"/>
        <v>Опоры</v>
      </c>
      <c r="N321" t="str">
        <f>"28.06.20211"</f>
        <v>28.06.20211</v>
      </c>
      <c r="O321">
        <v>1</v>
      </c>
      <c r="P321">
        <v>0</v>
      </c>
      <c r="Q321" t="str">
        <f>""</f>
        <v/>
      </c>
      <c r="R321" t="str">
        <f>""</f>
        <v/>
      </c>
      <c r="S321" t="str">
        <f>"12.04.2021"</f>
        <v>12.04.2021</v>
      </c>
      <c r="T321" t="str">
        <f>"46/3395"</f>
        <v>46/3395</v>
      </c>
      <c r="U321" t="str">
        <f t="shared" si="145"/>
        <v>Магистральная ВОЛС</v>
      </c>
      <c r="V321" t="str">
        <f t="shared" si="141"/>
        <v>Нет</v>
      </c>
      <c r="W321" t="str">
        <f t="shared" si="141"/>
        <v>Нет</v>
      </c>
      <c r="X321" t="str">
        <f t="shared" si="141"/>
        <v>Нет</v>
      </c>
      <c r="Y321" t="str">
        <f t="shared" si="141"/>
        <v>Нет</v>
      </c>
      <c r="Z321" t="str">
        <f t="shared" si="143"/>
        <v>Да</v>
      </c>
      <c r="AA321" t="str">
        <f>""</f>
        <v/>
      </c>
      <c r="AB321" t="str">
        <f t="shared" si="127"/>
        <v>Нет</v>
      </c>
      <c r="AC321" t="str">
        <f>""</f>
        <v/>
      </c>
      <c r="AD321" t="str">
        <f>"28.06.2019"</f>
        <v>28.06.2019</v>
      </c>
      <c r="AE321" t="str">
        <f>""</f>
        <v/>
      </c>
      <c r="AF321" t="str">
        <f>""</f>
        <v/>
      </c>
      <c r="AG321" t="str">
        <f>""</f>
        <v/>
      </c>
      <c r="AH321" t="str">
        <f>""</f>
        <v/>
      </c>
      <c r="AI321" t="str">
        <f>""</f>
        <v/>
      </c>
      <c r="AJ321" t="str">
        <f>""</f>
        <v/>
      </c>
      <c r="AK321" t="str">
        <f>"Да"</f>
        <v>Да</v>
      </c>
      <c r="AL321" t="str">
        <f>"51.731615 36.183835, 51.731657 36.183715, 51.731884 36.18364, 51.73217 36.183546, 51.73254 36.183353, 51.732992 36.182897, 51.733373 36.18251, 51.733643 36.182207, 51.733866 36.181877, 51.734067 36.181448, 51.73427 36.18136"</f>
        <v>51.731615 36.183835, 51.731657 36.183715, 51.731884 36.18364, 51.73217 36.183546, 51.73254 36.183353, 51.732992 36.182897, 51.733373 36.18251, 51.733643 36.182207, 51.733866 36.181877, 51.734067 36.181448, 51.73427 36.18136</v>
      </c>
      <c r="AM321" t="str">
        <f>"20000008935177"</f>
        <v>20000008935177</v>
      </c>
    </row>
    <row r="322" spans="1:39" x14ac:dyDescent="0.25">
      <c r="A322">
        <v>907</v>
      </c>
      <c r="B322" t="str">
        <f t="shared" ref="B322:B385" si="146">"Курск"</f>
        <v>Курск</v>
      </c>
      <c r="C322">
        <v>959159</v>
      </c>
      <c r="D322" t="str">
        <f t="shared" ref="D322:D385" si="147">"Оптический кабель"</f>
        <v>Оптический кабель</v>
      </c>
      <c r="E322" t="str">
        <f>"[46/4128] М5.7.30 - М5.7.29"</f>
        <v>[46/4128] М5.7.30 - М5.7.29</v>
      </c>
      <c r="F322" t="str">
        <f t="shared" ref="F322:F329" si="148">"ОКМС-64 (G.652.D) 7кН (Мод:Кр,Жел, 4Нат)"</f>
        <v>ОКМС-64 (G.652.D) 7кН (Мод:Кр,Жел, 4Нат)</v>
      </c>
      <c r="G322" t="str">
        <f>""</f>
        <v/>
      </c>
      <c r="H322" t="str">
        <f t="shared" ref="H322:H360" si="149">"МС 5.7"</f>
        <v>МС 5.7</v>
      </c>
      <c r="I322">
        <v>604</v>
      </c>
      <c r="J322">
        <v>700</v>
      </c>
      <c r="K322">
        <v>0</v>
      </c>
      <c r="M322" t="str">
        <f t="shared" si="144"/>
        <v>Опоры</v>
      </c>
      <c r="N322" t="str">
        <f t="shared" ref="N322:N359" si="150">"08.06.20222"</f>
        <v>08.06.20222</v>
      </c>
      <c r="O322">
        <v>58</v>
      </c>
      <c r="P322">
        <v>58</v>
      </c>
      <c r="Q322" t="str">
        <f>""</f>
        <v/>
      </c>
      <c r="R322" t="str">
        <f>""</f>
        <v/>
      </c>
      <c r="S322" t="str">
        <f t="shared" ref="S322:S360" si="151">"29.03.2022"</f>
        <v>29.03.2022</v>
      </c>
      <c r="T322" t="str">
        <f>"46/4128"</f>
        <v>46/4128</v>
      </c>
      <c r="U322" t="str">
        <f t="shared" si="145"/>
        <v>Магистральная ВОЛС</v>
      </c>
      <c r="V322" t="str">
        <f t="shared" si="141"/>
        <v>Нет</v>
      </c>
      <c r="W322" t="str">
        <f t="shared" si="141"/>
        <v>Нет</v>
      </c>
      <c r="X322" t="str">
        <f t="shared" si="141"/>
        <v>Нет</v>
      </c>
      <c r="Y322" t="str">
        <f t="shared" si="141"/>
        <v>Нет</v>
      </c>
      <c r="Z322" t="str">
        <f t="shared" ref="Z322:Z361" si="152">"Нет"</f>
        <v>Нет</v>
      </c>
      <c r="AA322" t="str">
        <f>""</f>
        <v/>
      </c>
      <c r="AB322" t="str">
        <f t="shared" si="127"/>
        <v>Нет</v>
      </c>
      <c r="AC322" t="str">
        <f>""</f>
        <v/>
      </c>
      <c r="AD322" t="str">
        <f>""</f>
        <v/>
      </c>
      <c r="AE322" t="str">
        <f>""</f>
        <v/>
      </c>
      <c r="AF322" t="str">
        <f>"[740949] М5.7.30"</f>
        <v>[740949] М5.7.30</v>
      </c>
      <c r="AG322" t="str">
        <f>"[741208] М5.7.29"</f>
        <v>[741208] М5.7.29</v>
      </c>
      <c r="AH322" t="str">
        <f>""</f>
        <v/>
      </c>
      <c r="AI322" t="str">
        <f>""</f>
        <v/>
      </c>
      <c r="AJ322" t="str">
        <f>""</f>
        <v/>
      </c>
      <c r="AK322" t="str">
        <f t="shared" ref="AK322:AK353" si="153">"Нет"</f>
        <v>Нет</v>
      </c>
      <c r="AL322" t="str">
        <f>"51.191552 38.142176, 51.196487 38.141613"</f>
        <v>51.191552 38.142176, 51.196487 38.141613</v>
      </c>
      <c r="AM322" t="str">
        <f>"20000008036109"</f>
        <v>20000008036109</v>
      </c>
    </row>
    <row r="323" spans="1:39" x14ac:dyDescent="0.25">
      <c r="A323">
        <v>907</v>
      </c>
      <c r="B323" t="str">
        <f t="shared" si="146"/>
        <v>Курск</v>
      </c>
      <c r="C323">
        <v>959197</v>
      </c>
      <c r="D323" t="str">
        <f t="shared" si="147"/>
        <v>Оптический кабель</v>
      </c>
      <c r="E323" t="str">
        <f>"[46/4129] М5.7.29 - М5.7.28"</f>
        <v>[46/4129] М5.7.29 - М5.7.28</v>
      </c>
      <c r="F323" t="str">
        <f t="shared" si="148"/>
        <v>ОКМС-64 (G.652.D) 7кН (Мод:Кр,Жел, 4Нат)</v>
      </c>
      <c r="G323" t="str">
        <f>""</f>
        <v/>
      </c>
      <c r="H323" t="str">
        <f t="shared" si="149"/>
        <v>МС 5.7</v>
      </c>
      <c r="I323">
        <v>843</v>
      </c>
      <c r="J323">
        <v>930</v>
      </c>
      <c r="K323">
        <v>0</v>
      </c>
      <c r="M323" t="str">
        <f t="shared" si="144"/>
        <v>Опоры</v>
      </c>
      <c r="N323" t="str">
        <f t="shared" si="150"/>
        <v>08.06.20222</v>
      </c>
      <c r="O323">
        <v>60</v>
      </c>
      <c r="P323">
        <v>60</v>
      </c>
      <c r="Q323" t="str">
        <f>""</f>
        <v/>
      </c>
      <c r="R323" t="str">
        <f>""</f>
        <v/>
      </c>
      <c r="S323" t="str">
        <f t="shared" si="151"/>
        <v>29.03.2022</v>
      </c>
      <c r="T323" t="str">
        <f>"46/4129"</f>
        <v>46/4129</v>
      </c>
      <c r="U323" t="str">
        <f t="shared" si="145"/>
        <v>Магистральная ВОЛС</v>
      </c>
      <c r="V323" t="str">
        <f t="shared" si="141"/>
        <v>Нет</v>
      </c>
      <c r="W323" t="str">
        <f t="shared" si="141"/>
        <v>Нет</v>
      </c>
      <c r="X323" t="str">
        <f t="shared" si="141"/>
        <v>Нет</v>
      </c>
      <c r="Y323" t="str">
        <f t="shared" si="141"/>
        <v>Нет</v>
      </c>
      <c r="Z323" t="str">
        <f t="shared" si="152"/>
        <v>Нет</v>
      </c>
      <c r="AA323" t="str">
        <f>""</f>
        <v/>
      </c>
      <c r="AB323" t="str">
        <f t="shared" si="127"/>
        <v>Нет</v>
      </c>
      <c r="AC323" t="str">
        <f>""</f>
        <v/>
      </c>
      <c r="AD323" t="str">
        <f>""</f>
        <v/>
      </c>
      <c r="AE323" t="str">
        <f>""</f>
        <v/>
      </c>
      <c r="AF323" t="str">
        <f>"[741208] М5.7.29"</f>
        <v>[741208] М5.7.29</v>
      </c>
      <c r="AG323" t="str">
        <f>"[741467] М5.7.28"</f>
        <v>[741467] М5.7.28</v>
      </c>
      <c r="AH323" t="str">
        <f>""</f>
        <v/>
      </c>
      <c r="AI323" t="str">
        <f>""</f>
        <v/>
      </c>
      <c r="AJ323" t="str">
        <f>""</f>
        <v/>
      </c>
      <c r="AK323" t="str">
        <f t="shared" si="153"/>
        <v>Нет</v>
      </c>
      <c r="AL323" t="str">
        <f>"51.196487 38.141613, 51.202504 38.137391"</f>
        <v>51.196487 38.141613, 51.202504 38.137391</v>
      </c>
      <c r="AM323" t="str">
        <f>"20000008040058"</f>
        <v>20000008040058</v>
      </c>
    </row>
    <row r="324" spans="1:39" x14ac:dyDescent="0.25">
      <c r="A324">
        <v>907</v>
      </c>
      <c r="B324" t="str">
        <f t="shared" si="146"/>
        <v>Курск</v>
      </c>
      <c r="C324">
        <v>959257</v>
      </c>
      <c r="D324" t="str">
        <f t="shared" si="147"/>
        <v>Оптический кабель</v>
      </c>
      <c r="E324" t="str">
        <f>"[46/4130] М5.7.28 - М5.7.27"</f>
        <v>[46/4130] М5.7.28 - М5.7.27</v>
      </c>
      <c r="F324" t="str">
        <f t="shared" si="148"/>
        <v>ОКМС-64 (G.652.D) 7кН (Мод:Кр,Жел, 4Нат)</v>
      </c>
      <c r="G324" t="str">
        <f>""</f>
        <v/>
      </c>
      <c r="H324" t="str">
        <f t="shared" si="149"/>
        <v>МС 5.7</v>
      </c>
      <c r="I324">
        <v>880</v>
      </c>
      <c r="J324">
        <v>970</v>
      </c>
      <c r="K324">
        <v>0</v>
      </c>
      <c r="M324" t="str">
        <f t="shared" si="144"/>
        <v>Опоры</v>
      </c>
      <c r="N324" t="str">
        <f t="shared" si="150"/>
        <v>08.06.20222</v>
      </c>
      <c r="O324">
        <v>62</v>
      </c>
      <c r="P324">
        <v>62</v>
      </c>
      <c r="Q324" t="str">
        <f>""</f>
        <v/>
      </c>
      <c r="R324" t="str">
        <f>""</f>
        <v/>
      </c>
      <c r="S324" t="str">
        <f t="shared" si="151"/>
        <v>29.03.2022</v>
      </c>
      <c r="T324" t="str">
        <f>"46/4130"</f>
        <v>46/4130</v>
      </c>
      <c r="U324" t="str">
        <f t="shared" si="145"/>
        <v>Магистральная ВОЛС</v>
      </c>
      <c r="V324" t="str">
        <f t="shared" si="141"/>
        <v>Нет</v>
      </c>
      <c r="W324" t="str">
        <f t="shared" si="141"/>
        <v>Нет</v>
      </c>
      <c r="X324" t="str">
        <f t="shared" si="141"/>
        <v>Нет</v>
      </c>
      <c r="Y324" t="str">
        <f t="shared" si="141"/>
        <v>Нет</v>
      </c>
      <c r="Z324" t="str">
        <f t="shared" si="152"/>
        <v>Нет</v>
      </c>
      <c r="AA324" t="str">
        <f>""</f>
        <v/>
      </c>
      <c r="AB324" t="str">
        <f t="shared" si="127"/>
        <v>Нет</v>
      </c>
      <c r="AC324" t="str">
        <f>""</f>
        <v/>
      </c>
      <c r="AD324" t="str">
        <f>""</f>
        <v/>
      </c>
      <c r="AE324" t="str">
        <f>""</f>
        <v/>
      </c>
      <c r="AF324" t="str">
        <f>"[741467] М5.7.28"</f>
        <v>[741467] М5.7.28</v>
      </c>
      <c r="AG324" t="str">
        <f>"[741726] М5.7.27"</f>
        <v>[741726] М5.7.27</v>
      </c>
      <c r="AH324" t="str">
        <f>""</f>
        <v/>
      </c>
      <c r="AI324" t="str">
        <f>""</f>
        <v/>
      </c>
      <c r="AJ324" t="str">
        <f>""</f>
        <v/>
      </c>
      <c r="AK324" t="str">
        <f t="shared" si="153"/>
        <v>Нет</v>
      </c>
      <c r="AL324" t="str">
        <f>"51.202504 38.137391, 51.208866 38.132644"</f>
        <v>51.202504 38.137391, 51.208866 38.132644</v>
      </c>
      <c r="AM324" t="str">
        <f>"20000008017086"</f>
        <v>20000008017086</v>
      </c>
    </row>
    <row r="325" spans="1:39" x14ac:dyDescent="0.25">
      <c r="A325">
        <v>907</v>
      </c>
      <c r="B325" t="str">
        <f t="shared" si="146"/>
        <v>Курск</v>
      </c>
      <c r="C325">
        <v>959309</v>
      </c>
      <c r="D325" t="str">
        <f t="shared" si="147"/>
        <v>Оптический кабель</v>
      </c>
      <c r="E325" t="str">
        <f>"[46/4131] М5.7.27 - М5.7.26"</f>
        <v>[46/4131] М5.7.27 - М5.7.26</v>
      </c>
      <c r="F325" t="str">
        <f t="shared" si="148"/>
        <v>ОКМС-64 (G.652.D) 7кН (Мод:Кр,Жел, 4Нат)</v>
      </c>
      <c r="G325" t="str">
        <f>""</f>
        <v/>
      </c>
      <c r="H325" t="str">
        <f t="shared" si="149"/>
        <v>МС 5.7</v>
      </c>
      <c r="I325">
        <v>342</v>
      </c>
      <c r="J325">
        <v>400</v>
      </c>
      <c r="K325">
        <v>0</v>
      </c>
      <c r="M325" t="str">
        <f t="shared" si="144"/>
        <v>Опоры</v>
      </c>
      <c r="N325" t="str">
        <f t="shared" si="150"/>
        <v>08.06.20222</v>
      </c>
      <c r="O325">
        <v>64</v>
      </c>
      <c r="P325">
        <v>64</v>
      </c>
      <c r="Q325" t="str">
        <f>""</f>
        <v/>
      </c>
      <c r="R325" t="str">
        <f>""</f>
        <v/>
      </c>
      <c r="S325" t="str">
        <f t="shared" si="151"/>
        <v>29.03.2022</v>
      </c>
      <c r="T325" t="str">
        <f>"46/4131"</f>
        <v>46/4131</v>
      </c>
      <c r="U325" t="str">
        <f t="shared" si="145"/>
        <v>Магистральная ВОЛС</v>
      </c>
      <c r="V325" t="str">
        <f t="shared" si="141"/>
        <v>Нет</v>
      </c>
      <c r="W325" t="str">
        <f t="shared" si="141"/>
        <v>Нет</v>
      </c>
      <c r="X325" t="str">
        <f t="shared" si="141"/>
        <v>Нет</v>
      </c>
      <c r="Y325" t="str">
        <f t="shared" si="141"/>
        <v>Нет</v>
      </c>
      <c r="Z325" t="str">
        <f t="shared" si="152"/>
        <v>Нет</v>
      </c>
      <c r="AA325" t="str">
        <f>""</f>
        <v/>
      </c>
      <c r="AB325" t="str">
        <f t="shared" si="127"/>
        <v>Нет</v>
      </c>
      <c r="AC325" t="str">
        <f>""</f>
        <v/>
      </c>
      <c r="AD325" t="str">
        <f>""</f>
        <v/>
      </c>
      <c r="AE325" t="str">
        <f>""</f>
        <v/>
      </c>
      <c r="AF325" t="str">
        <f>"[741726] М5.7.27"</f>
        <v>[741726] М5.7.27</v>
      </c>
      <c r="AG325" t="str">
        <f>"[741985] М5.7.26"</f>
        <v>[741985] М5.7.26</v>
      </c>
      <c r="AH325" t="str">
        <f>""</f>
        <v/>
      </c>
      <c r="AI325" t="str">
        <f>""</f>
        <v/>
      </c>
      <c r="AJ325" t="str">
        <f>""</f>
        <v/>
      </c>
      <c r="AK325" t="str">
        <f t="shared" si="153"/>
        <v>Нет</v>
      </c>
      <c r="AL325" t="str">
        <f>"51.208866 38.132644, 51.211844 38.132182"</f>
        <v>51.208866 38.132644, 51.211844 38.132182</v>
      </c>
      <c r="AM325" t="str">
        <f>"20000008017085"</f>
        <v>20000008017085</v>
      </c>
    </row>
    <row r="326" spans="1:39" x14ac:dyDescent="0.25">
      <c r="A326">
        <v>907</v>
      </c>
      <c r="B326" t="str">
        <f t="shared" si="146"/>
        <v>Курск</v>
      </c>
      <c r="C326">
        <v>959331</v>
      </c>
      <c r="D326" t="str">
        <f t="shared" si="147"/>
        <v>Оптический кабель</v>
      </c>
      <c r="E326" t="str">
        <f>"[46/4132] М5.7.26 - М5.7.25"</f>
        <v>[46/4132] М5.7.26 - М5.7.25</v>
      </c>
      <c r="F326" t="str">
        <f t="shared" si="148"/>
        <v>ОКМС-64 (G.652.D) 7кН (Мод:Кр,Жел, 4Нат)</v>
      </c>
      <c r="G326" t="str">
        <f>""</f>
        <v/>
      </c>
      <c r="H326" t="str">
        <f t="shared" si="149"/>
        <v>МС 5.7</v>
      </c>
      <c r="I326">
        <v>291</v>
      </c>
      <c r="J326">
        <v>360</v>
      </c>
      <c r="K326">
        <v>0</v>
      </c>
      <c r="M326" t="str">
        <f t="shared" si="144"/>
        <v>Опоры</v>
      </c>
      <c r="N326" t="str">
        <f t="shared" si="150"/>
        <v>08.06.20222</v>
      </c>
      <c r="O326">
        <v>62</v>
      </c>
      <c r="P326">
        <v>62</v>
      </c>
      <c r="Q326" t="str">
        <f>""</f>
        <v/>
      </c>
      <c r="R326" t="str">
        <f>""</f>
        <v/>
      </c>
      <c r="S326" t="str">
        <f t="shared" si="151"/>
        <v>29.03.2022</v>
      </c>
      <c r="T326" t="str">
        <f>"46/4132"</f>
        <v>46/4132</v>
      </c>
      <c r="U326" t="str">
        <f t="shared" si="145"/>
        <v>Магистральная ВОЛС</v>
      </c>
      <c r="V326" t="str">
        <f t="shared" si="141"/>
        <v>Нет</v>
      </c>
      <c r="W326" t="str">
        <f t="shared" si="141"/>
        <v>Нет</v>
      </c>
      <c r="X326" t="str">
        <f t="shared" si="141"/>
        <v>Нет</v>
      </c>
      <c r="Y326" t="str">
        <f t="shared" si="141"/>
        <v>Нет</v>
      </c>
      <c r="Z326" t="str">
        <f t="shared" si="152"/>
        <v>Нет</v>
      </c>
      <c r="AA326" t="str">
        <f>""</f>
        <v/>
      </c>
      <c r="AB326" t="str">
        <f t="shared" ref="AB326:AB357" si="154">"Нет"</f>
        <v>Нет</v>
      </c>
      <c r="AC326" t="str">
        <f>""</f>
        <v/>
      </c>
      <c r="AD326" t="str">
        <f>""</f>
        <v/>
      </c>
      <c r="AE326" t="str">
        <f>""</f>
        <v/>
      </c>
      <c r="AF326" t="str">
        <f>"[741985] М5.7.26"</f>
        <v>[741985] М5.7.26</v>
      </c>
      <c r="AG326" t="str">
        <f>"[742244] М5.7.25"</f>
        <v>[742244] М5.7.25</v>
      </c>
      <c r="AH326" t="str">
        <f>""</f>
        <v/>
      </c>
      <c r="AI326" t="str">
        <f>""</f>
        <v/>
      </c>
      <c r="AJ326" t="str">
        <f>""</f>
        <v/>
      </c>
      <c r="AK326" t="str">
        <f t="shared" si="153"/>
        <v>Нет</v>
      </c>
      <c r="AL326" t="str">
        <f>"51.211844 38.132182, 51.212126 38.12854"</f>
        <v>51.211844 38.132182, 51.212126 38.12854</v>
      </c>
      <c r="AM326" t="str">
        <f>"20000008017084"</f>
        <v>20000008017084</v>
      </c>
    </row>
    <row r="327" spans="1:39" x14ac:dyDescent="0.25">
      <c r="A327">
        <v>907</v>
      </c>
      <c r="B327" t="str">
        <f t="shared" si="146"/>
        <v>Курск</v>
      </c>
      <c r="C327">
        <v>959336</v>
      </c>
      <c r="D327" t="str">
        <f t="shared" si="147"/>
        <v>Оптический кабель</v>
      </c>
      <c r="E327" t="str">
        <f>"[46/4133] М5.7.25 - М5.7.24"</f>
        <v>[46/4133] М5.7.25 - М5.7.24</v>
      </c>
      <c r="F327" t="str">
        <f t="shared" si="148"/>
        <v>ОКМС-64 (G.652.D) 7кН (Мод:Кр,Жел, 4Нат)</v>
      </c>
      <c r="G327" t="str">
        <f>""</f>
        <v/>
      </c>
      <c r="H327" t="str">
        <f t="shared" si="149"/>
        <v>МС 5.7</v>
      </c>
      <c r="I327">
        <v>359</v>
      </c>
      <c r="J327">
        <v>410</v>
      </c>
      <c r="K327">
        <v>0</v>
      </c>
      <c r="M327" t="str">
        <f t="shared" si="144"/>
        <v>Опоры</v>
      </c>
      <c r="N327" t="str">
        <f t="shared" si="150"/>
        <v>08.06.20222</v>
      </c>
      <c r="O327">
        <v>60</v>
      </c>
      <c r="P327">
        <v>60</v>
      </c>
      <c r="Q327" t="str">
        <f>""</f>
        <v/>
      </c>
      <c r="R327" t="str">
        <f>""</f>
        <v/>
      </c>
      <c r="S327" t="str">
        <f t="shared" si="151"/>
        <v>29.03.2022</v>
      </c>
      <c r="T327" t="str">
        <f>"46/4133"</f>
        <v>46/4133</v>
      </c>
      <c r="U327" t="str">
        <f t="shared" si="145"/>
        <v>Магистральная ВОЛС</v>
      </c>
      <c r="V327" t="str">
        <f t="shared" si="141"/>
        <v>Нет</v>
      </c>
      <c r="W327" t="str">
        <f t="shared" si="141"/>
        <v>Нет</v>
      </c>
      <c r="X327" t="str">
        <f t="shared" si="141"/>
        <v>Нет</v>
      </c>
      <c r="Y327" t="str">
        <f t="shared" si="141"/>
        <v>Нет</v>
      </c>
      <c r="Z327" t="str">
        <f t="shared" si="152"/>
        <v>Нет</v>
      </c>
      <c r="AA327" t="str">
        <f>""</f>
        <v/>
      </c>
      <c r="AB327" t="str">
        <f t="shared" si="154"/>
        <v>Нет</v>
      </c>
      <c r="AC327" t="str">
        <f>""</f>
        <v/>
      </c>
      <c r="AD327" t="str">
        <f>""</f>
        <v/>
      </c>
      <c r="AE327" t="str">
        <f>""</f>
        <v/>
      </c>
      <c r="AF327" t="str">
        <f>"[742244] М5.7.25"</f>
        <v>[742244] М5.7.25</v>
      </c>
      <c r="AG327" t="str">
        <f>"[742503] М5.7.24"</f>
        <v>[742503] М5.7.24</v>
      </c>
      <c r="AH327" t="str">
        <f>""</f>
        <v/>
      </c>
      <c r="AI327" t="str">
        <f>""</f>
        <v/>
      </c>
      <c r="AJ327" t="str">
        <f>""</f>
        <v/>
      </c>
      <c r="AK327" t="str">
        <f t="shared" si="153"/>
        <v>Нет</v>
      </c>
      <c r="AL327" t="str">
        <f>"51.212126 38.12854, 51.215292 38.128154"</f>
        <v>51.212126 38.12854, 51.215292 38.128154</v>
      </c>
      <c r="AM327" t="str">
        <f>"20000008045136"</f>
        <v>20000008045136</v>
      </c>
    </row>
    <row r="328" spans="1:39" x14ac:dyDescent="0.25">
      <c r="A328">
        <v>907</v>
      </c>
      <c r="B328" t="str">
        <f t="shared" si="146"/>
        <v>Курск</v>
      </c>
      <c r="C328">
        <v>959377</v>
      </c>
      <c r="D328" t="str">
        <f t="shared" si="147"/>
        <v>Оптический кабель</v>
      </c>
      <c r="E328" t="str">
        <f>"[46/4134] М5.7.24 - М5.7.23"</f>
        <v>[46/4134] М5.7.24 - М5.7.23</v>
      </c>
      <c r="F328" t="str">
        <f t="shared" si="148"/>
        <v>ОКМС-64 (G.652.D) 7кН (Мод:Кр,Жел, 4Нат)</v>
      </c>
      <c r="G328" t="str">
        <f>""</f>
        <v/>
      </c>
      <c r="H328" t="str">
        <f t="shared" si="149"/>
        <v>МС 5.7</v>
      </c>
      <c r="I328">
        <v>530</v>
      </c>
      <c r="J328">
        <v>610</v>
      </c>
      <c r="K328">
        <v>0</v>
      </c>
      <c r="M328" t="str">
        <f t="shared" si="144"/>
        <v>Опоры</v>
      </c>
      <c r="N328" t="str">
        <f t="shared" si="150"/>
        <v>08.06.20222</v>
      </c>
      <c r="O328">
        <v>62</v>
      </c>
      <c r="P328">
        <v>62</v>
      </c>
      <c r="Q328" t="str">
        <f>""</f>
        <v/>
      </c>
      <c r="R328" t="str">
        <f>""</f>
        <v/>
      </c>
      <c r="S328" t="str">
        <f t="shared" si="151"/>
        <v>29.03.2022</v>
      </c>
      <c r="T328" t="str">
        <f>"46/4134"</f>
        <v>46/4134</v>
      </c>
      <c r="U328" t="str">
        <f t="shared" si="145"/>
        <v>Магистральная ВОЛС</v>
      </c>
      <c r="V328" t="str">
        <f t="shared" ref="V328:Y347" si="155">"Нет"</f>
        <v>Нет</v>
      </c>
      <c r="W328" t="str">
        <f t="shared" si="155"/>
        <v>Нет</v>
      </c>
      <c r="X328" t="str">
        <f t="shared" si="155"/>
        <v>Нет</v>
      </c>
      <c r="Y328" t="str">
        <f t="shared" si="155"/>
        <v>Нет</v>
      </c>
      <c r="Z328" t="str">
        <f t="shared" si="152"/>
        <v>Нет</v>
      </c>
      <c r="AA328" t="str">
        <f>""</f>
        <v/>
      </c>
      <c r="AB328" t="str">
        <f t="shared" si="154"/>
        <v>Нет</v>
      </c>
      <c r="AC328" t="str">
        <f>""</f>
        <v/>
      </c>
      <c r="AD328" t="str">
        <f>""</f>
        <v/>
      </c>
      <c r="AE328" t="str">
        <f>""</f>
        <v/>
      </c>
      <c r="AF328" t="str">
        <f>"[742503] М5.7.24"</f>
        <v>[742503] М5.7.24</v>
      </c>
      <c r="AG328" t="str">
        <f>"[742762] М5.7.23"</f>
        <v>[742762] М5.7.23</v>
      </c>
      <c r="AH328" t="str">
        <f>""</f>
        <v/>
      </c>
      <c r="AI328" t="str">
        <f>""</f>
        <v/>
      </c>
      <c r="AJ328" t="str">
        <f>""</f>
        <v/>
      </c>
      <c r="AK328" t="str">
        <f t="shared" si="153"/>
        <v>Нет</v>
      </c>
      <c r="AL328" t="str">
        <f>"51.215292 38.128154, 51.219959 38.126796"</f>
        <v>51.215292 38.128154, 51.219959 38.126796</v>
      </c>
      <c r="AM328" t="str">
        <f>"20000008026179"</f>
        <v>20000008026179</v>
      </c>
    </row>
    <row r="329" spans="1:39" x14ac:dyDescent="0.25">
      <c r="A329">
        <v>907</v>
      </c>
      <c r="B329" t="str">
        <f t="shared" si="146"/>
        <v>Курск</v>
      </c>
      <c r="C329">
        <v>959441</v>
      </c>
      <c r="D329" t="str">
        <f t="shared" si="147"/>
        <v>Оптический кабель</v>
      </c>
      <c r="E329" t="str">
        <f>"[46/4136] М5.7.22 - М5.7.21"</f>
        <v>[46/4136] М5.7.22 - М5.7.21</v>
      </c>
      <c r="F329" t="str">
        <f t="shared" si="148"/>
        <v>ОКМС-64 (G.652.D) 7кН (Мод:Кр,Жел, 4Нат)</v>
      </c>
      <c r="G329" t="str">
        <f>""</f>
        <v/>
      </c>
      <c r="H329" t="str">
        <f t="shared" si="149"/>
        <v>МС 5.7</v>
      </c>
      <c r="I329">
        <v>430</v>
      </c>
      <c r="J329">
        <v>490</v>
      </c>
      <c r="K329">
        <v>0</v>
      </c>
      <c r="M329" t="str">
        <f t="shared" si="144"/>
        <v>Опоры</v>
      </c>
      <c r="N329" t="str">
        <f t="shared" si="150"/>
        <v>08.06.20222</v>
      </c>
      <c r="O329">
        <v>64</v>
      </c>
      <c r="P329">
        <v>64</v>
      </c>
      <c r="Q329" t="str">
        <f>""</f>
        <v/>
      </c>
      <c r="R329" t="str">
        <f>""</f>
        <v/>
      </c>
      <c r="S329" t="str">
        <f t="shared" si="151"/>
        <v>29.03.2022</v>
      </c>
      <c r="T329" t="str">
        <f>"46/4136"</f>
        <v>46/4136</v>
      </c>
      <c r="U329" t="str">
        <f t="shared" si="145"/>
        <v>Магистральная ВОЛС</v>
      </c>
      <c r="V329" t="str">
        <f t="shared" si="155"/>
        <v>Нет</v>
      </c>
      <c r="W329" t="str">
        <f t="shared" si="155"/>
        <v>Нет</v>
      </c>
      <c r="X329" t="str">
        <f t="shared" si="155"/>
        <v>Нет</v>
      </c>
      <c r="Y329" t="str">
        <f t="shared" si="155"/>
        <v>Нет</v>
      </c>
      <c r="Z329" t="str">
        <f t="shared" si="152"/>
        <v>Нет</v>
      </c>
      <c r="AA329" t="str">
        <f>""</f>
        <v/>
      </c>
      <c r="AB329" t="str">
        <f t="shared" si="154"/>
        <v>Нет</v>
      </c>
      <c r="AC329" t="str">
        <f>""</f>
        <v/>
      </c>
      <c r="AD329" t="str">
        <f>""</f>
        <v/>
      </c>
      <c r="AE329" t="str">
        <f>""</f>
        <v/>
      </c>
      <c r="AF329" t="str">
        <f>"[743021] М5.7.22"</f>
        <v>[743021] М5.7.22</v>
      </c>
      <c r="AG329" t="str">
        <f>"[743280] М5.7.21"</f>
        <v>[743280] М5.7.21</v>
      </c>
      <c r="AH329" t="str">
        <f>""</f>
        <v/>
      </c>
      <c r="AI329" t="str">
        <f>""</f>
        <v/>
      </c>
      <c r="AJ329" t="str">
        <f>""</f>
        <v/>
      </c>
      <c r="AK329" t="str">
        <f t="shared" si="153"/>
        <v>Нет</v>
      </c>
      <c r="AL329" t="str">
        <f>"51.223329 38.124613, 51.227051 38.123436"</f>
        <v>51.223329 38.124613, 51.227051 38.123436</v>
      </c>
      <c r="AM329" t="str">
        <f>"20000008017083"</f>
        <v>20000008017083</v>
      </c>
    </row>
    <row r="330" spans="1:39" x14ac:dyDescent="0.25">
      <c r="A330">
        <v>907</v>
      </c>
      <c r="B330" t="str">
        <f t="shared" si="146"/>
        <v>Курск</v>
      </c>
      <c r="C330">
        <v>959473</v>
      </c>
      <c r="D330" t="str">
        <f t="shared" si="147"/>
        <v>Оптический кабель</v>
      </c>
      <c r="E330" t="str">
        <f>"[46/4137] М5.7.21 - М5.7.20"</f>
        <v>[46/4137] М5.7.21 - М5.7.20</v>
      </c>
      <c r="F330" t="str">
        <f t="shared" ref="F330:F344" si="156">"ОКМС-96(G.652.D) 7кН"</f>
        <v>ОКМС-96(G.652.D) 7кН</v>
      </c>
      <c r="G330" t="str">
        <f>""</f>
        <v/>
      </c>
      <c r="H330" t="str">
        <f t="shared" si="149"/>
        <v>МС 5.7</v>
      </c>
      <c r="I330">
        <v>509</v>
      </c>
      <c r="J330">
        <v>580</v>
      </c>
      <c r="K330">
        <v>0</v>
      </c>
      <c r="M330" t="str">
        <f t="shared" si="144"/>
        <v>Опоры</v>
      </c>
      <c r="N330" t="str">
        <f t="shared" si="150"/>
        <v>08.06.20222</v>
      </c>
      <c r="O330">
        <v>96</v>
      </c>
      <c r="P330">
        <v>96</v>
      </c>
      <c r="Q330" t="str">
        <f>""</f>
        <v/>
      </c>
      <c r="R330" t="str">
        <f>""</f>
        <v/>
      </c>
      <c r="S330" t="str">
        <f t="shared" si="151"/>
        <v>29.03.2022</v>
      </c>
      <c r="T330" t="str">
        <f>"46/4137"</f>
        <v>46/4137</v>
      </c>
      <c r="U330" t="str">
        <f t="shared" si="145"/>
        <v>Магистральная ВОЛС</v>
      </c>
      <c r="V330" t="str">
        <f t="shared" si="155"/>
        <v>Нет</v>
      </c>
      <c r="W330" t="str">
        <f t="shared" si="155"/>
        <v>Нет</v>
      </c>
      <c r="X330" t="str">
        <f t="shared" si="155"/>
        <v>Нет</v>
      </c>
      <c r="Y330" t="str">
        <f t="shared" si="155"/>
        <v>Нет</v>
      </c>
      <c r="Z330" t="str">
        <f t="shared" si="152"/>
        <v>Нет</v>
      </c>
      <c r="AA330" t="str">
        <f>""</f>
        <v/>
      </c>
      <c r="AB330" t="str">
        <f t="shared" si="154"/>
        <v>Нет</v>
      </c>
      <c r="AC330" t="str">
        <f>""</f>
        <v/>
      </c>
      <c r="AD330" t="str">
        <f>""</f>
        <v/>
      </c>
      <c r="AE330" t="str">
        <f>""</f>
        <v/>
      </c>
      <c r="AF330" t="str">
        <f>"[743280] М5.7.21"</f>
        <v>[743280] М5.7.21</v>
      </c>
      <c r="AG330" t="str">
        <f>"[743539] М5.7.20"</f>
        <v>[743539] М5.7.20</v>
      </c>
      <c r="AH330" t="str">
        <f>""</f>
        <v/>
      </c>
      <c r="AI330" t="str">
        <f>""</f>
        <v/>
      </c>
      <c r="AJ330" t="str">
        <f>""</f>
        <v/>
      </c>
      <c r="AK330" t="str">
        <f t="shared" si="153"/>
        <v>Нет</v>
      </c>
      <c r="AL330" t="str">
        <f>"51.227051 38.123436, 51.230974 38.121126"</f>
        <v>51.227051 38.123436, 51.230974 38.121126</v>
      </c>
      <c r="AM330" t="str">
        <f>"20000008036107"</f>
        <v>20000008036107</v>
      </c>
    </row>
    <row r="331" spans="1:39" x14ac:dyDescent="0.25">
      <c r="A331">
        <v>907</v>
      </c>
      <c r="B331" t="str">
        <f t="shared" si="146"/>
        <v>Курск</v>
      </c>
      <c r="C331">
        <v>959509</v>
      </c>
      <c r="D331" t="str">
        <f t="shared" si="147"/>
        <v>Оптический кабель</v>
      </c>
      <c r="E331" t="str">
        <f>"[46/4138] М5.7.20 - М5.7.19"</f>
        <v>[46/4138] М5.7.20 - М5.7.19</v>
      </c>
      <c r="F331" t="str">
        <f t="shared" si="156"/>
        <v>ОКМС-96(G.652.D) 7кН</v>
      </c>
      <c r="G331" t="str">
        <f>""</f>
        <v/>
      </c>
      <c r="H331" t="str">
        <f t="shared" si="149"/>
        <v>МС 5.7</v>
      </c>
      <c r="I331">
        <v>299</v>
      </c>
      <c r="J331">
        <v>360</v>
      </c>
      <c r="K331">
        <v>0</v>
      </c>
      <c r="M331" t="str">
        <f t="shared" si="144"/>
        <v>Опоры</v>
      </c>
      <c r="N331" t="str">
        <f t="shared" si="150"/>
        <v>08.06.20222</v>
      </c>
      <c r="O331">
        <v>92</v>
      </c>
      <c r="P331">
        <v>92</v>
      </c>
      <c r="Q331" t="str">
        <f>""</f>
        <v/>
      </c>
      <c r="R331" t="str">
        <f>""</f>
        <v/>
      </c>
      <c r="S331" t="str">
        <f t="shared" si="151"/>
        <v>29.03.2022</v>
      </c>
      <c r="T331" t="str">
        <f>"46/4138"</f>
        <v>46/4138</v>
      </c>
      <c r="U331" t="str">
        <f t="shared" si="145"/>
        <v>Магистральная ВОЛС</v>
      </c>
      <c r="V331" t="str">
        <f t="shared" si="155"/>
        <v>Нет</v>
      </c>
      <c r="W331" t="str">
        <f t="shared" si="155"/>
        <v>Нет</v>
      </c>
      <c r="X331" t="str">
        <f t="shared" si="155"/>
        <v>Нет</v>
      </c>
      <c r="Y331" t="str">
        <f t="shared" si="155"/>
        <v>Нет</v>
      </c>
      <c r="Z331" t="str">
        <f t="shared" si="152"/>
        <v>Нет</v>
      </c>
      <c r="AA331" t="str">
        <f>""</f>
        <v/>
      </c>
      <c r="AB331" t="str">
        <f t="shared" si="154"/>
        <v>Нет</v>
      </c>
      <c r="AC331" t="str">
        <f>""</f>
        <v/>
      </c>
      <c r="AD331" t="str">
        <f>""</f>
        <v/>
      </c>
      <c r="AE331" t="str">
        <f>""</f>
        <v/>
      </c>
      <c r="AF331" t="str">
        <f>"[743539] М5.7.20"</f>
        <v>[743539] М5.7.20</v>
      </c>
      <c r="AG331" t="str">
        <f>"[743798] М5.7.19"</f>
        <v>[743798] М5.7.19</v>
      </c>
      <c r="AH331" t="str">
        <f>""</f>
        <v/>
      </c>
      <c r="AI331" t="str">
        <f>""</f>
        <v/>
      </c>
      <c r="AJ331" t="str">
        <f>""</f>
        <v/>
      </c>
      <c r="AK331" t="str">
        <f t="shared" si="153"/>
        <v>Нет</v>
      </c>
      <c r="AL331" t="str">
        <f>"51.230974 38.121126, 51.233353 38.119876"</f>
        <v>51.230974 38.121126, 51.233353 38.119876</v>
      </c>
      <c r="AM331" t="str">
        <f>"20000008045133"</f>
        <v>20000008045133</v>
      </c>
    </row>
    <row r="332" spans="1:39" x14ac:dyDescent="0.25">
      <c r="A332">
        <v>907</v>
      </c>
      <c r="B332" t="str">
        <f t="shared" si="146"/>
        <v>Курск</v>
      </c>
      <c r="C332">
        <v>959533</v>
      </c>
      <c r="D332" t="str">
        <f t="shared" si="147"/>
        <v>Оптический кабель</v>
      </c>
      <c r="E332" t="str">
        <f>"[46/4139] М5.7.19 - М5.7.18"</f>
        <v>[46/4139] М5.7.19 - М5.7.18</v>
      </c>
      <c r="F332" t="str">
        <f t="shared" si="156"/>
        <v>ОКМС-96(G.652.D) 7кН</v>
      </c>
      <c r="G332" t="str">
        <f>""</f>
        <v/>
      </c>
      <c r="H332" t="str">
        <f t="shared" si="149"/>
        <v>МС 5.7</v>
      </c>
      <c r="I332">
        <v>433</v>
      </c>
      <c r="J332">
        <v>500</v>
      </c>
      <c r="K332">
        <v>0</v>
      </c>
      <c r="M332" t="str">
        <f t="shared" si="144"/>
        <v>Опоры</v>
      </c>
      <c r="N332" t="str">
        <f t="shared" si="150"/>
        <v>08.06.20222</v>
      </c>
      <c r="O332">
        <v>94</v>
      </c>
      <c r="P332">
        <v>94</v>
      </c>
      <c r="Q332" t="str">
        <f>""</f>
        <v/>
      </c>
      <c r="R332" t="str">
        <f>""</f>
        <v/>
      </c>
      <c r="S332" t="str">
        <f t="shared" si="151"/>
        <v>29.03.2022</v>
      </c>
      <c r="T332" t="str">
        <f>"46/4139"</f>
        <v>46/4139</v>
      </c>
      <c r="U332" t="str">
        <f t="shared" si="145"/>
        <v>Магистральная ВОЛС</v>
      </c>
      <c r="V332" t="str">
        <f t="shared" si="155"/>
        <v>Нет</v>
      </c>
      <c r="W332" t="str">
        <f t="shared" si="155"/>
        <v>Нет</v>
      </c>
      <c r="X332" t="str">
        <f t="shared" si="155"/>
        <v>Нет</v>
      </c>
      <c r="Y332" t="str">
        <f t="shared" si="155"/>
        <v>Нет</v>
      </c>
      <c r="Z332" t="str">
        <f t="shared" si="152"/>
        <v>Нет</v>
      </c>
      <c r="AA332" t="str">
        <f>""</f>
        <v/>
      </c>
      <c r="AB332" t="str">
        <f t="shared" si="154"/>
        <v>Нет</v>
      </c>
      <c r="AC332" t="str">
        <f>""</f>
        <v/>
      </c>
      <c r="AD332" t="str">
        <f>""</f>
        <v/>
      </c>
      <c r="AE332" t="str">
        <f>""</f>
        <v/>
      </c>
      <c r="AF332" t="str">
        <f>"[743798] М5.7.19"</f>
        <v>[743798] М5.7.19</v>
      </c>
      <c r="AG332" t="str">
        <f>"[744057] М5.7.18"</f>
        <v>[744057] М5.7.18</v>
      </c>
      <c r="AH332" t="str">
        <f>""</f>
        <v/>
      </c>
      <c r="AI332" t="str">
        <f>""</f>
        <v/>
      </c>
      <c r="AJ332" t="str">
        <f>""</f>
        <v/>
      </c>
      <c r="AK332" t="str">
        <f t="shared" si="153"/>
        <v>Нет</v>
      </c>
      <c r="AL332" t="str">
        <f>"51.233353 38.119876, 51.23348 38.11382"</f>
        <v>51.233353 38.119876, 51.23348 38.11382</v>
      </c>
      <c r="AM332" t="str">
        <f>"20000008040056"</f>
        <v>20000008040056</v>
      </c>
    </row>
    <row r="333" spans="1:39" x14ac:dyDescent="0.25">
      <c r="A333">
        <v>907</v>
      </c>
      <c r="B333" t="str">
        <f t="shared" si="146"/>
        <v>Курск</v>
      </c>
      <c r="C333">
        <v>959565</v>
      </c>
      <c r="D333" t="str">
        <f t="shared" si="147"/>
        <v>Оптический кабель</v>
      </c>
      <c r="E333" t="str">
        <f>"[46/4140] М5.7.18 - М5.7.17"</f>
        <v>[46/4140] М5.7.18 - М5.7.17</v>
      </c>
      <c r="F333" t="str">
        <f t="shared" si="156"/>
        <v>ОКМС-96(G.652.D) 7кН</v>
      </c>
      <c r="G333" t="str">
        <f>""</f>
        <v/>
      </c>
      <c r="H333" t="str">
        <f t="shared" si="149"/>
        <v>МС 5.7</v>
      </c>
      <c r="I333">
        <v>431</v>
      </c>
      <c r="J333">
        <v>480</v>
      </c>
      <c r="K333">
        <v>0</v>
      </c>
      <c r="M333" t="str">
        <f t="shared" si="144"/>
        <v>Опоры</v>
      </c>
      <c r="N333" t="str">
        <f t="shared" si="150"/>
        <v>08.06.20222</v>
      </c>
      <c r="O333">
        <v>96</v>
      </c>
      <c r="P333">
        <v>96</v>
      </c>
      <c r="Q333" t="str">
        <f>""</f>
        <v/>
      </c>
      <c r="R333" t="str">
        <f>""</f>
        <v/>
      </c>
      <c r="S333" t="str">
        <f t="shared" si="151"/>
        <v>29.03.2022</v>
      </c>
      <c r="T333" t="str">
        <f>"46/4140"</f>
        <v>46/4140</v>
      </c>
      <c r="U333" t="str">
        <f t="shared" si="145"/>
        <v>Магистральная ВОЛС</v>
      </c>
      <c r="V333" t="str">
        <f t="shared" si="155"/>
        <v>Нет</v>
      </c>
      <c r="W333" t="str">
        <f t="shared" si="155"/>
        <v>Нет</v>
      </c>
      <c r="X333" t="str">
        <f t="shared" si="155"/>
        <v>Нет</v>
      </c>
      <c r="Y333" t="str">
        <f t="shared" si="155"/>
        <v>Нет</v>
      </c>
      <c r="Z333" t="str">
        <f t="shared" si="152"/>
        <v>Нет</v>
      </c>
      <c r="AA333" t="str">
        <f>""</f>
        <v/>
      </c>
      <c r="AB333" t="str">
        <f t="shared" si="154"/>
        <v>Нет</v>
      </c>
      <c r="AC333" t="str">
        <f>""</f>
        <v/>
      </c>
      <c r="AD333" t="str">
        <f>""</f>
        <v/>
      </c>
      <c r="AE333" t="str">
        <f>""</f>
        <v/>
      </c>
      <c r="AF333" t="str">
        <f>"[744057] М5.7.18"</f>
        <v>[744057] М5.7.18</v>
      </c>
      <c r="AG333" t="str">
        <f>"[744316] М5.7.17"</f>
        <v>[744316] М5.7.17</v>
      </c>
      <c r="AH333" t="str">
        <f>""</f>
        <v/>
      </c>
      <c r="AI333" t="str">
        <f>""</f>
        <v/>
      </c>
      <c r="AJ333" t="str">
        <f>""</f>
        <v/>
      </c>
      <c r="AK333" t="str">
        <f t="shared" si="153"/>
        <v>Нет</v>
      </c>
      <c r="AL333" t="str">
        <f>"51.23348 38.11382, 51.236691 38.112243"</f>
        <v>51.23348 38.11382, 51.236691 38.112243</v>
      </c>
      <c r="AM333" t="str">
        <f>"20000008045132"</f>
        <v>20000008045132</v>
      </c>
    </row>
    <row r="334" spans="1:39" x14ac:dyDescent="0.25">
      <c r="A334">
        <v>907</v>
      </c>
      <c r="B334" t="str">
        <f t="shared" si="146"/>
        <v>Курск</v>
      </c>
      <c r="C334">
        <v>959591</v>
      </c>
      <c r="D334" t="str">
        <f t="shared" si="147"/>
        <v>Оптический кабель</v>
      </c>
      <c r="E334" t="str">
        <f>"[46/4141] М5.7.17 - М5.7.16"</f>
        <v>[46/4141] М5.7.17 - М5.7.16</v>
      </c>
      <c r="F334" t="str">
        <f t="shared" si="156"/>
        <v>ОКМС-96(G.652.D) 7кН</v>
      </c>
      <c r="G334" t="str">
        <f>""</f>
        <v/>
      </c>
      <c r="H334" t="str">
        <f t="shared" si="149"/>
        <v>МС 5.7</v>
      </c>
      <c r="I334">
        <v>1560</v>
      </c>
      <c r="J334">
        <v>1640</v>
      </c>
      <c r="K334">
        <v>0</v>
      </c>
      <c r="M334" t="str">
        <f t="shared" si="144"/>
        <v>Опоры</v>
      </c>
      <c r="N334" t="str">
        <f t="shared" si="150"/>
        <v>08.06.20222</v>
      </c>
      <c r="O334">
        <v>96</v>
      </c>
      <c r="P334">
        <v>96</v>
      </c>
      <c r="Q334" t="str">
        <f>""</f>
        <v/>
      </c>
      <c r="R334" t="str">
        <f>""</f>
        <v/>
      </c>
      <c r="S334" t="str">
        <f t="shared" si="151"/>
        <v>29.03.2022</v>
      </c>
      <c r="T334" t="str">
        <f>"46/4141"</f>
        <v>46/4141</v>
      </c>
      <c r="U334" t="str">
        <f t="shared" si="145"/>
        <v>Магистральная ВОЛС</v>
      </c>
      <c r="V334" t="str">
        <f t="shared" si="155"/>
        <v>Нет</v>
      </c>
      <c r="W334" t="str">
        <f t="shared" si="155"/>
        <v>Нет</v>
      </c>
      <c r="X334" t="str">
        <f t="shared" si="155"/>
        <v>Нет</v>
      </c>
      <c r="Y334" t="str">
        <f t="shared" si="155"/>
        <v>Нет</v>
      </c>
      <c r="Z334" t="str">
        <f t="shared" si="152"/>
        <v>Нет</v>
      </c>
      <c r="AA334" t="str">
        <f>""</f>
        <v/>
      </c>
      <c r="AB334" t="str">
        <f t="shared" si="154"/>
        <v>Нет</v>
      </c>
      <c r="AC334" t="str">
        <f>""</f>
        <v/>
      </c>
      <c r="AD334" t="str">
        <f>""</f>
        <v/>
      </c>
      <c r="AE334" t="str">
        <f>""</f>
        <v/>
      </c>
      <c r="AF334" t="str">
        <f>"[744316] М5.7.17"</f>
        <v>[744316] М5.7.17</v>
      </c>
      <c r="AG334" t="str">
        <f>"[744575] М5.7.16"</f>
        <v>[744575] М5.7.16</v>
      </c>
      <c r="AH334" t="str">
        <f>""</f>
        <v/>
      </c>
      <c r="AI334" t="str">
        <f>""</f>
        <v/>
      </c>
      <c r="AJ334" t="str">
        <f>""</f>
        <v/>
      </c>
      <c r="AK334" t="str">
        <f t="shared" si="153"/>
        <v>Нет</v>
      </c>
      <c r="AL334" t="str">
        <f>"51.236691 38.112243, 51.249197 38.104041"</f>
        <v>51.236691 38.112243, 51.249197 38.104041</v>
      </c>
      <c r="AM334" t="str">
        <f>"20000008026177"</f>
        <v>20000008026177</v>
      </c>
    </row>
    <row r="335" spans="1:39" x14ac:dyDescent="0.25">
      <c r="A335">
        <v>907</v>
      </c>
      <c r="B335" t="str">
        <f t="shared" si="146"/>
        <v>Курск</v>
      </c>
      <c r="C335">
        <v>959643</v>
      </c>
      <c r="D335" t="str">
        <f t="shared" si="147"/>
        <v>Оптический кабель</v>
      </c>
      <c r="E335" t="str">
        <f>"[46/4142] М5.7.16 - М5.7.15"</f>
        <v>[46/4142] М5.7.16 - М5.7.15</v>
      </c>
      <c r="F335" t="str">
        <f t="shared" si="156"/>
        <v>ОКМС-96(G.652.D) 7кН</v>
      </c>
      <c r="G335" t="str">
        <f>""</f>
        <v/>
      </c>
      <c r="H335" t="str">
        <f t="shared" si="149"/>
        <v>МС 5.7</v>
      </c>
      <c r="I335">
        <v>200</v>
      </c>
      <c r="J335">
        <v>270</v>
      </c>
      <c r="K335">
        <v>0</v>
      </c>
      <c r="M335" t="str">
        <f t="shared" si="144"/>
        <v>Опоры</v>
      </c>
      <c r="N335" t="str">
        <f t="shared" si="150"/>
        <v>08.06.20222</v>
      </c>
      <c r="O335">
        <v>92</v>
      </c>
      <c r="P335">
        <v>92</v>
      </c>
      <c r="Q335" t="str">
        <f>""</f>
        <v/>
      </c>
      <c r="R335" t="str">
        <f>""</f>
        <v/>
      </c>
      <c r="S335" t="str">
        <f t="shared" si="151"/>
        <v>29.03.2022</v>
      </c>
      <c r="T335" t="str">
        <f>"46/4142"</f>
        <v>46/4142</v>
      </c>
      <c r="U335" t="str">
        <f t="shared" si="145"/>
        <v>Магистральная ВОЛС</v>
      </c>
      <c r="V335" t="str">
        <f t="shared" si="155"/>
        <v>Нет</v>
      </c>
      <c r="W335" t="str">
        <f t="shared" si="155"/>
        <v>Нет</v>
      </c>
      <c r="X335" t="str">
        <f t="shared" si="155"/>
        <v>Нет</v>
      </c>
      <c r="Y335" t="str">
        <f t="shared" si="155"/>
        <v>Нет</v>
      </c>
      <c r="Z335" t="str">
        <f t="shared" si="152"/>
        <v>Нет</v>
      </c>
      <c r="AA335" t="str">
        <f>""</f>
        <v/>
      </c>
      <c r="AB335" t="str">
        <f t="shared" si="154"/>
        <v>Нет</v>
      </c>
      <c r="AC335" t="str">
        <f>""</f>
        <v/>
      </c>
      <c r="AD335" t="str">
        <f>""</f>
        <v/>
      </c>
      <c r="AE335" t="str">
        <f>""</f>
        <v/>
      </c>
      <c r="AF335" t="str">
        <f>"[744575] М5.7.16"</f>
        <v>[744575] М5.7.16</v>
      </c>
      <c r="AG335" t="str">
        <f>"[744834] М5.7.15"</f>
        <v>[744834] М5.7.15</v>
      </c>
      <c r="AH335" t="str">
        <f>""</f>
        <v/>
      </c>
      <c r="AI335" t="str">
        <f>""</f>
        <v/>
      </c>
      <c r="AJ335" t="str">
        <f>""</f>
        <v/>
      </c>
      <c r="AK335" t="str">
        <f t="shared" si="153"/>
        <v>Нет</v>
      </c>
      <c r="AL335" t="str">
        <f>"51.249197 38.104041, 51.250389 38.106176"</f>
        <v>51.249197 38.104041, 51.250389 38.106176</v>
      </c>
      <c r="AM335" t="str">
        <f>"20000008031631"</f>
        <v>20000008031631</v>
      </c>
    </row>
    <row r="336" spans="1:39" x14ac:dyDescent="0.25">
      <c r="A336">
        <v>907</v>
      </c>
      <c r="B336" t="str">
        <f t="shared" si="146"/>
        <v>Курск</v>
      </c>
      <c r="C336">
        <v>959659</v>
      </c>
      <c r="D336" t="str">
        <f t="shared" si="147"/>
        <v>Оптический кабель</v>
      </c>
      <c r="E336" t="str">
        <f>"[46/4143] М5.7.15 - М5.7.14"</f>
        <v>[46/4143] М5.7.15 - М5.7.14</v>
      </c>
      <c r="F336" t="str">
        <f t="shared" si="156"/>
        <v>ОКМС-96(G.652.D) 7кН</v>
      </c>
      <c r="G336" t="str">
        <f>""</f>
        <v/>
      </c>
      <c r="H336" t="str">
        <f t="shared" si="149"/>
        <v>МС 5.7</v>
      </c>
      <c r="I336">
        <v>330</v>
      </c>
      <c r="J336">
        <v>390</v>
      </c>
      <c r="K336">
        <v>0</v>
      </c>
      <c r="M336" t="str">
        <f t="shared" si="144"/>
        <v>Опоры</v>
      </c>
      <c r="N336" t="str">
        <f t="shared" si="150"/>
        <v>08.06.20222</v>
      </c>
      <c r="O336">
        <v>96</v>
      </c>
      <c r="P336">
        <v>96</v>
      </c>
      <c r="Q336" t="str">
        <f>""</f>
        <v/>
      </c>
      <c r="R336" t="str">
        <f>""</f>
        <v/>
      </c>
      <c r="S336" t="str">
        <f t="shared" si="151"/>
        <v>29.03.2022</v>
      </c>
      <c r="T336" t="str">
        <f>"46/4143"</f>
        <v>46/4143</v>
      </c>
      <c r="U336" t="str">
        <f t="shared" si="145"/>
        <v>Магистральная ВОЛС</v>
      </c>
      <c r="V336" t="str">
        <f t="shared" si="155"/>
        <v>Нет</v>
      </c>
      <c r="W336" t="str">
        <f t="shared" si="155"/>
        <v>Нет</v>
      </c>
      <c r="X336" t="str">
        <f t="shared" si="155"/>
        <v>Нет</v>
      </c>
      <c r="Y336" t="str">
        <f t="shared" si="155"/>
        <v>Нет</v>
      </c>
      <c r="Z336" t="str">
        <f t="shared" si="152"/>
        <v>Нет</v>
      </c>
      <c r="AA336" t="str">
        <f>""</f>
        <v/>
      </c>
      <c r="AB336" t="str">
        <f t="shared" si="154"/>
        <v>Нет</v>
      </c>
      <c r="AC336" t="str">
        <f>""</f>
        <v/>
      </c>
      <c r="AD336" t="str">
        <f>""</f>
        <v/>
      </c>
      <c r="AE336" t="str">
        <f>""</f>
        <v/>
      </c>
      <c r="AF336" t="str">
        <f>"[744834] М5.7.15"</f>
        <v>[744834] М5.7.15</v>
      </c>
      <c r="AG336" t="str">
        <f>"[745093] М5.7.14"</f>
        <v>[745093] М5.7.14</v>
      </c>
      <c r="AH336" t="str">
        <f>""</f>
        <v/>
      </c>
      <c r="AI336" t="str">
        <f>""</f>
        <v/>
      </c>
      <c r="AJ336" t="str">
        <f>""</f>
        <v/>
      </c>
      <c r="AK336" t="str">
        <f t="shared" si="153"/>
        <v>Нет</v>
      </c>
      <c r="AL336" t="str">
        <f>"51.250389 38.106176, 51.252709 38.108912"</f>
        <v>51.250389 38.106176, 51.252709 38.108912</v>
      </c>
      <c r="AM336" t="str">
        <f>"20000008031630"</f>
        <v>20000008031630</v>
      </c>
    </row>
    <row r="337" spans="1:39" x14ac:dyDescent="0.25">
      <c r="A337">
        <v>907</v>
      </c>
      <c r="B337" t="str">
        <f t="shared" si="146"/>
        <v>Курск</v>
      </c>
      <c r="C337">
        <v>959677</v>
      </c>
      <c r="D337" t="str">
        <f t="shared" si="147"/>
        <v>Оптический кабель</v>
      </c>
      <c r="E337" t="str">
        <f>"[46/4144] М5.7.14 - М5.7.13"</f>
        <v>[46/4144] М5.7.14 - М5.7.13</v>
      </c>
      <c r="F337" t="str">
        <f t="shared" si="156"/>
        <v>ОКМС-96(G.652.D) 7кН</v>
      </c>
      <c r="G337" t="str">
        <f>""</f>
        <v/>
      </c>
      <c r="H337" t="str">
        <f t="shared" si="149"/>
        <v>МС 5.7</v>
      </c>
      <c r="I337">
        <v>440</v>
      </c>
      <c r="J337">
        <v>520</v>
      </c>
      <c r="K337">
        <v>0</v>
      </c>
      <c r="M337" t="str">
        <f t="shared" si="144"/>
        <v>Опоры</v>
      </c>
      <c r="N337" t="str">
        <f t="shared" si="150"/>
        <v>08.06.20222</v>
      </c>
      <c r="O337">
        <v>90</v>
      </c>
      <c r="P337">
        <v>90</v>
      </c>
      <c r="Q337" t="str">
        <f>""</f>
        <v/>
      </c>
      <c r="R337" t="str">
        <f>""</f>
        <v/>
      </c>
      <c r="S337" t="str">
        <f t="shared" si="151"/>
        <v>29.03.2022</v>
      </c>
      <c r="T337" t="str">
        <f>"46/4144"</f>
        <v>46/4144</v>
      </c>
      <c r="U337" t="str">
        <f t="shared" si="145"/>
        <v>Магистральная ВОЛС</v>
      </c>
      <c r="V337" t="str">
        <f t="shared" si="155"/>
        <v>Нет</v>
      </c>
      <c r="W337" t="str">
        <f t="shared" si="155"/>
        <v>Нет</v>
      </c>
      <c r="X337" t="str">
        <f t="shared" si="155"/>
        <v>Нет</v>
      </c>
      <c r="Y337" t="str">
        <f t="shared" si="155"/>
        <v>Нет</v>
      </c>
      <c r="Z337" t="str">
        <f t="shared" si="152"/>
        <v>Нет</v>
      </c>
      <c r="AA337" t="str">
        <f>""</f>
        <v/>
      </c>
      <c r="AB337" t="str">
        <f t="shared" si="154"/>
        <v>Нет</v>
      </c>
      <c r="AC337" t="str">
        <f>""</f>
        <v/>
      </c>
      <c r="AD337" t="str">
        <f>""</f>
        <v/>
      </c>
      <c r="AE337" t="str">
        <f>""</f>
        <v/>
      </c>
      <c r="AF337" t="str">
        <f>"[745093] М5.7.14"</f>
        <v>[745093] М5.7.14</v>
      </c>
      <c r="AG337" t="str">
        <f>"[745352] М5.7.13"</f>
        <v>[745352] М5.7.13</v>
      </c>
      <c r="AH337" t="str">
        <f>""</f>
        <v/>
      </c>
      <c r="AI337" t="str">
        <f>""</f>
        <v/>
      </c>
      <c r="AJ337" t="str">
        <f>""</f>
        <v/>
      </c>
      <c r="AK337" t="str">
        <f t="shared" si="153"/>
        <v>Нет</v>
      </c>
      <c r="AL337" t="str">
        <f>"51.252709 38.108912, 51.255926 38.111921"</f>
        <v>51.252709 38.108912, 51.255926 38.111921</v>
      </c>
      <c r="AM337" t="str">
        <f>"20000008007436"</f>
        <v>20000008007436</v>
      </c>
    </row>
    <row r="338" spans="1:39" x14ac:dyDescent="0.25">
      <c r="A338">
        <v>907</v>
      </c>
      <c r="B338" t="str">
        <f t="shared" si="146"/>
        <v>Курск</v>
      </c>
      <c r="C338">
        <v>959704</v>
      </c>
      <c r="D338" t="str">
        <f t="shared" si="147"/>
        <v>Оптический кабель</v>
      </c>
      <c r="E338" t="str">
        <f>"[46/4146] М5.7.12 - М5.7.11"</f>
        <v>[46/4146] М5.7.12 - М5.7.11</v>
      </c>
      <c r="F338" t="str">
        <f t="shared" si="156"/>
        <v>ОКМС-96(G.652.D) 7кН</v>
      </c>
      <c r="G338" t="str">
        <f>""</f>
        <v/>
      </c>
      <c r="H338" t="str">
        <f t="shared" si="149"/>
        <v>МС 5.7</v>
      </c>
      <c r="I338">
        <v>352</v>
      </c>
      <c r="J338">
        <v>420</v>
      </c>
      <c r="K338">
        <v>0</v>
      </c>
      <c r="M338" t="str">
        <f t="shared" si="144"/>
        <v>Опоры</v>
      </c>
      <c r="N338" t="str">
        <f t="shared" si="150"/>
        <v>08.06.20222</v>
      </c>
      <c r="O338">
        <v>90</v>
      </c>
      <c r="P338">
        <v>90</v>
      </c>
      <c r="Q338" t="str">
        <f>""</f>
        <v/>
      </c>
      <c r="R338" t="str">
        <f>""</f>
        <v/>
      </c>
      <c r="S338" t="str">
        <f t="shared" si="151"/>
        <v>29.03.2022</v>
      </c>
      <c r="T338" t="str">
        <f>"46/4146"</f>
        <v>46/4146</v>
      </c>
      <c r="U338" t="str">
        <f t="shared" si="145"/>
        <v>Магистральная ВОЛС</v>
      </c>
      <c r="V338" t="str">
        <f t="shared" si="155"/>
        <v>Нет</v>
      </c>
      <c r="W338" t="str">
        <f t="shared" si="155"/>
        <v>Нет</v>
      </c>
      <c r="X338" t="str">
        <f t="shared" si="155"/>
        <v>Нет</v>
      </c>
      <c r="Y338" t="str">
        <f t="shared" si="155"/>
        <v>Нет</v>
      </c>
      <c r="Z338" t="str">
        <f t="shared" si="152"/>
        <v>Нет</v>
      </c>
      <c r="AA338" t="str">
        <f>""</f>
        <v/>
      </c>
      <c r="AB338" t="str">
        <f t="shared" si="154"/>
        <v>Нет</v>
      </c>
      <c r="AC338" t="str">
        <f>""</f>
        <v/>
      </c>
      <c r="AD338" t="str">
        <f>""</f>
        <v/>
      </c>
      <c r="AE338" t="str">
        <f>""</f>
        <v/>
      </c>
      <c r="AF338" t="str">
        <f>"[745611] М5.7.12"</f>
        <v>[745611] М5.7.12</v>
      </c>
      <c r="AG338" t="str">
        <f>"[745870] М5.7.11"</f>
        <v>[745870] М5.7.11</v>
      </c>
      <c r="AH338" t="str">
        <f>""</f>
        <v/>
      </c>
      <c r="AI338" t="str">
        <f>""</f>
        <v/>
      </c>
      <c r="AJ338" t="str">
        <f>""</f>
        <v/>
      </c>
      <c r="AK338" t="str">
        <f t="shared" si="153"/>
        <v>Нет</v>
      </c>
      <c r="AL338" t="str">
        <f>"51.25522 38.105937, 51.257883 38.103215"</f>
        <v>51.25522 38.105937, 51.257883 38.103215</v>
      </c>
      <c r="AM338" t="str">
        <f>"20000008036106"</f>
        <v>20000008036106</v>
      </c>
    </row>
    <row r="339" spans="1:39" x14ac:dyDescent="0.25">
      <c r="A339">
        <v>907</v>
      </c>
      <c r="B339" t="str">
        <f t="shared" si="146"/>
        <v>Курск</v>
      </c>
      <c r="C339">
        <v>959753</v>
      </c>
      <c r="D339" t="str">
        <f t="shared" si="147"/>
        <v>Оптический кабель</v>
      </c>
      <c r="E339" t="str">
        <f>"[46/4147] М5.7.11 - М5.7.10"</f>
        <v>[46/4147] М5.7.11 - М5.7.10</v>
      </c>
      <c r="F339" t="str">
        <f t="shared" si="156"/>
        <v>ОКМС-96(G.652.D) 7кН</v>
      </c>
      <c r="G339" t="str">
        <f>""</f>
        <v/>
      </c>
      <c r="H339" t="str">
        <f t="shared" si="149"/>
        <v>МС 5.7</v>
      </c>
      <c r="I339">
        <v>451</v>
      </c>
      <c r="J339">
        <v>510</v>
      </c>
      <c r="K339">
        <v>0</v>
      </c>
      <c r="M339" t="str">
        <f t="shared" si="144"/>
        <v>Опоры</v>
      </c>
      <c r="N339" t="str">
        <f t="shared" si="150"/>
        <v>08.06.20222</v>
      </c>
      <c r="O339">
        <v>94</v>
      </c>
      <c r="P339">
        <v>94</v>
      </c>
      <c r="Q339" t="str">
        <f>""</f>
        <v/>
      </c>
      <c r="R339" t="str">
        <f>""</f>
        <v/>
      </c>
      <c r="S339" t="str">
        <f t="shared" si="151"/>
        <v>29.03.2022</v>
      </c>
      <c r="T339" t="str">
        <f>"46/4147"</f>
        <v>46/4147</v>
      </c>
      <c r="U339" t="str">
        <f t="shared" si="145"/>
        <v>Магистральная ВОЛС</v>
      </c>
      <c r="V339" t="str">
        <f t="shared" si="155"/>
        <v>Нет</v>
      </c>
      <c r="W339" t="str">
        <f t="shared" si="155"/>
        <v>Нет</v>
      </c>
      <c r="X339" t="str">
        <f t="shared" si="155"/>
        <v>Нет</v>
      </c>
      <c r="Y339" t="str">
        <f t="shared" si="155"/>
        <v>Нет</v>
      </c>
      <c r="Z339" t="str">
        <f t="shared" si="152"/>
        <v>Нет</v>
      </c>
      <c r="AA339" t="str">
        <f>""</f>
        <v/>
      </c>
      <c r="AB339" t="str">
        <f t="shared" si="154"/>
        <v>Нет</v>
      </c>
      <c r="AC339" t="str">
        <f>""</f>
        <v/>
      </c>
      <c r="AD339" t="str">
        <f>""</f>
        <v/>
      </c>
      <c r="AE339" t="str">
        <f>""</f>
        <v/>
      </c>
      <c r="AF339" t="str">
        <f>"[745870] М5.7.11"</f>
        <v>[745870] М5.7.11</v>
      </c>
      <c r="AG339" t="str">
        <f>"[746129] М5.7.10"</f>
        <v>[746129] М5.7.10</v>
      </c>
      <c r="AH339" t="str">
        <f>""</f>
        <v/>
      </c>
      <c r="AI339" t="str">
        <f>""</f>
        <v/>
      </c>
      <c r="AJ339" t="str">
        <f>""</f>
        <v/>
      </c>
      <c r="AK339" t="str">
        <f t="shared" si="153"/>
        <v>Нет</v>
      </c>
      <c r="AL339" t="str">
        <f>"51.257883 38.103215, 51.257497 38.097249"</f>
        <v>51.257883 38.103215, 51.257497 38.097249</v>
      </c>
      <c r="AM339" t="str">
        <f>"20000008017081"</f>
        <v>20000008017081</v>
      </c>
    </row>
    <row r="340" spans="1:39" x14ac:dyDescent="0.25">
      <c r="A340">
        <v>907</v>
      </c>
      <c r="B340" t="str">
        <f t="shared" si="146"/>
        <v>Курск</v>
      </c>
      <c r="C340">
        <v>959779</v>
      </c>
      <c r="D340" t="str">
        <f t="shared" si="147"/>
        <v>Оптический кабель</v>
      </c>
      <c r="E340" t="str">
        <f>"[46/4148] М5.7.10 - М5.7.9"</f>
        <v>[46/4148] М5.7.10 - М5.7.9</v>
      </c>
      <c r="F340" t="str">
        <f t="shared" si="156"/>
        <v>ОКМС-96(G.652.D) 7кН</v>
      </c>
      <c r="G340" t="str">
        <f>""</f>
        <v/>
      </c>
      <c r="H340" t="str">
        <f t="shared" si="149"/>
        <v>МС 5.7</v>
      </c>
      <c r="I340">
        <v>449</v>
      </c>
      <c r="J340">
        <v>510</v>
      </c>
      <c r="K340">
        <v>0</v>
      </c>
      <c r="M340" t="str">
        <f t="shared" si="144"/>
        <v>Опоры</v>
      </c>
      <c r="N340" t="str">
        <f t="shared" si="150"/>
        <v>08.06.20222</v>
      </c>
      <c r="O340">
        <v>96</v>
      </c>
      <c r="P340">
        <v>96</v>
      </c>
      <c r="Q340" t="str">
        <f>""</f>
        <v/>
      </c>
      <c r="R340" t="str">
        <f>""</f>
        <v/>
      </c>
      <c r="S340" t="str">
        <f t="shared" si="151"/>
        <v>29.03.2022</v>
      </c>
      <c r="T340" t="str">
        <f>"46/4148"</f>
        <v>46/4148</v>
      </c>
      <c r="U340" t="str">
        <f t="shared" si="145"/>
        <v>Магистральная ВОЛС</v>
      </c>
      <c r="V340" t="str">
        <f t="shared" si="155"/>
        <v>Нет</v>
      </c>
      <c r="W340" t="str">
        <f t="shared" si="155"/>
        <v>Нет</v>
      </c>
      <c r="X340" t="str">
        <f t="shared" si="155"/>
        <v>Нет</v>
      </c>
      <c r="Y340" t="str">
        <f t="shared" si="155"/>
        <v>Нет</v>
      </c>
      <c r="Z340" t="str">
        <f t="shared" si="152"/>
        <v>Нет</v>
      </c>
      <c r="AA340" t="str">
        <f>""</f>
        <v/>
      </c>
      <c r="AB340" t="str">
        <f t="shared" si="154"/>
        <v>Нет</v>
      </c>
      <c r="AC340" t="str">
        <f>""</f>
        <v/>
      </c>
      <c r="AD340" t="str">
        <f>""</f>
        <v/>
      </c>
      <c r="AE340" t="str">
        <f>""</f>
        <v/>
      </c>
      <c r="AF340" t="str">
        <f>"[746129] М5.7.10"</f>
        <v>[746129] М5.7.10</v>
      </c>
      <c r="AG340" t="str">
        <f>"[746388] М5.7.9"</f>
        <v>[746388] М5.7.9</v>
      </c>
      <c r="AH340" t="str">
        <f>""</f>
        <v/>
      </c>
      <c r="AI340" t="str">
        <f>""</f>
        <v/>
      </c>
      <c r="AJ340" t="str">
        <f>""</f>
        <v/>
      </c>
      <c r="AK340" t="str">
        <f t="shared" si="153"/>
        <v>Нет</v>
      </c>
      <c r="AL340" t="str">
        <f>"51.257497 38.097249, 51.26128 38.095104"</f>
        <v>51.257497 38.097249, 51.26128 38.095104</v>
      </c>
      <c r="AM340" t="str">
        <f>"20000008048483"</f>
        <v>20000008048483</v>
      </c>
    </row>
    <row r="341" spans="1:39" x14ac:dyDescent="0.25">
      <c r="A341">
        <v>907</v>
      </c>
      <c r="B341" t="str">
        <f t="shared" si="146"/>
        <v>Курск</v>
      </c>
      <c r="C341">
        <v>959815</v>
      </c>
      <c r="D341" t="str">
        <f t="shared" si="147"/>
        <v>Оптический кабель</v>
      </c>
      <c r="E341" t="str">
        <f>"[46/4149] М5.7.9 - М5.7.8"</f>
        <v>[46/4149] М5.7.9 - М5.7.8</v>
      </c>
      <c r="F341" t="str">
        <f t="shared" si="156"/>
        <v>ОКМС-96(G.652.D) 7кН</v>
      </c>
      <c r="G341" t="str">
        <f>""</f>
        <v/>
      </c>
      <c r="H341" t="str">
        <f t="shared" si="149"/>
        <v>МС 5.7</v>
      </c>
      <c r="I341">
        <v>290</v>
      </c>
      <c r="J341">
        <v>350</v>
      </c>
      <c r="K341">
        <v>0</v>
      </c>
      <c r="M341" t="str">
        <f t="shared" si="144"/>
        <v>Опоры</v>
      </c>
      <c r="N341" t="str">
        <f t="shared" si="150"/>
        <v>08.06.20222</v>
      </c>
      <c r="O341">
        <v>96</v>
      </c>
      <c r="P341">
        <v>96</v>
      </c>
      <c r="Q341" t="str">
        <f>""</f>
        <v/>
      </c>
      <c r="R341" t="str">
        <f>""</f>
        <v/>
      </c>
      <c r="S341" t="str">
        <f t="shared" si="151"/>
        <v>29.03.2022</v>
      </c>
      <c r="T341" t="str">
        <f>"46/4149"</f>
        <v>46/4149</v>
      </c>
      <c r="U341" t="str">
        <f t="shared" si="145"/>
        <v>Магистральная ВОЛС</v>
      </c>
      <c r="V341" t="str">
        <f t="shared" si="155"/>
        <v>Нет</v>
      </c>
      <c r="W341" t="str">
        <f t="shared" si="155"/>
        <v>Нет</v>
      </c>
      <c r="X341" t="str">
        <f t="shared" si="155"/>
        <v>Нет</v>
      </c>
      <c r="Y341" t="str">
        <f t="shared" si="155"/>
        <v>Нет</v>
      </c>
      <c r="Z341" t="str">
        <f t="shared" si="152"/>
        <v>Нет</v>
      </c>
      <c r="AA341" t="str">
        <f>""</f>
        <v/>
      </c>
      <c r="AB341" t="str">
        <f t="shared" si="154"/>
        <v>Нет</v>
      </c>
      <c r="AC341" t="str">
        <f>""</f>
        <v/>
      </c>
      <c r="AD341" t="str">
        <f>""</f>
        <v/>
      </c>
      <c r="AE341" t="str">
        <f>""</f>
        <v/>
      </c>
      <c r="AF341" t="str">
        <f>"[746388] М5.7.9"</f>
        <v>[746388] М5.7.9</v>
      </c>
      <c r="AG341" t="str">
        <f>"[746647] М5.7.8"</f>
        <v>[746647] М5.7.8</v>
      </c>
      <c r="AH341" t="str">
        <f>""</f>
        <v/>
      </c>
      <c r="AI341" t="str">
        <f>""</f>
        <v/>
      </c>
      <c r="AJ341" t="str">
        <f>""</f>
        <v/>
      </c>
      <c r="AK341" t="str">
        <f t="shared" si="153"/>
        <v>Нет</v>
      </c>
      <c r="AL341" t="str">
        <f>"51.26128 38.095104, 51.262645 38.094047"</f>
        <v>51.26128 38.095104, 51.262645 38.094047</v>
      </c>
      <c r="AM341" t="str">
        <f>"20000008026176"</f>
        <v>20000008026176</v>
      </c>
    </row>
    <row r="342" spans="1:39" x14ac:dyDescent="0.25">
      <c r="A342">
        <v>907</v>
      </c>
      <c r="B342" t="str">
        <f t="shared" si="146"/>
        <v>Курск</v>
      </c>
      <c r="C342">
        <v>959837</v>
      </c>
      <c r="D342" t="str">
        <f t="shared" si="147"/>
        <v>Оптический кабель</v>
      </c>
      <c r="E342" t="str">
        <f>"[46/4150] М5.7.8 - М5.7.7"</f>
        <v>[46/4150] М5.7.8 - М5.7.7</v>
      </c>
      <c r="F342" t="str">
        <f t="shared" si="156"/>
        <v>ОКМС-96(G.652.D) 7кН</v>
      </c>
      <c r="G342" t="str">
        <f>""</f>
        <v/>
      </c>
      <c r="H342" t="str">
        <f t="shared" si="149"/>
        <v>МС 5.7</v>
      </c>
      <c r="I342">
        <v>447</v>
      </c>
      <c r="J342">
        <v>530</v>
      </c>
      <c r="K342">
        <v>0</v>
      </c>
      <c r="M342" t="str">
        <f t="shared" si="144"/>
        <v>Опоры</v>
      </c>
      <c r="N342" t="str">
        <f t="shared" si="150"/>
        <v>08.06.20222</v>
      </c>
      <c r="O342">
        <v>95</v>
      </c>
      <c r="P342">
        <v>94</v>
      </c>
      <c r="Q342" t="str">
        <f>""</f>
        <v/>
      </c>
      <c r="R342" t="str">
        <f>""</f>
        <v/>
      </c>
      <c r="S342" t="str">
        <f t="shared" si="151"/>
        <v>29.03.2022</v>
      </c>
      <c r="T342" t="str">
        <f>"46/4150"</f>
        <v>46/4150</v>
      </c>
      <c r="U342" t="str">
        <f t="shared" si="145"/>
        <v>Магистральная ВОЛС</v>
      </c>
      <c r="V342" t="str">
        <f t="shared" si="155"/>
        <v>Нет</v>
      </c>
      <c r="W342" t="str">
        <f t="shared" si="155"/>
        <v>Нет</v>
      </c>
      <c r="X342" t="str">
        <f t="shared" si="155"/>
        <v>Нет</v>
      </c>
      <c r="Y342" t="str">
        <f t="shared" si="155"/>
        <v>Нет</v>
      </c>
      <c r="Z342" t="str">
        <f t="shared" si="152"/>
        <v>Нет</v>
      </c>
      <c r="AA342" t="str">
        <f>""</f>
        <v/>
      </c>
      <c r="AB342" t="str">
        <f t="shared" si="154"/>
        <v>Нет</v>
      </c>
      <c r="AC342" t="str">
        <f>""</f>
        <v/>
      </c>
      <c r="AD342" t="str">
        <f>""</f>
        <v/>
      </c>
      <c r="AE342" t="str">
        <f>""</f>
        <v/>
      </c>
      <c r="AF342" t="str">
        <f>"[746647] М5.7.8"</f>
        <v>[746647] М5.7.8</v>
      </c>
      <c r="AG342" t="str">
        <f>"[746906] М5.7.7"</f>
        <v>[746906] М5.7.7</v>
      </c>
      <c r="AH342" t="str">
        <f>""</f>
        <v/>
      </c>
      <c r="AI342" t="str">
        <f>""</f>
        <v/>
      </c>
      <c r="AJ342" t="str">
        <f>""</f>
        <v/>
      </c>
      <c r="AK342" t="str">
        <f t="shared" si="153"/>
        <v>Нет</v>
      </c>
      <c r="AL342" t="str">
        <f>"51.262645 38.094047, 51.264768 38.088701"</f>
        <v>51.262645 38.094047, 51.264768 38.088701</v>
      </c>
      <c r="AM342" t="str">
        <f>"20000008017080"</f>
        <v>20000008017080</v>
      </c>
    </row>
    <row r="343" spans="1:39" x14ac:dyDescent="0.25">
      <c r="A343">
        <v>907</v>
      </c>
      <c r="B343" t="str">
        <f t="shared" si="146"/>
        <v>Курск</v>
      </c>
      <c r="C343">
        <v>959866</v>
      </c>
      <c r="D343" t="str">
        <f t="shared" si="147"/>
        <v>Оптический кабель</v>
      </c>
      <c r="E343" t="str">
        <f>"[46/4151] М5.7.7 - М5.7.6"</f>
        <v>[46/4151] М5.7.7 - М5.7.6</v>
      </c>
      <c r="F343" t="str">
        <f t="shared" si="156"/>
        <v>ОКМС-96(G.652.D) 7кН</v>
      </c>
      <c r="G343" t="str">
        <f>""</f>
        <v/>
      </c>
      <c r="H343" t="str">
        <f t="shared" si="149"/>
        <v>МС 5.7</v>
      </c>
      <c r="I343">
        <v>205</v>
      </c>
      <c r="J343">
        <v>260</v>
      </c>
      <c r="K343">
        <v>0</v>
      </c>
      <c r="M343" t="str">
        <f t="shared" si="144"/>
        <v>Опоры</v>
      </c>
      <c r="N343" t="str">
        <f t="shared" si="150"/>
        <v>08.06.20222</v>
      </c>
      <c r="O343">
        <v>96</v>
      </c>
      <c r="P343">
        <v>96</v>
      </c>
      <c r="Q343" t="str">
        <f>""</f>
        <v/>
      </c>
      <c r="R343" t="str">
        <f>""</f>
        <v/>
      </c>
      <c r="S343" t="str">
        <f t="shared" si="151"/>
        <v>29.03.2022</v>
      </c>
      <c r="T343" t="str">
        <f>"46/4151"</f>
        <v>46/4151</v>
      </c>
      <c r="U343" t="str">
        <f t="shared" si="145"/>
        <v>Магистральная ВОЛС</v>
      </c>
      <c r="V343" t="str">
        <f t="shared" si="155"/>
        <v>Нет</v>
      </c>
      <c r="W343" t="str">
        <f t="shared" si="155"/>
        <v>Нет</v>
      </c>
      <c r="X343" t="str">
        <f t="shared" si="155"/>
        <v>Нет</v>
      </c>
      <c r="Y343" t="str">
        <f t="shared" si="155"/>
        <v>Нет</v>
      </c>
      <c r="Z343" t="str">
        <f t="shared" si="152"/>
        <v>Нет</v>
      </c>
      <c r="AA343" t="str">
        <f>""</f>
        <v/>
      </c>
      <c r="AB343" t="str">
        <f t="shared" si="154"/>
        <v>Нет</v>
      </c>
      <c r="AC343" t="str">
        <f>""</f>
        <v/>
      </c>
      <c r="AD343" t="str">
        <f>""</f>
        <v/>
      </c>
      <c r="AE343" t="str">
        <f>""</f>
        <v/>
      </c>
      <c r="AF343" t="str">
        <f>"[746906] М5.7.7"</f>
        <v>[746906] М5.7.7</v>
      </c>
      <c r="AG343" t="str">
        <f>"[747165] М5.7.6"</f>
        <v>[747165] М5.7.6</v>
      </c>
      <c r="AH343" t="str">
        <f>""</f>
        <v/>
      </c>
      <c r="AI343" t="str">
        <f>""</f>
        <v/>
      </c>
      <c r="AJ343" t="str">
        <f>""</f>
        <v/>
      </c>
      <c r="AK343" t="str">
        <f t="shared" si="153"/>
        <v>Нет</v>
      </c>
      <c r="AL343" t="str">
        <f>"51.264768 38.088701, 51.265345 38.085904"</f>
        <v>51.264768 38.088701, 51.265345 38.085904</v>
      </c>
      <c r="AM343" t="str">
        <f>"20000008031629"</f>
        <v>20000008031629</v>
      </c>
    </row>
    <row r="344" spans="1:39" x14ac:dyDescent="0.25">
      <c r="A344">
        <v>907</v>
      </c>
      <c r="B344" t="str">
        <f t="shared" si="146"/>
        <v>Курск</v>
      </c>
      <c r="C344">
        <v>959884</v>
      </c>
      <c r="D344" t="str">
        <f t="shared" si="147"/>
        <v>Оптический кабель</v>
      </c>
      <c r="E344" t="str">
        <f>"[46/4152] М5.7.6 - М5.7.5"</f>
        <v>[46/4152] М5.7.6 - М5.7.5</v>
      </c>
      <c r="F344" t="str">
        <f t="shared" si="156"/>
        <v>ОКМС-96(G.652.D) 7кН</v>
      </c>
      <c r="G344" t="str">
        <f>""</f>
        <v/>
      </c>
      <c r="H344" t="str">
        <f t="shared" si="149"/>
        <v>МС 5.7</v>
      </c>
      <c r="I344">
        <v>331</v>
      </c>
      <c r="J344">
        <v>390</v>
      </c>
      <c r="K344">
        <v>0</v>
      </c>
      <c r="M344" t="str">
        <f t="shared" si="144"/>
        <v>Опоры</v>
      </c>
      <c r="N344" t="str">
        <f t="shared" si="150"/>
        <v>08.06.20222</v>
      </c>
      <c r="O344">
        <v>96</v>
      </c>
      <c r="P344">
        <v>96</v>
      </c>
      <c r="Q344" t="str">
        <f>""</f>
        <v/>
      </c>
      <c r="R344" t="str">
        <f>""</f>
        <v/>
      </c>
      <c r="S344" t="str">
        <f t="shared" si="151"/>
        <v>29.03.2022</v>
      </c>
      <c r="T344" t="str">
        <f>"46/4152"</f>
        <v>46/4152</v>
      </c>
      <c r="U344" t="str">
        <f t="shared" si="145"/>
        <v>Магистральная ВОЛС</v>
      </c>
      <c r="V344" t="str">
        <f t="shared" si="155"/>
        <v>Нет</v>
      </c>
      <c r="W344" t="str">
        <f t="shared" si="155"/>
        <v>Нет</v>
      </c>
      <c r="X344" t="str">
        <f t="shared" si="155"/>
        <v>Нет</v>
      </c>
      <c r="Y344" t="str">
        <f t="shared" si="155"/>
        <v>Нет</v>
      </c>
      <c r="Z344" t="str">
        <f t="shared" si="152"/>
        <v>Нет</v>
      </c>
      <c r="AA344" t="str">
        <f>""</f>
        <v/>
      </c>
      <c r="AB344" t="str">
        <f t="shared" si="154"/>
        <v>Нет</v>
      </c>
      <c r="AC344" t="str">
        <f>""</f>
        <v/>
      </c>
      <c r="AD344" t="str">
        <f>""</f>
        <v/>
      </c>
      <c r="AE344" t="str">
        <f>""</f>
        <v/>
      </c>
      <c r="AF344" t="str">
        <f>"[747165] М5.7.6"</f>
        <v>[747165] М5.7.6</v>
      </c>
      <c r="AG344" t="str">
        <f>"[747424] М5.7.5"</f>
        <v>[747424] М5.7.5</v>
      </c>
      <c r="AH344" t="str">
        <f>""</f>
        <v/>
      </c>
      <c r="AI344" t="str">
        <f>""</f>
        <v/>
      </c>
      <c r="AJ344" t="str">
        <f>""</f>
        <v/>
      </c>
      <c r="AK344" t="str">
        <f t="shared" si="153"/>
        <v>Нет</v>
      </c>
      <c r="AL344" t="str">
        <f>"51.265345 38.085904, 51.263593 38.082631"</f>
        <v>51.265345 38.085904, 51.263593 38.082631</v>
      </c>
      <c r="AM344" t="str">
        <f>"20000008031628"</f>
        <v>20000008031628</v>
      </c>
    </row>
    <row r="345" spans="1:39" x14ac:dyDescent="0.25">
      <c r="A345">
        <v>907</v>
      </c>
      <c r="B345" t="str">
        <f t="shared" si="146"/>
        <v>Курск</v>
      </c>
      <c r="C345">
        <v>959912</v>
      </c>
      <c r="D345" t="str">
        <f t="shared" si="147"/>
        <v>Оптический кабель</v>
      </c>
      <c r="E345" t="str">
        <f>"[46/4153] М5.7.5 - М5.7.4"</f>
        <v>[46/4153] М5.7.5 - М5.7.4</v>
      </c>
      <c r="F345" t="str">
        <f>"ОКМС-64 (G.652.D) 7кН (Мод:Кр,Жел, 4Нат)"</f>
        <v>ОКМС-64 (G.652.D) 7кН (Мод:Кр,Жел, 4Нат)</v>
      </c>
      <c r="G345" t="str">
        <f>""</f>
        <v/>
      </c>
      <c r="H345" t="str">
        <f t="shared" si="149"/>
        <v>МС 5.7</v>
      </c>
      <c r="I345">
        <v>733</v>
      </c>
      <c r="J345">
        <v>810</v>
      </c>
      <c r="K345">
        <v>0</v>
      </c>
      <c r="M345" t="str">
        <f t="shared" si="144"/>
        <v>Опоры</v>
      </c>
      <c r="N345" t="str">
        <f t="shared" si="150"/>
        <v>08.06.20222</v>
      </c>
      <c r="O345">
        <v>64</v>
      </c>
      <c r="P345">
        <v>64</v>
      </c>
      <c r="Q345" t="str">
        <f>""</f>
        <v/>
      </c>
      <c r="R345" t="str">
        <f>""</f>
        <v/>
      </c>
      <c r="S345" t="str">
        <f t="shared" si="151"/>
        <v>29.03.2022</v>
      </c>
      <c r="T345" t="str">
        <f>"46/4153"</f>
        <v>46/4153</v>
      </c>
      <c r="U345" t="str">
        <f t="shared" si="145"/>
        <v>Магистральная ВОЛС</v>
      </c>
      <c r="V345" t="str">
        <f t="shared" si="155"/>
        <v>Нет</v>
      </c>
      <c r="W345" t="str">
        <f t="shared" si="155"/>
        <v>Нет</v>
      </c>
      <c r="X345" t="str">
        <f t="shared" si="155"/>
        <v>Нет</v>
      </c>
      <c r="Y345" t="str">
        <f t="shared" si="155"/>
        <v>Нет</v>
      </c>
      <c r="Z345" t="str">
        <f t="shared" si="152"/>
        <v>Нет</v>
      </c>
      <c r="AA345" t="str">
        <f>""</f>
        <v/>
      </c>
      <c r="AB345" t="str">
        <f t="shared" si="154"/>
        <v>Нет</v>
      </c>
      <c r="AC345" t="str">
        <f>""</f>
        <v/>
      </c>
      <c r="AD345" t="str">
        <f>""</f>
        <v/>
      </c>
      <c r="AE345" t="str">
        <f>""</f>
        <v/>
      </c>
      <c r="AF345" t="str">
        <f>"[747424] М5.7.5"</f>
        <v>[747424] М5.7.5</v>
      </c>
      <c r="AG345" t="str">
        <f>"[747683] М5.7.4"</f>
        <v>[747683] М5.7.4</v>
      </c>
      <c r="AH345" t="str">
        <f>""</f>
        <v/>
      </c>
      <c r="AI345" t="str">
        <f>""</f>
        <v/>
      </c>
      <c r="AJ345" t="str">
        <f>""</f>
        <v/>
      </c>
      <c r="AK345" t="str">
        <f t="shared" si="153"/>
        <v>Нет</v>
      </c>
      <c r="AL345" t="str">
        <f>"51.263593 38.082631, 51.261858 38.074386"</f>
        <v>51.263593 38.082631, 51.261858 38.074386</v>
      </c>
      <c r="AM345" t="str">
        <f>"20000008040057"</f>
        <v>20000008040057</v>
      </c>
    </row>
    <row r="346" spans="1:39" x14ac:dyDescent="0.25">
      <c r="A346">
        <v>907</v>
      </c>
      <c r="B346" t="str">
        <f t="shared" si="146"/>
        <v>Курск</v>
      </c>
      <c r="C346">
        <v>959950</v>
      </c>
      <c r="D346" t="str">
        <f t="shared" si="147"/>
        <v>Оптический кабель</v>
      </c>
      <c r="E346" t="str">
        <f>"[46/4154] М5.7.4 - М5.7.3"</f>
        <v>[46/4154] М5.7.4 - М5.7.3</v>
      </c>
      <c r="F346" t="str">
        <f>"ОКМС-64 (G.652.D) 7кН (Мод:Кр,Жел, 4Нат)"</f>
        <v>ОКМС-64 (G.652.D) 7кН (Мод:Кр,Жел, 4Нат)</v>
      </c>
      <c r="G346" t="str">
        <f>""</f>
        <v/>
      </c>
      <c r="H346" t="str">
        <f t="shared" si="149"/>
        <v>МС 5.7</v>
      </c>
      <c r="I346">
        <v>659</v>
      </c>
      <c r="J346">
        <v>750</v>
      </c>
      <c r="K346">
        <v>0</v>
      </c>
      <c r="M346" t="str">
        <f t="shared" si="144"/>
        <v>Опоры</v>
      </c>
      <c r="N346" t="str">
        <f t="shared" si="150"/>
        <v>08.06.20222</v>
      </c>
      <c r="O346">
        <v>62</v>
      </c>
      <c r="P346">
        <v>62</v>
      </c>
      <c r="Q346" t="str">
        <f>""</f>
        <v/>
      </c>
      <c r="R346" t="str">
        <f>""</f>
        <v/>
      </c>
      <c r="S346" t="str">
        <f t="shared" si="151"/>
        <v>29.03.2022</v>
      </c>
      <c r="T346" t="str">
        <f>"46/4154"</f>
        <v>46/4154</v>
      </c>
      <c r="U346" t="str">
        <f t="shared" si="145"/>
        <v>Магистральная ВОЛС</v>
      </c>
      <c r="V346" t="str">
        <f t="shared" si="155"/>
        <v>Нет</v>
      </c>
      <c r="W346" t="str">
        <f t="shared" si="155"/>
        <v>Нет</v>
      </c>
      <c r="X346" t="str">
        <f t="shared" si="155"/>
        <v>Нет</v>
      </c>
      <c r="Y346" t="str">
        <f t="shared" si="155"/>
        <v>Нет</v>
      </c>
      <c r="Z346" t="str">
        <f t="shared" si="152"/>
        <v>Нет</v>
      </c>
      <c r="AA346" t="str">
        <f>""</f>
        <v/>
      </c>
      <c r="AB346" t="str">
        <f t="shared" si="154"/>
        <v>Нет</v>
      </c>
      <c r="AC346" t="str">
        <f>""</f>
        <v/>
      </c>
      <c r="AD346" t="str">
        <f>""</f>
        <v/>
      </c>
      <c r="AE346" t="str">
        <f>""</f>
        <v/>
      </c>
      <c r="AF346" t="str">
        <f>"[747683] М5.7.4"</f>
        <v>[747683] М5.7.4</v>
      </c>
      <c r="AG346" t="str">
        <f>"[747942] М5.7.3"</f>
        <v>[747942] М5.7.3</v>
      </c>
      <c r="AH346" t="str">
        <f>""</f>
        <v/>
      </c>
      <c r="AI346" t="str">
        <f>""</f>
        <v/>
      </c>
      <c r="AJ346" t="str">
        <f>""</f>
        <v/>
      </c>
      <c r="AK346" t="str">
        <f t="shared" si="153"/>
        <v>Нет</v>
      </c>
      <c r="AL346" t="str">
        <f>"51.261858 38.074386, 51.264395 38.067176"</f>
        <v>51.261858 38.074386, 51.264395 38.067176</v>
      </c>
      <c r="AM346" t="str">
        <f>"20000008017082"</f>
        <v>20000008017082</v>
      </c>
    </row>
    <row r="347" spans="1:39" x14ac:dyDescent="0.25">
      <c r="A347">
        <v>907</v>
      </c>
      <c r="B347" t="str">
        <f t="shared" si="146"/>
        <v>Курск</v>
      </c>
      <c r="C347">
        <v>960016</v>
      </c>
      <c r="D347" t="str">
        <f t="shared" si="147"/>
        <v>Оптический кабель</v>
      </c>
      <c r="E347" t="str">
        <f>"[46/4155] МОК5.7.10 Озерки с., Старооскольский р-н (Белгородская обл), Парковая Ул, 8  п. 1 - М5.7.1"</f>
        <v>[46/4155] МОК5.7.10 Озерки с., Старооскольский р-н (Белгородская обл), Парковая Ул, 8  п. 1 - М5.7.1</v>
      </c>
      <c r="F347" t="str">
        <f>"ОКМС-16(G.652.D) 7кН"</f>
        <v>ОКМС-16(G.652.D) 7кН</v>
      </c>
      <c r="G347" t="str">
        <f>""</f>
        <v/>
      </c>
      <c r="H347" t="str">
        <f t="shared" si="149"/>
        <v>МС 5.7</v>
      </c>
      <c r="I347">
        <v>1724</v>
      </c>
      <c r="J347">
        <v>1940</v>
      </c>
      <c r="K347">
        <v>40</v>
      </c>
      <c r="M347" t="str">
        <f t="shared" si="144"/>
        <v>Опоры</v>
      </c>
      <c r="N347" t="str">
        <f t="shared" si="150"/>
        <v>08.06.20222</v>
      </c>
      <c r="O347">
        <v>16</v>
      </c>
      <c r="P347">
        <v>16</v>
      </c>
      <c r="Q347" t="str">
        <f>"Озерки с., Старооскольский р-н (Белгородская обл), Парковая Ул, 8"</f>
        <v>Озерки с., Старооскольский р-н (Белгородская обл), Парковая Ул, 8</v>
      </c>
      <c r="R347" t="str">
        <f>""</f>
        <v/>
      </c>
      <c r="S347" t="str">
        <f t="shared" si="151"/>
        <v>29.03.2022</v>
      </c>
      <c r="T347" t="str">
        <f>"46/4155"</f>
        <v>46/4155</v>
      </c>
      <c r="U347" t="str">
        <f t="shared" si="145"/>
        <v>Магистральная ВОЛС</v>
      </c>
      <c r="V347" t="str">
        <f t="shared" si="155"/>
        <v>Нет</v>
      </c>
      <c r="W347" t="str">
        <f t="shared" si="155"/>
        <v>Нет</v>
      </c>
      <c r="X347" t="str">
        <f t="shared" si="155"/>
        <v>Нет</v>
      </c>
      <c r="Y347" t="str">
        <f t="shared" si="155"/>
        <v>Нет</v>
      </c>
      <c r="Z347" t="str">
        <f t="shared" si="152"/>
        <v>Нет</v>
      </c>
      <c r="AA347" t="str">
        <f>""</f>
        <v/>
      </c>
      <c r="AB347" t="str">
        <f t="shared" si="154"/>
        <v>Нет</v>
      </c>
      <c r="AC347" t="str">
        <f>""</f>
        <v/>
      </c>
      <c r="AD347" t="str">
        <f>""</f>
        <v/>
      </c>
      <c r="AE347" t="str">
        <f>""</f>
        <v/>
      </c>
      <c r="AF347" t="str">
        <f>"[750844] МОК5.7.10 Озерки с., Старооскольский р-н (Белгородская обл), Парковая Ул, 8  п. 1"</f>
        <v>[750844] МОК5.7.10 Озерки с., Старооскольский р-н (Белгородская обл), Парковая Ул, 8  п. 1</v>
      </c>
      <c r="AG347" t="str">
        <f>"[748460] М5.7.1"</f>
        <v>[748460] М5.7.1</v>
      </c>
      <c r="AH347" t="str">
        <f>""</f>
        <v/>
      </c>
      <c r="AI347" t="str">
        <f>""</f>
        <v/>
      </c>
      <c r="AJ347" t="str">
        <f>""</f>
        <v/>
      </c>
      <c r="AK347" t="str">
        <f t="shared" si="153"/>
        <v>Нет</v>
      </c>
      <c r="AL347" t="str">
        <f>"51.24602 38.015952, 51.256105 38.008759"</f>
        <v>51.24602 38.015952, 51.256105 38.008759</v>
      </c>
      <c r="AM347" t="str">
        <f>"20000008030130"</f>
        <v>20000008030130</v>
      </c>
    </row>
    <row r="348" spans="1:39" x14ac:dyDescent="0.25">
      <c r="A348">
        <v>907</v>
      </c>
      <c r="B348" t="str">
        <f t="shared" si="146"/>
        <v>Курск</v>
      </c>
      <c r="C348">
        <v>960092</v>
      </c>
      <c r="D348" t="str">
        <f t="shared" si="147"/>
        <v>Оптический кабель</v>
      </c>
      <c r="E348" t="str">
        <f>"[46/4156] МОК5.7.10.1 Незнамово  с, Старооскольский р-н (Белгородская обл), Центральная, 16 б п. 1 - М5.7.1.1"</f>
        <v>[46/4156] МОК5.7.10.1 Незнамово  с, Старооскольский р-н (Белгородская обл), Центральная, 16 б п. 1 - М5.7.1.1</v>
      </c>
      <c r="F348" t="str">
        <f>"ОКМС-8(G.652.D) 7кН"</f>
        <v>ОКМС-8(G.652.D) 7кН</v>
      </c>
      <c r="G348" t="str">
        <f>""</f>
        <v/>
      </c>
      <c r="H348" t="str">
        <f t="shared" si="149"/>
        <v>МС 5.7</v>
      </c>
      <c r="I348">
        <v>38</v>
      </c>
      <c r="J348">
        <v>50</v>
      </c>
      <c r="K348">
        <v>0</v>
      </c>
      <c r="M348" t="str">
        <f t="shared" si="144"/>
        <v>Опоры</v>
      </c>
      <c r="N348" t="str">
        <f t="shared" si="150"/>
        <v>08.06.20222</v>
      </c>
      <c r="O348">
        <v>8</v>
      </c>
      <c r="P348">
        <v>8</v>
      </c>
      <c r="Q348" t="str">
        <f>"Незнамово  с, Старооскольский р-н (Белгородская обл), Центральная, 16 б"</f>
        <v>Незнамово  с, Старооскольский р-н (Белгородская обл), Центральная, 16 б</v>
      </c>
      <c r="R348" t="str">
        <f>""</f>
        <v/>
      </c>
      <c r="S348" t="str">
        <f t="shared" si="151"/>
        <v>29.03.2022</v>
      </c>
      <c r="T348" t="str">
        <f>"46/4156"</f>
        <v>46/4156</v>
      </c>
      <c r="U348" t="str">
        <f t="shared" si="145"/>
        <v>Магистральная ВОЛС</v>
      </c>
      <c r="V348" t="str">
        <f t="shared" ref="V348:Y371" si="157">"Нет"</f>
        <v>Нет</v>
      </c>
      <c r="W348" t="str">
        <f t="shared" si="157"/>
        <v>Нет</v>
      </c>
      <c r="X348" t="str">
        <f t="shared" si="157"/>
        <v>Нет</v>
      </c>
      <c r="Y348" t="str">
        <f t="shared" si="157"/>
        <v>Нет</v>
      </c>
      <c r="Z348" t="str">
        <f t="shared" si="152"/>
        <v>Нет</v>
      </c>
      <c r="AA348" t="str">
        <f>""</f>
        <v/>
      </c>
      <c r="AB348" t="str">
        <f t="shared" si="154"/>
        <v>Нет</v>
      </c>
      <c r="AC348" t="str">
        <f>""</f>
        <v/>
      </c>
      <c r="AD348" t="str">
        <f>""</f>
        <v/>
      </c>
      <c r="AE348" t="str">
        <f>""</f>
        <v/>
      </c>
      <c r="AF348" t="str">
        <f>"[750873] МОК5.7.10.1 Незнамово  с, Старооскольский р-н (Белгородская обл), Центральная, 16 б п. 1"</f>
        <v>[750873] МОК5.7.10.1 Незнамово  с, Старооскольский р-н (Белгородская обл), Центральная, 16 б п. 1</v>
      </c>
      <c r="AG348" t="str">
        <f>"[750532] М5.7.1.1"</f>
        <v>[750532] М5.7.1.1</v>
      </c>
      <c r="AH348" t="str">
        <f>""</f>
        <v/>
      </c>
      <c r="AI348" t="str">
        <f>""</f>
        <v/>
      </c>
      <c r="AJ348" t="str">
        <f>""</f>
        <v/>
      </c>
      <c r="AK348" t="str">
        <f t="shared" si="153"/>
        <v>Нет</v>
      </c>
      <c r="AL348" t="str">
        <f>"51.264972 37.925933, 51.26484 37.926436"</f>
        <v>51.264972 37.925933, 51.26484 37.926436</v>
      </c>
      <c r="AM348" t="str">
        <f>"20000008047419"</f>
        <v>20000008047419</v>
      </c>
    </row>
    <row r="349" spans="1:39" x14ac:dyDescent="0.25">
      <c r="A349">
        <v>907</v>
      </c>
      <c r="B349" t="str">
        <f t="shared" si="146"/>
        <v>Курск</v>
      </c>
      <c r="C349">
        <v>960107</v>
      </c>
      <c r="D349" t="str">
        <f t="shared" si="147"/>
        <v>Оптический кабель</v>
      </c>
      <c r="E349" t="str">
        <f>"[46/4157] М5.7.13 - МОК5.7.11 Архангельское  с, Старооскольский р-н (Белгородская обл), Шоссейная Ул, 2  п. 1"</f>
        <v>[46/4157] М5.7.13 - МОК5.7.11 Архангельское  с, Старооскольский р-н (Белгородская обл), Шоссейная Ул, 2  п. 1</v>
      </c>
      <c r="F349" t="str">
        <f t="shared" ref="F349:F355" si="158">"ДОТс-П-48У(6х8) 7кН (Мод:Син,Ор,4Нат)(Вол:Син,Ор,Зел,Кор,..,Кр,Чер)"</f>
        <v>ДОТс-П-48У(6х8) 7кН (Мод:Син,Ор,4Нат)(Вол:Син,Ор,Зел,Кор,..,Кр,Чер)</v>
      </c>
      <c r="G349" t="str">
        <f>""</f>
        <v/>
      </c>
      <c r="H349" t="str">
        <f t="shared" si="149"/>
        <v>МС 5.7</v>
      </c>
      <c r="I349">
        <v>534</v>
      </c>
      <c r="J349">
        <v>690</v>
      </c>
      <c r="K349">
        <v>40</v>
      </c>
      <c r="M349" t="str">
        <f t="shared" si="144"/>
        <v>Опоры</v>
      </c>
      <c r="N349" t="str">
        <f t="shared" si="150"/>
        <v>08.06.20222</v>
      </c>
      <c r="O349">
        <v>48</v>
      </c>
      <c r="P349">
        <v>48</v>
      </c>
      <c r="Q349" t="str">
        <f>""</f>
        <v/>
      </c>
      <c r="R349" t="str">
        <f>"Архангельское  с, Старооскольский р-н (Белгородская обл), Шоссейная Ул, 2"</f>
        <v>Архангельское  с, Старооскольский р-н (Белгородская обл), Шоссейная Ул, 2</v>
      </c>
      <c r="S349" t="str">
        <f t="shared" si="151"/>
        <v>29.03.2022</v>
      </c>
      <c r="T349" t="str">
        <f>"46/4157"</f>
        <v>46/4157</v>
      </c>
      <c r="U349" t="str">
        <f t="shared" si="145"/>
        <v>Магистральная ВОЛС</v>
      </c>
      <c r="V349" t="str">
        <f t="shared" si="157"/>
        <v>Нет</v>
      </c>
      <c r="W349" t="str">
        <f t="shared" si="157"/>
        <v>Нет</v>
      </c>
      <c r="X349" t="str">
        <f t="shared" si="157"/>
        <v>Нет</v>
      </c>
      <c r="Y349" t="str">
        <f t="shared" si="157"/>
        <v>Нет</v>
      </c>
      <c r="Z349" t="str">
        <f t="shared" si="152"/>
        <v>Нет</v>
      </c>
      <c r="AA349" t="str">
        <f>""</f>
        <v/>
      </c>
      <c r="AB349" t="str">
        <f t="shared" si="154"/>
        <v>Нет</v>
      </c>
      <c r="AC349" t="str">
        <f>""</f>
        <v/>
      </c>
      <c r="AD349" t="str">
        <f>""</f>
        <v/>
      </c>
      <c r="AE349" t="str">
        <f>""</f>
        <v/>
      </c>
      <c r="AF349" t="str">
        <f>"[745352] М5.7.13"</f>
        <v>[745352] М5.7.13</v>
      </c>
      <c r="AG349" t="str">
        <f>"[750791] МОК5.7.11 Архангельское  с, Старооскольский р-н (Белгородская обл), Шоссейная Ул, 2  п. 1"</f>
        <v>[750791] МОК5.7.11 Архангельское  с, Старооскольский р-н (Белгородская обл), Шоссейная Ул, 2  п. 1</v>
      </c>
      <c r="AH349" t="str">
        <f>""</f>
        <v/>
      </c>
      <c r="AI349" t="str">
        <f>""</f>
        <v/>
      </c>
      <c r="AJ349" t="str">
        <f>""</f>
        <v/>
      </c>
      <c r="AK349" t="str">
        <f t="shared" si="153"/>
        <v>Нет</v>
      </c>
      <c r="AL349" t="str">
        <f>"51.255926 38.111921, 51.258536 38.110856"</f>
        <v>51.255926 38.111921, 51.258536 38.110856</v>
      </c>
      <c r="AM349" t="str">
        <f>"20000008005979"</f>
        <v>20000008005979</v>
      </c>
    </row>
    <row r="350" spans="1:39" x14ac:dyDescent="0.25">
      <c r="A350">
        <v>907</v>
      </c>
      <c r="B350" t="str">
        <f t="shared" si="146"/>
        <v>Курск</v>
      </c>
      <c r="C350">
        <v>960145</v>
      </c>
      <c r="D350" t="str">
        <f t="shared" si="147"/>
        <v>Оптический кабель</v>
      </c>
      <c r="E350" t="str">
        <f>"[46/4158] М5.7.3 - М5.7.2"</f>
        <v>[46/4158] М5.7.3 - М5.7.2</v>
      </c>
      <c r="F350" t="str">
        <f t="shared" si="158"/>
        <v>ДОТс-П-48У(6х8) 7кН (Мод:Син,Ор,4Нат)(Вол:Син,Ор,Зел,Кор,..,Кр,Чер)</v>
      </c>
      <c r="G350" t="str">
        <f>""</f>
        <v/>
      </c>
      <c r="H350" t="str">
        <f t="shared" si="149"/>
        <v>МС 5.7</v>
      </c>
      <c r="I350">
        <v>1817</v>
      </c>
      <c r="J350">
        <v>2130</v>
      </c>
      <c r="K350">
        <v>30</v>
      </c>
      <c r="M350" t="str">
        <f t="shared" si="144"/>
        <v>Опоры</v>
      </c>
      <c r="N350" t="str">
        <f t="shared" si="150"/>
        <v>08.06.20222</v>
      </c>
      <c r="O350">
        <v>48</v>
      </c>
      <c r="P350">
        <v>48</v>
      </c>
      <c r="Q350" t="str">
        <f>""</f>
        <v/>
      </c>
      <c r="R350" t="str">
        <f>""</f>
        <v/>
      </c>
      <c r="S350" t="str">
        <f t="shared" si="151"/>
        <v>29.03.2022</v>
      </c>
      <c r="T350" t="str">
        <f>"46/4158"</f>
        <v>46/4158</v>
      </c>
      <c r="U350" t="str">
        <f t="shared" si="145"/>
        <v>Магистральная ВОЛС</v>
      </c>
      <c r="V350" t="str">
        <f t="shared" si="157"/>
        <v>Нет</v>
      </c>
      <c r="W350" t="str">
        <f t="shared" si="157"/>
        <v>Нет</v>
      </c>
      <c r="X350" t="str">
        <f t="shared" si="157"/>
        <v>Нет</v>
      </c>
      <c r="Y350" t="str">
        <f t="shared" si="157"/>
        <v>Нет</v>
      </c>
      <c r="Z350" t="str">
        <f t="shared" si="152"/>
        <v>Нет</v>
      </c>
      <c r="AA350" t="str">
        <f>""</f>
        <v/>
      </c>
      <c r="AB350" t="str">
        <f t="shared" si="154"/>
        <v>Нет</v>
      </c>
      <c r="AC350" t="str">
        <f>""</f>
        <v/>
      </c>
      <c r="AD350" t="str">
        <f>""</f>
        <v/>
      </c>
      <c r="AE350" t="str">
        <f>""</f>
        <v/>
      </c>
      <c r="AF350" t="str">
        <f>"[747942] М5.7.3"</f>
        <v>[747942] М5.7.3</v>
      </c>
      <c r="AG350" t="str">
        <f>"[748201] М5.7.2"</f>
        <v>[748201] М5.7.2</v>
      </c>
      <c r="AH350" t="str">
        <f>""</f>
        <v/>
      </c>
      <c r="AI350" t="str">
        <f>""</f>
        <v/>
      </c>
      <c r="AJ350" t="str">
        <f>""</f>
        <v/>
      </c>
      <c r="AK350" t="str">
        <f t="shared" si="153"/>
        <v>Нет</v>
      </c>
      <c r="AL350" t="str">
        <f>"51.264395 38.067176, 51.259347 38.04338"</f>
        <v>51.264395 38.067176, 51.259347 38.04338</v>
      </c>
      <c r="AM350" t="str">
        <f>"20000008025411"</f>
        <v>20000008025411</v>
      </c>
    </row>
    <row r="351" spans="1:39" x14ac:dyDescent="0.25">
      <c r="A351">
        <v>907</v>
      </c>
      <c r="B351" t="str">
        <f t="shared" si="146"/>
        <v>Курск</v>
      </c>
      <c r="C351">
        <v>960221</v>
      </c>
      <c r="D351" t="str">
        <f t="shared" si="147"/>
        <v>Оптический кабель</v>
      </c>
      <c r="E351" t="str">
        <f>"[46/4159] М5.7.2 - М5.7.1"</f>
        <v>[46/4159] М5.7.2 - М5.7.1</v>
      </c>
      <c r="F351" t="str">
        <f t="shared" si="158"/>
        <v>ДОТс-П-48У(6х8) 7кН (Мод:Син,Ор,4Нат)(Вол:Син,Ор,Зел,Кор,..,Кр,Чер)</v>
      </c>
      <c r="G351" t="str">
        <f>""</f>
        <v/>
      </c>
      <c r="H351" t="str">
        <f t="shared" si="149"/>
        <v>МС 5.7</v>
      </c>
      <c r="I351">
        <v>2831</v>
      </c>
      <c r="J351">
        <v>3010</v>
      </c>
      <c r="K351">
        <v>30</v>
      </c>
      <c r="M351" t="str">
        <f t="shared" si="144"/>
        <v>Опоры</v>
      </c>
      <c r="N351" t="str">
        <f t="shared" si="150"/>
        <v>08.06.20222</v>
      </c>
      <c r="O351">
        <v>48</v>
      </c>
      <c r="P351">
        <v>48</v>
      </c>
      <c r="Q351" t="str">
        <f>""</f>
        <v/>
      </c>
      <c r="R351" t="str">
        <f>""</f>
        <v/>
      </c>
      <c r="S351" t="str">
        <f t="shared" si="151"/>
        <v>29.03.2022</v>
      </c>
      <c r="T351" t="str">
        <f>"46/4159"</f>
        <v>46/4159</v>
      </c>
      <c r="U351" t="str">
        <f t="shared" si="145"/>
        <v>Магистральная ВОЛС</v>
      </c>
      <c r="V351" t="str">
        <f t="shared" si="157"/>
        <v>Нет</v>
      </c>
      <c r="W351" t="str">
        <f t="shared" si="157"/>
        <v>Нет</v>
      </c>
      <c r="X351" t="str">
        <f t="shared" si="157"/>
        <v>Нет</v>
      </c>
      <c r="Y351" t="str">
        <f t="shared" si="157"/>
        <v>Нет</v>
      </c>
      <c r="Z351" t="str">
        <f t="shared" si="152"/>
        <v>Нет</v>
      </c>
      <c r="AA351" t="str">
        <f>""</f>
        <v/>
      </c>
      <c r="AB351" t="str">
        <f t="shared" si="154"/>
        <v>Нет</v>
      </c>
      <c r="AC351" t="str">
        <f>""</f>
        <v/>
      </c>
      <c r="AD351" t="str">
        <f>""</f>
        <v/>
      </c>
      <c r="AE351" t="str">
        <f>""</f>
        <v/>
      </c>
      <c r="AF351" t="str">
        <f>"[748201] М5.7.2"</f>
        <v>[748201] М5.7.2</v>
      </c>
      <c r="AG351" t="str">
        <f>"[748460] М5.7.1"</f>
        <v>[748460] М5.7.1</v>
      </c>
      <c r="AH351" t="str">
        <f>""</f>
        <v/>
      </c>
      <c r="AI351" t="str">
        <f>""</f>
        <v/>
      </c>
      <c r="AJ351" t="str">
        <f>""</f>
        <v/>
      </c>
      <c r="AK351" t="str">
        <f t="shared" si="153"/>
        <v>Нет</v>
      </c>
      <c r="AL351" t="str">
        <f>"51.259347 38.04338, 51.256105 38.008759"</f>
        <v>51.259347 38.04338, 51.256105 38.008759</v>
      </c>
      <c r="AM351" t="str">
        <f>"20000008005978"</f>
        <v>20000008005978</v>
      </c>
    </row>
    <row r="352" spans="1:39" x14ac:dyDescent="0.25">
      <c r="A352">
        <v>907</v>
      </c>
      <c r="B352" t="str">
        <f t="shared" si="146"/>
        <v>Курск</v>
      </c>
      <c r="C352">
        <v>960339</v>
      </c>
      <c r="D352" t="str">
        <f t="shared" si="147"/>
        <v>Оптический кабель</v>
      </c>
      <c r="E352" t="str">
        <f>"[46/4160] М5.7.1 - М5.7.1.8"</f>
        <v>[46/4160] М5.7.1 - М5.7.1.8</v>
      </c>
      <c r="F352" t="str">
        <f t="shared" si="158"/>
        <v>ДОТс-П-48У(6х8) 7кН (Мод:Син,Ор,4Нат)(Вол:Син,Ор,Зел,Кор,..,Кр,Чер)</v>
      </c>
      <c r="G352" t="str">
        <f>""</f>
        <v/>
      </c>
      <c r="H352" t="str">
        <f t="shared" si="149"/>
        <v>МС 5.7</v>
      </c>
      <c r="I352">
        <v>1306</v>
      </c>
      <c r="J352">
        <v>1350</v>
      </c>
      <c r="K352">
        <v>0</v>
      </c>
      <c r="M352" t="str">
        <f t="shared" si="144"/>
        <v>Опоры</v>
      </c>
      <c r="N352" t="str">
        <f t="shared" si="150"/>
        <v>08.06.20222</v>
      </c>
      <c r="O352">
        <v>48</v>
      </c>
      <c r="P352">
        <v>48</v>
      </c>
      <c r="Q352" t="str">
        <f>""</f>
        <v/>
      </c>
      <c r="R352" t="str">
        <f>""</f>
        <v/>
      </c>
      <c r="S352" t="str">
        <f t="shared" si="151"/>
        <v>29.03.2022</v>
      </c>
      <c r="T352" t="str">
        <f>"46/4160"</f>
        <v>46/4160</v>
      </c>
      <c r="U352" t="str">
        <f t="shared" si="145"/>
        <v>Магистральная ВОЛС</v>
      </c>
      <c r="V352" t="str">
        <f t="shared" si="157"/>
        <v>Нет</v>
      </c>
      <c r="W352" t="str">
        <f t="shared" si="157"/>
        <v>Нет</v>
      </c>
      <c r="X352" t="str">
        <f t="shared" si="157"/>
        <v>Нет</v>
      </c>
      <c r="Y352" t="str">
        <f t="shared" si="157"/>
        <v>Нет</v>
      </c>
      <c r="Z352" t="str">
        <f t="shared" si="152"/>
        <v>Нет</v>
      </c>
      <c r="AA352" t="str">
        <f>""</f>
        <v/>
      </c>
      <c r="AB352" t="str">
        <f t="shared" si="154"/>
        <v>Нет</v>
      </c>
      <c r="AC352" t="str">
        <f>""</f>
        <v/>
      </c>
      <c r="AD352" t="str">
        <f>""</f>
        <v/>
      </c>
      <c r="AE352" t="str">
        <f>""</f>
        <v/>
      </c>
      <c r="AF352" t="str">
        <f>"[748460] М5.7.1"</f>
        <v>[748460] М5.7.1</v>
      </c>
      <c r="AG352" t="str">
        <f>"[748719] М5.7.1.8"</f>
        <v>[748719] М5.7.1.8</v>
      </c>
      <c r="AH352" t="str">
        <f>""</f>
        <v/>
      </c>
      <c r="AI352" t="str">
        <f>""</f>
        <v/>
      </c>
      <c r="AJ352" t="str">
        <f>""</f>
        <v/>
      </c>
      <c r="AK352" t="str">
        <f t="shared" si="153"/>
        <v>Нет</v>
      </c>
      <c r="AL352" t="str">
        <f>"51.256105 38.008759, 51.266014 38.002858"</f>
        <v>51.256105 38.008759, 51.266014 38.002858</v>
      </c>
      <c r="AM352" t="str">
        <f>"20000008036097"</f>
        <v>20000008036097</v>
      </c>
    </row>
    <row r="353" spans="1:39" x14ac:dyDescent="0.25">
      <c r="A353">
        <v>907</v>
      </c>
      <c r="B353" t="str">
        <f t="shared" si="146"/>
        <v>Курск</v>
      </c>
      <c r="C353">
        <v>960381</v>
      </c>
      <c r="D353" t="str">
        <f t="shared" si="147"/>
        <v>Оптический кабель</v>
      </c>
      <c r="E353" t="str">
        <f>"[46/4161] М5.7.1.8 - М5.7.1.7"</f>
        <v>[46/4161] М5.7.1.8 - М5.7.1.7</v>
      </c>
      <c r="F353" t="str">
        <f t="shared" si="158"/>
        <v>ДОТс-П-48У(6х8) 7кН (Мод:Син,Ор,4Нат)(Вол:Син,Ор,Зел,Кор,..,Кр,Чер)</v>
      </c>
      <c r="G353" t="str">
        <f>""</f>
        <v/>
      </c>
      <c r="H353" t="str">
        <f t="shared" si="149"/>
        <v>МС 5.7</v>
      </c>
      <c r="I353">
        <v>109</v>
      </c>
      <c r="J353">
        <v>120</v>
      </c>
      <c r="K353">
        <v>0</v>
      </c>
      <c r="M353" t="str">
        <f>"В земле"</f>
        <v>В земле</v>
      </c>
      <c r="N353" t="str">
        <f t="shared" si="150"/>
        <v>08.06.20222</v>
      </c>
      <c r="O353">
        <v>48</v>
      </c>
      <c r="P353">
        <v>48</v>
      </c>
      <c r="Q353" t="str">
        <f>""</f>
        <v/>
      </c>
      <c r="R353" t="str">
        <f>""</f>
        <v/>
      </c>
      <c r="S353" t="str">
        <f t="shared" si="151"/>
        <v>29.03.2022</v>
      </c>
      <c r="T353" t="str">
        <f>"46/4161"</f>
        <v>46/4161</v>
      </c>
      <c r="U353" t="str">
        <f t="shared" si="145"/>
        <v>Магистральная ВОЛС</v>
      </c>
      <c r="V353" t="str">
        <f t="shared" si="157"/>
        <v>Нет</v>
      </c>
      <c r="W353" t="str">
        <f t="shared" si="157"/>
        <v>Нет</v>
      </c>
      <c r="X353" t="str">
        <f t="shared" si="157"/>
        <v>Нет</v>
      </c>
      <c r="Y353" t="str">
        <f t="shared" si="157"/>
        <v>Нет</v>
      </c>
      <c r="Z353" t="str">
        <f t="shared" si="152"/>
        <v>Нет</v>
      </c>
      <c r="AA353" t="str">
        <f>""</f>
        <v/>
      </c>
      <c r="AB353" t="str">
        <f t="shared" si="154"/>
        <v>Нет</v>
      </c>
      <c r="AC353" t="str">
        <f>""</f>
        <v/>
      </c>
      <c r="AD353" t="str">
        <f>""</f>
        <v/>
      </c>
      <c r="AE353" t="str">
        <f>""</f>
        <v/>
      </c>
      <c r="AF353" t="str">
        <f>"[748719] М5.7.1.8"</f>
        <v>[748719] М5.7.1.8</v>
      </c>
      <c r="AG353" t="str">
        <f>"[748978] М5.7.1.7"</f>
        <v>[748978] М5.7.1.7</v>
      </c>
      <c r="AH353" t="str">
        <f>""</f>
        <v/>
      </c>
      <c r="AI353" t="str">
        <f>""</f>
        <v/>
      </c>
      <c r="AJ353" t="str">
        <f>""</f>
        <v/>
      </c>
      <c r="AK353" t="str">
        <f t="shared" si="153"/>
        <v>Нет</v>
      </c>
      <c r="AL353" t="str">
        <f>"51.266014 38.002858, 51.266887 38.002557"</f>
        <v>51.266014 38.002858, 51.266887 38.002557</v>
      </c>
      <c r="AM353" t="str">
        <f>"20000008048473"</f>
        <v>20000008048473</v>
      </c>
    </row>
    <row r="354" spans="1:39" x14ac:dyDescent="0.25">
      <c r="A354">
        <v>907</v>
      </c>
      <c r="B354" t="str">
        <f t="shared" si="146"/>
        <v>Курск</v>
      </c>
      <c r="C354">
        <v>960395</v>
      </c>
      <c r="D354" t="str">
        <f t="shared" si="147"/>
        <v>Оптический кабель</v>
      </c>
      <c r="E354" t="str">
        <f>"[46/4162] М5.7.1.7 - М5.7.1.6"</f>
        <v>[46/4162] М5.7.1.7 - М5.7.1.6</v>
      </c>
      <c r="F354" t="str">
        <f t="shared" si="158"/>
        <v>ДОТс-П-48У(6х8) 7кН (Мод:Син,Ор,4Нат)(Вол:Син,Ор,Зел,Кор,..,Кр,Чер)</v>
      </c>
      <c r="G354" t="str">
        <f>""</f>
        <v/>
      </c>
      <c r="H354" t="str">
        <f t="shared" si="149"/>
        <v>МС 5.7</v>
      </c>
      <c r="I354">
        <v>1213</v>
      </c>
      <c r="J354">
        <v>1300</v>
      </c>
      <c r="K354">
        <v>0</v>
      </c>
      <c r="M354" t="str">
        <f t="shared" ref="M354:M371" si="159">"Опоры"</f>
        <v>Опоры</v>
      </c>
      <c r="N354" t="str">
        <f t="shared" si="150"/>
        <v>08.06.20222</v>
      </c>
      <c r="O354">
        <v>48</v>
      </c>
      <c r="P354">
        <v>48</v>
      </c>
      <c r="Q354" t="str">
        <f>""</f>
        <v/>
      </c>
      <c r="R354" t="str">
        <f>""</f>
        <v/>
      </c>
      <c r="S354" t="str">
        <f t="shared" si="151"/>
        <v>29.03.2022</v>
      </c>
      <c r="T354" t="str">
        <f>"46/4162"</f>
        <v>46/4162</v>
      </c>
      <c r="U354" t="str">
        <f t="shared" si="145"/>
        <v>Магистральная ВОЛС</v>
      </c>
      <c r="V354" t="str">
        <f t="shared" si="157"/>
        <v>Нет</v>
      </c>
      <c r="W354" t="str">
        <f t="shared" si="157"/>
        <v>Нет</v>
      </c>
      <c r="X354" t="str">
        <f t="shared" si="157"/>
        <v>Нет</v>
      </c>
      <c r="Y354" t="str">
        <f t="shared" si="157"/>
        <v>Нет</v>
      </c>
      <c r="Z354" t="str">
        <f t="shared" si="152"/>
        <v>Нет</v>
      </c>
      <c r="AA354" t="str">
        <f>""</f>
        <v/>
      </c>
      <c r="AB354" t="str">
        <f t="shared" si="154"/>
        <v>Нет</v>
      </c>
      <c r="AC354" t="str">
        <f>""</f>
        <v/>
      </c>
      <c r="AD354" t="str">
        <f>""</f>
        <v/>
      </c>
      <c r="AE354" t="str">
        <f>""</f>
        <v/>
      </c>
      <c r="AF354" t="str">
        <f>"[748978] М5.7.1.7"</f>
        <v>[748978] М5.7.1.7</v>
      </c>
      <c r="AG354" t="str">
        <f>"[749237] М5.7.1.6"</f>
        <v>[749237] М5.7.1.6</v>
      </c>
      <c r="AH354" t="str">
        <f>""</f>
        <v/>
      </c>
      <c r="AI354" t="str">
        <f>""</f>
        <v/>
      </c>
      <c r="AJ354" t="str">
        <f>""</f>
        <v/>
      </c>
      <c r="AK354" t="str">
        <f t="shared" ref="AK354:AK385" si="160">"Нет"</f>
        <v>Нет</v>
      </c>
      <c r="AL354" t="str">
        <f>"51.266887 38.002557, 51.277227 37.999628"</f>
        <v>51.266887 38.002557, 51.277227 37.999628</v>
      </c>
      <c r="AM354" t="str">
        <f>"20000008025410"</f>
        <v>20000008025410</v>
      </c>
    </row>
    <row r="355" spans="1:39" x14ac:dyDescent="0.25">
      <c r="A355">
        <v>907</v>
      </c>
      <c r="B355" t="str">
        <f t="shared" si="146"/>
        <v>Курск</v>
      </c>
      <c r="C355">
        <v>960441</v>
      </c>
      <c r="D355" t="str">
        <f t="shared" si="147"/>
        <v>Оптический кабель</v>
      </c>
      <c r="E355" t="str">
        <f>"[46/4163] М5.7.1.6 - М5.7.1.5"</f>
        <v>[46/4163] М5.7.1.6 - М5.7.1.5</v>
      </c>
      <c r="F355" t="str">
        <f t="shared" si="158"/>
        <v>ДОТс-П-48У(6х8) 7кН (Мод:Син,Ор,4Нат)(Вол:Син,Ор,Зел,Кор,..,Кр,Чер)</v>
      </c>
      <c r="G355" t="str">
        <f>""</f>
        <v/>
      </c>
      <c r="H355" t="str">
        <f t="shared" si="149"/>
        <v>МС 5.7</v>
      </c>
      <c r="I355">
        <v>2088</v>
      </c>
      <c r="J355">
        <v>2200</v>
      </c>
      <c r="K355">
        <v>0</v>
      </c>
      <c r="M355" t="str">
        <f t="shared" si="159"/>
        <v>Опоры</v>
      </c>
      <c r="N355" t="str">
        <f t="shared" si="150"/>
        <v>08.06.20222</v>
      </c>
      <c r="O355">
        <v>48</v>
      </c>
      <c r="P355">
        <v>48</v>
      </c>
      <c r="Q355" t="str">
        <f>""</f>
        <v/>
      </c>
      <c r="R355" t="str">
        <f>""</f>
        <v/>
      </c>
      <c r="S355" t="str">
        <f t="shared" si="151"/>
        <v>29.03.2022</v>
      </c>
      <c r="T355" t="str">
        <f>"46/4163"</f>
        <v>46/4163</v>
      </c>
      <c r="U355" t="str">
        <f t="shared" si="145"/>
        <v>Магистральная ВОЛС</v>
      </c>
      <c r="V355" t="str">
        <f t="shared" si="157"/>
        <v>Нет</v>
      </c>
      <c r="W355" t="str">
        <f t="shared" si="157"/>
        <v>Нет</v>
      </c>
      <c r="X355" t="str">
        <f t="shared" si="157"/>
        <v>Нет</v>
      </c>
      <c r="Y355" t="str">
        <f t="shared" si="157"/>
        <v>Нет</v>
      </c>
      <c r="Z355" t="str">
        <f t="shared" si="152"/>
        <v>Нет</v>
      </c>
      <c r="AA355" t="str">
        <f>""</f>
        <v/>
      </c>
      <c r="AB355" t="str">
        <f t="shared" si="154"/>
        <v>Нет</v>
      </c>
      <c r="AC355" t="str">
        <f>""</f>
        <v/>
      </c>
      <c r="AD355" t="str">
        <f>""</f>
        <v/>
      </c>
      <c r="AE355" t="str">
        <f>""</f>
        <v/>
      </c>
      <c r="AF355" t="str">
        <f>"[749237] М5.7.1.6"</f>
        <v>[749237] М5.7.1.6</v>
      </c>
      <c r="AG355" t="str">
        <f>"[749496] М5.7.1.5"</f>
        <v>[749496] М5.7.1.5</v>
      </c>
      <c r="AH355" t="str">
        <f>""</f>
        <v/>
      </c>
      <c r="AI355" t="str">
        <f>""</f>
        <v/>
      </c>
      <c r="AJ355" t="str">
        <f>""</f>
        <v/>
      </c>
      <c r="AK355" t="str">
        <f t="shared" si="160"/>
        <v>Нет</v>
      </c>
      <c r="AL355" t="str">
        <f>"51.277227 37.999628, 51.291846 37.984865"</f>
        <v>51.277227 37.999628, 51.291846 37.984865</v>
      </c>
      <c r="AM355" t="str">
        <f>"20000008036096"</f>
        <v>20000008036096</v>
      </c>
    </row>
    <row r="356" spans="1:39" x14ac:dyDescent="0.25">
      <c r="A356">
        <v>907</v>
      </c>
      <c r="B356" t="str">
        <f t="shared" si="146"/>
        <v>Курск</v>
      </c>
      <c r="C356">
        <v>960495</v>
      </c>
      <c r="D356" t="str">
        <f t="shared" si="147"/>
        <v>Оптический кабель</v>
      </c>
      <c r="E356" t="str">
        <f>"[46/4164] М5.7.1.5 - М5.7.1.4"</f>
        <v>[46/4164] М5.7.1.5 - М5.7.1.4</v>
      </c>
      <c r="F356" t="str">
        <f>"ОКМС-64 (G.652.D) 7кН (Мод:Кр,Жел, 4Нат)"</f>
        <v>ОКМС-64 (G.652.D) 7кН (Мод:Кр,Жел, 4Нат)</v>
      </c>
      <c r="G356" t="str">
        <f>""</f>
        <v/>
      </c>
      <c r="H356" t="str">
        <f t="shared" si="149"/>
        <v>МС 5.7</v>
      </c>
      <c r="I356">
        <v>282</v>
      </c>
      <c r="J356">
        <v>300</v>
      </c>
      <c r="K356">
        <v>0</v>
      </c>
      <c r="M356" t="str">
        <f t="shared" si="159"/>
        <v>Опоры</v>
      </c>
      <c r="N356" t="str">
        <f t="shared" si="150"/>
        <v>08.06.20222</v>
      </c>
      <c r="O356">
        <v>48</v>
      </c>
      <c r="P356">
        <v>48</v>
      </c>
      <c r="Q356" t="str">
        <f>""</f>
        <v/>
      </c>
      <c r="R356" t="str">
        <f>""</f>
        <v/>
      </c>
      <c r="S356" t="str">
        <f t="shared" si="151"/>
        <v>29.03.2022</v>
      </c>
      <c r="T356" t="str">
        <f>"46/4164"</f>
        <v>46/4164</v>
      </c>
      <c r="U356" t="str">
        <f t="shared" si="145"/>
        <v>Магистральная ВОЛС</v>
      </c>
      <c r="V356" t="str">
        <f t="shared" si="157"/>
        <v>Нет</v>
      </c>
      <c r="W356" t="str">
        <f t="shared" si="157"/>
        <v>Нет</v>
      </c>
      <c r="X356" t="str">
        <f t="shared" si="157"/>
        <v>Нет</v>
      </c>
      <c r="Y356" t="str">
        <f t="shared" si="157"/>
        <v>Нет</v>
      </c>
      <c r="Z356" t="str">
        <f t="shared" si="152"/>
        <v>Нет</v>
      </c>
      <c r="AA356" t="str">
        <f>""</f>
        <v/>
      </c>
      <c r="AB356" t="str">
        <f t="shared" si="154"/>
        <v>Нет</v>
      </c>
      <c r="AC356" t="str">
        <f>""</f>
        <v/>
      </c>
      <c r="AD356" t="str">
        <f>""</f>
        <v/>
      </c>
      <c r="AE356" t="str">
        <f>""</f>
        <v/>
      </c>
      <c r="AF356" t="str">
        <f>"[749496] М5.7.1.5"</f>
        <v>[749496] М5.7.1.5</v>
      </c>
      <c r="AG356" t="str">
        <f>"[749755] М5.7.1.4"</f>
        <v>[749755] М5.7.1.4</v>
      </c>
      <c r="AH356" t="str">
        <f>""</f>
        <v/>
      </c>
      <c r="AI356" t="str">
        <f>""</f>
        <v/>
      </c>
      <c r="AJ356" t="str">
        <f>""</f>
        <v/>
      </c>
      <c r="AK356" t="str">
        <f t="shared" si="160"/>
        <v>Нет</v>
      </c>
      <c r="AL356" t="str">
        <f>"51.291846 37.984865, 51.292388 37.981147"</f>
        <v>51.291846 37.984865, 51.292388 37.981147</v>
      </c>
      <c r="AM356" t="str">
        <f>"20000008036110"</f>
        <v>20000008036110</v>
      </c>
    </row>
    <row r="357" spans="1:39" x14ac:dyDescent="0.25">
      <c r="A357">
        <v>907</v>
      </c>
      <c r="B357" t="str">
        <f t="shared" si="146"/>
        <v>Курск</v>
      </c>
      <c r="C357">
        <v>960513</v>
      </c>
      <c r="D357" t="str">
        <f t="shared" si="147"/>
        <v>Оптический кабель</v>
      </c>
      <c r="E357" t="str">
        <f>"[46/4165] М5.7.1.4 - М5.7.1.3"</f>
        <v>[46/4165] М5.7.1.4 - М5.7.1.3</v>
      </c>
      <c r="F357" t="str">
        <f>"ОКМС-64 (G.652.D) 7кН (Мод:Кр,Жел, 4Нат)"</f>
        <v>ОКМС-64 (G.652.D) 7кН (Мод:Кр,Жел, 4Нат)</v>
      </c>
      <c r="G357" t="str">
        <f>""</f>
        <v/>
      </c>
      <c r="H357" t="str">
        <f t="shared" si="149"/>
        <v>МС 5.7</v>
      </c>
      <c r="I357">
        <v>1186</v>
      </c>
      <c r="J357">
        <v>1250</v>
      </c>
      <c r="K357">
        <v>0</v>
      </c>
      <c r="M357" t="str">
        <f t="shared" si="159"/>
        <v>Опоры</v>
      </c>
      <c r="N357" t="str">
        <f t="shared" si="150"/>
        <v>08.06.20222</v>
      </c>
      <c r="O357">
        <v>64</v>
      </c>
      <c r="P357">
        <v>64</v>
      </c>
      <c r="Q357" t="str">
        <f>""</f>
        <v/>
      </c>
      <c r="R357" t="str">
        <f>""</f>
        <v/>
      </c>
      <c r="S357" t="str">
        <f t="shared" si="151"/>
        <v>29.03.2022</v>
      </c>
      <c r="T357" t="str">
        <f>"46/4165"</f>
        <v>46/4165</v>
      </c>
      <c r="U357" t="str">
        <f t="shared" si="145"/>
        <v>Магистральная ВОЛС</v>
      </c>
      <c r="V357" t="str">
        <f t="shared" si="157"/>
        <v>Нет</v>
      </c>
      <c r="W357" t="str">
        <f t="shared" si="157"/>
        <v>Нет</v>
      </c>
      <c r="X357" t="str">
        <f t="shared" si="157"/>
        <v>Нет</v>
      </c>
      <c r="Y357" t="str">
        <f t="shared" si="157"/>
        <v>Нет</v>
      </c>
      <c r="Z357" t="str">
        <f t="shared" si="152"/>
        <v>Нет</v>
      </c>
      <c r="AA357" t="str">
        <f>""</f>
        <v/>
      </c>
      <c r="AB357" t="str">
        <f t="shared" si="154"/>
        <v>Нет</v>
      </c>
      <c r="AC357" t="str">
        <f>""</f>
        <v/>
      </c>
      <c r="AD357" t="str">
        <f>""</f>
        <v/>
      </c>
      <c r="AE357" t="str">
        <f>""</f>
        <v/>
      </c>
      <c r="AF357" t="str">
        <f>"[749755] М5.7.1.4"</f>
        <v>[749755] М5.7.1.4</v>
      </c>
      <c r="AG357" t="str">
        <f>"[750014] М5.7.1.3"</f>
        <v>[750014] М5.7.1.3</v>
      </c>
      <c r="AH357" t="str">
        <f>""</f>
        <v/>
      </c>
      <c r="AI357" t="str">
        <f>""</f>
        <v/>
      </c>
      <c r="AJ357" t="str">
        <f>""</f>
        <v/>
      </c>
      <c r="AK357" t="str">
        <f t="shared" si="160"/>
        <v>Нет</v>
      </c>
      <c r="AL357" t="str">
        <f>"51.292388 37.981147, 51.286658 37.969372"</f>
        <v>51.292388 37.981147, 51.286658 37.969372</v>
      </c>
      <c r="AM357" t="str">
        <f>"20000008007437"</f>
        <v>20000008007437</v>
      </c>
    </row>
    <row r="358" spans="1:39" x14ac:dyDescent="0.25">
      <c r="A358">
        <v>907</v>
      </c>
      <c r="B358" t="str">
        <f t="shared" si="146"/>
        <v>Курск</v>
      </c>
      <c r="C358">
        <v>960565</v>
      </c>
      <c r="D358" t="str">
        <f t="shared" si="147"/>
        <v>Оптический кабель</v>
      </c>
      <c r="E358" t="str">
        <f>"[46/4166] М5.7.1.3 - М5.7.1.2"</f>
        <v>[46/4166] М5.7.1.3 - М5.7.1.2</v>
      </c>
      <c r="F358" t="str">
        <f>"ОКМС-64 (G.652.D) 7кН (Мод:Кр,Жел, 4Нат)"</f>
        <v>ОКМС-64 (G.652.D) 7кН (Мод:Кр,Жел, 4Нат)</v>
      </c>
      <c r="G358" t="str">
        <f>""</f>
        <v/>
      </c>
      <c r="H358" t="str">
        <f t="shared" si="149"/>
        <v>МС 5.7</v>
      </c>
      <c r="I358">
        <v>2724</v>
      </c>
      <c r="J358">
        <v>2850</v>
      </c>
      <c r="K358">
        <v>15</v>
      </c>
      <c r="M358" t="str">
        <f t="shared" si="159"/>
        <v>Опоры</v>
      </c>
      <c r="N358" t="str">
        <f t="shared" si="150"/>
        <v>08.06.20222</v>
      </c>
      <c r="O358">
        <v>64</v>
      </c>
      <c r="P358">
        <v>64</v>
      </c>
      <c r="Q358" t="str">
        <f>""</f>
        <v/>
      </c>
      <c r="R358" t="str">
        <f>""</f>
        <v/>
      </c>
      <c r="S358" t="str">
        <f t="shared" si="151"/>
        <v>29.03.2022</v>
      </c>
      <c r="T358" t="str">
        <f>"46/4166"</f>
        <v>46/4166</v>
      </c>
      <c r="U358" t="str">
        <f t="shared" si="145"/>
        <v>Магистральная ВОЛС</v>
      </c>
      <c r="V358" t="str">
        <f t="shared" si="157"/>
        <v>Нет</v>
      </c>
      <c r="W358" t="str">
        <f t="shared" si="157"/>
        <v>Нет</v>
      </c>
      <c r="X358" t="str">
        <f t="shared" si="157"/>
        <v>Нет</v>
      </c>
      <c r="Y358" t="str">
        <f t="shared" si="157"/>
        <v>Нет</v>
      </c>
      <c r="Z358" t="str">
        <f t="shared" si="152"/>
        <v>Нет</v>
      </c>
      <c r="AA358" t="str">
        <f>""</f>
        <v/>
      </c>
      <c r="AB358" t="str">
        <f t="shared" ref="AB358:AB389" si="161">"Нет"</f>
        <v>Нет</v>
      </c>
      <c r="AC358" t="str">
        <f>""</f>
        <v/>
      </c>
      <c r="AD358" t="str">
        <f>""</f>
        <v/>
      </c>
      <c r="AE358" t="str">
        <f>""</f>
        <v/>
      </c>
      <c r="AF358" t="str">
        <f>"[750014] М5.7.1.3"</f>
        <v>[750014] М5.7.1.3</v>
      </c>
      <c r="AG358" t="str">
        <f>"[750273] М5.7.1.2"</f>
        <v>[750273] М5.7.1.2</v>
      </c>
      <c r="AH358" t="str">
        <f>""</f>
        <v/>
      </c>
      <c r="AI358" t="str">
        <f>""</f>
        <v/>
      </c>
      <c r="AJ358" t="str">
        <f>""</f>
        <v/>
      </c>
      <c r="AK358" t="str">
        <f t="shared" si="160"/>
        <v>Нет</v>
      </c>
      <c r="AL358" t="str">
        <f>"51.286658 37.969372, 51.276605 37.935205"</f>
        <v>51.286658 37.969372, 51.276605 37.935205</v>
      </c>
      <c r="AM358" t="str">
        <f>"20000008040059"</f>
        <v>20000008040059</v>
      </c>
    </row>
    <row r="359" spans="1:39" x14ac:dyDescent="0.25">
      <c r="A359">
        <v>907</v>
      </c>
      <c r="B359" t="str">
        <f t="shared" si="146"/>
        <v>Курск</v>
      </c>
      <c r="C359">
        <v>960679</v>
      </c>
      <c r="D359" t="str">
        <f t="shared" si="147"/>
        <v>Оптический кабель</v>
      </c>
      <c r="E359" t="str">
        <f>"[46/4167] М5.7.1.2 - М5.7.1.1"</f>
        <v>[46/4167] М5.7.1.2 - М5.7.1.1</v>
      </c>
      <c r="F359" t="str">
        <f>"ДОТс-П-48У(6х8) 7кН (Мод:Син,Ор,4Нат)(Вол:Син,Ор,Зел,Кор,..,Кр,Чер)"</f>
        <v>ДОТс-П-48У(6х8) 7кН (Мод:Син,Ор,4Нат)(Вол:Син,Ор,Зел,Кор,..,Кр,Чер)</v>
      </c>
      <c r="G359" t="str">
        <f>""</f>
        <v/>
      </c>
      <c r="H359" t="str">
        <f t="shared" si="149"/>
        <v>МС 5.7</v>
      </c>
      <c r="I359">
        <v>1854</v>
      </c>
      <c r="J359">
        <v>1950</v>
      </c>
      <c r="K359">
        <v>0</v>
      </c>
      <c r="M359" t="str">
        <f t="shared" si="159"/>
        <v>Опоры</v>
      </c>
      <c r="N359" t="str">
        <f t="shared" si="150"/>
        <v>08.06.20222</v>
      </c>
      <c r="O359">
        <v>48</v>
      </c>
      <c r="P359">
        <v>48</v>
      </c>
      <c r="Q359" t="str">
        <f>""</f>
        <v/>
      </c>
      <c r="R359" t="str">
        <f>""</f>
        <v/>
      </c>
      <c r="S359" t="str">
        <f t="shared" si="151"/>
        <v>29.03.2022</v>
      </c>
      <c r="T359" t="str">
        <f>"46/4167"</f>
        <v>46/4167</v>
      </c>
      <c r="U359" t="str">
        <f t="shared" si="145"/>
        <v>Магистральная ВОЛС</v>
      </c>
      <c r="V359" t="str">
        <f t="shared" si="157"/>
        <v>Нет</v>
      </c>
      <c r="W359" t="str">
        <f t="shared" si="157"/>
        <v>Нет</v>
      </c>
      <c r="X359" t="str">
        <f t="shared" si="157"/>
        <v>Нет</v>
      </c>
      <c r="Y359" t="str">
        <f t="shared" si="157"/>
        <v>Нет</v>
      </c>
      <c r="Z359" t="str">
        <f t="shared" si="152"/>
        <v>Нет</v>
      </c>
      <c r="AA359" t="str">
        <f>""</f>
        <v/>
      </c>
      <c r="AB359" t="str">
        <f t="shared" si="161"/>
        <v>Нет</v>
      </c>
      <c r="AC359" t="str">
        <f>""</f>
        <v/>
      </c>
      <c r="AD359" t="str">
        <f>""</f>
        <v/>
      </c>
      <c r="AE359" t="str">
        <f>""</f>
        <v/>
      </c>
      <c r="AF359" t="str">
        <f>"[750273] М5.7.1.2"</f>
        <v>[750273] М5.7.1.2</v>
      </c>
      <c r="AG359" t="str">
        <f>"[750532] М5.7.1.1"</f>
        <v>[750532] М5.7.1.1</v>
      </c>
      <c r="AH359" t="str">
        <f>""</f>
        <v/>
      </c>
      <c r="AI359" t="str">
        <f>""</f>
        <v/>
      </c>
      <c r="AJ359" t="str">
        <f>""</f>
        <v/>
      </c>
      <c r="AK359" t="str">
        <f t="shared" si="160"/>
        <v>Нет</v>
      </c>
      <c r="AL359" t="str">
        <f>"51.276605 37.935205, 51.26484 37.926436"</f>
        <v>51.276605 37.935205, 51.26484 37.926436</v>
      </c>
      <c r="AM359" t="str">
        <f>"20000008025409"</f>
        <v>20000008025409</v>
      </c>
    </row>
    <row r="360" spans="1:39" x14ac:dyDescent="0.25">
      <c r="A360">
        <v>907</v>
      </c>
      <c r="B360" t="str">
        <f t="shared" si="146"/>
        <v>Курск</v>
      </c>
      <c r="C360">
        <v>961883</v>
      </c>
      <c r="D360" t="str">
        <f t="shared" si="147"/>
        <v>Оптический кабель</v>
      </c>
      <c r="E360" t="str">
        <f>"[46/4171] М5.7.12 - М5.7.13"</f>
        <v>[46/4171] М5.7.12 - М5.7.13</v>
      </c>
      <c r="F360" t="str">
        <f>"ОКМС-96(G.652.D) 7кН"</f>
        <v>ОКМС-96(G.652.D) 7кН</v>
      </c>
      <c r="G360" t="str">
        <f>""</f>
        <v/>
      </c>
      <c r="H360" t="str">
        <f t="shared" si="149"/>
        <v>МС 5.7</v>
      </c>
      <c r="I360">
        <v>438</v>
      </c>
      <c r="J360">
        <v>500</v>
      </c>
      <c r="K360">
        <v>0</v>
      </c>
      <c r="M360" t="str">
        <f t="shared" si="159"/>
        <v>Опоры</v>
      </c>
      <c r="N360" t="str">
        <f>"09.06.20222"</f>
        <v>09.06.20222</v>
      </c>
      <c r="O360">
        <v>96</v>
      </c>
      <c r="P360">
        <v>96</v>
      </c>
      <c r="Q360" t="str">
        <f>""</f>
        <v/>
      </c>
      <c r="R360" t="str">
        <f>""</f>
        <v/>
      </c>
      <c r="S360" t="str">
        <f t="shared" si="151"/>
        <v>29.03.2022</v>
      </c>
      <c r="T360" t="str">
        <f>"46/4171"</f>
        <v>46/4171</v>
      </c>
      <c r="U360" t="str">
        <f t="shared" si="145"/>
        <v>Магистральная ВОЛС</v>
      </c>
      <c r="V360" t="str">
        <f t="shared" si="157"/>
        <v>Нет</v>
      </c>
      <c r="W360" t="str">
        <f t="shared" si="157"/>
        <v>Нет</v>
      </c>
      <c r="X360" t="str">
        <f t="shared" si="157"/>
        <v>Нет</v>
      </c>
      <c r="Y360" t="str">
        <f t="shared" si="157"/>
        <v>Нет</v>
      </c>
      <c r="Z360" t="str">
        <f t="shared" si="152"/>
        <v>Нет</v>
      </c>
      <c r="AA360" t="str">
        <f>""</f>
        <v/>
      </c>
      <c r="AB360" t="str">
        <f t="shared" si="161"/>
        <v>Нет</v>
      </c>
      <c r="AC360" t="str">
        <f>""</f>
        <v/>
      </c>
      <c r="AD360" t="str">
        <f>""</f>
        <v/>
      </c>
      <c r="AE360" t="str">
        <f>""</f>
        <v/>
      </c>
      <c r="AF360" t="str">
        <f>"[745611] М5.7.12"</f>
        <v>[745611] М5.7.12</v>
      </c>
      <c r="AG360" t="str">
        <f>"[745352] М5.7.13"</f>
        <v>[745352] М5.7.13</v>
      </c>
      <c r="AH360" t="str">
        <f>""</f>
        <v/>
      </c>
      <c r="AI360" t="str">
        <f>""</f>
        <v/>
      </c>
      <c r="AJ360" t="str">
        <f>""</f>
        <v/>
      </c>
      <c r="AK360" t="str">
        <f t="shared" si="160"/>
        <v>Нет</v>
      </c>
      <c r="AL360" t="str">
        <f>"51.25522 38.105937, 51.255926 38.111921"</f>
        <v>51.25522 38.105937, 51.255926 38.111921</v>
      </c>
      <c r="AM360" t="str">
        <f>"20000008017079"</f>
        <v>20000008017079</v>
      </c>
    </row>
    <row r="361" spans="1:39" x14ac:dyDescent="0.25">
      <c r="A361">
        <v>907</v>
      </c>
      <c r="B361" t="str">
        <f t="shared" si="146"/>
        <v>Курск</v>
      </c>
      <c r="C361">
        <v>970379</v>
      </c>
      <c r="D361" t="str">
        <f t="shared" si="147"/>
        <v>Оптический кабель</v>
      </c>
      <c r="E361" t="str">
        <f>"[46/4309] Т 1.18 - ТОК4.7 Курск, Герцена, 3  п. 2"</f>
        <v>[46/4309] Т 1.18 - ТОК4.7 Курск, Герцена, 3  п. 2</v>
      </c>
      <c r="F361" t="str">
        <f>"ДПТа-П-64А 6(6) 7кН (Кр,Жел,Зел,..,8-Фиол,9-Бел,..,Бир,Роз)"</f>
        <v>ДПТа-П-64А 6(6) 7кН (Кр,Жел,Зел,..,8-Фиол,9-Бел,..,Бир,Роз)</v>
      </c>
      <c r="G361" t="str">
        <f>""</f>
        <v/>
      </c>
      <c r="H361" t="str">
        <f>"ТС"</f>
        <v>ТС</v>
      </c>
      <c r="I361">
        <v>107</v>
      </c>
      <c r="J361">
        <v>214.78</v>
      </c>
      <c r="K361">
        <v>99</v>
      </c>
      <c r="M361" t="str">
        <f t="shared" si="159"/>
        <v>Опоры</v>
      </c>
      <c r="N361" t="str">
        <f>"26.07.20222"</f>
        <v>26.07.20222</v>
      </c>
      <c r="O361">
        <v>64</v>
      </c>
      <c r="P361">
        <v>64</v>
      </c>
      <c r="Q361" t="str">
        <f>""</f>
        <v/>
      </c>
      <c r="R361" t="str">
        <f>"Курск, Герцена, 3"</f>
        <v>Курск, Герцена, 3</v>
      </c>
      <c r="S361" t="str">
        <f>"09.07.2024"</f>
        <v>09.07.2024</v>
      </c>
      <c r="T361" t="str">
        <f>"46/4309"</f>
        <v>46/4309</v>
      </c>
      <c r="U361" t="str">
        <f>"Транспортная ВОЛС"</f>
        <v>Транспортная ВОЛС</v>
      </c>
      <c r="V361" t="str">
        <f t="shared" si="157"/>
        <v>Нет</v>
      </c>
      <c r="W361" t="str">
        <f t="shared" si="157"/>
        <v>Нет</v>
      </c>
      <c r="X361" t="str">
        <f t="shared" si="157"/>
        <v>Нет</v>
      </c>
      <c r="Y361" t="str">
        <f t="shared" si="157"/>
        <v>Нет</v>
      </c>
      <c r="Z361" t="str">
        <f t="shared" si="152"/>
        <v>Нет</v>
      </c>
      <c r="AA361" t="str">
        <f>""</f>
        <v/>
      </c>
      <c r="AB361" t="str">
        <f t="shared" si="161"/>
        <v>Нет</v>
      </c>
      <c r="AC361" t="str">
        <f>"Т 7.4 - КРС ТС 7"</f>
        <v>Т 7.4 - КРС ТС 7</v>
      </c>
      <c r="AD361" t="str">
        <f>"02.02.2012"</f>
        <v>02.02.2012</v>
      </c>
      <c r="AE361" t="str">
        <f>""</f>
        <v/>
      </c>
      <c r="AF361" t="str">
        <f>"[768119] Т 1.18"</f>
        <v>[768119] Т 1.18</v>
      </c>
      <c r="AG361" t="str">
        <f>"[407033] ТОК4.7 Курск, Герцена, 3  п. 2"</f>
        <v>[407033] ТОК4.7 Курск, Герцена, 3  п. 2</v>
      </c>
      <c r="AH361" t="str">
        <f>""</f>
        <v/>
      </c>
      <c r="AI361" t="str">
        <f>""</f>
        <v/>
      </c>
      <c r="AJ361" t="str">
        <f>""</f>
        <v/>
      </c>
      <c r="AK361" t="str">
        <f t="shared" si="160"/>
        <v>Нет</v>
      </c>
      <c r="AL361" t="str">
        <f>"51.749888 36.242749, 51.749053 36.242614"</f>
        <v>51.749888 36.242749, 51.749053 36.242614</v>
      </c>
      <c r="AM361" t="str">
        <f>"20000008036624"</f>
        <v>20000008036624</v>
      </c>
    </row>
    <row r="362" spans="1:39" x14ac:dyDescent="0.25">
      <c r="A362">
        <v>907</v>
      </c>
      <c r="B362" t="str">
        <f t="shared" si="146"/>
        <v>Курск</v>
      </c>
      <c r="C362">
        <v>971393</v>
      </c>
      <c r="D362" t="str">
        <f t="shared" si="147"/>
        <v>Оптический кабель</v>
      </c>
      <c r="E362" t="str">
        <f>"[46/4310] М 5.5.3 - М 5.7.39"</f>
        <v>[46/4310] М 5.5.3 - М 5.7.39</v>
      </c>
      <c r="F362" t="str">
        <f t="shared" ref="F362:F371" si="162">"ОКМС-32(G.652.D) 7кН"</f>
        <v>ОКМС-32(G.652.D) 7кН</v>
      </c>
      <c r="G362" t="str">
        <f>""</f>
        <v/>
      </c>
      <c r="H362" t="str">
        <f t="shared" ref="H362:H371" si="163">"МС 5.7"</f>
        <v>МС 5.7</v>
      </c>
      <c r="I362">
        <v>766</v>
      </c>
      <c r="J362">
        <v>950</v>
      </c>
      <c r="K362">
        <v>0</v>
      </c>
      <c r="M362" t="str">
        <f t="shared" si="159"/>
        <v>Опоры</v>
      </c>
      <c r="N362" t="str">
        <f t="shared" ref="N362:N371" si="164">"04.08.20222"</f>
        <v>04.08.20222</v>
      </c>
      <c r="O362">
        <v>32</v>
      </c>
      <c r="P362">
        <v>32</v>
      </c>
      <c r="Q362" t="str">
        <f>""</f>
        <v/>
      </c>
      <c r="R362" t="str">
        <f>""</f>
        <v/>
      </c>
      <c r="S362" t="str">
        <f t="shared" ref="S362:S371" si="165">"04.08.2022"</f>
        <v>04.08.2022</v>
      </c>
      <c r="T362" t="str">
        <f>"46/4310"</f>
        <v>46/4310</v>
      </c>
      <c r="U362" t="str">
        <f t="shared" ref="U362:U371" si="166">"Магистральная ВОЛС"</f>
        <v>Магистральная ВОЛС</v>
      </c>
      <c r="V362" t="str">
        <f t="shared" si="157"/>
        <v>Нет</v>
      </c>
      <c r="W362" t="str">
        <f t="shared" si="157"/>
        <v>Нет</v>
      </c>
      <c r="X362" t="str">
        <f t="shared" si="157"/>
        <v>Нет</v>
      </c>
      <c r="Y362" t="str">
        <f t="shared" si="157"/>
        <v>Нет</v>
      </c>
      <c r="Z362" t="str">
        <f t="shared" ref="Z362:Z371" si="167">"Да"</f>
        <v>Да</v>
      </c>
      <c r="AA362" t="str">
        <f>""</f>
        <v/>
      </c>
      <c r="AB362" t="str">
        <f t="shared" si="161"/>
        <v>Нет</v>
      </c>
      <c r="AC362" t="str">
        <f>""</f>
        <v/>
      </c>
      <c r="AD362" t="str">
        <f>""</f>
        <v/>
      </c>
      <c r="AE362" t="str">
        <f>""</f>
        <v/>
      </c>
      <c r="AF362" t="str">
        <f>"[447845] М 5.5.3"</f>
        <v>[447845] М 5.5.3</v>
      </c>
      <c r="AG362" t="str">
        <f>"[770719] М 5.7.39"</f>
        <v>[770719] М 5.7.39</v>
      </c>
      <c r="AH362" t="str">
        <f>""</f>
        <v/>
      </c>
      <c r="AI362" t="str">
        <f>""</f>
        <v/>
      </c>
      <c r="AJ362" t="str">
        <f>""</f>
        <v/>
      </c>
      <c r="AK362" t="str">
        <f t="shared" si="160"/>
        <v>Нет</v>
      </c>
      <c r="AL362" t="str">
        <f>"51.666047 36.065792, 51.66209 36.060609"</f>
        <v>51.666047 36.065792, 51.66209 36.060609</v>
      </c>
      <c r="AM362" t="str">
        <f>"20000008048482"</f>
        <v>20000008048482</v>
      </c>
    </row>
    <row r="363" spans="1:39" x14ac:dyDescent="0.25">
      <c r="A363">
        <v>907</v>
      </c>
      <c r="B363" t="str">
        <f t="shared" si="146"/>
        <v>Курск</v>
      </c>
      <c r="C363">
        <v>971473</v>
      </c>
      <c r="D363" t="str">
        <f t="shared" si="147"/>
        <v>Оптический кабель</v>
      </c>
      <c r="E363" t="str">
        <f>"[46/4311] М 5.7.39 - М 5.7.40"</f>
        <v>[46/4311] М 5.7.39 - М 5.7.40</v>
      </c>
      <c r="F363" t="str">
        <f t="shared" si="162"/>
        <v>ОКМС-32(G.652.D) 7кН</v>
      </c>
      <c r="G363" t="str">
        <f>""</f>
        <v/>
      </c>
      <c r="H363" t="str">
        <f t="shared" si="163"/>
        <v>МС 5.7</v>
      </c>
      <c r="I363">
        <v>1585</v>
      </c>
      <c r="J363">
        <v>1650</v>
      </c>
      <c r="K363">
        <v>0</v>
      </c>
      <c r="M363" t="str">
        <f t="shared" si="159"/>
        <v>Опоры</v>
      </c>
      <c r="N363" t="str">
        <f t="shared" si="164"/>
        <v>04.08.20222</v>
      </c>
      <c r="O363">
        <v>32</v>
      </c>
      <c r="P363">
        <v>32</v>
      </c>
      <c r="Q363" t="str">
        <f>""</f>
        <v/>
      </c>
      <c r="R363" t="str">
        <f>""</f>
        <v/>
      </c>
      <c r="S363" t="str">
        <f t="shared" si="165"/>
        <v>04.08.2022</v>
      </c>
      <c r="T363" t="str">
        <f>"46/4311"</f>
        <v>46/4311</v>
      </c>
      <c r="U363" t="str">
        <f t="shared" si="166"/>
        <v>Магистральная ВОЛС</v>
      </c>
      <c r="V363" t="str">
        <f t="shared" si="157"/>
        <v>Нет</v>
      </c>
      <c r="W363" t="str">
        <f t="shared" si="157"/>
        <v>Нет</v>
      </c>
      <c r="X363" t="str">
        <f t="shared" si="157"/>
        <v>Нет</v>
      </c>
      <c r="Y363" t="str">
        <f t="shared" si="157"/>
        <v>Нет</v>
      </c>
      <c r="Z363" t="str">
        <f t="shared" si="167"/>
        <v>Да</v>
      </c>
      <c r="AA363" t="str">
        <f>""</f>
        <v/>
      </c>
      <c r="AB363" t="str">
        <f t="shared" si="161"/>
        <v>Нет</v>
      </c>
      <c r="AC363" t="str">
        <f>""</f>
        <v/>
      </c>
      <c r="AD363" t="str">
        <f>""</f>
        <v/>
      </c>
      <c r="AE363" t="str">
        <f>""</f>
        <v/>
      </c>
      <c r="AF363" t="str">
        <f>"[770719] М 5.7.39"</f>
        <v>[770719] М 5.7.39</v>
      </c>
      <c r="AG363" t="str">
        <f>"[770978] М 5.7.40"</f>
        <v>[770978] М 5.7.40</v>
      </c>
      <c r="AH363" t="str">
        <f>""</f>
        <v/>
      </c>
      <c r="AI363" t="str">
        <f>""</f>
        <v/>
      </c>
      <c r="AJ363" t="str">
        <f>""</f>
        <v/>
      </c>
      <c r="AK363" t="str">
        <f t="shared" si="160"/>
        <v>Нет</v>
      </c>
      <c r="AL363" t="str">
        <f>"51.66209 36.060609, 51.655968 36.040038"</f>
        <v>51.66209 36.060609, 51.655968 36.040038</v>
      </c>
      <c r="AM363" t="str">
        <f>"20000008045130"</f>
        <v>20000008045130</v>
      </c>
    </row>
    <row r="364" spans="1:39" x14ac:dyDescent="0.25">
      <c r="A364">
        <v>907</v>
      </c>
      <c r="B364" t="str">
        <f t="shared" si="146"/>
        <v>Курск</v>
      </c>
      <c r="C364">
        <v>971565</v>
      </c>
      <c r="D364" t="str">
        <f t="shared" si="147"/>
        <v>Оптический кабель</v>
      </c>
      <c r="E364" t="str">
        <f>"[46/4312] М 5.7.40 - М 5.7.41"</f>
        <v>[46/4312] М 5.7.40 - М 5.7.41</v>
      </c>
      <c r="F364" t="str">
        <f t="shared" si="162"/>
        <v>ОКМС-32(G.652.D) 7кН</v>
      </c>
      <c r="G364" t="str">
        <f>""</f>
        <v/>
      </c>
      <c r="H364" t="str">
        <f t="shared" si="163"/>
        <v>МС 5.7</v>
      </c>
      <c r="I364">
        <v>1590</v>
      </c>
      <c r="J364">
        <v>1620</v>
      </c>
      <c r="K364">
        <v>0</v>
      </c>
      <c r="M364" t="str">
        <f t="shared" si="159"/>
        <v>Опоры</v>
      </c>
      <c r="N364" t="str">
        <f t="shared" si="164"/>
        <v>04.08.20222</v>
      </c>
      <c r="O364">
        <v>32</v>
      </c>
      <c r="P364">
        <v>32</v>
      </c>
      <c r="Q364" t="str">
        <f>""</f>
        <v/>
      </c>
      <c r="R364" t="str">
        <f>""</f>
        <v/>
      </c>
      <c r="S364" t="str">
        <f t="shared" si="165"/>
        <v>04.08.2022</v>
      </c>
      <c r="T364" t="str">
        <f>"46/4312"</f>
        <v>46/4312</v>
      </c>
      <c r="U364" t="str">
        <f t="shared" si="166"/>
        <v>Магистральная ВОЛС</v>
      </c>
      <c r="V364" t="str">
        <f t="shared" si="157"/>
        <v>Нет</v>
      </c>
      <c r="W364" t="str">
        <f t="shared" si="157"/>
        <v>Нет</v>
      </c>
      <c r="X364" t="str">
        <f t="shared" si="157"/>
        <v>Нет</v>
      </c>
      <c r="Y364" t="str">
        <f t="shared" si="157"/>
        <v>Нет</v>
      </c>
      <c r="Z364" t="str">
        <f t="shared" si="167"/>
        <v>Да</v>
      </c>
      <c r="AA364" t="str">
        <f>""</f>
        <v/>
      </c>
      <c r="AB364" t="str">
        <f t="shared" si="161"/>
        <v>Нет</v>
      </c>
      <c r="AC364" t="str">
        <f>""</f>
        <v/>
      </c>
      <c r="AD364" t="str">
        <f>""</f>
        <v/>
      </c>
      <c r="AE364" t="str">
        <f>""</f>
        <v/>
      </c>
      <c r="AF364" t="str">
        <f>"[770978] М 5.7.40"</f>
        <v>[770978] М 5.7.40</v>
      </c>
      <c r="AG364" t="str">
        <f>"[771237] М 5.7.41"</f>
        <v>[771237] М 5.7.41</v>
      </c>
      <c r="AH364" t="str">
        <f>""</f>
        <v/>
      </c>
      <c r="AI364" t="str">
        <f>""</f>
        <v/>
      </c>
      <c r="AJ364" t="str">
        <f>""</f>
        <v/>
      </c>
      <c r="AK364" t="str">
        <f t="shared" si="160"/>
        <v>Нет</v>
      </c>
      <c r="AL364" t="str">
        <f>"51.655968 36.040038, 51.654337 36.017861"</f>
        <v>51.655968 36.040038, 51.654337 36.017861</v>
      </c>
      <c r="AM364" t="str">
        <f>"20000008031627"</f>
        <v>20000008031627</v>
      </c>
    </row>
    <row r="365" spans="1:39" x14ac:dyDescent="0.25">
      <c r="A365">
        <v>907</v>
      </c>
      <c r="B365" t="str">
        <f t="shared" si="146"/>
        <v>Курск</v>
      </c>
      <c r="C365">
        <v>971682</v>
      </c>
      <c r="D365" t="str">
        <f t="shared" si="147"/>
        <v>Оптический кабель</v>
      </c>
      <c r="E365" t="str">
        <f>"[46/4313] М 5.7.41 - М 5.7.42"</f>
        <v>[46/4313] М 5.7.41 - М 5.7.42</v>
      </c>
      <c r="F365" t="str">
        <f t="shared" si="162"/>
        <v>ОКМС-32(G.652.D) 7кН</v>
      </c>
      <c r="G365" t="str">
        <f>""</f>
        <v/>
      </c>
      <c r="H365" t="str">
        <f t="shared" si="163"/>
        <v>МС 5.7</v>
      </c>
      <c r="I365">
        <v>1606</v>
      </c>
      <c r="J365">
        <v>1640</v>
      </c>
      <c r="K365">
        <v>0</v>
      </c>
      <c r="M365" t="str">
        <f t="shared" si="159"/>
        <v>Опоры</v>
      </c>
      <c r="N365" t="str">
        <f t="shared" si="164"/>
        <v>04.08.20222</v>
      </c>
      <c r="O365">
        <v>32</v>
      </c>
      <c r="P365">
        <v>32</v>
      </c>
      <c r="Q365" t="str">
        <f>""</f>
        <v/>
      </c>
      <c r="R365" t="str">
        <f>""</f>
        <v/>
      </c>
      <c r="S365" t="str">
        <f t="shared" si="165"/>
        <v>04.08.2022</v>
      </c>
      <c r="T365" t="str">
        <f>"46/4313"</f>
        <v>46/4313</v>
      </c>
      <c r="U365" t="str">
        <f t="shared" si="166"/>
        <v>Магистральная ВОЛС</v>
      </c>
      <c r="V365" t="str">
        <f t="shared" si="157"/>
        <v>Нет</v>
      </c>
      <c r="W365" t="str">
        <f t="shared" si="157"/>
        <v>Нет</v>
      </c>
      <c r="X365" t="str">
        <f t="shared" si="157"/>
        <v>Нет</v>
      </c>
      <c r="Y365" t="str">
        <f t="shared" si="157"/>
        <v>Нет</v>
      </c>
      <c r="Z365" t="str">
        <f t="shared" si="167"/>
        <v>Да</v>
      </c>
      <c r="AA365" t="str">
        <f>""</f>
        <v/>
      </c>
      <c r="AB365" t="str">
        <f t="shared" si="161"/>
        <v>Нет</v>
      </c>
      <c r="AC365" t="str">
        <f>""</f>
        <v/>
      </c>
      <c r="AD365" t="str">
        <f>""</f>
        <v/>
      </c>
      <c r="AE365" t="str">
        <f>""</f>
        <v/>
      </c>
      <c r="AF365" t="str">
        <f>"[771237] М 5.7.41"</f>
        <v>[771237] М 5.7.41</v>
      </c>
      <c r="AG365" t="str">
        <f>"[771496] М 5.7.42"</f>
        <v>[771496] М 5.7.42</v>
      </c>
      <c r="AH365" t="str">
        <f>""</f>
        <v/>
      </c>
      <c r="AI365" t="str">
        <f>""</f>
        <v/>
      </c>
      <c r="AJ365" t="str">
        <f>""</f>
        <v/>
      </c>
      <c r="AK365" t="str">
        <f t="shared" si="160"/>
        <v>Нет</v>
      </c>
      <c r="AL365" t="str">
        <f>"51.654337 36.017861, 51.652868 35.995268"</f>
        <v>51.654337 36.017861, 51.652868 35.995268</v>
      </c>
      <c r="AM365" t="str">
        <f>"20000008026175"</f>
        <v>20000008026175</v>
      </c>
    </row>
    <row r="366" spans="1:39" x14ac:dyDescent="0.25">
      <c r="A366">
        <v>907</v>
      </c>
      <c r="B366" t="str">
        <f t="shared" si="146"/>
        <v>Курск</v>
      </c>
      <c r="C366">
        <v>971801</v>
      </c>
      <c r="D366" t="str">
        <f t="shared" si="147"/>
        <v>Оптический кабель</v>
      </c>
      <c r="E366" t="str">
        <f>"[46/4315] М 5.7.42 - М 5.7.43"</f>
        <v>[46/4315] М 5.7.42 - М 5.7.43</v>
      </c>
      <c r="F366" t="str">
        <f t="shared" si="162"/>
        <v>ОКМС-32(G.652.D) 7кН</v>
      </c>
      <c r="G366" t="str">
        <f>""</f>
        <v/>
      </c>
      <c r="H366" t="str">
        <f t="shared" si="163"/>
        <v>МС 5.7</v>
      </c>
      <c r="I366">
        <v>1361</v>
      </c>
      <c r="J366">
        <v>1377</v>
      </c>
      <c r="K366">
        <v>0</v>
      </c>
      <c r="M366" t="str">
        <f t="shared" si="159"/>
        <v>Опоры</v>
      </c>
      <c r="N366" t="str">
        <f t="shared" si="164"/>
        <v>04.08.20222</v>
      </c>
      <c r="O366">
        <v>32</v>
      </c>
      <c r="P366">
        <v>32</v>
      </c>
      <c r="Q366" t="str">
        <f>""</f>
        <v/>
      </c>
      <c r="R366" t="str">
        <f>""</f>
        <v/>
      </c>
      <c r="S366" t="str">
        <f t="shared" si="165"/>
        <v>04.08.2022</v>
      </c>
      <c r="T366" t="str">
        <f>"46/4315"</f>
        <v>46/4315</v>
      </c>
      <c r="U366" t="str">
        <f t="shared" si="166"/>
        <v>Магистральная ВОЛС</v>
      </c>
      <c r="V366" t="str">
        <f t="shared" si="157"/>
        <v>Нет</v>
      </c>
      <c r="W366" t="str">
        <f t="shared" si="157"/>
        <v>Нет</v>
      </c>
      <c r="X366" t="str">
        <f t="shared" si="157"/>
        <v>Нет</v>
      </c>
      <c r="Y366" t="str">
        <f t="shared" si="157"/>
        <v>Нет</v>
      </c>
      <c r="Z366" t="str">
        <f t="shared" si="167"/>
        <v>Да</v>
      </c>
      <c r="AA366" t="str">
        <f>""</f>
        <v/>
      </c>
      <c r="AB366" t="str">
        <f t="shared" si="161"/>
        <v>Нет</v>
      </c>
      <c r="AC366" t="str">
        <f>""</f>
        <v/>
      </c>
      <c r="AD366" t="str">
        <f>""</f>
        <v/>
      </c>
      <c r="AE366" t="str">
        <f>""</f>
        <v/>
      </c>
      <c r="AF366" t="str">
        <f>"[771496] М 5.7.42"</f>
        <v>[771496] М 5.7.42</v>
      </c>
      <c r="AG366" t="str">
        <f>"[771755] М 5.7.43"</f>
        <v>[771755] М 5.7.43</v>
      </c>
      <c r="AH366" t="str">
        <f>""</f>
        <v/>
      </c>
      <c r="AI366" t="str">
        <f>""</f>
        <v/>
      </c>
      <c r="AJ366" t="str">
        <f>""</f>
        <v/>
      </c>
      <c r="AK366" t="str">
        <f t="shared" si="160"/>
        <v>Нет</v>
      </c>
      <c r="AL366" t="str">
        <f>"51.652868 35.995268, 51.652358 35.978826"</f>
        <v>51.652868 35.995268, 51.652358 35.978826</v>
      </c>
      <c r="AM366" t="str">
        <f>"20000008030957"</f>
        <v>20000008030957</v>
      </c>
    </row>
    <row r="367" spans="1:39" x14ac:dyDescent="0.25">
      <c r="A367">
        <v>907</v>
      </c>
      <c r="B367" t="str">
        <f t="shared" si="146"/>
        <v>Курск</v>
      </c>
      <c r="C367">
        <v>971913</v>
      </c>
      <c r="D367" t="str">
        <f t="shared" si="147"/>
        <v>Оптический кабель</v>
      </c>
      <c r="E367" t="str">
        <f>"[46/4316] М 5.7.43 - М 5.7.44"</f>
        <v>[46/4316] М 5.7.43 - М 5.7.44</v>
      </c>
      <c r="F367" t="str">
        <f t="shared" si="162"/>
        <v>ОКМС-32(G.652.D) 7кН</v>
      </c>
      <c r="G367" t="str">
        <f>""</f>
        <v/>
      </c>
      <c r="H367" t="str">
        <f t="shared" si="163"/>
        <v>МС 5.7</v>
      </c>
      <c r="I367">
        <v>1721</v>
      </c>
      <c r="J367">
        <v>1803</v>
      </c>
      <c r="K367">
        <v>0</v>
      </c>
      <c r="M367" t="str">
        <f t="shared" si="159"/>
        <v>Опоры</v>
      </c>
      <c r="N367" t="str">
        <f t="shared" si="164"/>
        <v>04.08.20222</v>
      </c>
      <c r="O367">
        <v>32</v>
      </c>
      <c r="P367">
        <v>32</v>
      </c>
      <c r="Q367" t="str">
        <f>""</f>
        <v/>
      </c>
      <c r="R367" t="str">
        <f>""</f>
        <v/>
      </c>
      <c r="S367" t="str">
        <f t="shared" si="165"/>
        <v>04.08.2022</v>
      </c>
      <c r="T367" t="str">
        <f>"46/4316"</f>
        <v>46/4316</v>
      </c>
      <c r="U367" t="str">
        <f t="shared" si="166"/>
        <v>Магистральная ВОЛС</v>
      </c>
      <c r="V367" t="str">
        <f t="shared" si="157"/>
        <v>Нет</v>
      </c>
      <c r="W367" t="str">
        <f t="shared" si="157"/>
        <v>Нет</v>
      </c>
      <c r="X367" t="str">
        <f t="shared" si="157"/>
        <v>Нет</v>
      </c>
      <c r="Y367" t="str">
        <f t="shared" si="157"/>
        <v>Нет</v>
      </c>
      <c r="Z367" t="str">
        <f t="shared" si="167"/>
        <v>Да</v>
      </c>
      <c r="AA367" t="str">
        <f>""</f>
        <v/>
      </c>
      <c r="AB367" t="str">
        <f t="shared" si="161"/>
        <v>Нет</v>
      </c>
      <c r="AC367" t="str">
        <f>""</f>
        <v/>
      </c>
      <c r="AD367" t="str">
        <f>""</f>
        <v/>
      </c>
      <c r="AE367" t="str">
        <f>""</f>
        <v/>
      </c>
      <c r="AF367" t="str">
        <f>"[771755] М 5.7.43"</f>
        <v>[771755] М 5.7.43</v>
      </c>
      <c r="AG367" t="str">
        <f>"[772014] М 5.7.44"</f>
        <v>[772014] М 5.7.44</v>
      </c>
      <c r="AH367" t="str">
        <f>""</f>
        <v/>
      </c>
      <c r="AI367" t="str">
        <f>""</f>
        <v/>
      </c>
      <c r="AJ367" t="str">
        <f>""</f>
        <v/>
      </c>
      <c r="AK367" t="str">
        <f t="shared" si="160"/>
        <v>Нет</v>
      </c>
      <c r="AL367" t="str">
        <f>"51.652358 35.978826, 51.65777 35.956604"</f>
        <v>51.652358 35.978826, 51.65777 35.956604</v>
      </c>
      <c r="AM367" t="str">
        <f>"20000008048481"</f>
        <v>20000008048481</v>
      </c>
    </row>
    <row r="368" spans="1:39" x14ac:dyDescent="0.25">
      <c r="A368">
        <v>907</v>
      </c>
      <c r="B368" t="str">
        <f t="shared" si="146"/>
        <v>Курск</v>
      </c>
      <c r="C368">
        <v>972013</v>
      </c>
      <c r="D368" t="str">
        <f t="shared" si="147"/>
        <v>Оптический кабель</v>
      </c>
      <c r="E368" t="str">
        <f>"[46/4317] М 5.7.44 - М 5.7.45"</f>
        <v>[46/4317] М 5.7.44 - М 5.7.45</v>
      </c>
      <c r="F368" t="str">
        <f t="shared" si="162"/>
        <v>ОКМС-32(G.652.D) 7кН</v>
      </c>
      <c r="G368" t="str">
        <f>""</f>
        <v/>
      </c>
      <c r="H368" t="str">
        <f t="shared" si="163"/>
        <v>МС 5.7</v>
      </c>
      <c r="I368">
        <v>335</v>
      </c>
      <c r="J368">
        <v>380</v>
      </c>
      <c r="K368">
        <v>0</v>
      </c>
      <c r="M368" t="str">
        <f t="shared" si="159"/>
        <v>Опоры</v>
      </c>
      <c r="N368" t="str">
        <f t="shared" si="164"/>
        <v>04.08.20222</v>
      </c>
      <c r="O368">
        <v>32</v>
      </c>
      <c r="P368">
        <v>32</v>
      </c>
      <c r="Q368" t="str">
        <f>""</f>
        <v/>
      </c>
      <c r="R368" t="str">
        <f>""</f>
        <v/>
      </c>
      <c r="S368" t="str">
        <f t="shared" si="165"/>
        <v>04.08.2022</v>
      </c>
      <c r="T368" t="str">
        <f>"46/4317"</f>
        <v>46/4317</v>
      </c>
      <c r="U368" t="str">
        <f t="shared" si="166"/>
        <v>Магистральная ВОЛС</v>
      </c>
      <c r="V368" t="str">
        <f t="shared" si="157"/>
        <v>Нет</v>
      </c>
      <c r="W368" t="str">
        <f t="shared" si="157"/>
        <v>Нет</v>
      </c>
      <c r="X368" t="str">
        <f t="shared" si="157"/>
        <v>Нет</v>
      </c>
      <c r="Y368" t="str">
        <f t="shared" si="157"/>
        <v>Нет</v>
      </c>
      <c r="Z368" t="str">
        <f t="shared" si="167"/>
        <v>Да</v>
      </c>
      <c r="AA368" t="str">
        <f>""</f>
        <v/>
      </c>
      <c r="AB368" t="str">
        <f t="shared" si="161"/>
        <v>Нет</v>
      </c>
      <c r="AC368" t="str">
        <f>""</f>
        <v/>
      </c>
      <c r="AD368" t="str">
        <f>""</f>
        <v/>
      </c>
      <c r="AE368" t="str">
        <f>""</f>
        <v/>
      </c>
      <c r="AF368" t="str">
        <f>"[772014] М 5.7.44"</f>
        <v>[772014] М 5.7.44</v>
      </c>
      <c r="AG368" t="str">
        <f>"[772273] М 5.7.45"</f>
        <v>[772273] М 5.7.45</v>
      </c>
      <c r="AH368" t="str">
        <f>""</f>
        <v/>
      </c>
      <c r="AI368" t="str">
        <f>""</f>
        <v/>
      </c>
      <c r="AJ368" t="str">
        <f>""</f>
        <v/>
      </c>
      <c r="AK368" t="str">
        <f t="shared" si="160"/>
        <v>Нет</v>
      </c>
      <c r="AL368" t="str">
        <f>"51.65777 35.956604, 51.65706 35.953426"</f>
        <v>51.65777 35.956604, 51.65706 35.953426</v>
      </c>
      <c r="AM368" t="str">
        <f>"20000008007435"</f>
        <v>20000008007435</v>
      </c>
    </row>
    <row r="369" spans="1:39" x14ac:dyDescent="0.25">
      <c r="A369">
        <v>907</v>
      </c>
      <c r="B369" t="str">
        <f t="shared" si="146"/>
        <v>Курск</v>
      </c>
      <c r="C369">
        <v>972035</v>
      </c>
      <c r="D369" t="str">
        <f t="shared" si="147"/>
        <v>Оптический кабель</v>
      </c>
      <c r="E369" t="str">
        <f>"[46/4318] М 5.7.45 - М 5.7.46"</f>
        <v>[46/4318] М 5.7.45 - М 5.7.46</v>
      </c>
      <c r="F369" t="str">
        <f t="shared" si="162"/>
        <v>ОКМС-32(G.652.D) 7кН</v>
      </c>
      <c r="G369" t="str">
        <f>""</f>
        <v/>
      </c>
      <c r="H369" t="str">
        <f t="shared" si="163"/>
        <v>МС 5.7</v>
      </c>
      <c r="I369">
        <v>116</v>
      </c>
      <c r="J369">
        <v>210</v>
      </c>
      <c r="K369">
        <v>0</v>
      </c>
      <c r="M369" t="str">
        <f t="shared" si="159"/>
        <v>Опоры</v>
      </c>
      <c r="N369" t="str">
        <f t="shared" si="164"/>
        <v>04.08.20222</v>
      </c>
      <c r="O369">
        <v>32</v>
      </c>
      <c r="P369">
        <v>32</v>
      </c>
      <c r="Q369" t="str">
        <f>""</f>
        <v/>
      </c>
      <c r="R369" t="str">
        <f>""</f>
        <v/>
      </c>
      <c r="S369" t="str">
        <f t="shared" si="165"/>
        <v>04.08.2022</v>
      </c>
      <c r="T369" t="str">
        <f>"46/4318"</f>
        <v>46/4318</v>
      </c>
      <c r="U369" t="str">
        <f t="shared" si="166"/>
        <v>Магистральная ВОЛС</v>
      </c>
      <c r="V369" t="str">
        <f t="shared" si="157"/>
        <v>Нет</v>
      </c>
      <c r="W369" t="str">
        <f t="shared" si="157"/>
        <v>Нет</v>
      </c>
      <c r="X369" t="str">
        <f t="shared" si="157"/>
        <v>Нет</v>
      </c>
      <c r="Y369" t="str">
        <f t="shared" si="157"/>
        <v>Нет</v>
      </c>
      <c r="Z369" t="str">
        <f t="shared" si="167"/>
        <v>Да</v>
      </c>
      <c r="AA369" t="str">
        <f>""</f>
        <v/>
      </c>
      <c r="AB369" t="str">
        <f t="shared" si="161"/>
        <v>Нет</v>
      </c>
      <c r="AC369" t="str">
        <f>""</f>
        <v/>
      </c>
      <c r="AD369" t="str">
        <f>""</f>
        <v/>
      </c>
      <c r="AE369" t="str">
        <f>""</f>
        <v/>
      </c>
      <c r="AF369" t="str">
        <f>"[772273] М 5.7.45"</f>
        <v>[772273] М 5.7.45</v>
      </c>
      <c r="AG369" t="str">
        <f>"[772532] М 5.7.46"</f>
        <v>[772532] М 5.7.46</v>
      </c>
      <c r="AH369" t="str">
        <f>""</f>
        <v/>
      </c>
      <c r="AI369" t="str">
        <f>""</f>
        <v/>
      </c>
      <c r="AJ369" t="str">
        <f>""</f>
        <v/>
      </c>
      <c r="AK369" t="str">
        <f t="shared" si="160"/>
        <v>Нет</v>
      </c>
      <c r="AL369" t="str">
        <f>"51.65706 35.953426, 51.656051 35.953848"</f>
        <v>51.65706 35.953426, 51.656051 35.953848</v>
      </c>
      <c r="AM369" t="str">
        <f>"20000008017078"</f>
        <v>20000008017078</v>
      </c>
    </row>
    <row r="370" spans="1:39" x14ac:dyDescent="0.25">
      <c r="A370">
        <v>907</v>
      </c>
      <c r="B370" t="str">
        <f t="shared" si="146"/>
        <v>Курск</v>
      </c>
      <c r="C370">
        <v>972038</v>
      </c>
      <c r="D370" t="str">
        <f t="shared" si="147"/>
        <v>Оптический кабель</v>
      </c>
      <c r="E370" t="str">
        <f>"[46/4319] М 5.7.46 - М 5.7.47"</f>
        <v>[46/4319] М 5.7.46 - М 5.7.47</v>
      </c>
      <c r="F370" t="str">
        <f t="shared" si="162"/>
        <v>ОКМС-32(G.652.D) 7кН</v>
      </c>
      <c r="G370" t="str">
        <f>""</f>
        <v/>
      </c>
      <c r="H370" t="str">
        <f t="shared" si="163"/>
        <v>МС 5.7</v>
      </c>
      <c r="I370">
        <v>1058</v>
      </c>
      <c r="J370">
        <v>1190</v>
      </c>
      <c r="K370">
        <v>0</v>
      </c>
      <c r="M370" t="str">
        <f t="shared" si="159"/>
        <v>Опоры</v>
      </c>
      <c r="N370" t="str">
        <f t="shared" si="164"/>
        <v>04.08.20222</v>
      </c>
      <c r="O370">
        <v>32</v>
      </c>
      <c r="P370">
        <v>32</v>
      </c>
      <c r="Q370" t="str">
        <f>""</f>
        <v/>
      </c>
      <c r="R370" t="str">
        <f>""</f>
        <v/>
      </c>
      <c r="S370" t="str">
        <f t="shared" si="165"/>
        <v>04.08.2022</v>
      </c>
      <c r="T370" t="str">
        <f>"46/4319"</f>
        <v>46/4319</v>
      </c>
      <c r="U370" t="str">
        <f t="shared" si="166"/>
        <v>Магистральная ВОЛС</v>
      </c>
      <c r="V370" t="str">
        <f t="shared" si="157"/>
        <v>Нет</v>
      </c>
      <c r="W370" t="str">
        <f t="shared" si="157"/>
        <v>Нет</v>
      </c>
      <c r="X370" t="str">
        <f t="shared" si="157"/>
        <v>Нет</v>
      </c>
      <c r="Y370" t="str">
        <f t="shared" si="157"/>
        <v>Нет</v>
      </c>
      <c r="Z370" t="str">
        <f t="shared" si="167"/>
        <v>Да</v>
      </c>
      <c r="AA370" t="str">
        <f>""</f>
        <v/>
      </c>
      <c r="AB370" t="str">
        <f t="shared" si="161"/>
        <v>Нет</v>
      </c>
      <c r="AC370" t="str">
        <f>""</f>
        <v/>
      </c>
      <c r="AD370" t="str">
        <f>""</f>
        <v/>
      </c>
      <c r="AE370" t="str">
        <f>""</f>
        <v/>
      </c>
      <c r="AF370" t="str">
        <f>"[772532] М 5.7.46"</f>
        <v>[772532] М 5.7.46</v>
      </c>
      <c r="AG370" t="str">
        <f>"[772791] М 5.7.47"</f>
        <v>[772791] М 5.7.47</v>
      </c>
      <c r="AH370" t="str">
        <f>""</f>
        <v/>
      </c>
      <c r="AI370" t="str">
        <f>""</f>
        <v/>
      </c>
      <c r="AJ370" t="str">
        <f>""</f>
        <v/>
      </c>
      <c r="AK370" t="str">
        <f t="shared" si="160"/>
        <v>Нет</v>
      </c>
      <c r="AL370" t="str">
        <f>"51.656051 35.953848, 51.648882 35.953106"</f>
        <v>51.656051 35.953848, 51.648882 35.953106</v>
      </c>
      <c r="AM370" t="str">
        <f>"20000008045129"</f>
        <v>20000008045129</v>
      </c>
    </row>
    <row r="371" spans="1:39" x14ac:dyDescent="0.25">
      <c r="A371">
        <v>907</v>
      </c>
      <c r="B371" t="str">
        <f t="shared" si="146"/>
        <v>Курск</v>
      </c>
      <c r="C371">
        <v>972109</v>
      </c>
      <c r="D371" t="str">
        <f t="shared" si="147"/>
        <v>Оптический кабель</v>
      </c>
      <c r="E371" t="str">
        <f>"[46/4320] М 5.7.47 - МОК 5.7.1 Дьяконово  с, Октябрьский р-н (Курская обл), Дьяконово, 1 южная п. 1"</f>
        <v>[46/4320] М 5.7.47 - МОК 5.7.1 Дьяконово  с, Октябрьский р-н (Курская обл), Дьяконово, 1 южная п. 1</v>
      </c>
      <c r="F371" t="str">
        <f t="shared" si="162"/>
        <v>ОКМС-32(G.652.D) 7кН</v>
      </c>
      <c r="G371" t="str">
        <f>""</f>
        <v/>
      </c>
      <c r="H371" t="str">
        <f t="shared" si="163"/>
        <v>МС 5.7</v>
      </c>
      <c r="I371">
        <v>1212</v>
      </c>
      <c r="J371">
        <v>1800</v>
      </c>
      <c r="K371">
        <v>0</v>
      </c>
      <c r="M371" t="str">
        <f t="shared" si="159"/>
        <v>Опоры</v>
      </c>
      <c r="N371" t="str">
        <f t="shared" si="164"/>
        <v>04.08.20222</v>
      </c>
      <c r="O371">
        <v>32</v>
      </c>
      <c r="P371">
        <v>32</v>
      </c>
      <c r="Q371" t="str">
        <f>""</f>
        <v/>
      </c>
      <c r="R371" t="str">
        <f>"Дьяконово  с, Октябрьский р-н (Курская обл), Дьяконово, 1 южная"</f>
        <v>Дьяконово  с, Октябрьский р-н (Курская обл), Дьяконово, 1 южная</v>
      </c>
      <c r="S371" t="str">
        <f t="shared" si="165"/>
        <v>04.08.2022</v>
      </c>
      <c r="T371" t="str">
        <f>"46/4320"</f>
        <v>46/4320</v>
      </c>
      <c r="U371" t="str">
        <f t="shared" si="166"/>
        <v>Магистральная ВОЛС</v>
      </c>
      <c r="V371" t="str">
        <f t="shared" si="157"/>
        <v>Нет</v>
      </c>
      <c r="W371" t="str">
        <f t="shared" si="157"/>
        <v>Нет</v>
      </c>
      <c r="X371" t="str">
        <f t="shared" si="157"/>
        <v>Нет</v>
      </c>
      <c r="Y371" t="str">
        <f t="shared" si="157"/>
        <v>Нет</v>
      </c>
      <c r="Z371" t="str">
        <f t="shared" si="167"/>
        <v>Да</v>
      </c>
      <c r="AA371" t="str">
        <f>""</f>
        <v/>
      </c>
      <c r="AB371" t="str">
        <f t="shared" si="161"/>
        <v>Нет</v>
      </c>
      <c r="AC371" t="str">
        <f>""</f>
        <v/>
      </c>
      <c r="AD371" t="str">
        <f>""</f>
        <v/>
      </c>
      <c r="AE371" t="str">
        <f>""</f>
        <v/>
      </c>
      <c r="AF371" t="str">
        <f>"[772791] М 5.7.47"</f>
        <v>[772791] М 5.7.47</v>
      </c>
      <c r="AG371" t="str">
        <f>"[773119] МОК 5.7.1 Дьяконово  с, Октябрьский р-н (Курская обл), Дьяконово, 1 южная п. 1"</f>
        <v>[773119] МОК 5.7.1 Дьяконово  с, Октябрьский р-н (Курская обл), Дьяконово, 1 южная п. 1</v>
      </c>
      <c r="AH371" t="str">
        <f>""</f>
        <v/>
      </c>
      <c r="AI371" t="str">
        <f>""</f>
        <v/>
      </c>
      <c r="AJ371" t="str">
        <f>""</f>
        <v/>
      </c>
      <c r="AK371" t="str">
        <f t="shared" si="160"/>
        <v>Нет</v>
      </c>
      <c r="AL371" t="str">
        <f>"51.648882 35.953106, 51.640472 35.95085"</f>
        <v>51.648882 35.953106, 51.640472 35.95085</v>
      </c>
      <c r="AM371" t="str">
        <f>"20000008048480"</f>
        <v>20000008048480</v>
      </c>
    </row>
    <row r="372" spans="1:39" x14ac:dyDescent="0.25">
      <c r="A372">
        <v>907</v>
      </c>
      <c r="B372" t="str">
        <f t="shared" si="146"/>
        <v>Курск</v>
      </c>
      <c r="C372">
        <v>978693</v>
      </c>
      <c r="D372" t="str">
        <f t="shared" si="147"/>
        <v>Оптический кабель</v>
      </c>
      <c r="E372" t="str">
        <f>"[46/4324] Торсион - Торсион"</f>
        <v>[46/4324] Торсион - Торсион</v>
      </c>
      <c r="F372" t="str">
        <f>"Оптический кабель"</f>
        <v>Оптический кабель</v>
      </c>
      <c r="G372" t="str">
        <f>""</f>
        <v/>
      </c>
      <c r="H372" t="str">
        <f>"ТС"</f>
        <v>ТС</v>
      </c>
      <c r="I372">
        <v>50293</v>
      </c>
      <c r="J372">
        <v>50306</v>
      </c>
      <c r="K372">
        <v>0</v>
      </c>
      <c r="M372" t="str">
        <f>"Опоры (купленные волокна)"</f>
        <v>Опоры (купленные волокна)</v>
      </c>
      <c r="N372" t="str">
        <f>"26.08.20222"</f>
        <v>26.08.20222</v>
      </c>
      <c r="O372">
        <v>4</v>
      </c>
      <c r="P372">
        <v>4</v>
      </c>
      <c r="Q372" t="str">
        <f>""</f>
        <v/>
      </c>
      <c r="R372" t="str">
        <f>""</f>
        <v/>
      </c>
      <c r="S372" t="str">
        <f>"26.08.2022"</f>
        <v>26.08.2022</v>
      </c>
      <c r="T372" t="str">
        <f>"46/4324"</f>
        <v>46/4324</v>
      </c>
      <c r="U372" t="str">
        <f>"Транспортная ВОЛС"</f>
        <v>Транспортная ВОЛС</v>
      </c>
      <c r="V372" t="str">
        <f t="shared" ref="V372:V403" si="168">"Нет"</f>
        <v>Нет</v>
      </c>
      <c r="W372" t="str">
        <f>"Да"</f>
        <v>Да</v>
      </c>
      <c r="X372" t="str">
        <f t="shared" ref="X372:Z395" si="169">"Нет"</f>
        <v>Нет</v>
      </c>
      <c r="Y372" t="str">
        <f t="shared" si="169"/>
        <v>Нет</v>
      </c>
      <c r="Z372" t="str">
        <f t="shared" si="169"/>
        <v>Нет</v>
      </c>
      <c r="AA372" t="str">
        <f>""</f>
        <v/>
      </c>
      <c r="AB372" t="str">
        <f t="shared" si="161"/>
        <v>Нет</v>
      </c>
      <c r="AC372" t="str">
        <f>""</f>
        <v/>
      </c>
      <c r="AD372" t="str">
        <f>""</f>
        <v/>
      </c>
      <c r="AE372" t="str">
        <f>""</f>
        <v/>
      </c>
      <c r="AF372" t="str">
        <f>"[780178] Торсион"</f>
        <v>[780178] Торсион</v>
      </c>
      <c r="AG372" t="str">
        <f>"[779919] Торсион"</f>
        <v>[779919] Торсион</v>
      </c>
      <c r="AH372" t="str">
        <f>""</f>
        <v/>
      </c>
      <c r="AI372" t="str">
        <f>""</f>
        <v/>
      </c>
      <c r="AJ372" t="str">
        <f>""</f>
        <v/>
      </c>
      <c r="AK372" t="str">
        <f t="shared" si="160"/>
        <v>Нет</v>
      </c>
      <c r="AL372" t="str">
        <f>"50.606299 36.665541, 50.376083 36.880167"</f>
        <v>50.606299 36.665541, 50.376083 36.880167</v>
      </c>
      <c r="AM372" t="str">
        <f>""</f>
        <v/>
      </c>
    </row>
    <row r="373" spans="1:39" x14ac:dyDescent="0.25">
      <c r="A373">
        <v>907</v>
      </c>
      <c r="B373" t="str">
        <f t="shared" si="146"/>
        <v>Курск</v>
      </c>
      <c r="C373">
        <v>978713</v>
      </c>
      <c r="D373" t="str">
        <f t="shared" si="147"/>
        <v>Оптический кабель</v>
      </c>
      <c r="E373" t="str">
        <f>"[46/4325] Торсион - Торсион"</f>
        <v>[46/4325] Торсион - Торсион</v>
      </c>
      <c r="F373" t="str">
        <f>"Оптический кабель"</f>
        <v>Оптический кабель</v>
      </c>
      <c r="G373" t="str">
        <f>""</f>
        <v/>
      </c>
      <c r="H373" t="str">
        <f>"ТС"</f>
        <v>ТС</v>
      </c>
      <c r="I373">
        <v>131306</v>
      </c>
      <c r="J373">
        <v>131415</v>
      </c>
      <c r="K373">
        <v>0</v>
      </c>
      <c r="M373" t="str">
        <f>"Опоры (купленные волокна)"</f>
        <v>Опоры (купленные волокна)</v>
      </c>
      <c r="N373" t="str">
        <f>"26.08.20222"</f>
        <v>26.08.20222</v>
      </c>
      <c r="O373">
        <v>256</v>
      </c>
      <c r="P373">
        <v>4</v>
      </c>
      <c r="Q373" t="str">
        <f>""</f>
        <v/>
      </c>
      <c r="R373" t="str">
        <f>""</f>
        <v/>
      </c>
      <c r="S373" t="str">
        <f>"26.08.2022"</f>
        <v>26.08.2022</v>
      </c>
      <c r="T373" t="str">
        <f>"46/4325"</f>
        <v>46/4325</v>
      </c>
      <c r="U373" t="str">
        <f>"Транспортная ВОЛС"</f>
        <v>Транспортная ВОЛС</v>
      </c>
      <c r="V373" t="str">
        <f t="shared" si="168"/>
        <v>Нет</v>
      </c>
      <c r="W373" t="str">
        <f>"Да"</f>
        <v>Да</v>
      </c>
      <c r="X373" t="str">
        <f t="shared" si="169"/>
        <v>Нет</v>
      </c>
      <c r="Y373" t="str">
        <f t="shared" si="169"/>
        <v>Нет</v>
      </c>
      <c r="Z373" t="str">
        <f t="shared" si="169"/>
        <v>Нет</v>
      </c>
      <c r="AA373" t="str">
        <f>""</f>
        <v/>
      </c>
      <c r="AB373" t="str">
        <f t="shared" si="161"/>
        <v>Нет</v>
      </c>
      <c r="AC373" t="str">
        <f>""</f>
        <v/>
      </c>
      <c r="AD373" t="str">
        <f>""</f>
        <v/>
      </c>
      <c r="AE373" t="str">
        <f>""</f>
        <v/>
      </c>
      <c r="AF373" t="str">
        <f>"[780437] Торсион"</f>
        <v>[780437] Торсион</v>
      </c>
      <c r="AG373" t="str">
        <f>"[780696] Торсион"</f>
        <v>[780696] Торсион</v>
      </c>
      <c r="AH373" t="str">
        <f>""</f>
        <v/>
      </c>
      <c r="AI373" t="str">
        <f>""</f>
        <v/>
      </c>
      <c r="AJ373" t="str">
        <f>""</f>
        <v/>
      </c>
      <c r="AK373" t="str">
        <f t="shared" si="160"/>
        <v>Нет</v>
      </c>
      <c r="AL373" t="str">
        <f>"50.657145 36.416074, 51.640181 35.950539"</f>
        <v>50.657145 36.416074, 51.640181 35.950539</v>
      </c>
      <c r="AM373" t="str">
        <f>""</f>
        <v/>
      </c>
    </row>
    <row r="374" spans="1:39" x14ac:dyDescent="0.25">
      <c r="A374">
        <v>907</v>
      </c>
      <c r="B374" t="str">
        <f t="shared" si="146"/>
        <v>Курск</v>
      </c>
      <c r="C374">
        <v>978746</v>
      </c>
      <c r="D374" t="str">
        <f t="shared" si="147"/>
        <v>Оптический кабель</v>
      </c>
      <c r="E374" t="str">
        <f>"[46/4327] Торсион - Торсион"</f>
        <v>[46/4327] Торсион - Торсион</v>
      </c>
      <c r="F374" t="str">
        <f>"Оптический кабель"</f>
        <v>Оптический кабель</v>
      </c>
      <c r="G374" t="str">
        <f>""</f>
        <v/>
      </c>
      <c r="H374" t="str">
        <f>"ТС"</f>
        <v>ТС</v>
      </c>
      <c r="I374">
        <v>5955</v>
      </c>
      <c r="J374">
        <v>6026</v>
      </c>
      <c r="K374">
        <v>0</v>
      </c>
      <c r="M374" t="str">
        <f>"Опоры (купленные волокна)"</f>
        <v>Опоры (купленные волокна)</v>
      </c>
      <c r="N374" t="str">
        <f>"26.08.20222"</f>
        <v>26.08.20222</v>
      </c>
      <c r="O374">
        <v>4</v>
      </c>
      <c r="P374">
        <v>4</v>
      </c>
      <c r="Q374" t="str">
        <f>""</f>
        <v/>
      </c>
      <c r="R374" t="str">
        <f>""</f>
        <v/>
      </c>
      <c r="S374" t="str">
        <f>"26.08.2022"</f>
        <v>26.08.2022</v>
      </c>
      <c r="T374" t="str">
        <f>"46/4327"</f>
        <v>46/4327</v>
      </c>
      <c r="U374" t="str">
        <f>"Транспортная ВОЛС"</f>
        <v>Транспортная ВОЛС</v>
      </c>
      <c r="V374" t="str">
        <f t="shared" si="168"/>
        <v>Нет</v>
      </c>
      <c r="W374" t="str">
        <f>"Да"</f>
        <v>Да</v>
      </c>
      <c r="X374" t="str">
        <f t="shared" si="169"/>
        <v>Нет</v>
      </c>
      <c r="Y374" t="str">
        <f t="shared" si="169"/>
        <v>Нет</v>
      </c>
      <c r="Z374" t="str">
        <f t="shared" si="169"/>
        <v>Нет</v>
      </c>
      <c r="AA374" t="str">
        <f>""</f>
        <v/>
      </c>
      <c r="AB374" t="str">
        <f t="shared" si="161"/>
        <v>Нет</v>
      </c>
      <c r="AC374" t="str">
        <f>""</f>
        <v/>
      </c>
      <c r="AD374" t="str">
        <f>""</f>
        <v/>
      </c>
      <c r="AE374" t="str">
        <f>""</f>
        <v/>
      </c>
      <c r="AF374" t="str">
        <f>"[781473] Торсион"</f>
        <v>[781473] Торсион</v>
      </c>
      <c r="AG374" t="str">
        <f>"[781732] Торсион"</f>
        <v>[781732] Торсион</v>
      </c>
      <c r="AH374" t="str">
        <f>""</f>
        <v/>
      </c>
      <c r="AI374" t="str">
        <f>""</f>
        <v/>
      </c>
      <c r="AJ374" t="str">
        <f>""</f>
        <v/>
      </c>
      <c r="AK374" t="str">
        <f t="shared" si="160"/>
        <v>Нет</v>
      </c>
      <c r="AL374" t="str">
        <f>"51.233013 37.932587, 51.268199 37.966301"</f>
        <v>51.233013 37.932587, 51.268199 37.966301</v>
      </c>
      <c r="AM374" t="str">
        <f>""</f>
        <v/>
      </c>
    </row>
    <row r="375" spans="1:39" x14ac:dyDescent="0.25">
      <c r="A375">
        <v>907</v>
      </c>
      <c r="B375" t="str">
        <f t="shared" si="146"/>
        <v>Курск</v>
      </c>
      <c r="C375">
        <v>978813</v>
      </c>
      <c r="D375" t="str">
        <f t="shared" si="147"/>
        <v>Оптический кабель</v>
      </c>
      <c r="E375" t="str">
        <f>"[46/4328] Торсион - Торсион"</f>
        <v>[46/4328] Торсион - Торсион</v>
      </c>
      <c r="F375" t="str">
        <f>"Оптический кабель"</f>
        <v>Оптический кабель</v>
      </c>
      <c r="G375" t="str">
        <f>""</f>
        <v/>
      </c>
      <c r="H375" t="str">
        <f>"ТС"</f>
        <v>ТС</v>
      </c>
      <c r="I375">
        <v>149314</v>
      </c>
      <c r="J375">
        <v>149367</v>
      </c>
      <c r="K375">
        <v>0</v>
      </c>
      <c r="M375" t="str">
        <f>"Опоры (купленные волокна)"</f>
        <v>Опоры (купленные волокна)</v>
      </c>
      <c r="N375" t="str">
        <f>"26.08.20222"</f>
        <v>26.08.20222</v>
      </c>
      <c r="O375">
        <v>256</v>
      </c>
      <c r="P375">
        <v>2</v>
      </c>
      <c r="Q375" t="str">
        <f>""</f>
        <v/>
      </c>
      <c r="R375" t="str">
        <f>""</f>
        <v/>
      </c>
      <c r="S375" t="str">
        <f>"26.08.2022"</f>
        <v>26.08.2022</v>
      </c>
      <c r="T375" t="str">
        <f>"46/4328"</f>
        <v>46/4328</v>
      </c>
      <c r="U375" t="str">
        <f>"Транспортная ВОЛС"</f>
        <v>Транспортная ВОЛС</v>
      </c>
      <c r="V375" t="str">
        <f t="shared" si="168"/>
        <v>Нет</v>
      </c>
      <c r="W375" t="str">
        <f>"Да"</f>
        <v>Да</v>
      </c>
      <c r="X375" t="str">
        <f t="shared" si="169"/>
        <v>Нет</v>
      </c>
      <c r="Y375" t="str">
        <f t="shared" si="169"/>
        <v>Нет</v>
      </c>
      <c r="Z375" t="str">
        <f t="shared" si="169"/>
        <v>Нет</v>
      </c>
      <c r="AA375" t="str">
        <f>""</f>
        <v/>
      </c>
      <c r="AB375" t="str">
        <f t="shared" si="161"/>
        <v>Нет</v>
      </c>
      <c r="AC375" t="str">
        <f>""</f>
        <v/>
      </c>
      <c r="AD375" t="str">
        <f>""</f>
        <v/>
      </c>
      <c r="AE375" t="str">
        <f>""</f>
        <v/>
      </c>
      <c r="AF375" t="str">
        <f>"[780955] Торсион"</f>
        <v>[780955] Торсион</v>
      </c>
      <c r="AG375" t="str">
        <f>"[781214] Торсион"</f>
        <v>[781214] Торсион</v>
      </c>
      <c r="AH375" t="str">
        <f>""</f>
        <v/>
      </c>
      <c r="AI375" t="str">
        <f>""</f>
        <v/>
      </c>
      <c r="AJ375" t="str">
        <f>""</f>
        <v/>
      </c>
      <c r="AK375" t="str">
        <f t="shared" si="160"/>
        <v>Нет</v>
      </c>
      <c r="AL375" t="str">
        <f>"51.492415 36.09066, 51.05688 37.905428"</f>
        <v>51.492415 36.09066, 51.05688 37.905428</v>
      </c>
      <c r="AM375" t="str">
        <f>""</f>
        <v/>
      </c>
    </row>
    <row r="376" spans="1:39" x14ac:dyDescent="0.25">
      <c r="A376">
        <v>907</v>
      </c>
      <c r="B376" t="str">
        <f t="shared" si="146"/>
        <v>Курск</v>
      </c>
      <c r="C376">
        <v>979333</v>
      </c>
      <c r="D376" t="str">
        <f t="shared" si="147"/>
        <v>Оптический кабель</v>
      </c>
      <c r="E376" t="str">
        <f>"[46/4329] Торсион - Торсион"</f>
        <v>[46/4329] Торсион - Торсион</v>
      </c>
      <c r="F376" t="str">
        <f>"Оптический кабель"</f>
        <v>Оптический кабель</v>
      </c>
      <c r="G376" t="str">
        <f>""</f>
        <v/>
      </c>
      <c r="H376" t="str">
        <f>"ТС"</f>
        <v>ТС</v>
      </c>
      <c r="I376">
        <v>25596</v>
      </c>
      <c r="J376">
        <v>25653</v>
      </c>
      <c r="K376">
        <v>0</v>
      </c>
      <c r="M376" t="str">
        <f>"Опоры (купленные волокна)"</f>
        <v>Опоры (купленные волокна)</v>
      </c>
      <c r="N376" t="str">
        <f>"26.08.20222"</f>
        <v>26.08.20222</v>
      </c>
      <c r="O376">
        <v>256</v>
      </c>
      <c r="P376">
        <v>4</v>
      </c>
      <c r="Q376" t="str">
        <f>""</f>
        <v/>
      </c>
      <c r="R376" t="str">
        <f>""</f>
        <v/>
      </c>
      <c r="S376" t="str">
        <f>"26.08.2022"</f>
        <v>26.08.2022</v>
      </c>
      <c r="T376" t="str">
        <f>"46/4329"</f>
        <v>46/4329</v>
      </c>
      <c r="U376" t="str">
        <f>"Транспортная ВОЛС"</f>
        <v>Транспортная ВОЛС</v>
      </c>
      <c r="V376" t="str">
        <f t="shared" si="168"/>
        <v>Нет</v>
      </c>
      <c r="W376" t="str">
        <f>"Да"</f>
        <v>Да</v>
      </c>
      <c r="X376" t="str">
        <f t="shared" si="169"/>
        <v>Нет</v>
      </c>
      <c r="Y376" t="str">
        <f t="shared" si="169"/>
        <v>Нет</v>
      </c>
      <c r="Z376" t="str">
        <f t="shared" si="169"/>
        <v>Нет</v>
      </c>
      <c r="AA376" t="str">
        <f>""</f>
        <v/>
      </c>
      <c r="AB376" t="str">
        <f t="shared" si="161"/>
        <v>Нет</v>
      </c>
      <c r="AC376" t="str">
        <f>""</f>
        <v/>
      </c>
      <c r="AD376" t="str">
        <f>""</f>
        <v/>
      </c>
      <c r="AE376" t="str">
        <f>""</f>
        <v/>
      </c>
      <c r="AF376" t="str">
        <f>"[780696] Торсион"</f>
        <v>[780696] Торсион</v>
      </c>
      <c r="AG376" t="str">
        <f>"[780955] Торсион"</f>
        <v>[780955] Торсион</v>
      </c>
      <c r="AH376" t="str">
        <f>""</f>
        <v/>
      </c>
      <c r="AI376" t="str">
        <f>""</f>
        <v/>
      </c>
      <c r="AJ376" t="str">
        <f>""</f>
        <v/>
      </c>
      <c r="AK376" t="str">
        <f t="shared" si="160"/>
        <v>Нет</v>
      </c>
      <c r="AL376" t="str">
        <f>"51.64017 35.950749, 51.492423 36.090127"</f>
        <v>51.64017 35.950749, 51.492423 36.090127</v>
      </c>
      <c r="AM376" t="str">
        <f>""</f>
        <v/>
      </c>
    </row>
    <row r="377" spans="1:39" x14ac:dyDescent="0.25">
      <c r="A377">
        <v>907</v>
      </c>
      <c r="B377" t="str">
        <f t="shared" si="146"/>
        <v>Курск</v>
      </c>
      <c r="C377">
        <v>984001</v>
      </c>
      <c r="D377" t="str">
        <f t="shared" si="147"/>
        <v>Оптический кабель</v>
      </c>
      <c r="E377" t="str">
        <f>"[46/4330]  - М 5.7.48"</f>
        <v>[46/4330]  - М 5.7.48</v>
      </c>
      <c r="F377" t="str">
        <f>"ОКМС-96(G.652.D) 7кН"</f>
        <v>ОКМС-96(G.652.D) 7кН</v>
      </c>
      <c r="G377" t="str">
        <f>""</f>
        <v/>
      </c>
      <c r="H377" t="str">
        <f t="shared" ref="H377:H386" si="170">"МС 5.7"</f>
        <v>МС 5.7</v>
      </c>
      <c r="I377">
        <v>987</v>
      </c>
      <c r="J377">
        <v>1260</v>
      </c>
      <c r="K377">
        <v>0</v>
      </c>
      <c r="M377" t="str">
        <f t="shared" ref="M377:M395" si="171">"Опоры"</f>
        <v>Опоры</v>
      </c>
      <c r="N377" t="str">
        <f t="shared" ref="N377:N384" si="172">"09.09.20222"</f>
        <v>09.09.20222</v>
      </c>
      <c r="O377">
        <v>48</v>
      </c>
      <c r="P377">
        <v>48</v>
      </c>
      <c r="Q377" t="str">
        <f>""</f>
        <v/>
      </c>
      <c r="R377" t="str">
        <f>""</f>
        <v/>
      </c>
      <c r="S377" t="str">
        <f t="shared" ref="S377:S384" si="173">"09.09.2022"</f>
        <v>09.09.2022</v>
      </c>
      <c r="T377" t="str">
        <f>"46/4330"</f>
        <v>46/4330</v>
      </c>
      <c r="U377" t="str">
        <f t="shared" ref="U377:U414" si="174">"Магистральная ВОЛС"</f>
        <v>Магистральная ВОЛС</v>
      </c>
      <c r="V377" t="str">
        <f t="shared" si="168"/>
        <v>Нет</v>
      </c>
      <c r="W377" t="str">
        <f t="shared" ref="W377:W408" si="175">"Нет"</f>
        <v>Нет</v>
      </c>
      <c r="X377" t="str">
        <f t="shared" si="169"/>
        <v>Нет</v>
      </c>
      <c r="Y377" t="str">
        <f t="shared" si="169"/>
        <v>Нет</v>
      </c>
      <c r="Z377" t="str">
        <f t="shared" si="169"/>
        <v>Нет</v>
      </c>
      <c r="AA377" t="str">
        <f>""</f>
        <v/>
      </c>
      <c r="AB377" t="str">
        <f t="shared" si="161"/>
        <v>Нет</v>
      </c>
      <c r="AC377" t="str">
        <f>""</f>
        <v/>
      </c>
      <c r="AD377" t="str">
        <f>""</f>
        <v/>
      </c>
      <c r="AE377" t="str">
        <f>""</f>
        <v/>
      </c>
      <c r="AF377" t="str">
        <f>""</f>
        <v/>
      </c>
      <c r="AG377" t="str">
        <f>"[786938] М 5.7.48"</f>
        <v>[786938] М 5.7.48</v>
      </c>
      <c r="AH377" t="str">
        <f>""</f>
        <v/>
      </c>
      <c r="AI377" t="str">
        <f>""</f>
        <v/>
      </c>
      <c r="AJ377" t="str">
        <f>""</f>
        <v/>
      </c>
      <c r="AK377" t="str">
        <f t="shared" si="160"/>
        <v>Нет</v>
      </c>
      <c r="AL377" t="str">
        <f>"51.141467 38.10145, 51.140689 38.114668"</f>
        <v>51.141467 38.10145, 51.140689 38.114668</v>
      </c>
      <c r="AM377" t="str">
        <f>"20000008045131"</f>
        <v>20000008045131</v>
      </c>
    </row>
    <row r="378" spans="1:39" x14ac:dyDescent="0.25">
      <c r="A378">
        <v>907</v>
      </c>
      <c r="B378" t="str">
        <f t="shared" si="146"/>
        <v>Курск</v>
      </c>
      <c r="C378">
        <v>984004</v>
      </c>
      <c r="D378" t="str">
        <f t="shared" si="147"/>
        <v>Оптический кабель</v>
      </c>
      <c r="E378" t="str">
        <f>"[46/4331] М 5.7.54 - М5.7.30"</f>
        <v>[46/4331] М 5.7.54 - М5.7.30</v>
      </c>
      <c r="F378" t="str">
        <f>"ОКМС-48(G.652.D) 7кН (Мод:Жел,Кр,4Нат)"</f>
        <v>ОКМС-48(G.652.D) 7кН (Мод:Жел,Кр,4Нат)</v>
      </c>
      <c r="G378" t="str">
        <f>""</f>
        <v/>
      </c>
      <c r="H378" t="str">
        <f t="shared" si="170"/>
        <v>МС 5.7</v>
      </c>
      <c r="I378">
        <v>1094</v>
      </c>
      <c r="J378">
        <v>1200</v>
      </c>
      <c r="K378">
        <v>0</v>
      </c>
      <c r="M378" t="str">
        <f t="shared" si="171"/>
        <v>Опоры</v>
      </c>
      <c r="N378" t="str">
        <f t="shared" si="172"/>
        <v>09.09.20222</v>
      </c>
      <c r="O378">
        <v>48</v>
      </c>
      <c r="P378">
        <v>48</v>
      </c>
      <c r="Q378" t="str">
        <f>""</f>
        <v/>
      </c>
      <c r="R378" t="str">
        <f>""</f>
        <v/>
      </c>
      <c r="S378" t="str">
        <f t="shared" si="173"/>
        <v>09.09.2022</v>
      </c>
      <c r="T378" t="str">
        <f>"46/4331"</f>
        <v>46/4331</v>
      </c>
      <c r="U378" t="str">
        <f t="shared" si="174"/>
        <v>Магистральная ВОЛС</v>
      </c>
      <c r="V378" t="str">
        <f t="shared" si="168"/>
        <v>Нет</v>
      </c>
      <c r="W378" t="str">
        <f t="shared" si="175"/>
        <v>Нет</v>
      </c>
      <c r="X378" t="str">
        <f t="shared" si="169"/>
        <v>Нет</v>
      </c>
      <c r="Y378" t="str">
        <f t="shared" si="169"/>
        <v>Нет</v>
      </c>
      <c r="Z378" t="str">
        <f t="shared" si="169"/>
        <v>Нет</v>
      </c>
      <c r="AA378" t="str">
        <f>""</f>
        <v/>
      </c>
      <c r="AB378" t="str">
        <f t="shared" si="161"/>
        <v>Нет</v>
      </c>
      <c r="AC378" t="str">
        <f>""</f>
        <v/>
      </c>
      <c r="AD378" t="str">
        <f>""</f>
        <v/>
      </c>
      <c r="AE378" t="str">
        <f>""</f>
        <v/>
      </c>
      <c r="AF378" t="str">
        <f>"[785384] М 5.7.54"</f>
        <v>[785384] М 5.7.54</v>
      </c>
      <c r="AG378" t="str">
        <f>"[740949] М5.7.30"</f>
        <v>[740949] М5.7.30</v>
      </c>
      <c r="AH378" t="str">
        <f>""</f>
        <v/>
      </c>
      <c r="AI378" t="str">
        <f>""</f>
        <v/>
      </c>
      <c r="AJ378" t="str">
        <f>""</f>
        <v/>
      </c>
      <c r="AK378" t="str">
        <f t="shared" si="160"/>
        <v>Нет</v>
      </c>
      <c r="AL378" t="str">
        <f>"51.186197 38.148121, 51.191552 38.142176"</f>
        <v>51.186197 38.148121, 51.191552 38.142176</v>
      </c>
      <c r="AM378" t="str">
        <f>"20000008030956"</f>
        <v>20000008030956</v>
      </c>
    </row>
    <row r="379" spans="1:39" x14ac:dyDescent="0.25">
      <c r="A379">
        <v>907</v>
      </c>
      <c r="B379" t="str">
        <f t="shared" si="146"/>
        <v>Курск</v>
      </c>
      <c r="C379">
        <v>984007</v>
      </c>
      <c r="D379" t="str">
        <f t="shared" si="147"/>
        <v>Оптический кабель</v>
      </c>
      <c r="E379" t="str">
        <f>"[46/4332] М 5.7.54 - М 5.7.53"</f>
        <v>[46/4332] М 5.7.54 - М 5.7.53</v>
      </c>
      <c r="F379" t="str">
        <f t="shared" ref="F379:F384" si="176">"ОКМС-64(G.652.D) 7кН (Мод:Жел,Кр, 4Нат)"</f>
        <v>ОКМС-64(G.652.D) 7кН (Мод:Жел,Кр, 4Нат)</v>
      </c>
      <c r="G379" t="str">
        <f>""</f>
        <v/>
      </c>
      <c r="H379" t="str">
        <f t="shared" si="170"/>
        <v>МС 5.7</v>
      </c>
      <c r="I379">
        <v>980</v>
      </c>
      <c r="J379">
        <v>1040</v>
      </c>
      <c r="K379">
        <v>0</v>
      </c>
      <c r="M379" t="str">
        <f t="shared" si="171"/>
        <v>Опоры</v>
      </c>
      <c r="N379" t="str">
        <f t="shared" si="172"/>
        <v>09.09.20222</v>
      </c>
      <c r="O379">
        <v>50</v>
      </c>
      <c r="P379">
        <v>50</v>
      </c>
      <c r="Q379" t="str">
        <f>""</f>
        <v/>
      </c>
      <c r="R379" t="str">
        <f>""</f>
        <v/>
      </c>
      <c r="S379" t="str">
        <f t="shared" si="173"/>
        <v>09.09.2022</v>
      </c>
      <c r="T379" t="str">
        <f>"46/4332"</f>
        <v>46/4332</v>
      </c>
      <c r="U379" t="str">
        <f t="shared" si="174"/>
        <v>Магистральная ВОЛС</v>
      </c>
      <c r="V379" t="str">
        <f t="shared" si="168"/>
        <v>Нет</v>
      </c>
      <c r="W379" t="str">
        <f t="shared" si="175"/>
        <v>Нет</v>
      </c>
      <c r="X379" t="str">
        <f t="shared" si="169"/>
        <v>Нет</v>
      </c>
      <c r="Y379" t="str">
        <f t="shared" si="169"/>
        <v>Нет</v>
      </c>
      <c r="Z379" t="str">
        <f t="shared" si="169"/>
        <v>Нет</v>
      </c>
      <c r="AA379" t="str">
        <f>""</f>
        <v/>
      </c>
      <c r="AB379" t="str">
        <f t="shared" si="161"/>
        <v>Нет</v>
      </c>
      <c r="AC379" t="str">
        <f>""</f>
        <v/>
      </c>
      <c r="AD379" t="str">
        <f>""</f>
        <v/>
      </c>
      <c r="AE379" t="str">
        <f>""</f>
        <v/>
      </c>
      <c r="AF379" t="str">
        <f>"[785384] М 5.7.54"</f>
        <v>[785384] М 5.7.54</v>
      </c>
      <c r="AG379" t="str">
        <f>"[785643] М 5.7.53"</f>
        <v>[785643] М 5.7.53</v>
      </c>
      <c r="AH379" t="str">
        <f>""</f>
        <v/>
      </c>
      <c r="AI379" t="str">
        <f>""</f>
        <v/>
      </c>
      <c r="AJ379" t="str">
        <f>""</f>
        <v/>
      </c>
      <c r="AK379" t="str">
        <f t="shared" si="160"/>
        <v>Нет</v>
      </c>
      <c r="AL379" t="str">
        <f>"51.186197 38.148121, 51.182124 38.1386"</f>
        <v>51.186197 38.148121, 51.182124 38.1386</v>
      </c>
      <c r="AM379" t="str">
        <f>""</f>
        <v/>
      </c>
    </row>
    <row r="380" spans="1:39" x14ac:dyDescent="0.25">
      <c r="A380">
        <v>907</v>
      </c>
      <c r="B380" t="str">
        <f t="shared" si="146"/>
        <v>Курск</v>
      </c>
      <c r="C380">
        <v>984012</v>
      </c>
      <c r="D380" t="str">
        <f t="shared" si="147"/>
        <v>Оптический кабель</v>
      </c>
      <c r="E380" t="str">
        <f>"[46/4333] М 5.7.53 - М 5.7.52"</f>
        <v>[46/4333] М 5.7.53 - М 5.7.52</v>
      </c>
      <c r="F380" t="str">
        <f t="shared" si="176"/>
        <v>ОКМС-64(G.652.D) 7кН (Мод:Жел,Кр, 4Нат)</v>
      </c>
      <c r="G380" t="str">
        <f>""</f>
        <v/>
      </c>
      <c r="H380" t="str">
        <f t="shared" si="170"/>
        <v>МС 5.7</v>
      </c>
      <c r="I380">
        <v>1277</v>
      </c>
      <c r="J380">
        <v>1215</v>
      </c>
      <c r="K380">
        <v>0</v>
      </c>
      <c r="M380" t="str">
        <f t="shared" si="171"/>
        <v>Опоры</v>
      </c>
      <c r="N380" t="str">
        <f t="shared" si="172"/>
        <v>09.09.20222</v>
      </c>
      <c r="O380">
        <v>52</v>
      </c>
      <c r="P380">
        <v>52</v>
      </c>
      <c r="Q380" t="str">
        <f>""</f>
        <v/>
      </c>
      <c r="R380" t="str">
        <f>""</f>
        <v/>
      </c>
      <c r="S380" t="str">
        <f t="shared" si="173"/>
        <v>09.09.2022</v>
      </c>
      <c r="T380" t="str">
        <f>"46/4333"</f>
        <v>46/4333</v>
      </c>
      <c r="U380" t="str">
        <f t="shared" si="174"/>
        <v>Магистральная ВОЛС</v>
      </c>
      <c r="V380" t="str">
        <f t="shared" si="168"/>
        <v>Нет</v>
      </c>
      <c r="W380" t="str">
        <f t="shared" si="175"/>
        <v>Нет</v>
      </c>
      <c r="X380" t="str">
        <f t="shared" si="169"/>
        <v>Нет</v>
      </c>
      <c r="Y380" t="str">
        <f t="shared" si="169"/>
        <v>Нет</v>
      </c>
      <c r="Z380" t="str">
        <f t="shared" si="169"/>
        <v>Нет</v>
      </c>
      <c r="AA380" t="str">
        <f>""</f>
        <v/>
      </c>
      <c r="AB380" t="str">
        <f t="shared" si="161"/>
        <v>Нет</v>
      </c>
      <c r="AC380" t="str">
        <f>""</f>
        <v/>
      </c>
      <c r="AD380" t="str">
        <f>""</f>
        <v/>
      </c>
      <c r="AE380" t="str">
        <f>""</f>
        <v/>
      </c>
      <c r="AF380" t="str">
        <f>"[785643] М 5.7.53"</f>
        <v>[785643] М 5.7.53</v>
      </c>
      <c r="AG380" t="str">
        <f>"[785902] М 5.7.52"</f>
        <v>[785902] М 5.7.52</v>
      </c>
      <c r="AH380" t="str">
        <f>""</f>
        <v/>
      </c>
      <c r="AI380" t="str">
        <f>""</f>
        <v/>
      </c>
      <c r="AJ380" t="str">
        <f>""</f>
        <v/>
      </c>
      <c r="AK380" t="str">
        <f t="shared" si="160"/>
        <v>Нет</v>
      </c>
      <c r="AL380" t="str">
        <f>"51.182124 38.1386, 51.173335 38.130956"</f>
        <v>51.182124 38.1386, 51.173335 38.130956</v>
      </c>
      <c r="AM380" t="str">
        <f>""</f>
        <v/>
      </c>
    </row>
    <row r="381" spans="1:39" x14ac:dyDescent="0.25">
      <c r="A381">
        <v>907</v>
      </c>
      <c r="B381" t="str">
        <f t="shared" si="146"/>
        <v>Курск</v>
      </c>
      <c r="C381">
        <v>984015</v>
      </c>
      <c r="D381" t="str">
        <f t="shared" si="147"/>
        <v>Оптический кабель</v>
      </c>
      <c r="E381" t="str">
        <f>"[46/4334] М 5.7.52 - М 5.7.51"</f>
        <v>[46/4334] М 5.7.52 - М 5.7.51</v>
      </c>
      <c r="F381" t="str">
        <f t="shared" si="176"/>
        <v>ОКМС-64(G.652.D) 7кН (Мод:Жел,Кр, 4Нат)</v>
      </c>
      <c r="G381" t="str">
        <f>""</f>
        <v/>
      </c>
      <c r="H381" t="str">
        <f t="shared" si="170"/>
        <v>МС 5.7</v>
      </c>
      <c r="I381">
        <v>1415</v>
      </c>
      <c r="J381">
        <v>1710</v>
      </c>
      <c r="K381">
        <v>0</v>
      </c>
      <c r="M381" t="str">
        <f t="shared" si="171"/>
        <v>Опоры</v>
      </c>
      <c r="N381" t="str">
        <f t="shared" si="172"/>
        <v>09.09.20222</v>
      </c>
      <c r="O381">
        <v>51</v>
      </c>
      <c r="P381">
        <v>50</v>
      </c>
      <c r="Q381" t="str">
        <f>""</f>
        <v/>
      </c>
      <c r="R381" t="str">
        <f>""</f>
        <v/>
      </c>
      <c r="S381" t="str">
        <f t="shared" si="173"/>
        <v>09.09.2022</v>
      </c>
      <c r="T381" t="str">
        <f>"46/4334"</f>
        <v>46/4334</v>
      </c>
      <c r="U381" t="str">
        <f t="shared" si="174"/>
        <v>Магистральная ВОЛС</v>
      </c>
      <c r="V381" t="str">
        <f t="shared" si="168"/>
        <v>Нет</v>
      </c>
      <c r="W381" t="str">
        <f t="shared" si="175"/>
        <v>Нет</v>
      </c>
      <c r="X381" t="str">
        <f t="shared" si="169"/>
        <v>Нет</v>
      </c>
      <c r="Y381" t="str">
        <f t="shared" si="169"/>
        <v>Нет</v>
      </c>
      <c r="Z381" t="str">
        <f t="shared" si="169"/>
        <v>Нет</v>
      </c>
      <c r="AA381" t="str">
        <f>""</f>
        <v/>
      </c>
      <c r="AB381" t="str">
        <f t="shared" si="161"/>
        <v>Нет</v>
      </c>
      <c r="AC381" t="str">
        <f>""</f>
        <v/>
      </c>
      <c r="AD381" t="str">
        <f>""</f>
        <v/>
      </c>
      <c r="AE381" t="str">
        <f>""</f>
        <v/>
      </c>
      <c r="AF381" t="str">
        <f>"[785902] М 5.7.52"</f>
        <v>[785902] М 5.7.52</v>
      </c>
      <c r="AG381" t="str">
        <f>"[786161] М 5.7.51"</f>
        <v>[786161] М 5.7.51</v>
      </c>
      <c r="AH381" t="str">
        <f>""</f>
        <v/>
      </c>
      <c r="AI381" t="str">
        <f>""</f>
        <v/>
      </c>
      <c r="AJ381" t="str">
        <f>""</f>
        <v/>
      </c>
      <c r="AK381" t="str">
        <f t="shared" si="160"/>
        <v>Нет</v>
      </c>
      <c r="AL381" t="str">
        <f>"51.173335 38.130956, 51.16543 38.130294"</f>
        <v>51.173335 38.130956, 51.16543 38.130294</v>
      </c>
      <c r="AM381" t="str">
        <f>""</f>
        <v/>
      </c>
    </row>
    <row r="382" spans="1:39" x14ac:dyDescent="0.25">
      <c r="A382">
        <v>907</v>
      </c>
      <c r="B382" t="str">
        <f t="shared" si="146"/>
        <v>Курск</v>
      </c>
      <c r="C382">
        <v>984018</v>
      </c>
      <c r="D382" t="str">
        <f t="shared" si="147"/>
        <v>Оптический кабель</v>
      </c>
      <c r="E382" t="str">
        <f>"[46/4335] М 5.7.51 - М 5.7.50"</f>
        <v>[46/4335] М 5.7.51 - М 5.7.50</v>
      </c>
      <c r="F382" t="str">
        <f t="shared" si="176"/>
        <v>ОКМС-64(G.652.D) 7кН (Мод:Жел,Кр, 4Нат)</v>
      </c>
      <c r="G382" t="str">
        <f>""</f>
        <v/>
      </c>
      <c r="H382" t="str">
        <f t="shared" si="170"/>
        <v>МС 5.7</v>
      </c>
      <c r="I382">
        <v>1088</v>
      </c>
      <c r="J382">
        <v>984</v>
      </c>
      <c r="K382">
        <v>0</v>
      </c>
      <c r="M382" t="str">
        <f t="shared" si="171"/>
        <v>Опоры</v>
      </c>
      <c r="N382" t="str">
        <f t="shared" si="172"/>
        <v>09.09.20222</v>
      </c>
      <c r="O382">
        <v>53</v>
      </c>
      <c r="P382">
        <v>52</v>
      </c>
      <c r="Q382" t="str">
        <f>""</f>
        <v/>
      </c>
      <c r="R382" t="str">
        <f>""</f>
        <v/>
      </c>
      <c r="S382" t="str">
        <f t="shared" si="173"/>
        <v>09.09.2022</v>
      </c>
      <c r="T382" t="str">
        <f>"46/4335"</f>
        <v>46/4335</v>
      </c>
      <c r="U382" t="str">
        <f t="shared" si="174"/>
        <v>Магистральная ВОЛС</v>
      </c>
      <c r="V382" t="str">
        <f t="shared" si="168"/>
        <v>Нет</v>
      </c>
      <c r="W382" t="str">
        <f t="shared" si="175"/>
        <v>Нет</v>
      </c>
      <c r="X382" t="str">
        <f t="shared" si="169"/>
        <v>Нет</v>
      </c>
      <c r="Y382" t="str">
        <f t="shared" si="169"/>
        <v>Нет</v>
      </c>
      <c r="Z382" t="str">
        <f t="shared" si="169"/>
        <v>Нет</v>
      </c>
      <c r="AA382" t="str">
        <f>""</f>
        <v/>
      </c>
      <c r="AB382" t="str">
        <f t="shared" si="161"/>
        <v>Нет</v>
      </c>
      <c r="AC382" t="str">
        <f>""</f>
        <v/>
      </c>
      <c r="AD382" t="str">
        <f>""</f>
        <v/>
      </c>
      <c r="AE382" t="str">
        <f>""</f>
        <v/>
      </c>
      <c r="AF382" t="str">
        <f>"[786161] М 5.7.51"</f>
        <v>[786161] М 5.7.51</v>
      </c>
      <c r="AG382" t="str">
        <f>"[786420] М 5.7.50"</f>
        <v>[786420] М 5.7.50</v>
      </c>
      <c r="AH382" t="str">
        <f>""</f>
        <v/>
      </c>
      <c r="AI382" t="str">
        <f>""</f>
        <v/>
      </c>
      <c r="AJ382" t="str">
        <f>""</f>
        <v/>
      </c>
      <c r="AK382" t="str">
        <f t="shared" si="160"/>
        <v>Нет</v>
      </c>
      <c r="AL382" t="str">
        <f>"51.16543 38.130294, 51.161384 38.122541"</f>
        <v>51.16543 38.130294, 51.161384 38.122541</v>
      </c>
      <c r="AM382" t="str">
        <f>""</f>
        <v/>
      </c>
    </row>
    <row r="383" spans="1:39" x14ac:dyDescent="0.25">
      <c r="A383">
        <v>907</v>
      </c>
      <c r="B383" t="str">
        <f t="shared" si="146"/>
        <v>Курск</v>
      </c>
      <c r="C383">
        <v>984021</v>
      </c>
      <c r="D383" t="str">
        <f t="shared" si="147"/>
        <v>Оптический кабель</v>
      </c>
      <c r="E383" t="str">
        <f>"[46/4336] М 5.7.50 - М 5.7.49"</f>
        <v>[46/4336] М 5.7.50 - М 5.7.49</v>
      </c>
      <c r="F383" t="str">
        <f t="shared" si="176"/>
        <v>ОКМС-64(G.652.D) 7кН (Мод:Жел,Кр, 4Нат)</v>
      </c>
      <c r="G383" t="str">
        <f>""</f>
        <v/>
      </c>
      <c r="H383" t="str">
        <f t="shared" si="170"/>
        <v>МС 5.7</v>
      </c>
      <c r="I383">
        <v>1380</v>
      </c>
      <c r="J383">
        <v>1611</v>
      </c>
      <c r="K383">
        <v>0</v>
      </c>
      <c r="M383" t="str">
        <f t="shared" si="171"/>
        <v>Опоры</v>
      </c>
      <c r="N383" t="str">
        <f t="shared" si="172"/>
        <v>09.09.20222</v>
      </c>
      <c r="O383">
        <v>64</v>
      </c>
      <c r="P383">
        <v>64</v>
      </c>
      <c r="Q383" t="str">
        <f>""</f>
        <v/>
      </c>
      <c r="R383" t="str">
        <f>""</f>
        <v/>
      </c>
      <c r="S383" t="str">
        <f t="shared" si="173"/>
        <v>09.09.2022</v>
      </c>
      <c r="T383" t="str">
        <f>"46/4336"</f>
        <v>46/4336</v>
      </c>
      <c r="U383" t="str">
        <f t="shared" si="174"/>
        <v>Магистральная ВОЛС</v>
      </c>
      <c r="V383" t="str">
        <f t="shared" si="168"/>
        <v>Нет</v>
      </c>
      <c r="W383" t="str">
        <f t="shared" si="175"/>
        <v>Нет</v>
      </c>
      <c r="X383" t="str">
        <f t="shared" si="169"/>
        <v>Нет</v>
      </c>
      <c r="Y383" t="str">
        <f t="shared" si="169"/>
        <v>Нет</v>
      </c>
      <c r="Z383" t="str">
        <f t="shared" si="169"/>
        <v>Нет</v>
      </c>
      <c r="AA383" t="str">
        <f>""</f>
        <v/>
      </c>
      <c r="AB383" t="str">
        <f t="shared" si="161"/>
        <v>Нет</v>
      </c>
      <c r="AC383" t="str">
        <f>""</f>
        <v/>
      </c>
      <c r="AD383" t="str">
        <f>""</f>
        <v/>
      </c>
      <c r="AE383" t="str">
        <f>""</f>
        <v/>
      </c>
      <c r="AF383" t="str">
        <f>"[786420] М 5.7.50"</f>
        <v>[786420] М 5.7.50</v>
      </c>
      <c r="AG383" t="str">
        <f>"[786679] М 5.7.49"</f>
        <v>[786679] М 5.7.49</v>
      </c>
      <c r="AH383" t="str">
        <f>""</f>
        <v/>
      </c>
      <c r="AI383" t="str">
        <f>""</f>
        <v/>
      </c>
      <c r="AJ383" t="str">
        <f>""</f>
        <v/>
      </c>
      <c r="AK383" t="str">
        <f t="shared" si="160"/>
        <v>Нет</v>
      </c>
      <c r="AL383" t="str">
        <f>"51.161384 38.122541, 51.152134 38.112983"</f>
        <v>51.161384 38.122541, 51.152134 38.112983</v>
      </c>
      <c r="AM383" t="str">
        <f>""</f>
        <v/>
      </c>
    </row>
    <row r="384" spans="1:39" x14ac:dyDescent="0.25">
      <c r="A384">
        <v>907</v>
      </c>
      <c r="B384" t="str">
        <f t="shared" si="146"/>
        <v>Курск</v>
      </c>
      <c r="C384">
        <v>984024</v>
      </c>
      <c r="D384" t="str">
        <f t="shared" si="147"/>
        <v>Оптический кабель</v>
      </c>
      <c r="E384" t="str">
        <f>"[46/4337]  - М 5.7.48"</f>
        <v>[46/4337]  - М 5.7.48</v>
      </c>
      <c r="F384" t="str">
        <f t="shared" si="176"/>
        <v>ОКМС-64(G.652.D) 7кН (Мод:Жел,Кр, 4Нат)</v>
      </c>
      <c r="G384" t="str">
        <f>""</f>
        <v/>
      </c>
      <c r="H384" t="str">
        <f t="shared" si="170"/>
        <v>МС 5.7</v>
      </c>
      <c r="I384">
        <v>2254</v>
      </c>
      <c r="J384">
        <v>1850</v>
      </c>
      <c r="K384">
        <v>0</v>
      </c>
      <c r="M384" t="str">
        <f t="shared" si="171"/>
        <v>Опоры</v>
      </c>
      <c r="N384" t="str">
        <f t="shared" si="172"/>
        <v>09.09.20222</v>
      </c>
      <c r="O384">
        <v>48</v>
      </c>
      <c r="P384">
        <v>48</v>
      </c>
      <c r="Q384" t="str">
        <f>""</f>
        <v/>
      </c>
      <c r="R384" t="str">
        <f>""</f>
        <v/>
      </c>
      <c r="S384" t="str">
        <f t="shared" si="173"/>
        <v>09.09.2022</v>
      </c>
      <c r="T384" t="str">
        <f>"46/4337"</f>
        <v>46/4337</v>
      </c>
      <c r="U384" t="str">
        <f t="shared" si="174"/>
        <v>Магистральная ВОЛС</v>
      </c>
      <c r="V384" t="str">
        <f t="shared" si="168"/>
        <v>Нет</v>
      </c>
      <c r="W384" t="str">
        <f t="shared" si="175"/>
        <v>Нет</v>
      </c>
      <c r="X384" t="str">
        <f t="shared" si="169"/>
        <v>Нет</v>
      </c>
      <c r="Y384" t="str">
        <f t="shared" si="169"/>
        <v>Нет</v>
      </c>
      <c r="Z384" t="str">
        <f t="shared" si="169"/>
        <v>Нет</v>
      </c>
      <c r="AA384" t="str">
        <f>""</f>
        <v/>
      </c>
      <c r="AB384" t="str">
        <f t="shared" si="161"/>
        <v>Нет</v>
      </c>
      <c r="AC384" t="str">
        <f>""</f>
        <v/>
      </c>
      <c r="AD384" t="str">
        <f>""</f>
        <v/>
      </c>
      <c r="AE384" t="str">
        <f>""</f>
        <v/>
      </c>
      <c r="AF384" t="str">
        <f>""</f>
        <v/>
      </c>
      <c r="AG384" t="str">
        <f>"[786938] М 5.7.48"</f>
        <v>[786938] М 5.7.48</v>
      </c>
      <c r="AH384" t="str">
        <f>""</f>
        <v/>
      </c>
      <c r="AI384" t="str">
        <f>""</f>
        <v/>
      </c>
      <c r="AJ384" t="str">
        <f>""</f>
        <v/>
      </c>
      <c r="AK384" t="str">
        <f t="shared" si="160"/>
        <v>Нет</v>
      </c>
      <c r="AL384" t="str">
        <f>"51.152134 38.112983, 51.140689 38.114668"</f>
        <v>51.152134 38.112983, 51.140689 38.114668</v>
      </c>
      <c r="AM384" t="str">
        <f>""</f>
        <v/>
      </c>
    </row>
    <row r="385" spans="1:39" x14ac:dyDescent="0.25">
      <c r="A385">
        <v>907</v>
      </c>
      <c r="B385" t="str">
        <f t="shared" si="146"/>
        <v>Курск</v>
      </c>
      <c r="C385">
        <v>987213</v>
      </c>
      <c r="D385" t="str">
        <f t="shared" si="147"/>
        <v>Оптический кабель</v>
      </c>
      <c r="E385" t="str">
        <f>"[46/4340] МОК5.7.13 Котово с, Старооскольский р-н (Белгородская обл), Мира Ул, 41  п. 1 - М5.7.1.4.1"</f>
        <v>[46/4340] МОК5.7.13 Котово с, Старооскольский р-н (Белгородская обл), Мира Ул, 41  п. 1 - М5.7.1.4.1</v>
      </c>
      <c r="F385" t="str">
        <f>"ДОТс-П-48У(6х8) 7кН (Мод:Син,Ор,4Нат)(Вол:Син,Ор,Зел,Кор,..,Кр,Чер)"</f>
        <v>ДОТс-П-48У(6х8) 7кН (Мод:Син,Ор,4Нат)(Вол:Син,Ор,Зел,Кор,..,Кр,Чер)</v>
      </c>
      <c r="G385" t="str">
        <f>""</f>
        <v/>
      </c>
      <c r="H385" t="str">
        <f t="shared" si="170"/>
        <v>МС 5.7</v>
      </c>
      <c r="I385">
        <v>1219</v>
      </c>
      <c r="J385">
        <v>1290</v>
      </c>
      <c r="K385">
        <v>0</v>
      </c>
      <c r="M385" t="str">
        <f t="shared" si="171"/>
        <v>Опоры</v>
      </c>
      <c r="N385" t="str">
        <f>"18.10.20222"</f>
        <v>18.10.20222</v>
      </c>
      <c r="O385">
        <v>48</v>
      </c>
      <c r="P385">
        <v>48</v>
      </c>
      <c r="Q385" t="str">
        <f>"Котово с, Старооскольский р-н (Белгородская обл), Мира Ул, 41"</f>
        <v>Котово с, Старооскольский р-н (Белгородская обл), Мира Ул, 41</v>
      </c>
      <c r="R385" t="str">
        <f>""</f>
        <v/>
      </c>
      <c r="S385" t="str">
        <f>"18.10.2022"</f>
        <v>18.10.2022</v>
      </c>
      <c r="T385" t="str">
        <f>"46/4340"</f>
        <v>46/4340</v>
      </c>
      <c r="U385" t="str">
        <f t="shared" si="174"/>
        <v>Магистральная ВОЛС</v>
      </c>
      <c r="V385" t="str">
        <f t="shared" si="168"/>
        <v>Нет</v>
      </c>
      <c r="W385" t="str">
        <f t="shared" si="175"/>
        <v>Нет</v>
      </c>
      <c r="X385" t="str">
        <f t="shared" si="169"/>
        <v>Нет</v>
      </c>
      <c r="Y385" t="str">
        <f t="shared" si="169"/>
        <v>Нет</v>
      </c>
      <c r="Z385" t="str">
        <f t="shared" si="169"/>
        <v>Нет</v>
      </c>
      <c r="AA385" t="str">
        <f>""</f>
        <v/>
      </c>
      <c r="AB385" t="str">
        <f t="shared" si="161"/>
        <v>Нет</v>
      </c>
      <c r="AC385" t="str">
        <f>""</f>
        <v/>
      </c>
      <c r="AD385" t="str">
        <f>""</f>
        <v/>
      </c>
      <c r="AE385" t="str">
        <f>""</f>
        <v/>
      </c>
      <c r="AF385" t="str">
        <f>"[740010] МОК5.7.13 Котово с, Старооскольский р-н (Белгородская обл), Мира Ул, 41  п. 1"</f>
        <v>[740010] МОК5.7.13 Котово с, Старооскольский р-н (Белгородская обл), Мира Ул, 41  п. 1</v>
      </c>
      <c r="AG385" t="str">
        <f>"[795325] М5.7.1.4.1"</f>
        <v>[795325] М5.7.1.4.1</v>
      </c>
      <c r="AH385" t="str">
        <f>""</f>
        <v/>
      </c>
      <c r="AI385" t="str">
        <f>""</f>
        <v/>
      </c>
      <c r="AJ385" t="str">
        <f>""</f>
        <v/>
      </c>
      <c r="AK385" t="str">
        <f t="shared" si="160"/>
        <v>Нет</v>
      </c>
      <c r="AL385" t="str">
        <f>"51.303524 37.998797, 51.297929 37.994299"</f>
        <v>51.303524 37.998797, 51.297929 37.994299</v>
      </c>
      <c r="AM385" t="str">
        <f>"20000008025408"</f>
        <v>20000008025408</v>
      </c>
    </row>
    <row r="386" spans="1:39" x14ac:dyDescent="0.25">
      <c r="A386">
        <v>907</v>
      </c>
      <c r="B386" t="str">
        <f t="shared" ref="B386:B450" si="177">"Курск"</f>
        <v>Курск</v>
      </c>
      <c r="C386">
        <v>987335</v>
      </c>
      <c r="D386" t="str">
        <f t="shared" ref="D386:D450" si="178">"Оптический кабель"</f>
        <v>Оптический кабель</v>
      </c>
      <c r="E386" t="str">
        <f>"[46/4341] М5.7.1.4.1 - М5.7.1.4"</f>
        <v>[46/4341] М5.7.1.4.1 - М5.7.1.4</v>
      </c>
      <c r="F386" t="str">
        <f>"ДОТс-П-48У(6х8) 7кН (Мод:Син,Ор,4Нат)(Вол:Син,Ор,Зел,Кор,..,Кр,Чер)"</f>
        <v>ДОТс-П-48У(6х8) 7кН (Мод:Син,Ор,4Нат)(Вол:Син,Ор,Зел,Кор,..,Кр,Чер)</v>
      </c>
      <c r="G386" t="str">
        <f>""</f>
        <v/>
      </c>
      <c r="H386" t="str">
        <f t="shared" si="170"/>
        <v>МС 5.7</v>
      </c>
      <c r="I386">
        <v>1244</v>
      </c>
      <c r="J386">
        <v>1340</v>
      </c>
      <c r="K386">
        <v>0</v>
      </c>
      <c r="M386" t="str">
        <f t="shared" si="171"/>
        <v>Опоры</v>
      </c>
      <c r="N386" t="str">
        <f>"18.10.20222"</f>
        <v>18.10.20222</v>
      </c>
      <c r="O386">
        <v>48</v>
      </c>
      <c r="P386">
        <v>48</v>
      </c>
      <c r="Q386" t="str">
        <f>""</f>
        <v/>
      </c>
      <c r="R386" t="str">
        <f>""</f>
        <v/>
      </c>
      <c r="S386" t="str">
        <f>"18.10.2022"</f>
        <v>18.10.2022</v>
      </c>
      <c r="T386" t="str">
        <f>"46/4341"</f>
        <v>46/4341</v>
      </c>
      <c r="U386" t="str">
        <f t="shared" si="174"/>
        <v>Магистральная ВОЛС</v>
      </c>
      <c r="V386" t="str">
        <f t="shared" si="168"/>
        <v>Нет</v>
      </c>
      <c r="W386" t="str">
        <f t="shared" si="175"/>
        <v>Нет</v>
      </c>
      <c r="X386" t="str">
        <f t="shared" si="169"/>
        <v>Нет</v>
      </c>
      <c r="Y386" t="str">
        <f t="shared" si="169"/>
        <v>Нет</v>
      </c>
      <c r="Z386" t="str">
        <f t="shared" si="169"/>
        <v>Нет</v>
      </c>
      <c r="AA386" t="str">
        <f>""</f>
        <v/>
      </c>
      <c r="AB386" t="str">
        <f t="shared" si="161"/>
        <v>Нет</v>
      </c>
      <c r="AC386" t="str">
        <f>""</f>
        <v/>
      </c>
      <c r="AD386" t="str">
        <f>""</f>
        <v/>
      </c>
      <c r="AE386" t="str">
        <f>""</f>
        <v/>
      </c>
      <c r="AF386" t="str">
        <f>"[795325] М5.7.1.4.1"</f>
        <v>[795325] М5.7.1.4.1</v>
      </c>
      <c r="AG386" t="str">
        <f>"[749755] М5.7.1.4"</f>
        <v>[749755] М5.7.1.4</v>
      </c>
      <c r="AH386" t="str">
        <f>""</f>
        <v/>
      </c>
      <c r="AI386" t="str">
        <f>""</f>
        <v/>
      </c>
      <c r="AJ386" t="str">
        <f>""</f>
        <v/>
      </c>
      <c r="AK386" t="str">
        <f t="shared" ref="AK386:AK417" si="179">"Нет"</f>
        <v>Нет</v>
      </c>
      <c r="AL386" t="str">
        <f>"51.297929 37.994299, 51.292388 37.981147"</f>
        <v>51.297929 37.994299, 51.292388 37.981147</v>
      </c>
      <c r="AM386" t="str">
        <f>"20000008048472"</f>
        <v>20000008048472</v>
      </c>
    </row>
    <row r="387" spans="1:39" x14ac:dyDescent="0.25">
      <c r="A387">
        <v>907</v>
      </c>
      <c r="B387" t="str">
        <f t="shared" si="177"/>
        <v>Курск</v>
      </c>
      <c r="C387">
        <v>987713</v>
      </c>
      <c r="D387" t="str">
        <f t="shared" si="178"/>
        <v>Оптический кабель</v>
      </c>
      <c r="E387" t="str">
        <f>"[46/4342] М 3.1.32 - М 3.1.8"</f>
        <v>[46/4342] М 3.1.32 - М 3.1.8</v>
      </c>
      <c r="F387" t="str">
        <f>"ДПТа-П-64А 6(6) 7кН (Кр,Жел,Зел,..,8-Фиол,9-Бел,..,Бир,Роз)"</f>
        <v>ДПТа-П-64А 6(6) 7кН (Кр,Жел,Зел,..,8-Фиол,9-Бел,..,Бир,Роз)</v>
      </c>
      <c r="G387" t="str">
        <f>""</f>
        <v/>
      </c>
      <c r="H387" t="str">
        <f>"МС 3.1"</f>
        <v>МС 3.1</v>
      </c>
      <c r="I387">
        <v>328</v>
      </c>
      <c r="J387">
        <v>427.57</v>
      </c>
      <c r="K387">
        <v>99</v>
      </c>
      <c r="L387">
        <v>428.56</v>
      </c>
      <c r="M387" t="str">
        <f t="shared" si="171"/>
        <v>Опоры</v>
      </c>
      <c r="N387" t="str">
        <f>"10.11.20222"</f>
        <v>10.11.20222</v>
      </c>
      <c r="O387">
        <v>64</v>
      </c>
      <c r="P387">
        <v>64</v>
      </c>
      <c r="Q387" t="str">
        <f>""</f>
        <v/>
      </c>
      <c r="R387" t="str">
        <f>""</f>
        <v/>
      </c>
      <c r="S387" t="str">
        <f>""</f>
        <v/>
      </c>
      <c r="T387" t="str">
        <f>"46/4342"</f>
        <v>46/4342</v>
      </c>
      <c r="U387" t="str">
        <f t="shared" si="174"/>
        <v>Магистральная ВОЛС</v>
      </c>
      <c r="V387" t="str">
        <f t="shared" si="168"/>
        <v>Нет</v>
      </c>
      <c r="W387" t="str">
        <f t="shared" si="175"/>
        <v>Нет</v>
      </c>
      <c r="X387" t="str">
        <f t="shared" si="169"/>
        <v>Нет</v>
      </c>
      <c r="Y387" t="str">
        <f t="shared" si="169"/>
        <v>Нет</v>
      </c>
      <c r="Z387" t="str">
        <f t="shared" si="169"/>
        <v>Нет</v>
      </c>
      <c r="AA387" t="str">
        <f>""</f>
        <v/>
      </c>
      <c r="AB387" t="str">
        <f t="shared" si="161"/>
        <v>Нет</v>
      </c>
      <c r="AC387" t="str">
        <f>"МГС 3 - М 3.1.8"</f>
        <v>МГС 3 - М 3.1.8</v>
      </c>
      <c r="AD387" t="str">
        <f>"02.02.2012"</f>
        <v>02.02.2012</v>
      </c>
      <c r="AE387" t="str">
        <f>""</f>
        <v/>
      </c>
      <c r="AF387" t="str">
        <f>"[800685] М 3.1.32"</f>
        <v>[800685] М 3.1.32</v>
      </c>
      <c r="AG387" t="str">
        <f>"[344784] М 3.1.8"</f>
        <v>[344784] М 3.1.8</v>
      </c>
      <c r="AH387" t="str">
        <f>"МОК 3.1.28"</f>
        <v>МОК 3.1.28</v>
      </c>
      <c r="AI387" t="str">
        <f>"МОК 3.1.27"</f>
        <v>МОК 3.1.27</v>
      </c>
      <c r="AJ387" t="str">
        <f>""</f>
        <v/>
      </c>
      <c r="AK387" t="str">
        <f t="shared" si="179"/>
        <v>Нет</v>
      </c>
      <c r="AL387" t="str">
        <f>"51.76601 36.180833, 51.76775 36.181852"</f>
        <v>51.76601 36.180833, 51.76775 36.181852</v>
      </c>
      <c r="AM387" t="str">
        <f>"20000008074708"</f>
        <v>20000008074708</v>
      </c>
    </row>
    <row r="388" spans="1:39" x14ac:dyDescent="0.25">
      <c r="A388">
        <v>907</v>
      </c>
      <c r="B388" t="str">
        <f t="shared" si="177"/>
        <v>Курск</v>
      </c>
      <c r="C388">
        <v>987813</v>
      </c>
      <c r="D388" t="str">
        <f t="shared" si="178"/>
        <v>Оптический кабель</v>
      </c>
      <c r="E388" t="str">
        <f>"[46/4343] М 3.1.33 - М 3.1.34"</f>
        <v>[46/4343] М 3.1.33 - М 3.1.34</v>
      </c>
      <c r="F388" t="str">
        <f>"ДПТа-П-64А 6(6) 7кН (Кр,Жел,Зел,..,8-Фиол,9-Бел,..,Бир,Роз)"</f>
        <v>ДПТа-П-64А 6(6) 7кН (Кр,Жел,Зел,..,8-Фиол,9-Бел,..,Бир,Роз)</v>
      </c>
      <c r="G388" t="str">
        <f>"Фактически, кабель имеет следующий порядок: (1-8 модули): Синий, Оранж, Зелен, Коричн, Серый, Белый, Красный, Черный."</f>
        <v>Фактически, кабель имеет следующий порядок: (1-8 модули): Синий, Оранж, Зелен, Коричн, Серый, Белый, Красный, Черный.</v>
      </c>
      <c r="H388" t="str">
        <f>"МС 3.1"</f>
        <v>МС 3.1</v>
      </c>
      <c r="I388">
        <v>220</v>
      </c>
      <c r="J388">
        <v>251.9</v>
      </c>
      <c r="K388">
        <v>0</v>
      </c>
      <c r="L388">
        <v>252.78</v>
      </c>
      <c r="M388" t="str">
        <f t="shared" si="171"/>
        <v>Опоры</v>
      </c>
      <c r="N388" t="str">
        <f>"11.11.20222"</f>
        <v>11.11.20222</v>
      </c>
      <c r="O388">
        <v>64</v>
      </c>
      <c r="P388">
        <v>64</v>
      </c>
      <c r="Q388" t="str">
        <f>""</f>
        <v/>
      </c>
      <c r="R388" t="str">
        <f>""</f>
        <v/>
      </c>
      <c r="S388" t="str">
        <f>""</f>
        <v/>
      </c>
      <c r="T388" t="str">
        <f>"46/4343"</f>
        <v>46/4343</v>
      </c>
      <c r="U388" t="str">
        <f t="shared" si="174"/>
        <v>Магистральная ВОЛС</v>
      </c>
      <c r="V388" t="str">
        <f t="shared" si="168"/>
        <v>Нет</v>
      </c>
      <c r="W388" t="str">
        <f t="shared" si="175"/>
        <v>Нет</v>
      </c>
      <c r="X388" t="str">
        <f t="shared" si="169"/>
        <v>Нет</v>
      </c>
      <c r="Y388" t="str">
        <f t="shared" si="169"/>
        <v>Нет</v>
      </c>
      <c r="Z388" t="str">
        <f t="shared" si="169"/>
        <v>Нет</v>
      </c>
      <c r="AA388" t="str">
        <f>""</f>
        <v/>
      </c>
      <c r="AB388" t="str">
        <f t="shared" si="161"/>
        <v>Нет</v>
      </c>
      <c r="AC388" t="str">
        <f>"М 3.1.10 - М 3.1.3"</f>
        <v>М 3.1.10 - М 3.1.3</v>
      </c>
      <c r="AD388" t="str">
        <f>"02.02.2012"</f>
        <v>02.02.2012</v>
      </c>
      <c r="AE388" t="str">
        <f>""</f>
        <v/>
      </c>
      <c r="AF388" t="str">
        <f>"[803275] М 3.1.33"</f>
        <v>[803275] М 3.1.33</v>
      </c>
      <c r="AG388" t="str">
        <f>"[803534] М 3.1.34"</f>
        <v>[803534] М 3.1.34</v>
      </c>
      <c r="AH388" t="str">
        <f>"М 3.1.10"</f>
        <v>М 3.1.10</v>
      </c>
      <c r="AI388" t="str">
        <f>"М 3.1.3"</f>
        <v>М 3.1.3</v>
      </c>
      <c r="AJ388" t="str">
        <f>""</f>
        <v/>
      </c>
      <c r="AK388" t="str">
        <f t="shared" si="179"/>
        <v>Нет</v>
      </c>
      <c r="AL388" t="str">
        <f>"51.762826 36.178898, 51.764657 36.177807"</f>
        <v>51.762826 36.178898, 51.764657 36.177807</v>
      </c>
      <c r="AM388" t="str">
        <f>"20000008075764"</f>
        <v>20000008075764</v>
      </c>
    </row>
    <row r="389" spans="1:39" x14ac:dyDescent="0.25">
      <c r="A389">
        <v>907</v>
      </c>
      <c r="B389" t="str">
        <f t="shared" si="177"/>
        <v>Курск</v>
      </c>
      <c r="C389">
        <v>987902</v>
      </c>
      <c r="D389" t="str">
        <f t="shared" si="178"/>
        <v>Оптический кабель</v>
      </c>
      <c r="E389" t="str">
        <f>"[46/4344] М 3.1.34 - М 3.1.3"</f>
        <v>[46/4344] М 3.1.34 - М 3.1.3</v>
      </c>
      <c r="F389" t="str">
        <f>"ДПТа-П-64А 6(6) 7кН (Кр,Жел,Зел,..,8-Фиол,9-Бел,..,Бир,Роз)"</f>
        <v>ДПТа-П-64А 6(6) 7кН (Кр,Жел,Зел,..,8-Фиол,9-Бел,..,Бир,Роз)</v>
      </c>
      <c r="G389" t="str">
        <f>"Фактически, кабель имеет следующий порядок: (1-8 модули): Красн, Синий, Зелен, Натур, Желт, Розов, Фиолет, Бирюз."</f>
        <v>Фактически, кабель имеет следующий порядок: (1-8 модули): Красн, Синий, Зелен, Натур, Желт, Розов, Фиолет, Бирюз.</v>
      </c>
      <c r="H389" t="str">
        <f>"МС 3.1"</f>
        <v>МС 3.1</v>
      </c>
      <c r="I389">
        <v>1</v>
      </c>
      <c r="J389">
        <v>22.15</v>
      </c>
      <c r="K389">
        <v>15</v>
      </c>
      <c r="L389">
        <v>22.23</v>
      </c>
      <c r="M389" t="str">
        <f t="shared" si="171"/>
        <v>Опоры</v>
      </c>
      <c r="N389" t="str">
        <f>"11.11.20222"</f>
        <v>11.11.20222</v>
      </c>
      <c r="O389">
        <v>64</v>
      </c>
      <c r="P389">
        <v>64</v>
      </c>
      <c r="Q389" t="str">
        <f>""</f>
        <v/>
      </c>
      <c r="R389" t="str">
        <f>""</f>
        <v/>
      </c>
      <c r="S389" t="str">
        <f>""</f>
        <v/>
      </c>
      <c r="T389" t="str">
        <f>"46/4344"</f>
        <v>46/4344</v>
      </c>
      <c r="U389" t="str">
        <f t="shared" si="174"/>
        <v>Магистральная ВОЛС</v>
      </c>
      <c r="V389" t="str">
        <f t="shared" si="168"/>
        <v>Нет</v>
      </c>
      <c r="W389" t="str">
        <f t="shared" si="175"/>
        <v>Нет</v>
      </c>
      <c r="X389" t="str">
        <f t="shared" si="169"/>
        <v>Нет</v>
      </c>
      <c r="Y389" t="str">
        <f t="shared" si="169"/>
        <v>Нет</v>
      </c>
      <c r="Z389" t="str">
        <f t="shared" si="169"/>
        <v>Нет</v>
      </c>
      <c r="AA389" t="str">
        <f>""</f>
        <v/>
      </c>
      <c r="AB389" t="str">
        <f t="shared" si="161"/>
        <v>Нет</v>
      </c>
      <c r="AC389" t="str">
        <f>"М 3.1.10 - М 3.1.3"</f>
        <v>М 3.1.10 - М 3.1.3</v>
      </c>
      <c r="AD389" t="str">
        <f>"02.02.2012"</f>
        <v>02.02.2012</v>
      </c>
      <c r="AE389" t="str">
        <f>""</f>
        <v/>
      </c>
      <c r="AF389" t="str">
        <f>"[803534] М 3.1.34"</f>
        <v>[803534] М 3.1.34</v>
      </c>
      <c r="AG389" t="str">
        <f>"[344796] М 3.1.3"</f>
        <v>[344796] М 3.1.3</v>
      </c>
      <c r="AH389" t="str">
        <f>"М 3.1.10"</f>
        <v>М 3.1.10</v>
      </c>
      <c r="AI389" t="str">
        <f>"М 3.1.3"</f>
        <v>М 3.1.3</v>
      </c>
      <c r="AJ389" t="str">
        <f>""</f>
        <v/>
      </c>
      <c r="AK389" t="str">
        <f t="shared" si="179"/>
        <v>Нет</v>
      </c>
      <c r="AL389" t="str">
        <f>"51.764658 36.177797, 51.764666 36.177784"</f>
        <v>51.764658 36.177797, 51.764666 36.177784</v>
      </c>
      <c r="AM389" t="str">
        <f>"20000008075765"</f>
        <v>20000008075765</v>
      </c>
    </row>
    <row r="390" spans="1:39" x14ac:dyDescent="0.25">
      <c r="A390">
        <v>907</v>
      </c>
      <c r="B390" t="str">
        <f t="shared" si="177"/>
        <v>Курск</v>
      </c>
      <c r="C390">
        <v>988964</v>
      </c>
      <c r="D390" t="str">
        <f t="shared" si="178"/>
        <v>Оптический кабель</v>
      </c>
      <c r="E390" t="str">
        <f>"[46/4347] МС 2.2  - М 2.2.8"</f>
        <v>[46/4347] МС 2.2  - М 2.2.8</v>
      </c>
      <c r="F390" t="str">
        <f>"ДПТа-П-128А 8(9) 7кН (Вол:Кр,Жел,Зел,...,Лайм,Нат)"</f>
        <v>ДПТа-П-128А 8(9) 7кН (Вол:Кр,Жел,Зел,...,Лайм,Нат)</v>
      </c>
      <c r="G390" t="str">
        <f>""</f>
        <v/>
      </c>
      <c r="H390" t="str">
        <f>"МС 2.2"</f>
        <v>МС 2.2</v>
      </c>
      <c r="I390">
        <v>366</v>
      </c>
      <c r="J390">
        <v>458.83</v>
      </c>
      <c r="K390">
        <v>66</v>
      </c>
      <c r="L390">
        <v>463.71</v>
      </c>
      <c r="M390" t="str">
        <f t="shared" si="171"/>
        <v>Опоры</v>
      </c>
      <c r="N390" t="str">
        <f>"21.12.20222"</f>
        <v>21.12.20222</v>
      </c>
      <c r="O390">
        <v>128</v>
      </c>
      <c r="P390">
        <v>128</v>
      </c>
      <c r="Q390" t="str">
        <f>""</f>
        <v/>
      </c>
      <c r="R390" t="str">
        <f>""</f>
        <v/>
      </c>
      <c r="S390" t="str">
        <f>""</f>
        <v/>
      </c>
      <c r="T390" t="str">
        <f>"46/4347"</f>
        <v>46/4347</v>
      </c>
      <c r="U390" t="str">
        <f t="shared" si="174"/>
        <v>Магистральная ВОЛС</v>
      </c>
      <c r="V390" t="str">
        <f t="shared" si="168"/>
        <v>Нет</v>
      </c>
      <c r="W390" t="str">
        <f t="shared" si="175"/>
        <v>Нет</v>
      </c>
      <c r="X390" t="str">
        <f t="shared" si="169"/>
        <v>Нет</v>
      </c>
      <c r="Y390" t="str">
        <f t="shared" si="169"/>
        <v>Нет</v>
      </c>
      <c r="Z390" t="str">
        <f t="shared" si="169"/>
        <v>Нет</v>
      </c>
      <c r="AA390" t="str">
        <f>""</f>
        <v/>
      </c>
      <c r="AB390" t="str">
        <f t="shared" ref="AB390:AB421" si="180">"Нет"</f>
        <v>Нет</v>
      </c>
      <c r="AC390" t="str">
        <f>"М 2.4.1 - М 2.2.8"</f>
        <v>М 2.4.1 - М 2.2.8</v>
      </c>
      <c r="AD390" t="str">
        <f>"21.10.2011"</f>
        <v>21.10.2011</v>
      </c>
      <c r="AE390" t="str">
        <f>""</f>
        <v/>
      </c>
      <c r="AF390" t="str">
        <f>"[812118] МС 2.2"</f>
        <v>[812118] МС 2.2</v>
      </c>
      <c r="AG390" t="str">
        <f>"[329165] М 2.2.8"</f>
        <v>[329165] М 2.2.8</v>
      </c>
      <c r="AH390" t="str">
        <f>"М 2.4.1"</f>
        <v>М 2.4.1</v>
      </c>
      <c r="AI390" t="str">
        <f>"М 2.2.8"</f>
        <v>М 2.2.8</v>
      </c>
      <c r="AJ390" t="str">
        <f>""</f>
        <v/>
      </c>
      <c r="AK390" t="str">
        <f t="shared" si="179"/>
        <v>Нет</v>
      </c>
      <c r="AL390" t="str">
        <f>"51.742926 36.143203, 51.740271 36.144459"</f>
        <v>51.742926 36.143203, 51.740271 36.144459</v>
      </c>
      <c r="AM390" t="str">
        <f>"20000008151810"</f>
        <v>20000008151810</v>
      </c>
    </row>
    <row r="391" spans="1:39" x14ac:dyDescent="0.25">
      <c r="A391">
        <v>907</v>
      </c>
      <c r="B391" t="str">
        <f t="shared" si="177"/>
        <v>Курск</v>
      </c>
      <c r="C391">
        <v>989127</v>
      </c>
      <c r="D391" t="str">
        <f t="shared" si="178"/>
        <v>Оптический кабель</v>
      </c>
      <c r="E391" t="str">
        <f>"[46/4348]  - "</f>
        <v xml:space="preserve">[46/4348]  - </v>
      </c>
      <c r="F391" t="str">
        <f>"ДПТа-П-128А 8(9) 7кН (Вол:Кр,Жел,Зел,...,Лайм,Нат)"</f>
        <v>ДПТа-П-128А 8(9) 7кН (Вол:Кр,Жел,Зел,...,Лайм,Нат)</v>
      </c>
      <c r="G391" t="str">
        <f>""</f>
        <v/>
      </c>
      <c r="H391" t="str">
        <f>"МС 2.2"</f>
        <v>МС 2.2</v>
      </c>
      <c r="I391">
        <v>19</v>
      </c>
      <c r="J391">
        <v>2.23</v>
      </c>
      <c r="K391">
        <v>0</v>
      </c>
      <c r="L391">
        <v>2.25</v>
      </c>
      <c r="M391" t="str">
        <f t="shared" si="171"/>
        <v>Опоры</v>
      </c>
      <c r="N391" t="str">
        <f>"21.12.20222"</f>
        <v>21.12.20222</v>
      </c>
      <c r="O391">
        <v>128</v>
      </c>
      <c r="P391">
        <v>0</v>
      </c>
      <c r="Q391" t="str">
        <f>""</f>
        <v/>
      </c>
      <c r="R391" t="str">
        <f>""</f>
        <v/>
      </c>
      <c r="S391" t="str">
        <f>""</f>
        <v/>
      </c>
      <c r="T391" t="str">
        <f>"46/4348"</f>
        <v>46/4348</v>
      </c>
      <c r="U391" t="str">
        <f t="shared" si="174"/>
        <v>Магистральная ВОЛС</v>
      </c>
      <c r="V391" t="str">
        <f t="shared" si="168"/>
        <v>Нет</v>
      </c>
      <c r="W391" t="str">
        <f t="shared" si="175"/>
        <v>Нет</v>
      </c>
      <c r="X391" t="str">
        <f t="shared" si="169"/>
        <v>Нет</v>
      </c>
      <c r="Y391" t="str">
        <f t="shared" si="169"/>
        <v>Нет</v>
      </c>
      <c r="Z391" t="str">
        <f t="shared" si="169"/>
        <v>Нет</v>
      </c>
      <c r="AA391" t="str">
        <f>""</f>
        <v/>
      </c>
      <c r="AB391" t="str">
        <f t="shared" si="180"/>
        <v>Нет</v>
      </c>
      <c r="AC391" t="str">
        <f>"М 2.4.1 - М 2.2.8"</f>
        <v>М 2.4.1 - М 2.2.8</v>
      </c>
      <c r="AD391" t="str">
        <f>"21.10.2011"</f>
        <v>21.10.2011</v>
      </c>
      <c r="AE391" t="str">
        <f>""</f>
        <v/>
      </c>
      <c r="AF391" t="str">
        <f>""</f>
        <v/>
      </c>
      <c r="AG391" t="str">
        <f>""</f>
        <v/>
      </c>
      <c r="AH391" t="str">
        <f>"М 2.4.1"</f>
        <v>М 2.4.1</v>
      </c>
      <c r="AI391" t="str">
        <f>"М 2.2.8"</f>
        <v>М 2.2.8</v>
      </c>
      <c r="AJ391" t="str">
        <f>""</f>
        <v/>
      </c>
      <c r="AK391" t="str">
        <f t="shared" si="179"/>
        <v>Нет</v>
      </c>
      <c r="AL391" t="str">
        <f>"51.742939 36.143559, 51.742814 36.143731"</f>
        <v>51.742939 36.143559, 51.742814 36.143731</v>
      </c>
      <c r="AM391" t="str">
        <f>"20000008151809"</f>
        <v>20000008151809</v>
      </c>
    </row>
    <row r="392" spans="1:39" x14ac:dyDescent="0.25">
      <c r="A392">
        <v>907</v>
      </c>
      <c r="B392" t="str">
        <f t="shared" si="177"/>
        <v>Курск</v>
      </c>
      <c r="C392">
        <v>989302</v>
      </c>
      <c r="D392" t="str">
        <f t="shared" si="178"/>
        <v>Оптический кабель</v>
      </c>
      <c r="E392" t="str">
        <f>"[46/4350] М 1.2.11 - М 1.2.2"</f>
        <v>[46/4350] М 1.2.11 - М 1.2.2</v>
      </c>
      <c r="F392" t="str">
        <f>"ДПТа-П-64А 6(6) 7кН (Кр,Жел,Зел,..,8-Фиол,9-Бел,..,Бир,Роз)"</f>
        <v>ДПТа-П-64А 6(6) 7кН (Кр,Жел,Зел,..,8-Фиол,9-Бел,..,Бир,Роз)</v>
      </c>
      <c r="G392" t="str">
        <f>""</f>
        <v/>
      </c>
      <c r="H392" t="str">
        <f>"МС 1.2"</f>
        <v>МС 1.2</v>
      </c>
      <c r="I392">
        <v>71</v>
      </c>
      <c r="J392">
        <v>167.84</v>
      </c>
      <c r="K392">
        <v>96</v>
      </c>
      <c r="L392">
        <v>167.69</v>
      </c>
      <c r="M392" t="str">
        <f t="shared" si="171"/>
        <v>Опоры</v>
      </c>
      <c r="N392" t="str">
        <f t="shared" ref="N392:N399" si="181">"22.12.20222"</f>
        <v>22.12.20222</v>
      </c>
      <c r="O392">
        <v>64</v>
      </c>
      <c r="P392">
        <v>64</v>
      </c>
      <c r="Q392" t="str">
        <f>""</f>
        <v/>
      </c>
      <c r="R392" t="str">
        <f>""</f>
        <v/>
      </c>
      <c r="S392" t="str">
        <f>""</f>
        <v/>
      </c>
      <c r="T392" t="str">
        <f>"46/4350"</f>
        <v>46/4350</v>
      </c>
      <c r="U392" t="str">
        <f t="shared" si="174"/>
        <v>Магистральная ВОЛС</v>
      </c>
      <c r="V392" t="str">
        <f t="shared" si="168"/>
        <v>Нет</v>
      </c>
      <c r="W392" t="str">
        <f t="shared" si="175"/>
        <v>Нет</v>
      </c>
      <c r="X392" t="str">
        <f t="shared" si="169"/>
        <v>Нет</v>
      </c>
      <c r="Y392" t="str">
        <f t="shared" si="169"/>
        <v>Нет</v>
      </c>
      <c r="Z392" t="str">
        <f t="shared" si="169"/>
        <v>Нет</v>
      </c>
      <c r="AA392" t="str">
        <f>""</f>
        <v/>
      </c>
      <c r="AB392" t="str">
        <f t="shared" si="180"/>
        <v>Нет</v>
      </c>
      <c r="AC392" t="str">
        <f>"М 1.2.1 - М 1.2.2"</f>
        <v>М 1.2.1 - М 1.2.2</v>
      </c>
      <c r="AD392" t="str">
        <f>"08.11.2011"</f>
        <v>08.11.2011</v>
      </c>
      <c r="AE392" t="str">
        <f>"ООО ""Элпек"""</f>
        <v>ООО "Элпек"</v>
      </c>
      <c r="AF392" t="str">
        <f>"[799378] М 1.2.11"</f>
        <v>[799378] М 1.2.11</v>
      </c>
      <c r="AG392" t="str">
        <f>"[266746] М 1.2.2"</f>
        <v>[266746] М 1.2.2</v>
      </c>
      <c r="AH392" t="str">
        <f>"М 1.2.1"</f>
        <v>М 1.2.1</v>
      </c>
      <c r="AI392" t="str">
        <f>"М 1.2.2"</f>
        <v>М 1.2.2</v>
      </c>
      <c r="AJ392" t="str">
        <f>""</f>
        <v/>
      </c>
      <c r="AK392" t="str">
        <f t="shared" si="179"/>
        <v>Нет</v>
      </c>
      <c r="AL392" t="str">
        <f>"51.707259 36.165462, 51.707044 36.164508"</f>
        <v>51.707259 36.165462, 51.707044 36.164508</v>
      </c>
      <c r="AM392" t="str">
        <f>"20000008153747"</f>
        <v>20000008153747</v>
      </c>
    </row>
    <row r="393" spans="1:39" x14ac:dyDescent="0.25">
      <c r="A393">
        <v>907</v>
      </c>
      <c r="B393" t="str">
        <f t="shared" si="177"/>
        <v>Курск</v>
      </c>
      <c r="C393">
        <v>989383</v>
      </c>
      <c r="D393" t="str">
        <f t="shared" si="178"/>
        <v>Оптический кабель</v>
      </c>
      <c r="E393" t="str">
        <f>"[46/4351] М 1.3.25 - М 1.3.12"</f>
        <v>[46/4351] М 1.3.25 - М 1.3.12</v>
      </c>
      <c r="F393" t="str">
        <f>"ДПТа-П-128А 8(9) 7кН (Вол:Кр,Жел,Зел,...,Лайм,Нат)"</f>
        <v>ДПТа-П-128А 8(9) 7кН (Вол:Кр,Жел,Зел,...,Лайм,Нат)</v>
      </c>
      <c r="G393" t="str">
        <f>""</f>
        <v/>
      </c>
      <c r="H393" t="str">
        <f>"МС 1.3"</f>
        <v>МС 1.3</v>
      </c>
      <c r="I393">
        <v>367</v>
      </c>
      <c r="J393">
        <v>532.54999999999995</v>
      </c>
      <c r="K393">
        <v>165.22</v>
      </c>
      <c r="L393">
        <v>537.91999999999996</v>
      </c>
      <c r="M393" t="str">
        <f t="shared" si="171"/>
        <v>Опоры</v>
      </c>
      <c r="N393" t="str">
        <f t="shared" si="181"/>
        <v>22.12.20222</v>
      </c>
      <c r="O393">
        <v>128</v>
      </c>
      <c r="P393">
        <v>128</v>
      </c>
      <c r="Q393" t="str">
        <f>""</f>
        <v/>
      </c>
      <c r="R393" t="str">
        <f>""</f>
        <v/>
      </c>
      <c r="S393" t="str">
        <f>""</f>
        <v/>
      </c>
      <c r="T393" t="str">
        <f>"46/4351"</f>
        <v>46/4351</v>
      </c>
      <c r="U393" t="str">
        <f t="shared" si="174"/>
        <v>Магистральная ВОЛС</v>
      </c>
      <c r="V393" t="str">
        <f t="shared" si="168"/>
        <v>Нет</v>
      </c>
      <c r="W393" t="str">
        <f t="shared" si="175"/>
        <v>Нет</v>
      </c>
      <c r="X393" t="str">
        <f t="shared" si="169"/>
        <v>Нет</v>
      </c>
      <c r="Y393" t="str">
        <f t="shared" si="169"/>
        <v>Нет</v>
      </c>
      <c r="Z393" t="str">
        <f t="shared" si="169"/>
        <v>Нет</v>
      </c>
      <c r="AA393" t="str">
        <f>""</f>
        <v/>
      </c>
      <c r="AB393" t="str">
        <f t="shared" si="180"/>
        <v>Нет</v>
      </c>
      <c r="AC393" t="str">
        <f>"М 1.3.13 - М 1.3.12"</f>
        <v>М 1.3.13 - М 1.3.12</v>
      </c>
      <c r="AD393" t="str">
        <f>"10.02.2012"</f>
        <v>10.02.2012</v>
      </c>
      <c r="AE393" t="str">
        <f>""</f>
        <v/>
      </c>
      <c r="AF393" t="str">
        <f>"[799637] М 1.3.25"</f>
        <v>[799637] М 1.3.25</v>
      </c>
      <c r="AG393" t="str">
        <f>"[350358] М 1.3.12"</f>
        <v>[350358] М 1.3.12</v>
      </c>
      <c r="AH393" t="str">
        <f>"М 1.3.13"</f>
        <v>М 1.3.13</v>
      </c>
      <c r="AI393" t="str">
        <f>"М 1.3.12"</f>
        <v>М 1.3.12</v>
      </c>
      <c r="AJ393" t="str">
        <f>""</f>
        <v/>
      </c>
      <c r="AK393" t="str">
        <f t="shared" si="179"/>
        <v>Нет</v>
      </c>
      <c r="AL393" t="str">
        <f>"51.707905 36.166402, 51.705034 36.168644"</f>
        <v>51.707905 36.166402, 51.705034 36.168644</v>
      </c>
      <c r="AM393" t="str">
        <f>"20000008153752"</f>
        <v>20000008153752</v>
      </c>
    </row>
    <row r="394" spans="1:39" x14ac:dyDescent="0.25">
      <c r="A394">
        <v>907</v>
      </c>
      <c r="B394" t="str">
        <f t="shared" si="177"/>
        <v>Курск</v>
      </c>
      <c r="C394">
        <v>989552</v>
      </c>
      <c r="D394" t="str">
        <f t="shared" si="178"/>
        <v>Оптический кабель</v>
      </c>
      <c r="E394" t="str">
        <f>"[46/4352] М 1.4.12 - М 1.4.3"</f>
        <v>[46/4352] М 1.4.12 - М 1.4.3</v>
      </c>
      <c r="F394" t="str">
        <f>"ДПТа-П-64А 6(6) 7кН (Кр,Жел,Зел,..,8-Фиол,9-Бел,..,Бир,Роз)"</f>
        <v>ДПТа-П-64А 6(6) 7кН (Кр,Жел,Зел,..,8-Фиол,9-Бел,..,Бир,Роз)</v>
      </c>
      <c r="G394" t="str">
        <f>""</f>
        <v/>
      </c>
      <c r="H394" t="str">
        <f>"МС 1.4"</f>
        <v>МС 1.4</v>
      </c>
      <c r="I394">
        <v>179</v>
      </c>
      <c r="J394">
        <v>221.36</v>
      </c>
      <c r="K394">
        <v>25</v>
      </c>
      <c r="L394">
        <v>223.61</v>
      </c>
      <c r="M394" t="str">
        <f t="shared" si="171"/>
        <v>Опоры</v>
      </c>
      <c r="N394" t="str">
        <f t="shared" si="181"/>
        <v>22.12.20222</v>
      </c>
      <c r="O394">
        <v>64</v>
      </c>
      <c r="P394">
        <v>64</v>
      </c>
      <c r="Q394" t="str">
        <f>""</f>
        <v/>
      </c>
      <c r="R394" t="str">
        <f>""</f>
        <v/>
      </c>
      <c r="S394" t="str">
        <f>""</f>
        <v/>
      </c>
      <c r="T394" t="str">
        <f>"46/4352"</f>
        <v>46/4352</v>
      </c>
      <c r="U394" t="str">
        <f t="shared" si="174"/>
        <v>Магистральная ВОЛС</v>
      </c>
      <c r="V394" t="str">
        <f t="shared" si="168"/>
        <v>Нет</v>
      </c>
      <c r="W394" t="str">
        <f t="shared" si="175"/>
        <v>Нет</v>
      </c>
      <c r="X394" t="str">
        <f t="shared" si="169"/>
        <v>Нет</v>
      </c>
      <c r="Y394" t="str">
        <f t="shared" si="169"/>
        <v>Нет</v>
      </c>
      <c r="Z394" t="str">
        <f t="shared" si="169"/>
        <v>Нет</v>
      </c>
      <c r="AA394" t="str">
        <f>""</f>
        <v/>
      </c>
      <c r="AB394" t="str">
        <f t="shared" si="180"/>
        <v>Нет</v>
      </c>
      <c r="AC394" t="str">
        <f>"М 1.4.4 - М 1.4.3"</f>
        <v>М 1.4.4 - М 1.4.3</v>
      </c>
      <c r="AD394" t="str">
        <f>"02.02.2012"</f>
        <v>02.02.2012</v>
      </c>
      <c r="AE394" t="str">
        <f>"Спецстроймонтаж - 36"</f>
        <v>Спецстроймонтаж - 36</v>
      </c>
      <c r="AF394" t="str">
        <f>"[806802] М 1.4.12"</f>
        <v>[806802] М 1.4.12</v>
      </c>
      <c r="AG394" t="str">
        <f>"[367114] М 1.4.3"</f>
        <v>[367114] М 1.4.3</v>
      </c>
      <c r="AH394" t="str">
        <f>"М 1.4.4"</f>
        <v>М 1.4.4</v>
      </c>
      <c r="AI394" t="str">
        <f>"М 1.4.3"</f>
        <v>М 1.4.3</v>
      </c>
      <c r="AJ394" t="str">
        <f>""</f>
        <v/>
      </c>
      <c r="AK394" t="str">
        <f t="shared" si="179"/>
        <v>Нет</v>
      </c>
      <c r="AL394" t="str">
        <f>"51.707849 36.139873, 51.707356 36.142294"</f>
        <v>51.707849 36.139873, 51.707356 36.142294</v>
      </c>
      <c r="AM394" t="str">
        <f>"20000008153753"</f>
        <v>20000008153753</v>
      </c>
    </row>
    <row r="395" spans="1:39" x14ac:dyDescent="0.25">
      <c r="A395">
        <v>907</v>
      </c>
      <c r="B395" t="str">
        <f t="shared" si="177"/>
        <v>Курск</v>
      </c>
      <c r="C395">
        <v>989641</v>
      </c>
      <c r="D395" t="str">
        <f t="shared" si="178"/>
        <v>Оптический кабель</v>
      </c>
      <c r="E395" t="str">
        <f>"[46/4353] М 2.5.18 - М 2.5.4"</f>
        <v>[46/4353] М 2.5.18 - М 2.5.4</v>
      </c>
      <c r="F395" t="str">
        <f>"ДПТа-П-64А 6(6) 7кН (Кр,Жел,Зел,..,8-Фиол,9-Бел,..,Бир,Роз)"</f>
        <v>ДПТа-П-64А 6(6) 7кН (Кр,Жел,Зел,..,8-Фиол,9-Бел,..,Бир,Роз)</v>
      </c>
      <c r="G395" t="str">
        <f>""</f>
        <v/>
      </c>
      <c r="H395" t="str">
        <f>"МС 2.5"</f>
        <v>МС 2.5</v>
      </c>
      <c r="I395">
        <v>177</v>
      </c>
      <c r="J395">
        <v>450.19</v>
      </c>
      <c r="K395">
        <v>80</v>
      </c>
      <c r="L395">
        <v>450.19</v>
      </c>
      <c r="M395" t="str">
        <f t="shared" si="171"/>
        <v>Опоры</v>
      </c>
      <c r="N395" t="str">
        <f t="shared" si="181"/>
        <v>22.12.20222</v>
      </c>
      <c r="O395">
        <v>64</v>
      </c>
      <c r="P395">
        <v>64</v>
      </c>
      <c r="Q395" t="str">
        <f>""</f>
        <v/>
      </c>
      <c r="R395" t="str">
        <f>""</f>
        <v/>
      </c>
      <c r="S395" t="str">
        <f>""</f>
        <v/>
      </c>
      <c r="T395" t="str">
        <f>"46/4353"</f>
        <v>46/4353</v>
      </c>
      <c r="U395" t="str">
        <f t="shared" si="174"/>
        <v>Магистральная ВОЛС</v>
      </c>
      <c r="V395" t="str">
        <f t="shared" si="168"/>
        <v>Нет</v>
      </c>
      <c r="W395" t="str">
        <f t="shared" si="175"/>
        <v>Нет</v>
      </c>
      <c r="X395" t="str">
        <f t="shared" si="169"/>
        <v>Нет</v>
      </c>
      <c r="Y395" t="str">
        <f t="shared" si="169"/>
        <v>Нет</v>
      </c>
      <c r="Z395" t="str">
        <f t="shared" si="169"/>
        <v>Нет</v>
      </c>
      <c r="AA395" t="str">
        <f>""</f>
        <v/>
      </c>
      <c r="AB395" t="str">
        <f t="shared" si="180"/>
        <v>Нет</v>
      </c>
      <c r="AC395" t="str">
        <f>"М 2.5.3 - М 2.5.4"</f>
        <v>М 2.5.3 - М 2.5.4</v>
      </c>
      <c r="AD395" t="str">
        <f>"01.02.2012"</f>
        <v>01.02.2012</v>
      </c>
      <c r="AE395" t="str">
        <f>""</f>
        <v/>
      </c>
      <c r="AF395" t="str">
        <f>"[799896] М 2.5.18"</f>
        <v>[799896] М 2.5.18</v>
      </c>
      <c r="AG395" t="str">
        <f>"[340484] М 2.5.4"</f>
        <v>[340484] М 2.5.4</v>
      </c>
      <c r="AH395" t="str">
        <f>"М 2.5.3"</f>
        <v>М 2.5.3</v>
      </c>
      <c r="AI395" t="str">
        <f>"М 2.5.4"</f>
        <v>М 2.5.4</v>
      </c>
      <c r="AJ395" t="str">
        <f>""</f>
        <v/>
      </c>
      <c r="AK395" t="str">
        <f t="shared" si="179"/>
        <v>Нет</v>
      </c>
      <c r="AL395" t="str">
        <f>"51.733072 36.131045, 51.731882 36.130643"</f>
        <v>51.733072 36.131045, 51.731882 36.130643</v>
      </c>
      <c r="AM395" t="str">
        <f>"20000008153750"</f>
        <v>20000008153750</v>
      </c>
    </row>
    <row r="396" spans="1:39" x14ac:dyDescent="0.25">
      <c r="A396">
        <v>907</v>
      </c>
      <c r="B396" t="str">
        <f t="shared" si="177"/>
        <v>Курск</v>
      </c>
      <c r="C396">
        <v>989773</v>
      </c>
      <c r="D396" t="str">
        <f t="shared" si="178"/>
        <v>Оптический кабель</v>
      </c>
      <c r="E396" t="str">
        <f>"[46/4354] М 2.7.10 - М 2.7.5"</f>
        <v>[46/4354] М 2.7.10 - М 2.7.5</v>
      </c>
      <c r="F396" t="str">
        <f>"ДОТс-П-64А 6кН"</f>
        <v>ДОТс-П-64А 6кН</v>
      </c>
      <c r="G396" t="str">
        <f>""</f>
        <v/>
      </c>
      <c r="H396" t="str">
        <f>"МС 2.7"</f>
        <v>МС 2.7</v>
      </c>
      <c r="I396">
        <v>671</v>
      </c>
      <c r="J396">
        <v>840.57</v>
      </c>
      <c r="K396">
        <v>0</v>
      </c>
      <c r="L396">
        <v>847.29</v>
      </c>
      <c r="M396" t="str">
        <f>"Воздушная трасса по стойкам"</f>
        <v>Воздушная трасса по стойкам</v>
      </c>
      <c r="N396" t="str">
        <f t="shared" si="181"/>
        <v>22.12.20222</v>
      </c>
      <c r="O396">
        <v>72</v>
      </c>
      <c r="P396">
        <v>72</v>
      </c>
      <c r="Q396" t="str">
        <f>""</f>
        <v/>
      </c>
      <c r="R396" t="str">
        <f>""</f>
        <v/>
      </c>
      <c r="S396" t="str">
        <f>"09.07.2019"</f>
        <v>09.07.2019</v>
      </c>
      <c r="T396" t="str">
        <f>"46/4354"</f>
        <v>46/4354</v>
      </c>
      <c r="U396" t="str">
        <f t="shared" si="174"/>
        <v>Магистральная ВОЛС</v>
      </c>
      <c r="V396" t="str">
        <f t="shared" si="168"/>
        <v>Нет</v>
      </c>
      <c r="W396" t="str">
        <f t="shared" si="175"/>
        <v>Нет</v>
      </c>
      <c r="X396" t="str">
        <f t="shared" ref="X396:Y415" si="182">"Нет"</f>
        <v>Нет</v>
      </c>
      <c r="Y396" t="str">
        <f t="shared" si="182"/>
        <v>Нет</v>
      </c>
      <c r="Z396" t="str">
        <f>"Да"</f>
        <v>Да</v>
      </c>
      <c r="AA396" t="str">
        <f>""</f>
        <v/>
      </c>
      <c r="AB396" t="str">
        <f t="shared" si="180"/>
        <v>Нет</v>
      </c>
      <c r="AC396" t="str">
        <f>""</f>
        <v/>
      </c>
      <c r="AD396" t="str">
        <f>""</f>
        <v/>
      </c>
      <c r="AE396" t="str">
        <f>""</f>
        <v/>
      </c>
      <c r="AF396" t="str">
        <f>"[800414] М 2.7.10"</f>
        <v>[800414] М 2.7.10</v>
      </c>
      <c r="AG396" t="str">
        <f>"[629572] М 2.7.5"</f>
        <v>[629572] М 2.7.5</v>
      </c>
      <c r="AH396" t="str">
        <f>""</f>
        <v/>
      </c>
      <c r="AI396" t="str">
        <f>""</f>
        <v/>
      </c>
      <c r="AJ396" t="str">
        <f>""</f>
        <v/>
      </c>
      <c r="AK396" t="str">
        <f t="shared" si="179"/>
        <v>Нет</v>
      </c>
      <c r="AL396" t="str">
        <f>"51.731959 36.137365, 51.726843 36.136352"</f>
        <v>51.731959 36.137365, 51.726843 36.136352</v>
      </c>
      <c r="AM396" t="str">
        <f>"20000008199342"</f>
        <v>20000008199342</v>
      </c>
    </row>
    <row r="397" spans="1:39" x14ac:dyDescent="0.25">
      <c r="A397">
        <v>907</v>
      </c>
      <c r="B397" t="str">
        <f t="shared" si="177"/>
        <v>Курск</v>
      </c>
      <c r="C397">
        <v>989890</v>
      </c>
      <c r="D397" t="str">
        <f t="shared" si="178"/>
        <v>Оптический кабель</v>
      </c>
      <c r="E397" t="str">
        <f>"[46/4355] М 5.5.7 - М 5.4.16"</f>
        <v>[46/4355] М 5.5.7 - М 5.4.16</v>
      </c>
      <c r="F397" t="str">
        <f>"ДПТа-П-64А 6(6) 7кН (Кр,Жел,Зел,..,8-Фиол,9-Бел,..,Бир,Роз)"</f>
        <v>ДПТа-П-64А 6(6) 7кН (Кр,Жел,Зел,..,8-Фиол,9-Бел,..,Бир,Роз)</v>
      </c>
      <c r="G397" t="str">
        <f>""</f>
        <v/>
      </c>
      <c r="H397" t="str">
        <f>"МС 5.5"</f>
        <v>МС 5.5</v>
      </c>
      <c r="I397">
        <v>803</v>
      </c>
      <c r="J397">
        <v>882.63</v>
      </c>
      <c r="K397">
        <v>40</v>
      </c>
      <c r="L397">
        <v>882.63</v>
      </c>
      <c r="M397" t="str">
        <f>"Опоры"</f>
        <v>Опоры</v>
      </c>
      <c r="N397" t="str">
        <f t="shared" si="181"/>
        <v>22.12.20222</v>
      </c>
      <c r="O397">
        <v>64</v>
      </c>
      <c r="P397">
        <v>64</v>
      </c>
      <c r="Q397" t="str">
        <f>""</f>
        <v/>
      </c>
      <c r="R397" t="str">
        <f>""</f>
        <v/>
      </c>
      <c r="S397" t="str">
        <f>""</f>
        <v/>
      </c>
      <c r="T397" t="str">
        <f>"46/4355"</f>
        <v>46/4355</v>
      </c>
      <c r="U397" t="str">
        <f t="shared" si="174"/>
        <v>Магистральная ВОЛС</v>
      </c>
      <c r="V397" t="str">
        <f t="shared" si="168"/>
        <v>Нет</v>
      </c>
      <c r="W397" t="str">
        <f t="shared" si="175"/>
        <v>Нет</v>
      </c>
      <c r="X397" t="str">
        <f t="shared" si="182"/>
        <v>Нет</v>
      </c>
      <c r="Y397" t="str">
        <f t="shared" si="182"/>
        <v>Нет</v>
      </c>
      <c r="Z397" t="str">
        <f>"Нет"</f>
        <v>Нет</v>
      </c>
      <c r="AA397" t="str">
        <f>""</f>
        <v/>
      </c>
      <c r="AB397" t="str">
        <f t="shared" si="180"/>
        <v>Нет</v>
      </c>
      <c r="AC397" t="str">
        <f>"М 5.5.6 - М 5.4.16"</f>
        <v>М 5.5.6 - М 5.4.16</v>
      </c>
      <c r="AD397" t="str">
        <f>"02.02.2012"</f>
        <v>02.02.2012</v>
      </c>
      <c r="AE397" t="str">
        <f>""</f>
        <v/>
      </c>
      <c r="AF397" t="str">
        <f>"[800944] М 5.5.7"</f>
        <v>[800944] М 5.5.7</v>
      </c>
      <c r="AG397" t="str">
        <f>"[391931] М 5.4.16"</f>
        <v>[391931] М 5.4.16</v>
      </c>
      <c r="AH397" t="str">
        <f>"М 5.5.6"</f>
        <v>М 5.5.6</v>
      </c>
      <c r="AI397" t="str">
        <f>"М 5.4.16"</f>
        <v>М 5.4.16</v>
      </c>
      <c r="AJ397" t="str">
        <f>""</f>
        <v/>
      </c>
      <c r="AK397" t="str">
        <f t="shared" si="179"/>
        <v>Нет</v>
      </c>
      <c r="AL397" t="str">
        <f>"51.670706 36.075853, 51.671367 36.087328"</f>
        <v>51.670706 36.075853, 51.671367 36.087328</v>
      </c>
      <c r="AM397" t="str">
        <f>"20000008153749"</f>
        <v>20000008153749</v>
      </c>
    </row>
    <row r="398" spans="1:39" x14ac:dyDescent="0.25">
      <c r="A398">
        <v>907</v>
      </c>
      <c r="B398" t="str">
        <f t="shared" si="177"/>
        <v>Курск</v>
      </c>
      <c r="C398">
        <v>990052</v>
      </c>
      <c r="D398" t="str">
        <f t="shared" si="178"/>
        <v>Оптический кабель</v>
      </c>
      <c r="E398" t="str">
        <f>"[46/4357] М 1.4.13 - М 1.4.8"</f>
        <v>[46/4357] М 1.4.13 - М 1.4.8</v>
      </c>
      <c r="F398" t="str">
        <f>"ДПТа-П-64А 6(6) 7кН (Кр,Жел,Зел,..,8-Фиол,9-Бел,..,Бир,Роз)"</f>
        <v>ДПТа-П-64А 6(6) 7кН (Кр,Жел,Зел,..,8-Фиол,9-Бел,..,Бир,Роз)</v>
      </c>
      <c r="G398" t="str">
        <f>""</f>
        <v/>
      </c>
      <c r="H398" t="str">
        <f>"МС 1.4"</f>
        <v>МС 1.4</v>
      </c>
      <c r="I398">
        <v>1</v>
      </c>
      <c r="J398">
        <v>2.1</v>
      </c>
      <c r="K398">
        <v>0</v>
      </c>
      <c r="L398">
        <v>1.68</v>
      </c>
      <c r="M398" t="str">
        <f>"Опоры"</f>
        <v>Опоры</v>
      </c>
      <c r="N398" t="str">
        <f t="shared" si="181"/>
        <v>22.12.20222</v>
      </c>
      <c r="O398">
        <v>64</v>
      </c>
      <c r="P398">
        <v>64</v>
      </c>
      <c r="Q398" t="str">
        <f>""</f>
        <v/>
      </c>
      <c r="R398" t="str">
        <f>""</f>
        <v/>
      </c>
      <c r="S398" t="str">
        <f>""</f>
        <v/>
      </c>
      <c r="T398" t="str">
        <f>"46/4357"</f>
        <v>46/4357</v>
      </c>
      <c r="U398" t="str">
        <f t="shared" si="174"/>
        <v>Магистральная ВОЛС</v>
      </c>
      <c r="V398" t="str">
        <f t="shared" si="168"/>
        <v>Нет</v>
      </c>
      <c r="W398" t="str">
        <f t="shared" si="175"/>
        <v>Нет</v>
      </c>
      <c r="X398" t="str">
        <f t="shared" si="182"/>
        <v>Нет</v>
      </c>
      <c r="Y398" t="str">
        <f t="shared" si="182"/>
        <v>Нет</v>
      </c>
      <c r="Z398" t="str">
        <f>"Нет"</f>
        <v>Нет</v>
      </c>
      <c r="AA398" t="str">
        <f>""</f>
        <v/>
      </c>
      <c r="AB398" t="str">
        <f t="shared" si="180"/>
        <v>Нет</v>
      </c>
      <c r="AC398" t="str">
        <f>"М 1.4.6 - М 1.4.5"</f>
        <v>М 1.4.6 - М 1.4.5</v>
      </c>
      <c r="AD398" t="str">
        <f>"02.02.2012"</f>
        <v>02.02.2012</v>
      </c>
      <c r="AE398" t="str">
        <f>"""Спецстроймонтаж-36"""</f>
        <v>"Спецстроймонтаж-36"</v>
      </c>
      <c r="AF398" t="str">
        <f>"[801203] М 1.4.13"</f>
        <v>[801203] М 1.4.13</v>
      </c>
      <c r="AG398" t="str">
        <f>"[511266] М 1.4.8"</f>
        <v>[511266] М 1.4.8</v>
      </c>
      <c r="AH398" t="str">
        <f>"М 1.4.6"</f>
        <v>М 1.4.6</v>
      </c>
      <c r="AI398" t="str">
        <f>"М 1.4.8"</f>
        <v>М 1.4.8</v>
      </c>
      <c r="AJ398" t="str">
        <f>""</f>
        <v/>
      </c>
      <c r="AK398" t="str">
        <f t="shared" si="179"/>
        <v>Нет</v>
      </c>
      <c r="AL398" t="str">
        <f>"51.710614 36.142308, 51.710602 36.1423"</f>
        <v>51.710614 36.142308, 51.710602 36.1423</v>
      </c>
      <c r="AM398" t="str">
        <f>"20000008153748"</f>
        <v>20000008153748</v>
      </c>
    </row>
    <row r="399" spans="1:39" x14ac:dyDescent="0.25">
      <c r="A399">
        <v>907</v>
      </c>
      <c r="B399" t="str">
        <f t="shared" si="177"/>
        <v>Курск</v>
      </c>
      <c r="C399">
        <v>990131</v>
      </c>
      <c r="D399" t="str">
        <f t="shared" si="178"/>
        <v>Оптический кабель</v>
      </c>
      <c r="E399" t="str">
        <f>"[46/4358] М 1.4.14 - М 1.4.13"</f>
        <v>[46/4358] М 1.4.14 - М 1.4.13</v>
      </c>
      <c r="F399" t="str">
        <f>"ДПТа-П-64А 6(6) 7кН (Кр,Жел,Зел,..,8-Фиол,9-Бел,..,Бир,Роз)"</f>
        <v>ДПТа-П-64А 6(6) 7кН (Кр,Жел,Зел,..,8-Фиол,9-Бел,..,Бир,Роз)</v>
      </c>
      <c r="G399" t="str">
        <f>""</f>
        <v/>
      </c>
      <c r="H399" t="str">
        <f>"МС 1.4"</f>
        <v>МС 1.4</v>
      </c>
      <c r="I399">
        <v>79</v>
      </c>
      <c r="J399">
        <v>108.29</v>
      </c>
      <c r="K399">
        <v>0</v>
      </c>
      <c r="L399">
        <v>86.4</v>
      </c>
      <c r="M399" t="str">
        <f>"Опоры"</f>
        <v>Опоры</v>
      </c>
      <c r="N399" t="str">
        <f t="shared" si="181"/>
        <v>22.12.20222</v>
      </c>
      <c r="O399">
        <v>64</v>
      </c>
      <c r="P399">
        <v>64</v>
      </c>
      <c r="Q399" t="str">
        <f>""</f>
        <v/>
      </c>
      <c r="R399" t="str">
        <f>""</f>
        <v/>
      </c>
      <c r="S399" t="str">
        <f>""</f>
        <v/>
      </c>
      <c r="T399" t="str">
        <f>"46/4358"</f>
        <v>46/4358</v>
      </c>
      <c r="U399" t="str">
        <f t="shared" si="174"/>
        <v>Магистральная ВОЛС</v>
      </c>
      <c r="V399" t="str">
        <f t="shared" si="168"/>
        <v>Нет</v>
      </c>
      <c r="W399" t="str">
        <f t="shared" si="175"/>
        <v>Нет</v>
      </c>
      <c r="X399" t="str">
        <f t="shared" si="182"/>
        <v>Нет</v>
      </c>
      <c r="Y399" t="str">
        <f t="shared" si="182"/>
        <v>Нет</v>
      </c>
      <c r="Z399" t="str">
        <f>"Нет"</f>
        <v>Нет</v>
      </c>
      <c r="AA399" t="str">
        <f>""</f>
        <v/>
      </c>
      <c r="AB399" t="str">
        <f t="shared" si="180"/>
        <v>Нет</v>
      </c>
      <c r="AC399" t="str">
        <f>"М 1.4.6 - М 1.4.5"</f>
        <v>М 1.4.6 - М 1.4.5</v>
      </c>
      <c r="AD399" t="str">
        <f>"02.02.2012"</f>
        <v>02.02.2012</v>
      </c>
      <c r="AE399" t="str">
        <f>"""Спецстроймонтаж-36"""</f>
        <v>"Спецстроймонтаж-36"</v>
      </c>
      <c r="AF399" t="str">
        <f>"[801462] М 1.4.14"</f>
        <v>[801462] М 1.4.14</v>
      </c>
      <c r="AG399" t="str">
        <f>"[801203] М 1.4.13"</f>
        <v>[801203] М 1.4.13</v>
      </c>
      <c r="AH399" t="str">
        <f>"М 1.4.6"</f>
        <v>М 1.4.6</v>
      </c>
      <c r="AI399" t="str">
        <f>"М 1.4.8"</f>
        <v>М 1.4.8</v>
      </c>
      <c r="AJ399" t="str">
        <f>""</f>
        <v/>
      </c>
      <c r="AK399" t="str">
        <f t="shared" si="179"/>
        <v>Нет</v>
      </c>
      <c r="AL399" t="str">
        <f>"51.71107 36.142873, 51.710614 36.142308"</f>
        <v>51.71107 36.142873, 51.710614 36.142308</v>
      </c>
      <c r="AM399" t="str">
        <f>"20000008153754"</f>
        <v>20000008153754</v>
      </c>
    </row>
    <row r="400" spans="1:39" x14ac:dyDescent="0.25">
      <c r="A400">
        <v>907</v>
      </c>
      <c r="B400" t="str">
        <f t="shared" si="177"/>
        <v>Курск</v>
      </c>
      <c r="C400">
        <v>990233</v>
      </c>
      <c r="D400" t="str">
        <f t="shared" si="178"/>
        <v>Оптический кабель</v>
      </c>
      <c r="E400" t="str">
        <f>"[46/4359] М 2.6.10 - ГОК2.6.2.1 Курск, Запольная, 41 а п. 2"</f>
        <v>[46/4359] М 2.6.10 - ГОК2.6.2.1 Курск, Запольная, 41 а п. 2</v>
      </c>
      <c r="F400" t="str">
        <f>"ДПТс-П-16А 2(6) 7кН (Мод:Кр,Нат)(Вол:Кр,Жел,Зел,..,Ор,Фиол)"</f>
        <v>ДПТс-П-16А 2(6) 7кН (Мод:Кр,Нат)(Вол:Кр,Жел,Зел,..,Ор,Фиол)</v>
      </c>
      <c r="G400" t="str">
        <f>""</f>
        <v/>
      </c>
      <c r="H400" t="str">
        <f>"МС 2.6"</f>
        <v>МС 2.6</v>
      </c>
      <c r="I400">
        <v>375</v>
      </c>
      <c r="J400">
        <v>420.38</v>
      </c>
      <c r="K400">
        <v>30</v>
      </c>
      <c r="L400">
        <v>420.38</v>
      </c>
      <c r="M400" t="str">
        <f>"Опоры"</f>
        <v>Опоры</v>
      </c>
      <c r="N400" t="str">
        <f>"23.12.20222"</f>
        <v>23.12.20222</v>
      </c>
      <c r="O400">
        <v>16</v>
      </c>
      <c r="P400">
        <v>16</v>
      </c>
      <c r="Q400" t="str">
        <f>""</f>
        <v/>
      </c>
      <c r="R400" t="str">
        <f>"Курск, Запольная, 41 а"</f>
        <v>Курск, Запольная, 41 а</v>
      </c>
      <c r="S400" t="str">
        <f>""</f>
        <v/>
      </c>
      <c r="T400" t="str">
        <f>"46/4359"</f>
        <v>46/4359</v>
      </c>
      <c r="U400" t="str">
        <f t="shared" si="174"/>
        <v>Магистральная ВОЛС</v>
      </c>
      <c r="V400" t="str">
        <f t="shared" si="168"/>
        <v>Нет</v>
      </c>
      <c r="W400" t="str">
        <f t="shared" si="175"/>
        <v>Нет</v>
      </c>
      <c r="X400" t="str">
        <f t="shared" si="182"/>
        <v>Нет</v>
      </c>
      <c r="Y400" t="str">
        <f t="shared" si="182"/>
        <v>Нет</v>
      </c>
      <c r="Z400" t="str">
        <f>"Нет"</f>
        <v>Нет</v>
      </c>
      <c r="AA400" t="str">
        <f>""</f>
        <v/>
      </c>
      <c r="AB400" t="str">
        <f t="shared" si="180"/>
        <v>Нет</v>
      </c>
      <c r="AC400" t="str">
        <f>"М 2.6.7 - ППК 2.6.2"</f>
        <v>М 2.6.7 - ППК 2.6.2</v>
      </c>
      <c r="AD400" t="str">
        <f>"02.02.2012"</f>
        <v>02.02.2012</v>
      </c>
      <c r="AE400" t="str">
        <f>""</f>
        <v/>
      </c>
      <c r="AF400" t="str">
        <f>"[801721] М 2.6.10"</f>
        <v>[801721] М 2.6.10</v>
      </c>
      <c r="AG400" t="str">
        <f>"[443278] ГОК2.6.2.1 Курск, Запольная, 41 а п. 2"</f>
        <v>[443278] ГОК2.6.2.1 Курск, Запольная, 41 а п. 2</v>
      </c>
      <c r="AH400" t="str">
        <f>"М 2.6.7"</f>
        <v>М 2.6.7</v>
      </c>
      <c r="AI400" t="str">
        <f>"ППК 2.6.2"</f>
        <v>ППК 2.6.2</v>
      </c>
      <c r="AJ400" t="str">
        <f>""</f>
        <v/>
      </c>
      <c r="AK400" t="str">
        <f t="shared" si="179"/>
        <v>Нет</v>
      </c>
      <c r="AL400" t="str">
        <f>"51.741765 36.14971, 51.743463 36.154294"</f>
        <v>51.741765 36.14971, 51.743463 36.154294</v>
      </c>
      <c r="AM400" t="str">
        <f>"20000008158242"</f>
        <v>20000008158242</v>
      </c>
    </row>
    <row r="401" spans="1:39" x14ac:dyDescent="0.25">
      <c r="A401">
        <v>907</v>
      </c>
      <c r="B401" t="str">
        <f t="shared" si="177"/>
        <v>Курск</v>
      </c>
      <c r="C401">
        <v>990288</v>
      </c>
      <c r="D401" t="str">
        <f t="shared" si="178"/>
        <v>Оптический кабель</v>
      </c>
      <c r="E401" t="str">
        <f>"[46/4360] М 4.1.14 - МОК4.1.1 Курск, Герцена, 3  п. "</f>
        <v xml:space="preserve">[46/4360] М 4.1.14 - МОК4.1.1 Курск, Герцена, 3  п. </v>
      </c>
      <c r="F401" t="str">
        <f>"ДПТа-П-64А 6(6) 7кН (Кр,Жел,Зел,..,8-Фиол,9-Бел,..,Бир,Роз)"</f>
        <v>ДПТа-П-64А 6(6) 7кН (Кр,Жел,Зел,..,8-Фиол,9-Бел,..,Бир,Роз)</v>
      </c>
      <c r="G401" t="str">
        <f>""</f>
        <v/>
      </c>
      <c r="H401" t="str">
        <f>"МС 4.1"</f>
        <v>МС 4.1</v>
      </c>
      <c r="I401">
        <v>154</v>
      </c>
      <c r="J401">
        <v>159.91999999999999</v>
      </c>
      <c r="K401">
        <v>0</v>
      </c>
      <c r="L401">
        <v>159.91999999999999</v>
      </c>
      <c r="M401" t="str">
        <f>"Опоры"</f>
        <v>Опоры</v>
      </c>
      <c r="N401" t="str">
        <f>"23.12.20222"</f>
        <v>23.12.20222</v>
      </c>
      <c r="O401">
        <v>64</v>
      </c>
      <c r="P401">
        <v>64</v>
      </c>
      <c r="Q401" t="str">
        <f>""</f>
        <v/>
      </c>
      <c r="R401" t="str">
        <f>"Курск, Герцена, 3"</f>
        <v>Курск, Герцена, 3</v>
      </c>
      <c r="S401" t="str">
        <f>""</f>
        <v/>
      </c>
      <c r="T401" t="str">
        <f>"46/4360"</f>
        <v>46/4360</v>
      </c>
      <c r="U401" t="str">
        <f t="shared" si="174"/>
        <v>Магистральная ВОЛС</v>
      </c>
      <c r="V401" t="str">
        <f t="shared" si="168"/>
        <v>Нет</v>
      </c>
      <c r="W401" t="str">
        <f t="shared" si="175"/>
        <v>Нет</v>
      </c>
      <c r="X401" t="str">
        <f t="shared" si="182"/>
        <v>Нет</v>
      </c>
      <c r="Y401" t="str">
        <f t="shared" si="182"/>
        <v>Нет</v>
      </c>
      <c r="Z401" t="str">
        <f>"Нет"</f>
        <v>Нет</v>
      </c>
      <c r="AA401" t="str">
        <f>""</f>
        <v/>
      </c>
      <c r="AB401" t="str">
        <f t="shared" si="180"/>
        <v>Нет</v>
      </c>
      <c r="AC401" t="str">
        <f>"М 4.1.7 - КРС МС-4.1"</f>
        <v>М 4.1.7 - КРС МС-4.1</v>
      </c>
      <c r="AD401" t="str">
        <f>"02.02.2012"</f>
        <v>02.02.2012</v>
      </c>
      <c r="AE401" t="str">
        <f>""</f>
        <v/>
      </c>
      <c r="AF401" t="str">
        <f>"[801980] М 4.1.14"</f>
        <v>[801980] М 4.1.14</v>
      </c>
      <c r="AG401" t="str">
        <f>"[483733] МОК4.1.1 Курск, Герцена, 3  п."</f>
        <v>[483733] МОК4.1.1 Курск, Герцена, 3  п.</v>
      </c>
      <c r="AH401" t="str">
        <f>"М 4.1.7"</f>
        <v>М 4.1.7</v>
      </c>
      <c r="AI401" t="str">
        <f>"КРС МС-4.1"</f>
        <v>КРС МС-4.1</v>
      </c>
      <c r="AJ401" t="str">
        <f>""</f>
        <v/>
      </c>
      <c r="AK401" t="str">
        <f t="shared" si="179"/>
        <v>Нет</v>
      </c>
      <c r="AL401" t="str">
        <f>"51.749918 36.242694, 51.749053 36.24264"</f>
        <v>51.749918 36.242694, 51.749053 36.24264</v>
      </c>
      <c r="AM401" t="str">
        <f>"20000008158243"</f>
        <v>20000008158243</v>
      </c>
    </row>
    <row r="402" spans="1:39" x14ac:dyDescent="0.25">
      <c r="A402">
        <v>907</v>
      </c>
      <c r="B402" t="str">
        <f t="shared" si="177"/>
        <v>Курск</v>
      </c>
      <c r="C402">
        <v>990375</v>
      </c>
      <c r="D402" t="str">
        <f t="shared" si="178"/>
        <v>Оптический кабель</v>
      </c>
      <c r="E402" t="str">
        <f>"[46/4361] М 4.2.11 - М 4.2.12"</f>
        <v>[46/4361] М 4.2.11 - М 4.2.12</v>
      </c>
      <c r="F402" t="str">
        <f>"ОКМС-32(G.652.D) 6кН"</f>
        <v>ОКМС-32(G.652.D) 6кН</v>
      </c>
      <c r="G402" t="str">
        <f>""</f>
        <v/>
      </c>
      <c r="H402" t="str">
        <f>"МС 4.2"</f>
        <v>МС 4.2</v>
      </c>
      <c r="I402">
        <v>382</v>
      </c>
      <c r="J402">
        <v>273.91000000000003</v>
      </c>
      <c r="K402">
        <v>0</v>
      </c>
      <c r="L402">
        <v>274.74</v>
      </c>
      <c r="M402" t="str">
        <f>""</f>
        <v/>
      </c>
      <c r="N402" t="str">
        <f>"23.12.20222"</f>
        <v>23.12.20222</v>
      </c>
      <c r="O402">
        <v>32</v>
      </c>
      <c r="P402">
        <v>32</v>
      </c>
      <c r="Q402" t="str">
        <f>""</f>
        <v/>
      </c>
      <c r="R402" t="str">
        <f>""</f>
        <v/>
      </c>
      <c r="S402" t="str">
        <f>"21.01.2020"</f>
        <v>21.01.2020</v>
      </c>
      <c r="T402" t="str">
        <f>"46/4361"</f>
        <v>46/4361</v>
      </c>
      <c r="U402" t="str">
        <f t="shared" si="174"/>
        <v>Магистральная ВОЛС</v>
      </c>
      <c r="V402" t="str">
        <f t="shared" si="168"/>
        <v>Нет</v>
      </c>
      <c r="W402" t="str">
        <f t="shared" si="175"/>
        <v>Нет</v>
      </c>
      <c r="X402" t="str">
        <f t="shared" si="182"/>
        <v>Нет</v>
      </c>
      <c r="Y402" t="str">
        <f t="shared" si="182"/>
        <v>Нет</v>
      </c>
      <c r="Z402" t="str">
        <f>"Да"</f>
        <v>Да</v>
      </c>
      <c r="AA402" t="str">
        <f>""</f>
        <v/>
      </c>
      <c r="AB402" t="str">
        <f t="shared" si="180"/>
        <v>Нет</v>
      </c>
      <c r="AC402" t="str">
        <f>""</f>
        <v/>
      </c>
      <c r="AD402" t="str">
        <f>""</f>
        <v/>
      </c>
      <c r="AE402" t="str">
        <f>""</f>
        <v/>
      </c>
      <c r="AF402" t="str">
        <f>"[802239] М 4.2.11"</f>
        <v>[802239] М 4.2.11</v>
      </c>
      <c r="AG402" t="str">
        <f>"[635045] М 4.2.12"</f>
        <v>[635045] М 4.2.12</v>
      </c>
      <c r="AH402" t="str">
        <f>""</f>
        <v/>
      </c>
      <c r="AI402" t="str">
        <f>""</f>
        <v/>
      </c>
      <c r="AJ402" t="str">
        <f>""</f>
        <v/>
      </c>
      <c r="AK402" t="str">
        <f t="shared" si="179"/>
        <v>Нет</v>
      </c>
      <c r="AL402" t="str">
        <f>"51.74039 36.264703, 51.73888 36.269573"</f>
        <v>51.74039 36.264703, 51.73888 36.269573</v>
      </c>
      <c r="AM402" t="str">
        <f>"20000008158241"</f>
        <v>20000008158241</v>
      </c>
    </row>
    <row r="403" spans="1:39" x14ac:dyDescent="0.25">
      <c r="A403">
        <v>907</v>
      </c>
      <c r="B403" t="str">
        <f t="shared" si="177"/>
        <v>Курск</v>
      </c>
      <c r="C403">
        <v>990438</v>
      </c>
      <c r="D403" t="str">
        <f t="shared" si="178"/>
        <v>Оптический кабель</v>
      </c>
      <c r="E403" t="str">
        <f>"[46/4362] М 4.2.10 - М 4.2.11"</f>
        <v>[46/4362] М 4.2.10 - М 4.2.11</v>
      </c>
      <c r="F403" t="str">
        <f>"ОКМС-32(G.652.D) 6кН"</f>
        <v>ОКМС-32(G.652.D) 6кН</v>
      </c>
      <c r="G403" t="str">
        <f>""</f>
        <v/>
      </c>
      <c r="H403" t="str">
        <f>"МС 4.2"</f>
        <v>МС 4.2</v>
      </c>
      <c r="I403">
        <v>100</v>
      </c>
      <c r="J403">
        <v>71.56</v>
      </c>
      <c r="K403">
        <v>0</v>
      </c>
      <c r="L403">
        <v>71.78</v>
      </c>
      <c r="M403" t="str">
        <f>""</f>
        <v/>
      </c>
      <c r="N403" t="str">
        <f>"23.12.20222"</f>
        <v>23.12.20222</v>
      </c>
      <c r="O403">
        <v>32</v>
      </c>
      <c r="P403">
        <v>32</v>
      </c>
      <c r="Q403" t="str">
        <f>""</f>
        <v/>
      </c>
      <c r="R403" t="str">
        <f>""</f>
        <v/>
      </c>
      <c r="S403" t="str">
        <f>"21.01.2020"</f>
        <v>21.01.2020</v>
      </c>
      <c r="T403" t="str">
        <f>"46/4362"</f>
        <v>46/4362</v>
      </c>
      <c r="U403" t="str">
        <f t="shared" si="174"/>
        <v>Магистральная ВОЛС</v>
      </c>
      <c r="V403" t="str">
        <f t="shared" si="168"/>
        <v>Нет</v>
      </c>
      <c r="W403" t="str">
        <f t="shared" si="175"/>
        <v>Нет</v>
      </c>
      <c r="X403" t="str">
        <f t="shared" si="182"/>
        <v>Нет</v>
      </c>
      <c r="Y403" t="str">
        <f t="shared" si="182"/>
        <v>Нет</v>
      </c>
      <c r="Z403" t="str">
        <f>"Да"</f>
        <v>Да</v>
      </c>
      <c r="AA403" t="str">
        <f>""</f>
        <v/>
      </c>
      <c r="AB403" t="str">
        <f t="shared" si="180"/>
        <v>Нет</v>
      </c>
      <c r="AC403" t="str">
        <f>""</f>
        <v/>
      </c>
      <c r="AD403" t="str">
        <f>""</f>
        <v/>
      </c>
      <c r="AE403" t="str">
        <f>""</f>
        <v/>
      </c>
      <c r="AF403" t="str">
        <f>"[802498] М 4.2.10"</f>
        <v>[802498] М 4.2.10</v>
      </c>
      <c r="AG403" t="str">
        <f>"[802239] М 4.2.11"</f>
        <v>[802239] М 4.2.11</v>
      </c>
      <c r="AH403" t="str">
        <f>""</f>
        <v/>
      </c>
      <c r="AI403" t="str">
        <f>""</f>
        <v/>
      </c>
      <c r="AJ403" t="str">
        <f>""</f>
        <v/>
      </c>
      <c r="AK403" t="str">
        <f t="shared" si="179"/>
        <v>Нет</v>
      </c>
      <c r="AL403" t="str">
        <f>"51.74059 36.263278, 51.74039 36.264701"</f>
        <v>51.74059 36.263278, 51.74039 36.264701</v>
      </c>
      <c r="AM403" t="str">
        <f>"20000008158244"</f>
        <v>20000008158244</v>
      </c>
    </row>
    <row r="404" spans="1:39" x14ac:dyDescent="0.25">
      <c r="A404">
        <v>907</v>
      </c>
      <c r="B404" t="str">
        <f t="shared" si="177"/>
        <v>Курск</v>
      </c>
      <c r="C404">
        <v>992889</v>
      </c>
      <c r="D404" t="str">
        <f t="shared" si="178"/>
        <v>Оптический кабель</v>
      </c>
      <c r="E404" t="str">
        <f>"[46/4413] АВАНТ - М 5.7.61"</f>
        <v>[46/4413] АВАНТ - М 5.7.61</v>
      </c>
      <c r="F404" t="str">
        <f t="shared" ref="F404:F409" si="183">"ОКМС-8(G.652D) 7кН"</f>
        <v>ОКМС-8(G.652D) 7кН</v>
      </c>
      <c r="G404" t="str">
        <f>""</f>
        <v/>
      </c>
      <c r="H404" t="str">
        <f t="shared" ref="H404:H410" si="184">"МС 5.7"</f>
        <v>МС 5.7</v>
      </c>
      <c r="I404">
        <v>1263</v>
      </c>
      <c r="J404">
        <v>1372</v>
      </c>
      <c r="K404">
        <v>0</v>
      </c>
      <c r="M404" t="str">
        <f t="shared" ref="M404:M410" si="185">"Опоры"</f>
        <v>Опоры</v>
      </c>
      <c r="N404" t="str">
        <f t="shared" ref="N404:N411" si="186">"13.01.20233"</f>
        <v>13.01.20233</v>
      </c>
      <c r="O404">
        <v>8</v>
      </c>
      <c r="P404">
        <v>8</v>
      </c>
      <c r="Q404" t="str">
        <f>""</f>
        <v/>
      </c>
      <c r="R404" t="str">
        <f>""</f>
        <v/>
      </c>
      <c r="S404" t="str">
        <f t="shared" ref="S404:S411" si="187">"13.01.2023"</f>
        <v>13.01.2023</v>
      </c>
      <c r="T404" t="str">
        <f>"46/4413"</f>
        <v>46/4413</v>
      </c>
      <c r="U404" t="str">
        <f t="shared" si="174"/>
        <v>Магистральная ВОЛС</v>
      </c>
      <c r="V404" t="str">
        <f t="shared" ref="V404:V435" si="188">"Нет"</f>
        <v>Нет</v>
      </c>
      <c r="W404" t="str">
        <f t="shared" si="175"/>
        <v>Нет</v>
      </c>
      <c r="X404" t="str">
        <f t="shared" si="182"/>
        <v>Нет</v>
      </c>
      <c r="Y404" t="str">
        <f t="shared" si="182"/>
        <v>Нет</v>
      </c>
      <c r="Z404" t="str">
        <f t="shared" ref="Z404:Z415" si="189">"Нет"</f>
        <v>Нет</v>
      </c>
      <c r="AA404" t="str">
        <f>""</f>
        <v/>
      </c>
      <c r="AB404" t="str">
        <f t="shared" si="180"/>
        <v>Нет</v>
      </c>
      <c r="AC404" t="str">
        <f>""</f>
        <v/>
      </c>
      <c r="AD404" t="str">
        <f>""</f>
        <v/>
      </c>
      <c r="AE404" t="str">
        <f>""</f>
        <v/>
      </c>
      <c r="AF404" t="str">
        <f>"[820555] АВАНТ"</f>
        <v>[820555] АВАНТ</v>
      </c>
      <c r="AG404" t="str">
        <f>"[820296] М 5.7.61"</f>
        <v>[820296] М 5.7.61</v>
      </c>
      <c r="AH404" t="str">
        <f>""</f>
        <v/>
      </c>
      <c r="AI404" t="str">
        <f>""</f>
        <v/>
      </c>
      <c r="AJ404" t="str">
        <f>""</f>
        <v/>
      </c>
      <c r="AK404" t="str">
        <f t="shared" si="179"/>
        <v>Нет</v>
      </c>
      <c r="AL404" t="str">
        <f>"51.415675 36.102314, 51.409086 36.089698"</f>
        <v>51.415675 36.102314, 51.409086 36.089698</v>
      </c>
      <c r="AM404" t="str">
        <f>"20000008192092"</f>
        <v>20000008192092</v>
      </c>
    </row>
    <row r="405" spans="1:39" x14ac:dyDescent="0.25">
      <c r="A405">
        <v>907</v>
      </c>
      <c r="B405" t="str">
        <f t="shared" si="177"/>
        <v>Курск</v>
      </c>
      <c r="C405">
        <v>992951</v>
      </c>
      <c r="D405" t="str">
        <f t="shared" si="178"/>
        <v>Оптический кабель</v>
      </c>
      <c r="E405" t="str">
        <f>"[46/4414] М 5.7.61 - М 5.7.60"</f>
        <v>[46/4414] М 5.7.61 - М 5.7.60</v>
      </c>
      <c r="F405" t="str">
        <f t="shared" si="183"/>
        <v>ОКМС-8(G.652D) 7кН</v>
      </c>
      <c r="G405" t="str">
        <f>""</f>
        <v/>
      </c>
      <c r="H405" t="str">
        <f t="shared" si="184"/>
        <v>МС 5.7</v>
      </c>
      <c r="I405">
        <v>1393</v>
      </c>
      <c r="J405">
        <v>1428</v>
      </c>
      <c r="K405">
        <v>0</v>
      </c>
      <c r="M405" t="str">
        <f t="shared" si="185"/>
        <v>Опоры</v>
      </c>
      <c r="N405" t="str">
        <f t="shared" si="186"/>
        <v>13.01.20233</v>
      </c>
      <c r="O405">
        <v>8</v>
      </c>
      <c r="P405">
        <v>8</v>
      </c>
      <c r="Q405" t="str">
        <f>""</f>
        <v/>
      </c>
      <c r="R405" t="str">
        <f>""</f>
        <v/>
      </c>
      <c r="S405" t="str">
        <f t="shared" si="187"/>
        <v>13.01.2023</v>
      </c>
      <c r="T405" t="str">
        <f>"46/4414"</f>
        <v>46/4414</v>
      </c>
      <c r="U405" t="str">
        <f t="shared" si="174"/>
        <v>Магистральная ВОЛС</v>
      </c>
      <c r="V405" t="str">
        <f t="shared" si="188"/>
        <v>Нет</v>
      </c>
      <c r="W405" t="str">
        <f t="shared" si="175"/>
        <v>Нет</v>
      </c>
      <c r="X405" t="str">
        <f t="shared" si="182"/>
        <v>Нет</v>
      </c>
      <c r="Y405" t="str">
        <f t="shared" si="182"/>
        <v>Нет</v>
      </c>
      <c r="Z405" t="str">
        <f t="shared" si="189"/>
        <v>Нет</v>
      </c>
      <c r="AA405" t="str">
        <f>""</f>
        <v/>
      </c>
      <c r="AB405" t="str">
        <f t="shared" si="180"/>
        <v>Нет</v>
      </c>
      <c r="AC405" t="str">
        <f>""</f>
        <v/>
      </c>
      <c r="AD405" t="str">
        <f>""</f>
        <v/>
      </c>
      <c r="AE405" t="str">
        <f>""</f>
        <v/>
      </c>
      <c r="AF405" t="str">
        <f>"[820296] М 5.7.61"</f>
        <v>[820296] М 5.7.61</v>
      </c>
      <c r="AG405" t="str">
        <f>"[819778] М 5.7.60"</f>
        <v>[819778] М 5.7.60</v>
      </c>
      <c r="AH405" t="str">
        <f>""</f>
        <v/>
      </c>
      <c r="AI405" t="str">
        <f>""</f>
        <v/>
      </c>
      <c r="AJ405" t="str">
        <f>""</f>
        <v/>
      </c>
      <c r="AK405" t="str">
        <f t="shared" si="179"/>
        <v>Нет</v>
      </c>
      <c r="AL405" t="str">
        <f>"51.409086 36.089698, 51.399519 36.077047"</f>
        <v>51.409086 36.089698, 51.399519 36.077047</v>
      </c>
      <c r="AM405" t="str">
        <f>"20000008192098"</f>
        <v>20000008192098</v>
      </c>
    </row>
    <row r="406" spans="1:39" x14ac:dyDescent="0.25">
      <c r="A406">
        <v>907</v>
      </c>
      <c r="B406" t="str">
        <f t="shared" si="177"/>
        <v>Курск</v>
      </c>
      <c r="C406">
        <v>992997</v>
      </c>
      <c r="D406" t="str">
        <f t="shared" si="178"/>
        <v>Оптический кабель</v>
      </c>
      <c r="E406" t="str">
        <f>"[46/4415] М 5.7.60 - М 5.7.59"</f>
        <v>[46/4415] М 5.7.60 - М 5.7.59</v>
      </c>
      <c r="F406" t="str">
        <f t="shared" si="183"/>
        <v>ОКМС-8(G.652D) 7кН</v>
      </c>
      <c r="G406" t="str">
        <f>""</f>
        <v/>
      </c>
      <c r="H406" t="str">
        <f t="shared" si="184"/>
        <v>МС 5.7</v>
      </c>
      <c r="I406">
        <v>210</v>
      </c>
      <c r="J406">
        <v>210</v>
      </c>
      <c r="K406">
        <v>0</v>
      </c>
      <c r="M406" t="str">
        <f t="shared" si="185"/>
        <v>Опоры</v>
      </c>
      <c r="N406" t="str">
        <f t="shared" si="186"/>
        <v>13.01.20233</v>
      </c>
      <c r="O406">
        <v>8</v>
      </c>
      <c r="P406">
        <v>8</v>
      </c>
      <c r="Q406" t="str">
        <f>""</f>
        <v/>
      </c>
      <c r="R406" t="str">
        <f>""</f>
        <v/>
      </c>
      <c r="S406" t="str">
        <f t="shared" si="187"/>
        <v>13.01.2023</v>
      </c>
      <c r="T406" t="str">
        <f>"46/4415"</f>
        <v>46/4415</v>
      </c>
      <c r="U406" t="str">
        <f t="shared" si="174"/>
        <v>Магистральная ВОЛС</v>
      </c>
      <c r="V406" t="str">
        <f t="shared" si="188"/>
        <v>Нет</v>
      </c>
      <c r="W406" t="str">
        <f t="shared" si="175"/>
        <v>Нет</v>
      </c>
      <c r="X406" t="str">
        <f t="shared" si="182"/>
        <v>Нет</v>
      </c>
      <c r="Y406" t="str">
        <f t="shared" si="182"/>
        <v>Нет</v>
      </c>
      <c r="Z406" t="str">
        <f t="shared" si="189"/>
        <v>Нет</v>
      </c>
      <c r="AA406" t="str">
        <f>""</f>
        <v/>
      </c>
      <c r="AB406" t="str">
        <f t="shared" si="180"/>
        <v>Нет</v>
      </c>
      <c r="AC406" t="str">
        <f>""</f>
        <v/>
      </c>
      <c r="AD406" t="str">
        <f>""</f>
        <v/>
      </c>
      <c r="AE406" t="str">
        <f>""</f>
        <v/>
      </c>
      <c r="AF406" t="str">
        <f>"[819778] М 5.7.60"</f>
        <v>[819778] М 5.7.60</v>
      </c>
      <c r="AG406" t="str">
        <f>"[819519] М 5.7.59"</f>
        <v>[819519] М 5.7.59</v>
      </c>
      <c r="AH406" t="str">
        <f>""</f>
        <v/>
      </c>
      <c r="AI406" t="str">
        <f>""</f>
        <v/>
      </c>
      <c r="AJ406" t="str">
        <f>""</f>
        <v/>
      </c>
      <c r="AK406" t="str">
        <f t="shared" si="179"/>
        <v>Нет</v>
      </c>
      <c r="AL406" t="str">
        <f>"51.399519 36.077047, 51.398246 36.074814"</f>
        <v>51.399519 36.077047, 51.398246 36.074814</v>
      </c>
      <c r="AM406" t="str">
        <f>"20000008192099"</f>
        <v>20000008192099</v>
      </c>
    </row>
    <row r="407" spans="1:39" x14ac:dyDescent="0.25">
      <c r="A407">
        <v>907</v>
      </c>
      <c r="B407" t="str">
        <f t="shared" si="177"/>
        <v>Курск</v>
      </c>
      <c r="C407">
        <v>993007</v>
      </c>
      <c r="D407" t="str">
        <f t="shared" si="178"/>
        <v>Оптический кабель</v>
      </c>
      <c r="E407" t="str">
        <f>"[46/4416] М 5.7.59 - М 5.7.58"</f>
        <v>[46/4416] М 5.7.59 - М 5.7.58</v>
      </c>
      <c r="F407" t="str">
        <f t="shared" si="183"/>
        <v>ОКМС-8(G.652D) 7кН</v>
      </c>
      <c r="G407" t="str">
        <f>""</f>
        <v/>
      </c>
      <c r="H407" t="str">
        <f t="shared" si="184"/>
        <v>МС 5.7</v>
      </c>
      <c r="I407">
        <v>1316</v>
      </c>
      <c r="J407">
        <v>1535</v>
      </c>
      <c r="K407">
        <v>0</v>
      </c>
      <c r="M407" t="str">
        <f t="shared" si="185"/>
        <v>Опоры</v>
      </c>
      <c r="N407" t="str">
        <f t="shared" si="186"/>
        <v>13.01.20233</v>
      </c>
      <c r="O407">
        <v>8</v>
      </c>
      <c r="P407">
        <v>8</v>
      </c>
      <c r="Q407" t="str">
        <f>""</f>
        <v/>
      </c>
      <c r="R407" t="str">
        <f>""</f>
        <v/>
      </c>
      <c r="S407" t="str">
        <f t="shared" si="187"/>
        <v>13.01.2023</v>
      </c>
      <c r="T407" t="str">
        <f>"46/4416"</f>
        <v>46/4416</v>
      </c>
      <c r="U407" t="str">
        <f t="shared" si="174"/>
        <v>Магистральная ВОЛС</v>
      </c>
      <c r="V407" t="str">
        <f t="shared" si="188"/>
        <v>Нет</v>
      </c>
      <c r="W407" t="str">
        <f t="shared" si="175"/>
        <v>Нет</v>
      </c>
      <c r="X407" t="str">
        <f t="shared" si="182"/>
        <v>Нет</v>
      </c>
      <c r="Y407" t="str">
        <f t="shared" si="182"/>
        <v>Нет</v>
      </c>
      <c r="Z407" t="str">
        <f t="shared" si="189"/>
        <v>Нет</v>
      </c>
      <c r="AA407" t="str">
        <f>""</f>
        <v/>
      </c>
      <c r="AB407" t="str">
        <f t="shared" si="180"/>
        <v>Нет</v>
      </c>
      <c r="AC407" t="str">
        <f>""</f>
        <v/>
      </c>
      <c r="AD407" t="str">
        <f>""</f>
        <v/>
      </c>
      <c r="AE407" t="str">
        <f>""</f>
        <v/>
      </c>
      <c r="AF407" t="str">
        <f>"[819519] М 5.7.59"</f>
        <v>[819519] М 5.7.59</v>
      </c>
      <c r="AG407" t="str">
        <f>"[820037] М 5.7.58"</f>
        <v>[820037] М 5.7.58</v>
      </c>
      <c r="AH407" t="str">
        <f>""</f>
        <v/>
      </c>
      <c r="AI407" t="str">
        <f>""</f>
        <v/>
      </c>
      <c r="AJ407" t="str">
        <f>""</f>
        <v/>
      </c>
      <c r="AK407" t="str">
        <f t="shared" si="179"/>
        <v>Нет</v>
      </c>
      <c r="AL407" t="str">
        <f>"51.398246 36.074814, 51.38815 36.06583"</f>
        <v>51.398246 36.074814, 51.38815 36.06583</v>
      </c>
      <c r="AM407" t="str">
        <f>"20000008192097"</f>
        <v>20000008192097</v>
      </c>
    </row>
    <row r="408" spans="1:39" x14ac:dyDescent="0.25">
      <c r="A408">
        <v>907</v>
      </c>
      <c r="B408" t="str">
        <f t="shared" si="177"/>
        <v>Курск</v>
      </c>
      <c r="C408">
        <v>993143</v>
      </c>
      <c r="D408" t="str">
        <f t="shared" si="178"/>
        <v>Оптический кабель</v>
      </c>
      <c r="E408" t="str">
        <f>"[46/4419] М 5.7.57 - М 5.7.58"</f>
        <v>[46/4419] М 5.7.57 - М 5.7.58</v>
      </c>
      <c r="F408" t="str">
        <f t="shared" si="183"/>
        <v>ОКМС-8(G.652D) 7кН</v>
      </c>
      <c r="G408" t="str">
        <f>""</f>
        <v/>
      </c>
      <c r="H408" t="str">
        <f t="shared" si="184"/>
        <v>МС 5.7</v>
      </c>
      <c r="I408">
        <v>1334</v>
      </c>
      <c r="J408">
        <v>1510</v>
      </c>
      <c r="K408">
        <v>0</v>
      </c>
      <c r="M408" t="str">
        <f t="shared" si="185"/>
        <v>Опоры</v>
      </c>
      <c r="N408" t="str">
        <f t="shared" si="186"/>
        <v>13.01.20233</v>
      </c>
      <c r="O408">
        <v>8</v>
      </c>
      <c r="P408">
        <v>8</v>
      </c>
      <c r="Q408" t="str">
        <f>""</f>
        <v/>
      </c>
      <c r="R408" t="str">
        <f>""</f>
        <v/>
      </c>
      <c r="S408" t="str">
        <f t="shared" si="187"/>
        <v>13.01.2023</v>
      </c>
      <c r="T408" t="str">
        <f>"46/4419"</f>
        <v>46/4419</v>
      </c>
      <c r="U408" t="str">
        <f t="shared" si="174"/>
        <v>Магистральная ВОЛС</v>
      </c>
      <c r="V408" t="str">
        <f t="shared" si="188"/>
        <v>Нет</v>
      </c>
      <c r="W408" t="str">
        <f t="shared" si="175"/>
        <v>Нет</v>
      </c>
      <c r="X408" t="str">
        <f t="shared" si="182"/>
        <v>Нет</v>
      </c>
      <c r="Y408" t="str">
        <f t="shared" si="182"/>
        <v>Нет</v>
      </c>
      <c r="Z408" t="str">
        <f t="shared" si="189"/>
        <v>Нет</v>
      </c>
      <c r="AA408" t="str">
        <f>""</f>
        <v/>
      </c>
      <c r="AB408" t="str">
        <f t="shared" si="180"/>
        <v>Нет</v>
      </c>
      <c r="AC408" t="str">
        <f>""</f>
        <v/>
      </c>
      <c r="AD408" t="str">
        <f>""</f>
        <v/>
      </c>
      <c r="AE408" t="str">
        <f>""</f>
        <v/>
      </c>
      <c r="AF408" t="str">
        <f>"[821073] М 5.7.57"</f>
        <v>[821073] М 5.7.57</v>
      </c>
      <c r="AG408" t="str">
        <f>"[820037] М 5.7.58"</f>
        <v>[820037] М 5.7.58</v>
      </c>
      <c r="AH408" t="str">
        <f>""</f>
        <v/>
      </c>
      <c r="AI408" t="str">
        <f>""</f>
        <v/>
      </c>
      <c r="AJ408" t="str">
        <f>""</f>
        <v/>
      </c>
      <c r="AK408" t="str">
        <f t="shared" si="179"/>
        <v>Нет</v>
      </c>
      <c r="AL408" t="str">
        <f>"51.379504 36.053191, 51.38815 36.06583"</f>
        <v>51.379504 36.053191, 51.38815 36.06583</v>
      </c>
      <c r="AM408" t="str">
        <f>"20000008192093"</f>
        <v>20000008192093</v>
      </c>
    </row>
    <row r="409" spans="1:39" x14ac:dyDescent="0.25">
      <c r="A409">
        <v>907</v>
      </c>
      <c r="B409" t="str">
        <f t="shared" si="177"/>
        <v>Курск</v>
      </c>
      <c r="C409">
        <v>993185</v>
      </c>
      <c r="D409" t="str">
        <f t="shared" si="178"/>
        <v>Оптический кабель</v>
      </c>
      <c r="E409" t="str">
        <f>"[46/4420] М 5.7.57 - М 5.7.56"</f>
        <v>[46/4420] М 5.7.57 - М 5.7.56</v>
      </c>
      <c r="F409" t="str">
        <f t="shared" si="183"/>
        <v>ОКМС-8(G.652D) 7кН</v>
      </c>
      <c r="G409" t="str">
        <f>""</f>
        <v/>
      </c>
      <c r="H409" t="str">
        <f t="shared" si="184"/>
        <v>МС 5.7</v>
      </c>
      <c r="I409">
        <v>1789</v>
      </c>
      <c r="J409">
        <v>1865</v>
      </c>
      <c r="K409">
        <v>0</v>
      </c>
      <c r="M409" t="str">
        <f t="shared" si="185"/>
        <v>Опоры</v>
      </c>
      <c r="N409" t="str">
        <f t="shared" si="186"/>
        <v>13.01.20233</v>
      </c>
      <c r="O409">
        <v>8</v>
      </c>
      <c r="P409">
        <v>8</v>
      </c>
      <c r="Q409" t="str">
        <f>""</f>
        <v/>
      </c>
      <c r="R409" t="str">
        <f>""</f>
        <v/>
      </c>
      <c r="S409" t="str">
        <f t="shared" si="187"/>
        <v>13.01.2023</v>
      </c>
      <c r="T409" t="str">
        <f>"46/4420"</f>
        <v>46/4420</v>
      </c>
      <c r="U409" t="str">
        <f t="shared" si="174"/>
        <v>Магистральная ВОЛС</v>
      </c>
      <c r="V409" t="str">
        <f t="shared" si="188"/>
        <v>Нет</v>
      </c>
      <c r="W409" t="str">
        <f t="shared" ref="W409:W440" si="190">"Нет"</f>
        <v>Нет</v>
      </c>
      <c r="X409" t="str">
        <f t="shared" si="182"/>
        <v>Нет</v>
      </c>
      <c r="Y409" t="str">
        <f t="shared" si="182"/>
        <v>Нет</v>
      </c>
      <c r="Z409" t="str">
        <f t="shared" si="189"/>
        <v>Нет</v>
      </c>
      <c r="AA409" t="str">
        <f>""</f>
        <v/>
      </c>
      <c r="AB409" t="str">
        <f t="shared" si="180"/>
        <v>Нет</v>
      </c>
      <c r="AC409" t="str">
        <f>""</f>
        <v/>
      </c>
      <c r="AD409" t="str">
        <f>""</f>
        <v/>
      </c>
      <c r="AE409" t="str">
        <f>""</f>
        <v/>
      </c>
      <c r="AF409" t="str">
        <f>"[821073] М 5.7.57"</f>
        <v>[821073] М 5.7.57</v>
      </c>
      <c r="AG409" t="str">
        <f>"[820814] М 5.7.56"</f>
        <v>[820814] М 5.7.56</v>
      </c>
      <c r="AH409" t="str">
        <f>""</f>
        <v/>
      </c>
      <c r="AI409" t="str">
        <f>""</f>
        <v/>
      </c>
      <c r="AJ409" t="str">
        <f>""</f>
        <v/>
      </c>
      <c r="AK409" t="str">
        <f t="shared" si="179"/>
        <v>Нет</v>
      </c>
      <c r="AL409" t="str">
        <f>"51.379504 36.053191, 51.378149 36.030059"</f>
        <v>51.379504 36.053191, 51.378149 36.030059</v>
      </c>
      <c r="AM409" t="str">
        <f>"20000008192094"</f>
        <v>20000008192094</v>
      </c>
    </row>
    <row r="410" spans="1:39" x14ac:dyDescent="0.25">
      <c r="A410">
        <v>907</v>
      </c>
      <c r="B410" t="str">
        <f t="shared" si="177"/>
        <v>Курск</v>
      </c>
      <c r="C410">
        <v>993249</v>
      </c>
      <c r="D410" t="str">
        <f t="shared" si="178"/>
        <v>Оптический кабель</v>
      </c>
      <c r="E410" t="str">
        <f>"[46/4421] М 5.7.56 - ГОК5.7.2.1 Нижний Реутец с, Медвенский р-н (Курская обл), Центральная Ул, 84  п. 1"</f>
        <v>[46/4421] М 5.7.56 - ГОК5.7.2.1 Нижний Реутец с, Медвенский р-н (Курская обл), Центральная Ул, 84  п. 1</v>
      </c>
      <c r="F410" t="str">
        <f>"ОКМС-24(G.652.D) 7кН (Син,Ор,Зел,..,Кр,Чер)"</f>
        <v>ОКМС-24(G.652.D) 7кН (Син,Ор,Зел,..,Кр,Чер)</v>
      </c>
      <c r="G410" t="str">
        <f>""</f>
        <v/>
      </c>
      <c r="H410" t="str">
        <f t="shared" si="184"/>
        <v>МС 5.7</v>
      </c>
      <c r="I410">
        <v>151</v>
      </c>
      <c r="J410">
        <v>200</v>
      </c>
      <c r="K410">
        <v>0</v>
      </c>
      <c r="M410" t="str">
        <f t="shared" si="185"/>
        <v>Опоры</v>
      </c>
      <c r="N410" t="str">
        <f t="shared" si="186"/>
        <v>13.01.20233</v>
      </c>
      <c r="O410">
        <v>16</v>
      </c>
      <c r="P410">
        <v>16</v>
      </c>
      <c r="Q410" t="str">
        <f>""</f>
        <v/>
      </c>
      <c r="R410" t="str">
        <f>"Нижний Реутец с, Медвенский р-н (Курская обл), Центральная Ул, 84"</f>
        <v>Нижний Реутец с, Медвенский р-н (Курская обл), Центральная Ул, 84</v>
      </c>
      <c r="S410" t="str">
        <f t="shared" si="187"/>
        <v>13.01.2023</v>
      </c>
      <c r="T410" t="str">
        <f>"46/4421"</f>
        <v>46/4421</v>
      </c>
      <c r="U410" t="str">
        <f t="shared" si="174"/>
        <v>Магистральная ВОЛС</v>
      </c>
      <c r="V410" t="str">
        <f t="shared" si="188"/>
        <v>Нет</v>
      </c>
      <c r="W410" t="str">
        <f t="shared" si="190"/>
        <v>Нет</v>
      </c>
      <c r="X410" t="str">
        <f t="shared" si="182"/>
        <v>Нет</v>
      </c>
      <c r="Y410" t="str">
        <f t="shared" si="182"/>
        <v>Нет</v>
      </c>
      <c r="Z410" t="str">
        <f t="shared" si="189"/>
        <v>Нет</v>
      </c>
      <c r="AA410" t="str">
        <f>""</f>
        <v/>
      </c>
      <c r="AB410" t="str">
        <f t="shared" si="180"/>
        <v>Нет</v>
      </c>
      <c r="AC410" t="str">
        <f>""</f>
        <v/>
      </c>
      <c r="AD410" t="str">
        <f>""</f>
        <v/>
      </c>
      <c r="AE410" t="str">
        <f>""</f>
        <v/>
      </c>
      <c r="AF410" t="str">
        <f>"[820814] М 5.7.56"</f>
        <v>[820814] М 5.7.56</v>
      </c>
      <c r="AG410" t="str">
        <f>"[821332] ГОК5.7.2.1 Нижний Реутец с, Медвенский р-н (Курская обл), Центральная Ул, 84  п. 1"</f>
        <v>[821332] ГОК5.7.2.1 Нижний Реутец с, Медвенский р-н (Курская обл), Центральная Ул, 84  п. 1</v>
      </c>
      <c r="AH410" t="str">
        <f>""</f>
        <v/>
      </c>
      <c r="AI410" t="str">
        <f>""</f>
        <v/>
      </c>
      <c r="AJ410" t="str">
        <f>""</f>
        <v/>
      </c>
      <c r="AK410" t="str">
        <f t="shared" si="179"/>
        <v>Нет</v>
      </c>
      <c r="AL410" t="str">
        <f>"51.378149 36.030059, 51.379024 36.028542"</f>
        <v>51.378149 36.030059, 51.379024 36.028542</v>
      </c>
      <c r="AM410" t="str">
        <f>"20000008192095"</f>
        <v>20000008192095</v>
      </c>
    </row>
    <row r="411" spans="1:39" x14ac:dyDescent="0.25">
      <c r="A411">
        <v>907</v>
      </c>
      <c r="B411" t="str">
        <f t="shared" si="177"/>
        <v>Курск</v>
      </c>
      <c r="C411">
        <v>993317</v>
      </c>
      <c r="D411" t="str">
        <f t="shared" si="178"/>
        <v>Оптический кабель</v>
      </c>
      <c r="E411" t="str">
        <f>"[46/4423] ТОК1.1 Курск, Добролюбова, 22 а п.  - ТОК2.1 Курск, Добролюбова, 22 а п. "</f>
        <v xml:space="preserve">[46/4423] ТОК1.1 Курск, Добролюбова, 22 а п.  - ТОК2.1 Курск, Добролюбова, 22 а п. </v>
      </c>
      <c r="F411" t="str">
        <f>"ОКМС-24(G.652.D) 7кН (Син,Ор,Зел,..,Кр,Чер)"</f>
        <v>ОКМС-24(G.652.D) 7кН (Син,Ор,Зел,..,Кр,Чер)</v>
      </c>
      <c r="G411" t="str">
        <f>""</f>
        <v/>
      </c>
      <c r="H411" t="str">
        <f>"МС 1.1"</f>
        <v>МС 1.1</v>
      </c>
      <c r="I411">
        <v>12</v>
      </c>
      <c r="J411">
        <v>50</v>
      </c>
      <c r="K411">
        <v>0</v>
      </c>
      <c r="M411" t="str">
        <f>"Внутри объектов"</f>
        <v>Внутри объектов</v>
      </c>
      <c r="N411" t="str">
        <f t="shared" si="186"/>
        <v>13.01.20233</v>
      </c>
      <c r="O411">
        <v>24</v>
      </c>
      <c r="P411">
        <v>24</v>
      </c>
      <c r="Q411" t="str">
        <f>"Курск, Добролюбова, 22 а"</f>
        <v>Курск, Добролюбова, 22 а</v>
      </c>
      <c r="R411" t="str">
        <f>"Курск, Добролюбова, 22 а"</f>
        <v>Курск, Добролюбова, 22 а</v>
      </c>
      <c r="S411" t="str">
        <f t="shared" si="187"/>
        <v>13.01.2023</v>
      </c>
      <c r="T411" t="str">
        <f>"46/4423"</f>
        <v>46/4423</v>
      </c>
      <c r="U411" t="str">
        <f t="shared" si="174"/>
        <v>Магистральная ВОЛС</v>
      </c>
      <c r="V411" t="str">
        <f t="shared" si="188"/>
        <v>Нет</v>
      </c>
      <c r="W411" t="str">
        <f t="shared" si="190"/>
        <v>Нет</v>
      </c>
      <c r="X411" t="str">
        <f t="shared" si="182"/>
        <v>Нет</v>
      </c>
      <c r="Y411" t="str">
        <f t="shared" si="182"/>
        <v>Нет</v>
      </c>
      <c r="Z411" t="str">
        <f t="shared" si="189"/>
        <v>Нет</v>
      </c>
      <c r="AA411" t="str">
        <f>""</f>
        <v/>
      </c>
      <c r="AB411" t="str">
        <f t="shared" si="180"/>
        <v>Нет</v>
      </c>
      <c r="AC411" t="str">
        <f>""</f>
        <v/>
      </c>
      <c r="AD411" t="str">
        <f>""</f>
        <v/>
      </c>
      <c r="AE411" t="str">
        <f>""</f>
        <v/>
      </c>
      <c r="AF411" t="str">
        <f>"[821414] ТОК1.1 Курск, Добролюбова, 22 а п."</f>
        <v>[821414] ТОК1.1 Курск, Добролюбова, 22 а п.</v>
      </c>
      <c r="AG411" t="str">
        <f>"[821385] ТОК2.1 Курск, Добролюбова, 22 а п."</f>
        <v>[821385] ТОК2.1 Курск, Добролюбова, 22 а п.</v>
      </c>
      <c r="AH411" t="str">
        <f>""</f>
        <v/>
      </c>
      <c r="AI411" t="str">
        <f>""</f>
        <v/>
      </c>
      <c r="AJ411" t="str">
        <f>""</f>
        <v/>
      </c>
      <c r="AK411" t="str">
        <f t="shared" si="179"/>
        <v>Нет</v>
      </c>
      <c r="AL411" t="str">
        <f>"51.723526 36.188282, 51.723428 36.188366"</f>
        <v>51.723526 36.188282, 51.723428 36.188366</v>
      </c>
      <c r="AM411" t="str">
        <f>"20000008192096"</f>
        <v>20000008192096</v>
      </c>
    </row>
    <row r="412" spans="1:39" x14ac:dyDescent="0.25">
      <c r="A412">
        <v>907</v>
      </c>
      <c r="B412" t="str">
        <f t="shared" si="177"/>
        <v>Курск</v>
      </c>
      <c r="C412">
        <v>995033</v>
      </c>
      <c r="D412" t="str">
        <f t="shared" si="178"/>
        <v>Оптический кабель</v>
      </c>
      <c r="E412" t="str">
        <f>"[46/4439] М 1.2.12 - М 1.2.13"</f>
        <v>[46/4439] М 1.2.12 - М 1.2.13</v>
      </c>
      <c r="F412" t="str">
        <f>"ДПТа-П-64А 6(6) 7кН (Кр,Жел,Зел,..,8-Фиол,9-Бел,..,Бир,Роз)"</f>
        <v>ДПТа-П-64А 6(6) 7кН (Кр,Жел,Зел,..,8-Фиол,9-Бел,..,Бир,Роз)</v>
      </c>
      <c r="G412" t="str">
        <f>""</f>
        <v/>
      </c>
      <c r="H412" t="str">
        <f>"МС 1.2"</f>
        <v>МС 1.2</v>
      </c>
      <c r="I412">
        <v>51</v>
      </c>
      <c r="J412">
        <v>49.07</v>
      </c>
      <c r="K412">
        <v>0</v>
      </c>
      <c r="L412">
        <v>48.91</v>
      </c>
      <c r="M412" t="str">
        <f>"Опоры"</f>
        <v>Опоры</v>
      </c>
      <c r="N412" t="str">
        <f>"13.03.20233"</f>
        <v>13.03.20233</v>
      </c>
      <c r="O412">
        <v>64</v>
      </c>
      <c r="P412">
        <v>64</v>
      </c>
      <c r="Q412" t="str">
        <f>""</f>
        <v/>
      </c>
      <c r="R412" t="str">
        <f>""</f>
        <v/>
      </c>
      <c r="S412" t="str">
        <f>""</f>
        <v/>
      </c>
      <c r="T412" t="str">
        <f>"46/4439"</f>
        <v>46/4439</v>
      </c>
      <c r="U412" t="str">
        <f t="shared" si="174"/>
        <v>Магистральная ВОЛС</v>
      </c>
      <c r="V412" t="str">
        <f t="shared" si="188"/>
        <v>Нет</v>
      </c>
      <c r="W412" t="str">
        <f t="shared" si="190"/>
        <v>Нет</v>
      </c>
      <c r="X412" t="str">
        <f t="shared" si="182"/>
        <v>Нет</v>
      </c>
      <c r="Y412" t="str">
        <f t="shared" si="182"/>
        <v>Нет</v>
      </c>
      <c r="Z412" t="str">
        <f t="shared" si="189"/>
        <v>Нет</v>
      </c>
      <c r="AA412" t="str">
        <f>""</f>
        <v/>
      </c>
      <c r="AB412" t="str">
        <f t="shared" si="180"/>
        <v>Нет</v>
      </c>
      <c r="AC412" t="str">
        <f>"М 1.2.7 - Соединительная муфта"</f>
        <v>М 1.2.7 - Соединительная муфта</v>
      </c>
      <c r="AD412" t="str">
        <f>"02.09.2011"</f>
        <v>02.09.2011</v>
      </c>
      <c r="AE412" t="str">
        <f>"ООО ""Элпек"""</f>
        <v>ООО "Элпек"</v>
      </c>
      <c r="AF412" t="str">
        <f>"[832919] М 1.2.12"</f>
        <v>[832919] М 1.2.12</v>
      </c>
      <c r="AG412" t="str">
        <f>"[833178] М 1.2.13"</f>
        <v>[833178] М 1.2.13</v>
      </c>
      <c r="AH412" t="str">
        <f>"М 1.2.7"</f>
        <v>М 1.2.7</v>
      </c>
      <c r="AI412" t="str">
        <f>"Соединительная муфта"</f>
        <v>Соединительная муфта</v>
      </c>
      <c r="AJ412" t="str">
        <f>""</f>
        <v/>
      </c>
      <c r="AK412" t="str">
        <f t="shared" si="179"/>
        <v>Нет</v>
      </c>
      <c r="AL412" t="str">
        <f>"51.703624 36.156218, 51.703551 36.156948"</f>
        <v>51.703624 36.156218, 51.703551 36.156948</v>
      </c>
      <c r="AM412" t="str">
        <f>"20000008310485"</f>
        <v>20000008310485</v>
      </c>
    </row>
    <row r="413" spans="1:39" x14ac:dyDescent="0.25">
      <c r="A413">
        <v>907</v>
      </c>
      <c r="B413" t="str">
        <f t="shared" si="177"/>
        <v>Курск</v>
      </c>
      <c r="C413">
        <v>995120</v>
      </c>
      <c r="D413" t="str">
        <f t="shared" si="178"/>
        <v>Оптический кабель</v>
      </c>
      <c r="E413" t="str">
        <f>"[46/4440] М 1.2.13 - М 1.2.8"</f>
        <v>[46/4440] М 1.2.13 - М 1.2.8</v>
      </c>
      <c r="F413" t="str">
        <f>"ДПТа-П-64А 6(6) 7кН (Кр,Жел,Зел,..,8-Фиол,9-Бел,..,Бир,Роз)"</f>
        <v>ДПТа-П-64А 6(6) 7кН (Кр,Жел,Зел,..,8-Фиол,9-Бел,..,Бир,Роз)</v>
      </c>
      <c r="G413" t="str">
        <f>""</f>
        <v/>
      </c>
      <c r="H413" t="str">
        <f>"МС 1.2"</f>
        <v>МС 1.2</v>
      </c>
      <c r="I413">
        <v>126</v>
      </c>
      <c r="J413">
        <v>126.93</v>
      </c>
      <c r="K413">
        <v>6</v>
      </c>
      <c r="L413">
        <v>126.52</v>
      </c>
      <c r="M413" t="str">
        <f>"Опоры"</f>
        <v>Опоры</v>
      </c>
      <c r="N413" t="str">
        <f>"13.03.20233"</f>
        <v>13.03.20233</v>
      </c>
      <c r="O413">
        <v>64</v>
      </c>
      <c r="P413">
        <v>64</v>
      </c>
      <c r="Q413" t="str">
        <f>""</f>
        <v/>
      </c>
      <c r="R413" t="str">
        <f>""</f>
        <v/>
      </c>
      <c r="S413" t="str">
        <f>""</f>
        <v/>
      </c>
      <c r="T413" t="str">
        <f>"46/4440"</f>
        <v>46/4440</v>
      </c>
      <c r="U413" t="str">
        <f t="shared" si="174"/>
        <v>Магистральная ВОЛС</v>
      </c>
      <c r="V413" t="str">
        <f t="shared" si="188"/>
        <v>Нет</v>
      </c>
      <c r="W413" t="str">
        <f t="shared" si="190"/>
        <v>Нет</v>
      </c>
      <c r="X413" t="str">
        <f t="shared" si="182"/>
        <v>Нет</v>
      </c>
      <c r="Y413" t="str">
        <f t="shared" si="182"/>
        <v>Нет</v>
      </c>
      <c r="Z413" t="str">
        <f t="shared" si="189"/>
        <v>Нет</v>
      </c>
      <c r="AA413" t="str">
        <f>""</f>
        <v/>
      </c>
      <c r="AB413" t="str">
        <f t="shared" si="180"/>
        <v>Нет</v>
      </c>
      <c r="AC413" t="str">
        <f>"М 1.2.7 - Соединительная муфта"</f>
        <v>М 1.2.7 - Соединительная муфта</v>
      </c>
      <c r="AD413" t="str">
        <f>"02.09.2011"</f>
        <v>02.09.2011</v>
      </c>
      <c r="AE413" t="str">
        <f>"ООО ""Элпек"""</f>
        <v>ООО "Элпек"</v>
      </c>
      <c r="AF413" t="str">
        <f>"[833178] М 1.2.13"</f>
        <v>[833178] М 1.2.13</v>
      </c>
      <c r="AG413" t="str">
        <f>"[266731] М 1.2.8"</f>
        <v>[266731] М 1.2.8</v>
      </c>
      <c r="AH413" t="str">
        <f>"М 1.2.7"</f>
        <v>М 1.2.7</v>
      </c>
      <c r="AI413" t="str">
        <f>"Соединительная муфта"</f>
        <v>Соединительная муфта</v>
      </c>
      <c r="AJ413" t="str">
        <f>""</f>
        <v/>
      </c>
      <c r="AK413" t="str">
        <f t="shared" si="179"/>
        <v>Нет</v>
      </c>
      <c r="AL413" t="str">
        <f>"51.703551 36.156948, 51.703125 36.158634"</f>
        <v>51.703551 36.156948, 51.703125 36.158634</v>
      </c>
      <c r="AM413" t="str">
        <f>"20000008310484"</f>
        <v>20000008310484</v>
      </c>
    </row>
    <row r="414" spans="1:39" x14ac:dyDescent="0.25">
      <c r="A414">
        <v>907</v>
      </c>
      <c r="B414" t="str">
        <f t="shared" si="177"/>
        <v>Курск</v>
      </c>
      <c r="C414">
        <v>996120</v>
      </c>
      <c r="D414" t="str">
        <f t="shared" si="178"/>
        <v>Оптический кабель</v>
      </c>
      <c r="E414" t="str">
        <f>"[46/4441] ТОК2.2 Курск, Добролюбова, 22 а п.  - ТОК1.2 Курск, Добролюбова, 22 а п. "</f>
        <v xml:space="preserve">[46/4441] ТОК2.2 Курск, Добролюбова, 22 а п.  - ТОК1.2 Курск, Добролюбова, 22 а п. </v>
      </c>
      <c r="F414" t="str">
        <f>"ОКМС-24(G.652.D) 7кН (Син,Ор,Зел,..,Кр,Чер)"</f>
        <v>ОКМС-24(G.652.D) 7кН (Син,Ор,Зел,..,Кр,Чер)</v>
      </c>
      <c r="G414" t="str">
        <f>""</f>
        <v/>
      </c>
      <c r="H414" t="str">
        <f>"МС 1.1"</f>
        <v>МС 1.1</v>
      </c>
      <c r="I414">
        <v>12</v>
      </c>
      <c r="J414">
        <v>50</v>
      </c>
      <c r="K414">
        <v>0</v>
      </c>
      <c r="M414" t="str">
        <f>"Внутри объектов"</f>
        <v>Внутри объектов</v>
      </c>
      <c r="N414" t="str">
        <f>"27.04.20233"</f>
        <v>27.04.20233</v>
      </c>
      <c r="O414">
        <v>24</v>
      </c>
      <c r="P414">
        <v>24</v>
      </c>
      <c r="Q414" t="str">
        <f>"Курск, Добролюбова, 22 а"</f>
        <v>Курск, Добролюбова, 22 а</v>
      </c>
      <c r="R414" t="str">
        <f>"Курск, Добролюбова, 22 а"</f>
        <v>Курск, Добролюбова, 22 а</v>
      </c>
      <c r="S414" t="str">
        <f>"27.04.2023"</f>
        <v>27.04.2023</v>
      </c>
      <c r="T414" t="str">
        <f>"46/4441"</f>
        <v>46/4441</v>
      </c>
      <c r="U414" t="str">
        <f t="shared" si="174"/>
        <v>Магистральная ВОЛС</v>
      </c>
      <c r="V414" t="str">
        <f t="shared" si="188"/>
        <v>Нет</v>
      </c>
      <c r="W414" t="str">
        <f t="shared" si="190"/>
        <v>Нет</v>
      </c>
      <c r="X414" t="str">
        <f t="shared" si="182"/>
        <v>Нет</v>
      </c>
      <c r="Y414" t="str">
        <f t="shared" si="182"/>
        <v>Нет</v>
      </c>
      <c r="Z414" t="str">
        <f t="shared" si="189"/>
        <v>Нет</v>
      </c>
      <c r="AA414" t="str">
        <f>""</f>
        <v/>
      </c>
      <c r="AB414" t="str">
        <f t="shared" si="180"/>
        <v>Нет</v>
      </c>
      <c r="AC414" t="str">
        <f>""</f>
        <v/>
      </c>
      <c r="AD414" t="str">
        <f>""</f>
        <v/>
      </c>
      <c r="AE414" t="str">
        <f>""</f>
        <v/>
      </c>
      <c r="AF414" t="str">
        <f>"[840028] ТОК2.2 Курск, Добролюбова, 22 а п."</f>
        <v>[840028] ТОК2.2 Курск, Добролюбова, 22 а п.</v>
      </c>
      <c r="AG414" t="str">
        <f>"[839999] ТОК1.2 Курск, Добролюбова, 22 а п."</f>
        <v>[839999] ТОК1.2 Курск, Добролюбова, 22 а п.</v>
      </c>
      <c r="AH414" t="str">
        <f>""</f>
        <v/>
      </c>
      <c r="AI414" t="str">
        <f>""</f>
        <v/>
      </c>
      <c r="AJ414" t="str">
        <f>""</f>
        <v/>
      </c>
      <c r="AK414" t="str">
        <f t="shared" si="179"/>
        <v>Нет</v>
      </c>
      <c r="AL414" t="str">
        <f>"51.723427 36.188359, 51.723524 36.188273"</f>
        <v>51.723427 36.188359, 51.723524 36.188273</v>
      </c>
      <c r="AM414" t="str">
        <f>"20000008423118"</f>
        <v>20000008423118</v>
      </c>
    </row>
    <row r="415" spans="1:39" x14ac:dyDescent="0.25">
      <c r="A415">
        <v>907</v>
      </c>
      <c r="B415" t="str">
        <f t="shared" si="177"/>
        <v>Курск</v>
      </c>
      <c r="C415">
        <v>997040</v>
      </c>
      <c r="D415" t="str">
        <f t="shared" si="178"/>
        <v>Оптический кабель</v>
      </c>
      <c r="E415" t="str">
        <f>"[46/4459] Т3.9 - Т3.4"</f>
        <v>[46/4459] Т3.9 - Т3.4</v>
      </c>
      <c r="F415" t="str">
        <f>"ДПТа-П-64А 6(6) 7кН (Кр,Жел,Зел,..,8-Фиол,9-Бел,..,Бир,Роз)"</f>
        <v>ДПТа-П-64А 6(6) 7кН (Кр,Жел,Зел,..,8-Фиол,9-Бел,..,Бир,Роз)</v>
      </c>
      <c r="G415" t="str">
        <f>""</f>
        <v/>
      </c>
      <c r="H415" t="str">
        <f>"ТС"</f>
        <v>ТС</v>
      </c>
      <c r="I415">
        <v>809</v>
      </c>
      <c r="J415">
        <v>3666</v>
      </c>
      <c r="K415">
        <v>50</v>
      </c>
      <c r="L415">
        <v>876.27</v>
      </c>
      <c r="M415" t="str">
        <f t="shared" ref="M415:M423" si="191">"Опоры"</f>
        <v>Опоры</v>
      </c>
      <c r="N415" t="str">
        <f>"12.07.20233"</f>
        <v>12.07.20233</v>
      </c>
      <c r="O415">
        <v>64</v>
      </c>
      <c r="P415">
        <v>64</v>
      </c>
      <c r="Q415" t="str">
        <f>""</f>
        <v/>
      </c>
      <c r="R415" t="str">
        <f>""</f>
        <v/>
      </c>
      <c r="S415" t="str">
        <f>""</f>
        <v/>
      </c>
      <c r="T415" t="str">
        <f>"46/4459"</f>
        <v>46/4459</v>
      </c>
      <c r="U415" t="str">
        <f>"Транспортная ВОЛС"</f>
        <v>Транспортная ВОЛС</v>
      </c>
      <c r="V415" t="str">
        <f t="shared" si="188"/>
        <v>Нет</v>
      </c>
      <c r="W415" t="str">
        <f t="shared" si="190"/>
        <v>Нет</v>
      </c>
      <c r="X415" t="str">
        <f t="shared" si="182"/>
        <v>Нет</v>
      </c>
      <c r="Y415" t="str">
        <f t="shared" si="182"/>
        <v>Нет</v>
      </c>
      <c r="Z415" t="str">
        <f t="shared" si="189"/>
        <v>Нет</v>
      </c>
      <c r="AA415" t="str">
        <f>""</f>
        <v/>
      </c>
      <c r="AB415" t="str">
        <f t="shared" si="180"/>
        <v>Нет</v>
      </c>
      <c r="AC415" t="str">
        <f>"Т3.3 - Т3.4"</f>
        <v>Т3.3 - Т3.4</v>
      </c>
      <c r="AD415" t="str">
        <f>"02.02.2012"</f>
        <v>02.02.2012</v>
      </c>
      <c r="AE415" t="str">
        <f>""</f>
        <v/>
      </c>
      <c r="AF415" t="str">
        <f>"[845455] Т3.9"</f>
        <v>[845455] Т3.9</v>
      </c>
      <c r="AG415" t="str">
        <f>"[469454] Т3.4"</f>
        <v>[469454] Т3.4</v>
      </c>
      <c r="AH415" t="str">
        <f>"Т3.3"</f>
        <v>Т3.3</v>
      </c>
      <c r="AI415" t="str">
        <f>"Т3.4"</f>
        <v>Т3.4</v>
      </c>
      <c r="AJ415" t="str">
        <f>""</f>
        <v/>
      </c>
      <c r="AK415" t="str">
        <f t="shared" si="179"/>
        <v>Нет</v>
      </c>
      <c r="AL415" t="str">
        <f>"51.682213 36.150053, 51.675453 36.145749"</f>
        <v>51.682213 36.150053, 51.675453 36.145749</v>
      </c>
      <c r="AM415" t="str">
        <f>"20000008502170"</f>
        <v>20000008502170</v>
      </c>
    </row>
    <row r="416" spans="1:39" x14ac:dyDescent="0.25">
      <c r="A416">
        <v>907</v>
      </c>
      <c r="B416" t="str">
        <f t="shared" si="177"/>
        <v>Курск</v>
      </c>
      <c r="C416">
        <v>997157</v>
      </c>
      <c r="D416" t="str">
        <f t="shared" si="178"/>
        <v>Оптический кабель</v>
      </c>
      <c r="E416" t="str">
        <f>"[46/4460] Т 6.9 - Т 6.10"</f>
        <v>[46/4460] Т 6.9 - Т 6.10</v>
      </c>
      <c r="F416" t="str">
        <f>"ОКМС-64 (G.652.D) 7кН (Мод:Кр,Жел, 4Нат)"</f>
        <v>ОКМС-64 (G.652.D) 7кН (Мод:Кр,Жел, 4Нат)</v>
      </c>
      <c r="G416" t="str">
        <f>""</f>
        <v/>
      </c>
      <c r="H416" t="str">
        <f>"ТС"</f>
        <v>ТС</v>
      </c>
      <c r="I416">
        <v>116</v>
      </c>
      <c r="J416">
        <v>2315.84</v>
      </c>
      <c r="K416">
        <v>0</v>
      </c>
      <c r="L416">
        <v>135.19999999999999</v>
      </c>
      <c r="M416" t="str">
        <f t="shared" si="191"/>
        <v>Опоры</v>
      </c>
      <c r="N416" t="str">
        <f>"12.07.20233"</f>
        <v>12.07.20233</v>
      </c>
      <c r="O416">
        <v>64</v>
      </c>
      <c r="P416">
        <v>64</v>
      </c>
      <c r="Q416" t="str">
        <f>""</f>
        <v/>
      </c>
      <c r="R416" t="str">
        <f>""</f>
        <v/>
      </c>
      <c r="S416" t="str">
        <f>"11.12.2019"</f>
        <v>11.12.2019</v>
      </c>
      <c r="T416" t="str">
        <f>"46/4460"</f>
        <v>46/4460</v>
      </c>
      <c r="U416" t="str">
        <f>"Транспортная ВОЛС"</f>
        <v>Транспортная ВОЛС</v>
      </c>
      <c r="V416" t="str">
        <f t="shared" si="188"/>
        <v>Нет</v>
      </c>
      <c r="W416" t="str">
        <f t="shared" si="190"/>
        <v>Нет</v>
      </c>
      <c r="X416" t="str">
        <f t="shared" ref="X416:Y435" si="192">"Нет"</f>
        <v>Нет</v>
      </c>
      <c r="Y416" t="str">
        <f t="shared" si="192"/>
        <v>Нет</v>
      </c>
      <c r="Z416" t="str">
        <f>"Да"</f>
        <v>Да</v>
      </c>
      <c r="AA416" t="str">
        <f>""</f>
        <v/>
      </c>
      <c r="AB416" t="str">
        <f t="shared" si="180"/>
        <v>Нет</v>
      </c>
      <c r="AC416" t="str">
        <f>""</f>
        <v/>
      </c>
      <c r="AD416" t="str">
        <f>""</f>
        <v/>
      </c>
      <c r="AE416" t="str">
        <f>""</f>
        <v/>
      </c>
      <c r="AF416" t="str">
        <f>"[845196] Т 6.9"</f>
        <v>[845196] Т 6.9</v>
      </c>
      <c r="AG416" t="str">
        <f>"[845714] Т 6.10"</f>
        <v>[845714] Т 6.10</v>
      </c>
      <c r="AH416" t="str">
        <f>""</f>
        <v/>
      </c>
      <c r="AI416" t="str">
        <f>""</f>
        <v/>
      </c>
      <c r="AJ416" t="str">
        <f>""</f>
        <v/>
      </c>
      <c r="AK416" t="str">
        <f t="shared" si="179"/>
        <v>Нет</v>
      </c>
      <c r="AL416" t="str">
        <f>"51.721303 36.209217, 51.721654 36.210776"</f>
        <v>51.721303 36.209217, 51.721654 36.210776</v>
      </c>
      <c r="AM416" t="str">
        <f>"20000008502173"</f>
        <v>20000008502173</v>
      </c>
    </row>
    <row r="417" spans="1:39" x14ac:dyDescent="0.25">
      <c r="A417">
        <v>907</v>
      </c>
      <c r="B417" t="str">
        <f t="shared" si="177"/>
        <v>Курск</v>
      </c>
      <c r="C417">
        <v>997304</v>
      </c>
      <c r="D417" t="str">
        <f t="shared" si="178"/>
        <v>Оптический кабель</v>
      </c>
      <c r="E417" t="str">
        <f>"[46/4461] Т 6.10 - Т 6.3"</f>
        <v>[46/4461] Т 6.10 - Т 6.3</v>
      </c>
      <c r="F417" t="str">
        <f>"ОКМС-64 (G.652.D) 7кН (Мод:Кр,Жел, 4Нат)"</f>
        <v>ОКМС-64 (G.652.D) 7кН (Мод:Кр,Жел, 4Нат)</v>
      </c>
      <c r="G417" t="str">
        <f>""</f>
        <v/>
      </c>
      <c r="H417" t="str">
        <f>"ТС"</f>
        <v>ТС</v>
      </c>
      <c r="I417">
        <v>1115</v>
      </c>
      <c r="J417">
        <v>2315.84</v>
      </c>
      <c r="K417">
        <v>15</v>
      </c>
      <c r="L417">
        <v>1311.49</v>
      </c>
      <c r="M417" t="str">
        <f t="shared" si="191"/>
        <v>Опоры</v>
      </c>
      <c r="N417" t="str">
        <f>"12.07.20233"</f>
        <v>12.07.20233</v>
      </c>
      <c r="O417">
        <v>64</v>
      </c>
      <c r="P417">
        <v>64</v>
      </c>
      <c r="Q417" t="str">
        <f>""</f>
        <v/>
      </c>
      <c r="R417" t="str">
        <f>""</f>
        <v/>
      </c>
      <c r="S417" t="str">
        <f>"11.12.2019"</f>
        <v>11.12.2019</v>
      </c>
      <c r="T417" t="str">
        <f>"46/4461"</f>
        <v>46/4461</v>
      </c>
      <c r="U417" t="str">
        <f>"Транспортная ВОЛС"</f>
        <v>Транспортная ВОЛС</v>
      </c>
      <c r="V417" t="str">
        <f t="shared" si="188"/>
        <v>Нет</v>
      </c>
      <c r="W417" t="str">
        <f t="shared" si="190"/>
        <v>Нет</v>
      </c>
      <c r="X417" t="str">
        <f t="shared" si="192"/>
        <v>Нет</v>
      </c>
      <c r="Y417" t="str">
        <f t="shared" si="192"/>
        <v>Нет</v>
      </c>
      <c r="Z417" t="str">
        <f>"Да"</f>
        <v>Да</v>
      </c>
      <c r="AA417" t="str">
        <f>""</f>
        <v/>
      </c>
      <c r="AB417" t="str">
        <f t="shared" si="180"/>
        <v>Нет</v>
      </c>
      <c r="AC417" t="str">
        <f>""</f>
        <v/>
      </c>
      <c r="AD417" t="str">
        <f>""</f>
        <v/>
      </c>
      <c r="AE417" t="str">
        <f>""</f>
        <v/>
      </c>
      <c r="AF417" t="str">
        <f>"[845714] Т 6.10"</f>
        <v>[845714] Т 6.10</v>
      </c>
      <c r="AG417" t="str">
        <f>"[632739] Т 6.3"</f>
        <v>[632739] Т 6.3</v>
      </c>
      <c r="AH417" t="str">
        <f>""</f>
        <v/>
      </c>
      <c r="AI417" t="str">
        <f>""</f>
        <v/>
      </c>
      <c r="AJ417" t="str">
        <f>""</f>
        <v/>
      </c>
      <c r="AK417" t="str">
        <f t="shared" si="179"/>
        <v>Нет</v>
      </c>
      <c r="AL417" t="str">
        <f>"51.721654 36.210776, 51.728415 36.221948"</f>
        <v>51.721654 36.210776, 51.728415 36.221948</v>
      </c>
      <c r="AM417" t="str">
        <f>"20000008502171"</f>
        <v>20000008502171</v>
      </c>
    </row>
    <row r="418" spans="1:39" x14ac:dyDescent="0.25">
      <c r="A418">
        <v>907</v>
      </c>
      <c r="B418" t="str">
        <f t="shared" si="177"/>
        <v>Курск</v>
      </c>
      <c r="C418">
        <v>997447</v>
      </c>
      <c r="D418" t="str">
        <f t="shared" si="178"/>
        <v>Оптический кабель</v>
      </c>
      <c r="E418" t="str">
        <f>"[46/4462] М1.2.14 - М 1.1.8"</f>
        <v>[46/4462] М1.2.14 - М 1.1.8</v>
      </c>
      <c r="F418" t="str">
        <f>"ДПТа-П-64А 6(6) 7кН (Кр,Жел,Зел,..,8-Фиол,9-Бел,..,Бир,Роз)"</f>
        <v>ДПТа-П-64А 6(6) 7кН (Кр,Жел,Зел,..,8-Фиол,9-Бел,..,Бир,Роз)</v>
      </c>
      <c r="G418" t="str">
        <f>""</f>
        <v/>
      </c>
      <c r="H418" t="str">
        <f>"МС 1.2"</f>
        <v>МС 1.2</v>
      </c>
      <c r="I418">
        <v>995</v>
      </c>
      <c r="J418">
        <v>1360</v>
      </c>
      <c r="K418">
        <v>60</v>
      </c>
      <c r="L418">
        <v>1126.29</v>
      </c>
      <c r="M418" t="str">
        <f t="shared" si="191"/>
        <v>Опоры</v>
      </c>
      <c r="N418" t="str">
        <f>"12.07.20233"</f>
        <v>12.07.20233</v>
      </c>
      <c r="O418">
        <v>64</v>
      </c>
      <c r="P418">
        <v>64</v>
      </c>
      <c r="Q418" t="str">
        <f>""</f>
        <v/>
      </c>
      <c r="R418" t="str">
        <f>""</f>
        <v/>
      </c>
      <c r="S418" t="str">
        <f>""</f>
        <v/>
      </c>
      <c r="T418" t="str">
        <f>"46/4462"</f>
        <v>46/4462</v>
      </c>
      <c r="U418" t="str">
        <f>"Магистральная ВОЛС"</f>
        <v>Магистральная ВОЛС</v>
      </c>
      <c r="V418" t="str">
        <f t="shared" si="188"/>
        <v>Нет</v>
      </c>
      <c r="W418" t="str">
        <f t="shared" si="190"/>
        <v>Нет</v>
      </c>
      <c r="X418" t="str">
        <f t="shared" si="192"/>
        <v>Нет</v>
      </c>
      <c r="Y418" t="str">
        <f t="shared" si="192"/>
        <v>Нет</v>
      </c>
      <c r="Z418" t="str">
        <f t="shared" ref="Z418:Z423" si="193">"Нет"</f>
        <v>Нет</v>
      </c>
      <c r="AA418" t="str">
        <f>""</f>
        <v/>
      </c>
      <c r="AB418" t="str">
        <f t="shared" si="180"/>
        <v>Нет</v>
      </c>
      <c r="AC418" t="str">
        <f>"М 1.2.3 - М 1.1.8"</f>
        <v>М 1.2.3 - М 1.1.8</v>
      </c>
      <c r="AD418" t="str">
        <f>"02.09.2011"</f>
        <v>02.09.2011</v>
      </c>
      <c r="AE418" t="str">
        <f>"ООО ""Элпек"""</f>
        <v>ООО "Элпек"</v>
      </c>
      <c r="AF418" t="str">
        <f>"[844937] М1.2.14"</f>
        <v>[844937] М1.2.14</v>
      </c>
      <c r="AG418" t="str">
        <f>"[266668] М 1.1.8"</f>
        <v>[266668] М 1.1.8</v>
      </c>
      <c r="AH418" t="str">
        <f>"М 1.2.3"</f>
        <v>М 1.2.3</v>
      </c>
      <c r="AI418" t="str">
        <f>"М 1.1.8"</f>
        <v>М 1.1.8</v>
      </c>
      <c r="AJ418" t="str">
        <f>""</f>
        <v/>
      </c>
      <c r="AK418" t="str">
        <f t="shared" ref="AK418:AK450" si="194">"Нет"</f>
        <v>Нет</v>
      </c>
      <c r="AL418" t="str">
        <f>"51.706199 36.167951, 51.714459 36.16667"</f>
        <v>51.706199 36.167951, 51.714459 36.16667</v>
      </c>
      <c r="AM418" t="str">
        <f>"20000008502172"</f>
        <v>20000008502172</v>
      </c>
    </row>
    <row r="419" spans="1:39" x14ac:dyDescent="0.25">
      <c r="A419">
        <v>907</v>
      </c>
      <c r="B419" t="str">
        <f t="shared" si="177"/>
        <v>Курск</v>
      </c>
      <c r="C419">
        <v>999101</v>
      </c>
      <c r="D419" t="str">
        <f t="shared" si="178"/>
        <v>Оптический кабель</v>
      </c>
      <c r="E419" t="str">
        <f>"[46/4468] М 4.2.12 - М 4.2.13"</f>
        <v>[46/4468] М 4.2.12 - М 4.2.13</v>
      </c>
      <c r="F419" t="str">
        <f>"ДПТа-П-64А 6(6) 7кН (Кр,Жел,Зел,..,8-Фиол,9-Бел,..,Бир,Роз)"</f>
        <v>ДПТа-П-64А 6(6) 7кН (Кр,Жел,Зел,..,8-Фиол,9-Бел,..,Бир,Роз)</v>
      </c>
      <c r="G419" t="str">
        <f>""</f>
        <v/>
      </c>
      <c r="H419" t="str">
        <f>"МС 4.2"</f>
        <v>МС 4.2</v>
      </c>
      <c r="I419">
        <v>106</v>
      </c>
      <c r="J419">
        <v>800</v>
      </c>
      <c r="K419">
        <v>0</v>
      </c>
      <c r="L419">
        <v>80.3</v>
      </c>
      <c r="M419" t="str">
        <f t="shared" si="191"/>
        <v>Опоры</v>
      </c>
      <c r="N419" t="str">
        <f>"11.10.20233"</f>
        <v>11.10.20233</v>
      </c>
      <c r="O419">
        <v>64</v>
      </c>
      <c r="P419">
        <v>64</v>
      </c>
      <c r="Q419" t="str">
        <f>""</f>
        <v/>
      </c>
      <c r="R419" t="str">
        <f>""</f>
        <v/>
      </c>
      <c r="S419" t="str">
        <f>""</f>
        <v/>
      </c>
      <c r="T419" t="str">
        <f>"46/4468"</f>
        <v>46/4468</v>
      </c>
      <c r="U419" t="str">
        <f>"Магистральная ВОЛС"</f>
        <v>Магистральная ВОЛС</v>
      </c>
      <c r="V419" t="str">
        <f t="shared" si="188"/>
        <v>Нет</v>
      </c>
      <c r="W419" t="str">
        <f t="shared" si="190"/>
        <v>Нет</v>
      </c>
      <c r="X419" t="str">
        <f t="shared" si="192"/>
        <v>Нет</v>
      </c>
      <c r="Y419" t="str">
        <f t="shared" si="192"/>
        <v>Нет</v>
      </c>
      <c r="Z419" t="str">
        <f t="shared" si="193"/>
        <v>Нет</v>
      </c>
      <c r="AA419" t="str">
        <f>""</f>
        <v/>
      </c>
      <c r="AB419" t="str">
        <f t="shared" si="180"/>
        <v>Нет</v>
      </c>
      <c r="AC419" t="str">
        <f>"М 4.2.8 - КРС МС-4.2"</f>
        <v>М 4.2.8 - КРС МС-4.2</v>
      </c>
      <c r="AD419" t="str">
        <f>"02.02.2012"</f>
        <v>02.02.2012</v>
      </c>
      <c r="AE419" t="str">
        <f>""</f>
        <v/>
      </c>
      <c r="AF419" t="str">
        <f>"[850027] М 4.2.12"</f>
        <v>[850027] М 4.2.12</v>
      </c>
      <c r="AG419" t="str">
        <f>"[849768] М 4.2.13"</f>
        <v>[849768] М 4.2.13</v>
      </c>
      <c r="AH419" t="str">
        <f>"М 4.2.8"</f>
        <v>М 4.2.8</v>
      </c>
      <c r="AI419" t="str">
        <f>"КРС МС-4.2"</f>
        <v>КРС МС-4.2</v>
      </c>
      <c r="AJ419" t="str">
        <f>""</f>
        <v/>
      </c>
      <c r="AK419" t="str">
        <f t="shared" si="194"/>
        <v>Нет</v>
      </c>
      <c r="AL419" t="str">
        <f>"51.748695 36.237889, 51.749157 36.238759"</f>
        <v>51.748695 36.237889, 51.749157 36.238759</v>
      </c>
      <c r="AM419" t="str">
        <f>"20000008594624"</f>
        <v>20000008594624</v>
      </c>
    </row>
    <row r="420" spans="1:39" x14ac:dyDescent="0.25">
      <c r="A420">
        <v>907</v>
      </c>
      <c r="B420" t="str">
        <f t="shared" si="177"/>
        <v>Курск</v>
      </c>
      <c r="C420">
        <v>999204</v>
      </c>
      <c r="D420" t="str">
        <f t="shared" si="178"/>
        <v>Оптический кабель</v>
      </c>
      <c r="E420" t="str">
        <f>"[46/4469] М 4.2.13 - МОК4.2.1 Курск, Герцена, 3  п. "</f>
        <v xml:space="preserve">[46/4469] М 4.2.13 - МОК4.2.1 Курск, Герцена, 3  п. </v>
      </c>
      <c r="F420" t="str">
        <f>"ДПТа-П-64А 6(6) 7кН (Кр,Жел,Зел,..,8-Фиол,9-Бел,..,Бир,Роз)"</f>
        <v>ДПТа-П-64А 6(6) 7кН (Кр,Жел,Зел,..,8-Фиол,9-Бел,..,Бир,Роз)</v>
      </c>
      <c r="G420" t="str">
        <f>""</f>
        <v/>
      </c>
      <c r="H420" t="str">
        <f>"МС 4.2"</f>
        <v>МС 4.2</v>
      </c>
      <c r="I420">
        <v>382</v>
      </c>
      <c r="J420">
        <v>800</v>
      </c>
      <c r="K420">
        <v>0</v>
      </c>
      <c r="L420">
        <v>289</v>
      </c>
      <c r="M420" t="str">
        <f t="shared" si="191"/>
        <v>Опоры</v>
      </c>
      <c r="N420" t="str">
        <f>"11.10.20233"</f>
        <v>11.10.20233</v>
      </c>
      <c r="O420">
        <v>64</v>
      </c>
      <c r="P420">
        <v>64</v>
      </c>
      <c r="Q420" t="str">
        <f>""</f>
        <v/>
      </c>
      <c r="R420" t="str">
        <f>"Курск, Герцена, 3"</f>
        <v>Курск, Герцена, 3</v>
      </c>
      <c r="S420" t="str">
        <f>""</f>
        <v/>
      </c>
      <c r="T420" t="str">
        <f>"46/4469"</f>
        <v>46/4469</v>
      </c>
      <c r="U420" t="str">
        <f>"Магистральная ВОЛС"</f>
        <v>Магистральная ВОЛС</v>
      </c>
      <c r="V420" t="str">
        <f t="shared" si="188"/>
        <v>Нет</v>
      </c>
      <c r="W420" t="str">
        <f t="shared" si="190"/>
        <v>Нет</v>
      </c>
      <c r="X420" t="str">
        <f t="shared" si="192"/>
        <v>Нет</v>
      </c>
      <c r="Y420" t="str">
        <f t="shared" si="192"/>
        <v>Нет</v>
      </c>
      <c r="Z420" t="str">
        <f t="shared" si="193"/>
        <v>Нет</v>
      </c>
      <c r="AA420" t="str">
        <f>""</f>
        <v/>
      </c>
      <c r="AB420" t="str">
        <f t="shared" si="180"/>
        <v>Нет</v>
      </c>
      <c r="AC420" t="str">
        <f>"М 4.2.8 - КРС МС-4.2"</f>
        <v>М 4.2.8 - КРС МС-4.2</v>
      </c>
      <c r="AD420" t="str">
        <f>"02.02.2012"</f>
        <v>02.02.2012</v>
      </c>
      <c r="AE420" t="str">
        <f>""</f>
        <v/>
      </c>
      <c r="AF420" t="str">
        <f>"[849768] М 4.2.13"</f>
        <v>[849768] М 4.2.13</v>
      </c>
      <c r="AG420" t="str">
        <f>"[483584] МОК4.2.1 Курск, Герцена, 3  п."</f>
        <v>[483584] МОК4.2.1 Курск, Герцена, 3  п.</v>
      </c>
      <c r="AH420" t="str">
        <f>"М 4.2.8"</f>
        <v>М 4.2.8</v>
      </c>
      <c r="AI420" t="str">
        <f>"КРС МС-4.2"</f>
        <v>КРС МС-4.2</v>
      </c>
      <c r="AJ420" t="str">
        <f>""</f>
        <v/>
      </c>
      <c r="AK420" t="str">
        <f t="shared" si="194"/>
        <v>Нет</v>
      </c>
      <c r="AL420" t="str">
        <f>"51.749157 36.238759, 51.74902 36.242842"</f>
        <v>51.749157 36.238759, 51.74902 36.242842</v>
      </c>
      <c r="AM420" t="str">
        <f>"20000008594621"</f>
        <v>20000008594621</v>
      </c>
    </row>
    <row r="421" spans="1:39" x14ac:dyDescent="0.25">
      <c r="A421">
        <v>907</v>
      </c>
      <c r="B421" t="str">
        <f t="shared" si="177"/>
        <v>Курск</v>
      </c>
      <c r="C421">
        <v>999306</v>
      </c>
      <c r="D421" t="str">
        <f t="shared" si="178"/>
        <v>Оптический кабель</v>
      </c>
      <c r="E421" t="str">
        <f>"[46/4470] Т 1.12 - Т 1.7"</f>
        <v>[46/4470] Т 1.12 - Т 1.7</v>
      </c>
      <c r="F421" t="str">
        <f>"ДПТа-П-64А 6(6) 7кН (Кр,Жел,Зел,..,8-Фиол,9-Бел,..,Бир,Роз)"</f>
        <v>ДПТа-П-64А 6(6) 7кН (Кр,Жел,Зел,..,8-Фиол,9-Бел,..,Бир,Роз)</v>
      </c>
      <c r="G421" t="str">
        <f>""</f>
        <v/>
      </c>
      <c r="H421" t="str">
        <f>"ТС"</f>
        <v>ТС</v>
      </c>
      <c r="I421">
        <v>411</v>
      </c>
      <c r="J421">
        <v>1995</v>
      </c>
      <c r="K421">
        <v>71</v>
      </c>
      <c r="L421">
        <v>485.83</v>
      </c>
      <c r="M421" t="str">
        <f t="shared" si="191"/>
        <v>Опоры</v>
      </c>
      <c r="N421" t="str">
        <f>"11.10.20233"</f>
        <v>11.10.20233</v>
      </c>
      <c r="O421">
        <v>64</v>
      </c>
      <c r="P421">
        <v>64</v>
      </c>
      <c r="Q421" t="str">
        <f>""</f>
        <v/>
      </c>
      <c r="R421" t="str">
        <f>""</f>
        <v/>
      </c>
      <c r="S421" t="str">
        <f>""</f>
        <v/>
      </c>
      <c r="T421" t="str">
        <f>"46/4470"</f>
        <v>46/4470</v>
      </c>
      <c r="U421" t="str">
        <f>"Транспортная ВОЛС"</f>
        <v>Транспортная ВОЛС</v>
      </c>
      <c r="V421" t="str">
        <f t="shared" si="188"/>
        <v>Нет</v>
      </c>
      <c r="W421" t="str">
        <f t="shared" si="190"/>
        <v>Нет</v>
      </c>
      <c r="X421" t="str">
        <f t="shared" si="192"/>
        <v>Нет</v>
      </c>
      <c r="Y421" t="str">
        <f t="shared" si="192"/>
        <v>Нет</v>
      </c>
      <c r="Z421" t="str">
        <f t="shared" si="193"/>
        <v>Нет</v>
      </c>
      <c r="AA421" t="str">
        <f>""</f>
        <v/>
      </c>
      <c r="AB421" t="str">
        <f t="shared" si="180"/>
        <v>Нет</v>
      </c>
      <c r="AC421" t="str">
        <f>"Дружбы пр-т, 3 - Т 1.7"</f>
        <v>Дружбы пр-т, 3 - Т 1.7</v>
      </c>
      <c r="AD421" t="str">
        <f>"29.08.2011"</f>
        <v>29.08.2011</v>
      </c>
      <c r="AE421" t="str">
        <f>"ООО ""Спецстроймонтаж 36"""</f>
        <v>ООО "Спецстроймонтаж 36"</v>
      </c>
      <c r="AF421" t="str">
        <f>"[850627] Т 1.12"</f>
        <v>[850627] Т 1.12</v>
      </c>
      <c r="AG421" t="str">
        <f>"[299836] Т 1.7"</f>
        <v>[299836] Т 1.7</v>
      </c>
      <c r="AH421" t="str">
        <f>"Дружбы пр-т, 3"</f>
        <v>Дружбы пр-т, 3</v>
      </c>
      <c r="AI421" t="str">
        <f>"Т 1.7"</f>
        <v>Т 1.7</v>
      </c>
      <c r="AJ421" t="str">
        <f>""</f>
        <v/>
      </c>
      <c r="AK421" t="str">
        <f t="shared" si="194"/>
        <v>Нет</v>
      </c>
      <c r="AL421" t="str">
        <f>"51.735751 36.148865, 51.732635 36.15161"</f>
        <v>51.735751 36.148865, 51.732635 36.15161</v>
      </c>
      <c r="AM421" t="str">
        <f>"20000008594622"</f>
        <v>20000008594622</v>
      </c>
    </row>
    <row r="422" spans="1:39" x14ac:dyDescent="0.25">
      <c r="A422">
        <v>907</v>
      </c>
      <c r="B422" t="str">
        <f t="shared" si="177"/>
        <v>Курск</v>
      </c>
      <c r="C422">
        <v>999417</v>
      </c>
      <c r="D422" t="str">
        <f t="shared" si="178"/>
        <v>Оптический кабель</v>
      </c>
      <c r="E422" t="str">
        <f>"[46/4471] Т 1.13 - Т 1.12"</f>
        <v>[46/4471] Т 1.13 - Т 1.12</v>
      </c>
      <c r="F422" t="str">
        <f>"ДПТа-П-64А 6(6) 7кН (Кр,Жел,Зел,..,8-Фиол,9-Бел,..,Бир,Роз)"</f>
        <v>ДПТа-П-64А 6(6) 7кН (Кр,Жел,Зел,..,8-Фиол,9-Бел,..,Бир,Роз)</v>
      </c>
      <c r="G422" t="str">
        <f>""</f>
        <v/>
      </c>
      <c r="H422" t="str">
        <f>"ТС"</f>
        <v>ТС</v>
      </c>
      <c r="I422">
        <v>63</v>
      </c>
      <c r="J422">
        <v>1995</v>
      </c>
      <c r="K422">
        <v>0</v>
      </c>
      <c r="L422">
        <v>63.28</v>
      </c>
      <c r="M422" t="str">
        <f t="shared" si="191"/>
        <v>Опоры</v>
      </c>
      <c r="N422" t="str">
        <f>"11.10.20233"</f>
        <v>11.10.20233</v>
      </c>
      <c r="O422">
        <v>64</v>
      </c>
      <c r="P422">
        <v>64</v>
      </c>
      <c r="Q422" t="str">
        <f>""</f>
        <v/>
      </c>
      <c r="R422" t="str">
        <f>""</f>
        <v/>
      </c>
      <c r="S422" t="str">
        <f>""</f>
        <v/>
      </c>
      <c r="T422" t="str">
        <f>"46/4471"</f>
        <v>46/4471</v>
      </c>
      <c r="U422" t="str">
        <f>"Транспортная ВОЛС"</f>
        <v>Транспортная ВОЛС</v>
      </c>
      <c r="V422" t="str">
        <f t="shared" si="188"/>
        <v>Нет</v>
      </c>
      <c r="W422" t="str">
        <f t="shared" si="190"/>
        <v>Нет</v>
      </c>
      <c r="X422" t="str">
        <f t="shared" si="192"/>
        <v>Нет</v>
      </c>
      <c r="Y422" t="str">
        <f t="shared" si="192"/>
        <v>Нет</v>
      </c>
      <c r="Z422" t="str">
        <f t="shared" si="193"/>
        <v>Нет</v>
      </c>
      <c r="AA422" t="str">
        <f>""</f>
        <v/>
      </c>
      <c r="AB422" t="str">
        <f t="shared" ref="AB422:AB450" si="195">"Нет"</f>
        <v>Нет</v>
      </c>
      <c r="AC422" t="str">
        <f>"Дружбы пр-т, 3 - Т 1.7"</f>
        <v>Дружбы пр-т, 3 - Т 1.7</v>
      </c>
      <c r="AD422" t="str">
        <f>"29.08.2011"</f>
        <v>29.08.2011</v>
      </c>
      <c r="AE422" t="str">
        <f>"ООО ""Спецстроймонтаж 36"""</f>
        <v>ООО "Спецстроймонтаж 36"</v>
      </c>
      <c r="AF422" t="str">
        <f>"[850368] Т 1.13"</f>
        <v>[850368] Т 1.13</v>
      </c>
      <c r="AG422" t="str">
        <f>"[850627] Т 1.12"</f>
        <v>[850627] Т 1.12</v>
      </c>
      <c r="AH422" t="str">
        <f>"Дружбы пр-т, 3"</f>
        <v>Дружбы пр-т, 3</v>
      </c>
      <c r="AI422" t="str">
        <f>"Т 1.7"</f>
        <v>Т 1.7</v>
      </c>
      <c r="AJ422" t="str">
        <f>""</f>
        <v/>
      </c>
      <c r="AK422" t="str">
        <f t="shared" si="194"/>
        <v>Нет</v>
      </c>
      <c r="AL422" t="str">
        <f>"51.736252 36.148443, 51.735751 36.148865"</f>
        <v>51.736252 36.148443, 51.735751 36.148865</v>
      </c>
      <c r="AM422" t="str">
        <f>"20000008594623"</f>
        <v>20000008594623</v>
      </c>
    </row>
    <row r="423" spans="1:39" x14ac:dyDescent="0.25">
      <c r="A423">
        <v>907</v>
      </c>
      <c r="B423" t="str">
        <f t="shared" si="177"/>
        <v>Курск</v>
      </c>
      <c r="C423">
        <v>999604</v>
      </c>
      <c r="D423" t="str">
        <f t="shared" si="178"/>
        <v>Оптический кабель</v>
      </c>
      <c r="E423" t="str">
        <f>"[46/4472] Р 5.7.12.13 - ОК1.1 ППК5.7.12 Городище  с, Старооскольский р-н (Белгородская обл), Революционная, 13  п. 1"</f>
        <v>[46/4472] Р 5.7.12.13 - ОК1.1 ППК5.7.12 Городище  с, Старооскольский р-н (Белгородская обл), Революционная, 13  п. 1</v>
      </c>
      <c r="F423" t="str">
        <f>"ОКМС-96(G.652.D) 7кН"</f>
        <v>ОКМС-96(G.652.D) 7кН</v>
      </c>
      <c r="G423" t="str">
        <f>""</f>
        <v/>
      </c>
      <c r="H423" t="str">
        <f>"МС 5.7"</f>
        <v>МС 5.7</v>
      </c>
      <c r="I423">
        <v>1602</v>
      </c>
      <c r="J423">
        <v>1850</v>
      </c>
      <c r="K423">
        <v>0</v>
      </c>
      <c r="M423" t="str">
        <f t="shared" si="191"/>
        <v>Опоры</v>
      </c>
      <c r="N423" t="str">
        <f>"20.10.20233"</f>
        <v>20.10.20233</v>
      </c>
      <c r="O423">
        <v>96</v>
      </c>
      <c r="P423">
        <v>96</v>
      </c>
      <c r="Q423" t="str">
        <f>""</f>
        <v/>
      </c>
      <c r="R423" t="str">
        <f>"Городище  с, Старооскольский р-н (Белгородская обл), Революционная, 13"</f>
        <v>Городище  с, Старооскольский р-н (Белгородская обл), Революционная, 13</v>
      </c>
      <c r="S423" t="str">
        <f>"20.10.2023"</f>
        <v>20.10.2023</v>
      </c>
      <c r="T423" t="str">
        <f>"46/4472"</f>
        <v>46/4472</v>
      </c>
      <c r="U423" t="str">
        <f>"Магистральная ВОЛС"</f>
        <v>Магистральная ВОЛС</v>
      </c>
      <c r="V423" t="str">
        <f t="shared" si="188"/>
        <v>Нет</v>
      </c>
      <c r="W423" t="str">
        <f t="shared" si="190"/>
        <v>Нет</v>
      </c>
      <c r="X423" t="str">
        <f t="shared" si="192"/>
        <v>Нет</v>
      </c>
      <c r="Y423" t="str">
        <f t="shared" si="192"/>
        <v>Нет</v>
      </c>
      <c r="Z423" t="str">
        <f t="shared" si="193"/>
        <v>Нет</v>
      </c>
      <c r="AA423" t="str">
        <f>""</f>
        <v/>
      </c>
      <c r="AB423" t="str">
        <f t="shared" si="195"/>
        <v>Нет</v>
      </c>
      <c r="AC423" t="str">
        <f>""</f>
        <v/>
      </c>
      <c r="AD423" t="str">
        <f>""</f>
        <v/>
      </c>
      <c r="AE423" t="str">
        <f>""</f>
        <v/>
      </c>
      <c r="AF423" t="str">
        <f>"[723837] Р 5.7.12.13"</f>
        <v>[723837] Р 5.7.12.13</v>
      </c>
      <c r="AG423" t="str">
        <f>"[733719] ОК1.1 ППК5.7.12 Городище  с, Старооскольский р-н (Белгородская обл), Революционная, 13  п. 1"</f>
        <v>[733719] ОК1.1 ППК5.7.12 Городище  с, Старооскольский р-н (Белгородская обл), Революционная, 13  п. 1</v>
      </c>
      <c r="AH423" t="str">
        <f>""</f>
        <v/>
      </c>
      <c r="AI423" t="str">
        <f>""</f>
        <v/>
      </c>
      <c r="AJ423" t="str">
        <f>""</f>
        <v/>
      </c>
      <c r="AK423" t="str">
        <f t="shared" si="194"/>
        <v>Нет</v>
      </c>
      <c r="AL423" t="str">
        <f>"51.141467 38.10145, 51.132848 38.083864"</f>
        <v>51.141467 38.10145, 51.132848 38.083864</v>
      </c>
      <c r="AM423" t="str">
        <f>"20000008615318"</f>
        <v>20000008615318</v>
      </c>
    </row>
    <row r="424" spans="1:39" x14ac:dyDescent="0.25">
      <c r="A424">
        <v>907</v>
      </c>
      <c r="B424" t="str">
        <f t="shared" si="177"/>
        <v>Курск</v>
      </c>
      <c r="C424">
        <v>1002757</v>
      </c>
      <c r="D424" t="str">
        <f t="shared" si="178"/>
        <v>Оптический кабель</v>
      </c>
      <c r="E424" t="str">
        <f>"[46/4543] М 2.7.12 - М 2.7.4"</f>
        <v>[46/4543] М 2.7.12 - М 2.7.4</v>
      </c>
      <c r="F424" t="str">
        <f>"ДОТс-П-64А 6кН"</f>
        <v>ДОТс-П-64А 6кН</v>
      </c>
      <c r="G424" t="str">
        <f>""</f>
        <v/>
      </c>
      <c r="H424" t="str">
        <f>"МС 2.7"</f>
        <v>МС 2.7</v>
      </c>
      <c r="I424">
        <v>291</v>
      </c>
      <c r="J424">
        <v>1024.74</v>
      </c>
      <c r="K424">
        <v>30</v>
      </c>
      <c r="L424">
        <v>383.97</v>
      </c>
      <c r="M424" t="str">
        <f>"Воздушная трасса по стойкам"</f>
        <v>Воздушная трасса по стойкам</v>
      </c>
      <c r="N424" t="str">
        <f>"27.10.20233"</f>
        <v>27.10.20233</v>
      </c>
      <c r="O424">
        <v>72</v>
      </c>
      <c r="P424">
        <v>72</v>
      </c>
      <c r="Q424" t="str">
        <f>""</f>
        <v/>
      </c>
      <c r="R424" t="str">
        <f>""</f>
        <v/>
      </c>
      <c r="S424" t="str">
        <f>"09.07.2019"</f>
        <v>09.07.2019</v>
      </c>
      <c r="T424" t="str">
        <f>"46/4543"</f>
        <v>46/4543</v>
      </c>
      <c r="U424" t="str">
        <f>"Магистральная ВОЛС"</f>
        <v>Магистральная ВОЛС</v>
      </c>
      <c r="V424" t="str">
        <f t="shared" si="188"/>
        <v>Нет</v>
      </c>
      <c r="W424" t="str">
        <f t="shared" si="190"/>
        <v>Нет</v>
      </c>
      <c r="X424" t="str">
        <f t="shared" si="192"/>
        <v>Нет</v>
      </c>
      <c r="Y424" t="str">
        <f t="shared" si="192"/>
        <v>Нет</v>
      </c>
      <c r="Z424" t="str">
        <f>"Да"</f>
        <v>Да</v>
      </c>
      <c r="AA424" t="str">
        <f>""</f>
        <v/>
      </c>
      <c r="AB424" t="str">
        <f t="shared" si="195"/>
        <v>Нет</v>
      </c>
      <c r="AC424" t="str">
        <f>""</f>
        <v/>
      </c>
      <c r="AD424" t="str">
        <f>""</f>
        <v/>
      </c>
      <c r="AE424" t="str">
        <f>""</f>
        <v/>
      </c>
      <c r="AF424" t="str">
        <f>"[855508] М 2.7.12"</f>
        <v>[855508] М 2.7.12</v>
      </c>
      <c r="AG424" t="str">
        <f>"[629576] М 2.7.4"</f>
        <v>[629576] М 2.7.4</v>
      </c>
      <c r="AH424" t="str">
        <f>""</f>
        <v/>
      </c>
      <c r="AI424" t="str">
        <f>""</f>
        <v/>
      </c>
      <c r="AJ424" t="str">
        <f>""</f>
        <v/>
      </c>
      <c r="AK424" t="str">
        <f t="shared" si="194"/>
        <v>Нет</v>
      </c>
      <c r="AL424" t="str">
        <f>"51.734549 36.139089, 51.732523 36.139205"</f>
        <v>51.734549 36.139089, 51.732523 36.139205</v>
      </c>
      <c r="AM424" t="str">
        <f>"20000008622726"</f>
        <v>20000008622726</v>
      </c>
    </row>
    <row r="425" spans="1:39" x14ac:dyDescent="0.25">
      <c r="A425">
        <v>907</v>
      </c>
      <c r="B425" t="str">
        <f t="shared" si="177"/>
        <v>Курск</v>
      </c>
      <c r="C425">
        <v>1002870</v>
      </c>
      <c r="D425" t="str">
        <f t="shared" si="178"/>
        <v>Оптический кабель</v>
      </c>
      <c r="E425" t="str">
        <f>"[46/4544] М 2.7.11 - М 2.7.12"</f>
        <v>[46/4544] М 2.7.11 - М 2.7.12</v>
      </c>
      <c r="F425" t="str">
        <f>"ДОТс-П-64А 6кН"</f>
        <v>ДОТс-П-64А 6кН</v>
      </c>
      <c r="G425" t="str">
        <f>""</f>
        <v/>
      </c>
      <c r="H425" t="str">
        <f>"МС 2.7"</f>
        <v>МС 2.7</v>
      </c>
      <c r="I425">
        <v>133</v>
      </c>
      <c r="J425">
        <v>1024.74</v>
      </c>
      <c r="K425">
        <v>0</v>
      </c>
      <c r="L425">
        <v>167.22</v>
      </c>
      <c r="M425" t="str">
        <f>"Воздушная трасса по стойкам"</f>
        <v>Воздушная трасса по стойкам</v>
      </c>
      <c r="N425" t="str">
        <f>"27.10.20233"</f>
        <v>27.10.20233</v>
      </c>
      <c r="O425">
        <v>72</v>
      </c>
      <c r="P425">
        <v>72</v>
      </c>
      <c r="Q425" t="str">
        <f>""</f>
        <v/>
      </c>
      <c r="R425" t="str">
        <f>""</f>
        <v/>
      </c>
      <c r="S425" t="str">
        <f>"09.07.2019"</f>
        <v>09.07.2019</v>
      </c>
      <c r="T425" t="str">
        <f>"46/4544"</f>
        <v>46/4544</v>
      </c>
      <c r="U425" t="str">
        <f>"Магистральная ВОЛС"</f>
        <v>Магистральная ВОЛС</v>
      </c>
      <c r="V425" t="str">
        <f t="shared" si="188"/>
        <v>Нет</v>
      </c>
      <c r="W425" t="str">
        <f t="shared" si="190"/>
        <v>Нет</v>
      </c>
      <c r="X425" t="str">
        <f t="shared" si="192"/>
        <v>Нет</v>
      </c>
      <c r="Y425" t="str">
        <f t="shared" si="192"/>
        <v>Нет</v>
      </c>
      <c r="Z425" t="str">
        <f>"Да"</f>
        <v>Да</v>
      </c>
      <c r="AA425" t="str">
        <f>""</f>
        <v/>
      </c>
      <c r="AB425" t="str">
        <f t="shared" si="195"/>
        <v>Нет</v>
      </c>
      <c r="AC425" t="str">
        <f>""</f>
        <v/>
      </c>
      <c r="AD425" t="str">
        <f>""</f>
        <v/>
      </c>
      <c r="AE425" t="str">
        <f>""</f>
        <v/>
      </c>
      <c r="AF425" t="str">
        <f>"[855767] М 2.7.11"</f>
        <v>[855767] М 2.7.11</v>
      </c>
      <c r="AG425" t="str">
        <f>"[855508] М 2.7.12"</f>
        <v>[855508] М 2.7.12</v>
      </c>
      <c r="AH425" t="str">
        <f>""</f>
        <v/>
      </c>
      <c r="AI425" t="str">
        <f>""</f>
        <v/>
      </c>
      <c r="AJ425" t="str">
        <f>""</f>
        <v/>
      </c>
      <c r="AK425" t="str">
        <f t="shared" si="194"/>
        <v>Нет</v>
      </c>
      <c r="AL425" t="str">
        <f>"51.735597 36.138176, 51.734549 36.139089"</f>
        <v>51.735597 36.138176, 51.734549 36.139089</v>
      </c>
      <c r="AM425" t="str">
        <f>"20000008622727"</f>
        <v>20000008622727</v>
      </c>
    </row>
    <row r="426" spans="1:39" x14ac:dyDescent="0.25">
      <c r="A426">
        <v>907</v>
      </c>
      <c r="B426" t="str">
        <f t="shared" si="177"/>
        <v>Курск</v>
      </c>
      <c r="C426">
        <v>1003382</v>
      </c>
      <c r="D426" t="str">
        <f t="shared" si="178"/>
        <v>Оптический кабель</v>
      </c>
      <c r="E426" t="str">
        <f>"[46/4548] Т 1.14 - ТОК4.6 Курск, Герцена, 3  п. 2"</f>
        <v>[46/4548] Т 1.14 - ТОК4.6 Курск, Герцена, 3  п. 2</v>
      </c>
      <c r="F426" t="str">
        <f>"ОКМС-64 (G.652.D) 7кН (Мод:Кр,Жел, 4Нат)"</f>
        <v>ОКМС-64 (G.652.D) 7кН (Мод:Кр,Жел, 4Нат)</v>
      </c>
      <c r="G426" t="str">
        <f>""</f>
        <v/>
      </c>
      <c r="H426" t="str">
        <f>"ТС"</f>
        <v>ТС</v>
      </c>
      <c r="I426">
        <v>99</v>
      </c>
      <c r="J426">
        <v>150</v>
      </c>
      <c r="K426">
        <v>0</v>
      </c>
      <c r="M426" t="str">
        <f>"Воздушная трасса по стойкам"</f>
        <v>Воздушная трасса по стойкам</v>
      </c>
      <c r="N426" t="str">
        <f>"11.12.20233"</f>
        <v>11.12.20233</v>
      </c>
      <c r="O426">
        <v>64</v>
      </c>
      <c r="P426">
        <v>64</v>
      </c>
      <c r="Q426" t="str">
        <f>""</f>
        <v/>
      </c>
      <c r="R426" t="str">
        <f>"Курск, Герцена, 3"</f>
        <v>Курск, Герцена, 3</v>
      </c>
      <c r="S426" t="str">
        <f>"11.12.2023"</f>
        <v>11.12.2023</v>
      </c>
      <c r="T426" t="str">
        <f>"46/4548"</f>
        <v>46/4548</v>
      </c>
      <c r="U426" t="str">
        <f>"Транспортная ВОЛС"</f>
        <v>Транспортная ВОЛС</v>
      </c>
      <c r="V426" t="str">
        <f t="shared" si="188"/>
        <v>Нет</v>
      </c>
      <c r="W426" t="str">
        <f t="shared" si="190"/>
        <v>Нет</v>
      </c>
      <c r="X426" t="str">
        <f t="shared" si="192"/>
        <v>Нет</v>
      </c>
      <c r="Y426" t="str">
        <f t="shared" si="192"/>
        <v>Нет</v>
      </c>
      <c r="Z426" t="str">
        <f t="shared" ref="Z426:Z432" si="196">"Нет"</f>
        <v>Нет</v>
      </c>
      <c r="AA426" t="str">
        <f>""</f>
        <v/>
      </c>
      <c r="AB426" t="str">
        <f t="shared" si="195"/>
        <v>Нет</v>
      </c>
      <c r="AC426" t="str">
        <f>""</f>
        <v/>
      </c>
      <c r="AD426" t="str">
        <f>""</f>
        <v/>
      </c>
      <c r="AE426" t="str">
        <f>""</f>
        <v/>
      </c>
      <c r="AF426" t="str">
        <f>"[864368] Т 1.14"</f>
        <v>[864368] Т 1.14</v>
      </c>
      <c r="AG426" t="str">
        <f>"[465433] ТОК4.6 Курск, Герцена, 3  п. 2"</f>
        <v>[465433] ТОК4.6 Курск, Герцена, 3  п. 2</v>
      </c>
      <c r="AH426" t="str">
        <f>""</f>
        <v/>
      </c>
      <c r="AI426" t="str">
        <f>""</f>
        <v/>
      </c>
      <c r="AJ426" t="str">
        <f>""</f>
        <v/>
      </c>
      <c r="AK426" t="str">
        <f t="shared" si="194"/>
        <v>Нет</v>
      </c>
      <c r="AL426" t="str">
        <f>"51.749888 36.242749, 51.749112 36.242742"</f>
        <v>51.749888 36.242749, 51.749112 36.242742</v>
      </c>
      <c r="AM426" t="str">
        <f>"20000008681545"</f>
        <v>20000008681545</v>
      </c>
    </row>
    <row r="427" spans="1:39" x14ac:dyDescent="0.25">
      <c r="A427">
        <v>907</v>
      </c>
      <c r="B427" t="str">
        <f t="shared" si="177"/>
        <v>Курск</v>
      </c>
      <c r="C427">
        <v>1003487</v>
      </c>
      <c r="D427" t="str">
        <f t="shared" si="178"/>
        <v>Оптический кабель</v>
      </c>
      <c r="E427" t="str">
        <f>"[46/4549] ТОК1.1 Курск, Добролюбова, 22 а п.  - Т 1.15"</f>
        <v>[46/4549] ТОК1.1 Курск, Добролюбова, 22 а п.  - Т 1.15</v>
      </c>
      <c r="F427" t="str">
        <f>"ОКМС-64 (G.652.D) 7кН (Мод:Кр,Жел, 4Нат)"</f>
        <v>ОКМС-64 (G.652.D) 7кН (Мод:Кр,Жел, 4Нат)</v>
      </c>
      <c r="G427" t="str">
        <f>""</f>
        <v/>
      </c>
      <c r="H427" t="str">
        <f>"ТС"</f>
        <v>ТС</v>
      </c>
      <c r="I427">
        <v>658</v>
      </c>
      <c r="J427">
        <v>750</v>
      </c>
      <c r="K427">
        <v>0</v>
      </c>
      <c r="M427" t="str">
        <f t="shared" ref="M427:M450" si="197">"Опоры"</f>
        <v>Опоры</v>
      </c>
      <c r="N427" t="str">
        <f>"11.12.20233"</f>
        <v>11.12.20233</v>
      </c>
      <c r="O427">
        <v>64</v>
      </c>
      <c r="P427">
        <v>64</v>
      </c>
      <c r="Q427" t="str">
        <f>"Курск, Добролюбова, 22 а"</f>
        <v>Курск, Добролюбова, 22 а</v>
      </c>
      <c r="R427" t="str">
        <f>""</f>
        <v/>
      </c>
      <c r="S427" t="str">
        <f>"11.12.2023"</f>
        <v>11.12.2023</v>
      </c>
      <c r="T427" t="str">
        <f>"46/4549"</f>
        <v>46/4549</v>
      </c>
      <c r="U427" t="str">
        <f>"Транспортная ВОЛС"</f>
        <v>Транспортная ВОЛС</v>
      </c>
      <c r="V427" t="str">
        <f t="shared" si="188"/>
        <v>Нет</v>
      </c>
      <c r="W427" t="str">
        <f t="shared" si="190"/>
        <v>Нет</v>
      </c>
      <c r="X427" t="str">
        <f t="shared" si="192"/>
        <v>Нет</v>
      </c>
      <c r="Y427" t="str">
        <f t="shared" si="192"/>
        <v>Нет</v>
      </c>
      <c r="Z427" t="str">
        <f t="shared" si="196"/>
        <v>Нет</v>
      </c>
      <c r="AA427" t="str">
        <f>""</f>
        <v/>
      </c>
      <c r="AB427" t="str">
        <f t="shared" si="195"/>
        <v>Нет</v>
      </c>
      <c r="AC427" t="str">
        <f>""</f>
        <v/>
      </c>
      <c r="AD427" t="str">
        <f>""</f>
        <v/>
      </c>
      <c r="AE427" t="str">
        <f>""</f>
        <v/>
      </c>
      <c r="AF427" t="str">
        <f>"[493646] ТОК1.1 Курск, Добролюбова, 22 а п."</f>
        <v>[493646] ТОК1.1 Курск, Добролюбова, 22 а п.</v>
      </c>
      <c r="AG427" t="str">
        <f>"[864627] Т 1.15"</f>
        <v>[864627] Т 1.15</v>
      </c>
      <c r="AH427" t="str">
        <f>""</f>
        <v/>
      </c>
      <c r="AI427" t="str">
        <f>""</f>
        <v/>
      </c>
      <c r="AJ427" t="str">
        <f>""</f>
        <v/>
      </c>
      <c r="AK427" t="str">
        <f t="shared" si="194"/>
        <v>Нет</v>
      </c>
      <c r="AL427" t="str">
        <f>"51.723394 36.188208, 51.726017 36.182178"</f>
        <v>51.723394 36.188208, 51.726017 36.182178</v>
      </c>
      <c r="AM427" t="str">
        <f>"20000008681546"</f>
        <v>20000008681546</v>
      </c>
    </row>
    <row r="428" spans="1:39" x14ac:dyDescent="0.25">
      <c r="A428">
        <v>907</v>
      </c>
      <c r="B428" t="str">
        <f t="shared" si="177"/>
        <v>Курск</v>
      </c>
      <c r="C428">
        <v>1003748</v>
      </c>
      <c r="D428" t="str">
        <f t="shared" si="178"/>
        <v>Оптический кабель</v>
      </c>
      <c r="E428" t="str">
        <f>"[46/4555] ТОК5.4 Курск, Гагарина, 26 а п.  - Т 1.16"</f>
        <v>[46/4555] ТОК5.4 Курск, Гагарина, 26 а п.  - Т 1.16</v>
      </c>
      <c r="F428" t="str">
        <f>"ОКМС-64 (G.652.D) 7кН (Мод:Кр,Жел, 4Нат)"</f>
        <v>ОКМС-64 (G.652.D) 7кН (Мод:Кр,Жел, 4Нат)</v>
      </c>
      <c r="G428" t="str">
        <f>""</f>
        <v/>
      </c>
      <c r="H428" t="str">
        <f>"ТС"</f>
        <v>ТС</v>
      </c>
      <c r="I428">
        <v>316</v>
      </c>
      <c r="J428">
        <v>400</v>
      </c>
      <c r="K428">
        <v>0</v>
      </c>
      <c r="M428" t="str">
        <f t="shared" si="197"/>
        <v>Опоры</v>
      </c>
      <c r="N428" t="str">
        <f>"12.12.20233"</f>
        <v>12.12.20233</v>
      </c>
      <c r="O428">
        <v>64</v>
      </c>
      <c r="P428">
        <v>64</v>
      </c>
      <c r="Q428" t="str">
        <f>"Курск, Гагарина, 26 а"</f>
        <v>Курск, Гагарина, 26 а</v>
      </c>
      <c r="R428" t="str">
        <f>""</f>
        <v/>
      </c>
      <c r="S428" t="str">
        <f>"12.12.2023"</f>
        <v>12.12.2023</v>
      </c>
      <c r="T428" t="str">
        <f>"46/4555"</f>
        <v>46/4555</v>
      </c>
      <c r="U428" t="str">
        <f>"Транспортная ВОЛС"</f>
        <v>Транспортная ВОЛС</v>
      </c>
      <c r="V428" t="str">
        <f t="shared" si="188"/>
        <v>Нет</v>
      </c>
      <c r="W428" t="str">
        <f t="shared" si="190"/>
        <v>Нет</v>
      </c>
      <c r="X428" t="str">
        <f t="shared" si="192"/>
        <v>Нет</v>
      </c>
      <c r="Y428" t="str">
        <f t="shared" si="192"/>
        <v>Нет</v>
      </c>
      <c r="Z428" t="str">
        <f t="shared" si="196"/>
        <v>Нет</v>
      </c>
      <c r="AA428" t="str">
        <f>""</f>
        <v/>
      </c>
      <c r="AB428" t="str">
        <f t="shared" si="195"/>
        <v>Нет</v>
      </c>
      <c r="AC428" t="str">
        <f>""</f>
        <v/>
      </c>
      <c r="AD428" t="str">
        <f>""</f>
        <v/>
      </c>
      <c r="AE428" t="str">
        <f>""</f>
        <v/>
      </c>
      <c r="AF428" t="str">
        <f>"[494672] ТОК5.4 Курск, Гагарина, 26 а п."</f>
        <v>[494672] ТОК5.4 Курск, Гагарина, 26 а п.</v>
      </c>
      <c r="AG428" t="str">
        <f>"[865210] Т 1.16"</f>
        <v>[865210] Т 1.16</v>
      </c>
      <c r="AH428" t="str">
        <f>""</f>
        <v/>
      </c>
      <c r="AI428" t="str">
        <f>""</f>
        <v/>
      </c>
      <c r="AJ428" t="str">
        <f>""</f>
        <v/>
      </c>
      <c r="AK428" t="str">
        <f t="shared" si="194"/>
        <v>Нет</v>
      </c>
      <c r="AL428" t="str">
        <f>"51.669506 36.132243, 51.668974 36.135262"</f>
        <v>51.669506 36.132243, 51.668974 36.135262</v>
      </c>
      <c r="AM428" t="str">
        <f>"20000008683099"</f>
        <v>20000008683099</v>
      </c>
    </row>
    <row r="429" spans="1:39" x14ac:dyDescent="0.25">
      <c r="A429">
        <v>907</v>
      </c>
      <c r="B429" t="str">
        <f t="shared" si="177"/>
        <v>Курск</v>
      </c>
      <c r="C429">
        <v>1004484</v>
      </c>
      <c r="D429" t="str">
        <f t="shared" si="178"/>
        <v>Оптический кабель</v>
      </c>
      <c r="E429" t="str">
        <f>"[46/4566] Т 6.7 - Т6.7.1"</f>
        <v>[46/4566] Т 6.7 - Т6.7.1</v>
      </c>
      <c r="F429" t="str">
        <f>"ОКМС-64(G.652.D) 7кН (Мод:Жел,Кр, 4Нат)"</f>
        <v>ОКМС-64(G.652.D) 7кН (Мод:Жел,Кр, 4Нат)</v>
      </c>
      <c r="G429" t="str">
        <f>""</f>
        <v/>
      </c>
      <c r="H429" t="str">
        <f>"ТС"</f>
        <v>ТС</v>
      </c>
      <c r="I429">
        <v>1600</v>
      </c>
      <c r="J429">
        <v>1676</v>
      </c>
      <c r="K429">
        <v>50</v>
      </c>
      <c r="M429" t="str">
        <f t="shared" si="197"/>
        <v>Опоры</v>
      </c>
      <c r="N429" t="str">
        <f>"02.02.20244"</f>
        <v>02.02.20244</v>
      </c>
      <c r="O429">
        <v>64</v>
      </c>
      <c r="P429">
        <v>64</v>
      </c>
      <c r="Q429" t="str">
        <f>""</f>
        <v/>
      </c>
      <c r="R429" t="str">
        <f>""</f>
        <v/>
      </c>
      <c r="S429" t="str">
        <f>"25.01.2024"</f>
        <v>25.01.2024</v>
      </c>
      <c r="T429" t="str">
        <f>"46/4566"</f>
        <v>46/4566</v>
      </c>
      <c r="U429" t="str">
        <f>"Транспортная ВОЛС"</f>
        <v>Транспортная ВОЛС</v>
      </c>
      <c r="V429" t="str">
        <f t="shared" si="188"/>
        <v>Нет</v>
      </c>
      <c r="W429" t="str">
        <f t="shared" si="190"/>
        <v>Нет</v>
      </c>
      <c r="X429" t="str">
        <f t="shared" si="192"/>
        <v>Нет</v>
      </c>
      <c r="Y429" t="str">
        <f t="shared" si="192"/>
        <v>Нет</v>
      </c>
      <c r="Z429" t="str">
        <f t="shared" si="196"/>
        <v>Нет</v>
      </c>
      <c r="AA429" t="str">
        <f>""</f>
        <v/>
      </c>
      <c r="AB429" t="str">
        <f t="shared" si="195"/>
        <v>Нет</v>
      </c>
      <c r="AC429" t="str">
        <f>""</f>
        <v/>
      </c>
      <c r="AD429" t="str">
        <f>""</f>
        <v/>
      </c>
      <c r="AE429" t="str">
        <f>""</f>
        <v/>
      </c>
      <c r="AF429" t="str">
        <f>"[454846] Т 6.7"</f>
        <v>[454846] Т 6.7</v>
      </c>
      <c r="AG429" t="str">
        <f>"[868768] Т6.7.1"</f>
        <v>[868768] Т6.7.1</v>
      </c>
      <c r="AH429" t="str">
        <f>""</f>
        <v/>
      </c>
      <c r="AI429" t="str">
        <f>""</f>
        <v/>
      </c>
      <c r="AJ429" t="str">
        <f>""</f>
        <v/>
      </c>
      <c r="AK429" t="str">
        <f t="shared" si="194"/>
        <v>Нет</v>
      </c>
      <c r="AL429" t="str">
        <f>"51.76127 36.226123, 51.749814 36.219678"</f>
        <v>51.76127 36.226123, 51.749814 36.219678</v>
      </c>
      <c r="AM429" t="str">
        <f>""</f>
        <v/>
      </c>
    </row>
    <row r="430" spans="1:39" x14ac:dyDescent="0.25">
      <c r="A430">
        <v>907</v>
      </c>
      <c r="B430" t="str">
        <f t="shared" si="177"/>
        <v>Курск</v>
      </c>
      <c r="C430">
        <v>1005029</v>
      </c>
      <c r="D430" t="str">
        <f t="shared" si="178"/>
        <v>Оптический кабель</v>
      </c>
      <c r="E430" t="str">
        <f>"[46/4575] Т 1.17 - ТОК3.5 Курск, Карла Маркса, 62 /21 п. 1"</f>
        <v>[46/4575] Т 1.17 - ТОК3.5 Курск, Карла Маркса, 62 /21 п. 1</v>
      </c>
      <c r="F430" t="str">
        <f>"ДПТс-П-128А 8(9) 7кН (Вол:Кр,Жел,Зел,Син,....Лайм,Нат)"</f>
        <v>ДПТс-П-128А 8(9) 7кН (Вол:Кр,Жел,Зел,Син,....Лайм,Нат)</v>
      </c>
      <c r="G430" t="str">
        <f>""</f>
        <v/>
      </c>
      <c r="H430" t="str">
        <f>"ТС"</f>
        <v>ТС</v>
      </c>
      <c r="I430">
        <v>92</v>
      </c>
      <c r="J430">
        <v>150</v>
      </c>
      <c r="K430">
        <v>0</v>
      </c>
      <c r="M430" t="str">
        <f t="shared" si="197"/>
        <v>Опоры</v>
      </c>
      <c r="N430" t="str">
        <f>"18.03.20244"</f>
        <v>18.03.20244</v>
      </c>
      <c r="O430">
        <v>128</v>
      </c>
      <c r="P430">
        <v>128</v>
      </c>
      <c r="Q430" t="str">
        <f>""</f>
        <v/>
      </c>
      <c r="R430" t="str">
        <f>"Курск, Карла Маркса, 62 /21"</f>
        <v>Курск, Карла Маркса, 62 /21</v>
      </c>
      <c r="S430" t="str">
        <f>"18.03.2024"</f>
        <v>18.03.2024</v>
      </c>
      <c r="T430" t="str">
        <f>"46/4575"</f>
        <v>46/4575</v>
      </c>
      <c r="U430" t="str">
        <f>"Транспортная ВОЛС"</f>
        <v>Транспортная ВОЛС</v>
      </c>
      <c r="V430" t="str">
        <f t="shared" si="188"/>
        <v>Нет</v>
      </c>
      <c r="W430" t="str">
        <f t="shared" si="190"/>
        <v>Нет</v>
      </c>
      <c r="X430" t="str">
        <f t="shared" si="192"/>
        <v>Нет</v>
      </c>
      <c r="Y430" t="str">
        <f t="shared" si="192"/>
        <v>Нет</v>
      </c>
      <c r="Z430" t="str">
        <f t="shared" si="196"/>
        <v>Нет</v>
      </c>
      <c r="AA430" t="str">
        <f>""</f>
        <v/>
      </c>
      <c r="AB430" t="str">
        <f t="shared" si="195"/>
        <v>Нет</v>
      </c>
      <c r="AC430" t="str">
        <f>""</f>
        <v/>
      </c>
      <c r="AD430" t="str">
        <f>""</f>
        <v/>
      </c>
      <c r="AE430" t="str">
        <f>""</f>
        <v/>
      </c>
      <c r="AF430" t="str">
        <f>"[872968] Т 1.17"</f>
        <v>[872968] Т 1.17</v>
      </c>
      <c r="AG430" t="str">
        <f>"[465103] ТОК3.5 Курск, Карла Маркса, 62 /21 п. 1"</f>
        <v>[465103] ТОК3.5 Курск, Карла Маркса, 62 /21 п. 1</v>
      </c>
      <c r="AH430" t="str">
        <f>""</f>
        <v/>
      </c>
      <c r="AI430" t="str">
        <f>""</f>
        <v/>
      </c>
      <c r="AJ430" t="str">
        <f>""</f>
        <v/>
      </c>
      <c r="AK430" t="str">
        <f t="shared" si="194"/>
        <v>Нет</v>
      </c>
      <c r="AL430" t="str">
        <f>"51.758067 36.186143, 51.75797 36.187198"</f>
        <v>51.758067 36.186143, 51.75797 36.187198</v>
      </c>
      <c r="AM430" t="str">
        <f>"20000008791446"</f>
        <v>20000008791446</v>
      </c>
    </row>
    <row r="431" spans="1:39" x14ac:dyDescent="0.25">
      <c r="A431">
        <v>907</v>
      </c>
      <c r="B431" t="str">
        <f t="shared" si="177"/>
        <v>Курск</v>
      </c>
      <c r="C431">
        <v>1008906</v>
      </c>
      <c r="D431" t="str">
        <f t="shared" si="178"/>
        <v>Оптический кабель</v>
      </c>
      <c r="E431" t="str">
        <f>"[46/4602] ГОК 2.1.9.1 Курск, Дружбы Пр-Кт, 19 а п. 2 - М 2.1.13"</f>
        <v>[46/4602] ГОК 2.1.9.1 Курск, Дружбы Пр-Кт, 19 а п. 2 - М 2.1.13</v>
      </c>
      <c r="F431" t="str">
        <f>"ДПТс-П-16А 2(6) 7кН (Мод:Кр,Нат)(Вол:Кр,Жел,Зел,..,Ор,Фиол)"</f>
        <v>ДПТс-П-16А 2(6) 7кН (Мод:Кр,Нат)(Вол:Кр,Жел,Зел,..,Ор,Фиол)</v>
      </c>
      <c r="G431" t="str">
        <f>""</f>
        <v/>
      </c>
      <c r="H431" t="str">
        <f>"МС 2.1"</f>
        <v>МС 2.1</v>
      </c>
      <c r="I431">
        <v>288</v>
      </c>
      <c r="J431">
        <v>350</v>
      </c>
      <c r="K431">
        <v>0</v>
      </c>
      <c r="M431" t="str">
        <f t="shared" si="197"/>
        <v>Опоры</v>
      </c>
      <c r="N431" t="str">
        <f>"29.05.20244"</f>
        <v>29.05.20244</v>
      </c>
      <c r="O431">
        <v>16</v>
      </c>
      <c r="P431">
        <v>16</v>
      </c>
      <c r="Q431" t="str">
        <f>"Курск, Дружбы Пр-Кт, 19 а"</f>
        <v>Курск, Дружбы Пр-Кт, 19 а</v>
      </c>
      <c r="R431" t="str">
        <f>""</f>
        <v/>
      </c>
      <c r="S431" t="str">
        <f>""</f>
        <v/>
      </c>
      <c r="T431" t="str">
        <f>"46/4602"</f>
        <v>46/4602</v>
      </c>
      <c r="U431" t="str">
        <f t="shared" ref="U431:U444" si="198">"Магистральная ВОЛС"</f>
        <v>Магистральная ВОЛС</v>
      </c>
      <c r="V431" t="str">
        <f t="shared" si="188"/>
        <v>Нет</v>
      </c>
      <c r="W431" t="str">
        <f t="shared" si="190"/>
        <v>Нет</v>
      </c>
      <c r="X431" t="str">
        <f t="shared" si="192"/>
        <v>Нет</v>
      </c>
      <c r="Y431" t="str">
        <f t="shared" si="192"/>
        <v>Нет</v>
      </c>
      <c r="Z431" t="str">
        <f t="shared" si="196"/>
        <v>Нет</v>
      </c>
      <c r="AA431" t="str">
        <f>""</f>
        <v/>
      </c>
      <c r="AB431" t="str">
        <f t="shared" si="195"/>
        <v>Нет</v>
      </c>
      <c r="AC431" t="str">
        <f>""</f>
        <v/>
      </c>
      <c r="AD431" t="str">
        <f>""</f>
        <v/>
      </c>
      <c r="AE431" t="str">
        <f>""</f>
        <v/>
      </c>
      <c r="AF431" t="str">
        <f>"[878219] ГОК 2.1.9.1 Курск, Дружбы Пр-Кт, 19 а п. 2"</f>
        <v>[878219] ГОК 2.1.9.1 Курск, Дружбы Пр-Кт, 19 а п. 2</v>
      </c>
      <c r="AG431" t="str">
        <f>"[878385] М 2.1.13"</f>
        <v>[878385] М 2.1.13</v>
      </c>
      <c r="AH431" t="str">
        <f>""</f>
        <v/>
      </c>
      <c r="AI431" t="str">
        <f>""</f>
        <v/>
      </c>
      <c r="AJ431" t="str">
        <f>""</f>
        <v/>
      </c>
      <c r="AK431" t="str">
        <f t="shared" si="194"/>
        <v>Нет</v>
      </c>
      <c r="AL431" t="str">
        <f>"51.739636 36.120495, 51.74033 36.124089"</f>
        <v>51.739636 36.120495, 51.74033 36.124089</v>
      </c>
      <c r="AM431" t="str">
        <f>"20000008879094"</f>
        <v>20000008879094</v>
      </c>
    </row>
    <row r="432" spans="1:39" x14ac:dyDescent="0.25">
      <c r="A432">
        <v>907</v>
      </c>
      <c r="B432" t="str">
        <f t="shared" si="177"/>
        <v>Курск</v>
      </c>
      <c r="C432">
        <v>1008922</v>
      </c>
      <c r="D432" t="str">
        <f t="shared" si="178"/>
        <v>Оптический кабель</v>
      </c>
      <c r="E432" t="str">
        <f>"[46/4603] М 2.1.13 - М 2.1.9"</f>
        <v>[46/4603] М 2.1.13 - М 2.1.9</v>
      </c>
      <c r="F432" t="str">
        <f>"ДПТс-П-16А 2(6) 7кН (Мод:Кр,Нат)(Вол:Кр,Жел,Зел,..,Ор,Фиол)"</f>
        <v>ДПТс-П-16А 2(6) 7кН (Мод:Кр,Нат)(Вол:Кр,Жел,Зел,..,Ор,Фиол)</v>
      </c>
      <c r="G432" t="str">
        <f>""</f>
        <v/>
      </c>
      <c r="H432" t="str">
        <f>"МС 2.1"</f>
        <v>МС 2.1</v>
      </c>
      <c r="I432">
        <v>41</v>
      </c>
      <c r="J432">
        <v>80</v>
      </c>
      <c r="K432">
        <v>0</v>
      </c>
      <c r="M432" t="str">
        <f t="shared" si="197"/>
        <v>Опоры</v>
      </c>
      <c r="N432" t="str">
        <f>"29.05.20244"</f>
        <v>29.05.20244</v>
      </c>
      <c r="O432">
        <v>16</v>
      </c>
      <c r="P432">
        <v>16</v>
      </c>
      <c r="Q432" t="str">
        <f>""</f>
        <v/>
      </c>
      <c r="R432" t="str">
        <f>""</f>
        <v/>
      </c>
      <c r="S432" t="str">
        <f>""</f>
        <v/>
      </c>
      <c r="T432" t="str">
        <f>"46/4603"</f>
        <v>46/4603</v>
      </c>
      <c r="U432" t="str">
        <f t="shared" si="198"/>
        <v>Магистральная ВОЛС</v>
      </c>
      <c r="V432" t="str">
        <f t="shared" si="188"/>
        <v>Нет</v>
      </c>
      <c r="W432" t="str">
        <f t="shared" si="190"/>
        <v>Нет</v>
      </c>
      <c r="X432" t="str">
        <f t="shared" si="192"/>
        <v>Нет</v>
      </c>
      <c r="Y432" t="str">
        <f t="shared" si="192"/>
        <v>Нет</v>
      </c>
      <c r="Z432" t="str">
        <f t="shared" si="196"/>
        <v>Нет</v>
      </c>
      <c r="AA432" t="str">
        <f>""</f>
        <v/>
      </c>
      <c r="AB432" t="str">
        <f t="shared" si="195"/>
        <v>Нет</v>
      </c>
      <c r="AC432" t="str">
        <f>""</f>
        <v/>
      </c>
      <c r="AD432" t="str">
        <f>""</f>
        <v/>
      </c>
      <c r="AE432" t="str">
        <f>""</f>
        <v/>
      </c>
      <c r="AF432" t="str">
        <f>"[878385] М 2.1.13"</f>
        <v>[878385] М 2.1.13</v>
      </c>
      <c r="AG432" t="str">
        <f>"[268674] М 2.1.9"</f>
        <v>[268674] М 2.1.9</v>
      </c>
      <c r="AH432" t="str">
        <f>""</f>
        <v/>
      </c>
      <c r="AI432" t="str">
        <f>""</f>
        <v/>
      </c>
      <c r="AJ432" t="str">
        <f>""</f>
        <v/>
      </c>
      <c r="AK432" t="str">
        <f t="shared" si="194"/>
        <v>Нет</v>
      </c>
      <c r="AL432" t="str">
        <f>"51.740344 36.124107, 51.740571 36.124524"</f>
        <v>51.740344 36.124107, 51.740571 36.124524</v>
      </c>
      <c r="AM432" t="str">
        <f>"20000008879093"</f>
        <v>20000008879093</v>
      </c>
    </row>
    <row r="433" spans="1:39" x14ac:dyDescent="0.25">
      <c r="A433">
        <v>907</v>
      </c>
      <c r="B433" t="str">
        <f t="shared" si="177"/>
        <v>Курск</v>
      </c>
      <c r="C433">
        <v>1009584</v>
      </c>
      <c r="D433" t="str">
        <f t="shared" si="178"/>
        <v>Оптический кабель</v>
      </c>
      <c r="E433" t="str">
        <f>"[46/4623] М 3.4.17 - М 3.4.18"</f>
        <v>[46/4623] М 3.4.17 - М 3.4.18</v>
      </c>
      <c r="F433" t="str">
        <f>"ДПТа-П-64А 6(6) 7кН (Кр,Жел,Зел,..,8-Фиол,9-Бел,..,Бир,Роз)"</f>
        <v>ДПТа-П-64А 6(6) 7кН (Кр,Жел,Зел,..,8-Фиол,9-Бел,..,Бир,Роз)</v>
      </c>
      <c r="G433" t="str">
        <f>""</f>
        <v/>
      </c>
      <c r="H433" t="str">
        <f>"МС 3.4"</f>
        <v>МС 3.4</v>
      </c>
      <c r="I433">
        <v>91</v>
      </c>
      <c r="J433">
        <v>635</v>
      </c>
      <c r="K433">
        <v>0</v>
      </c>
      <c r="L433">
        <v>105.86</v>
      </c>
      <c r="M433" t="str">
        <f t="shared" si="197"/>
        <v>Опоры</v>
      </c>
      <c r="N433" t="str">
        <f t="shared" ref="N433:N438" si="199">"08.07.20244"</f>
        <v>08.07.20244</v>
      </c>
      <c r="O433">
        <v>64</v>
      </c>
      <c r="P433">
        <v>64</v>
      </c>
      <c r="Q433" t="str">
        <f>""</f>
        <v/>
      </c>
      <c r="R433" t="str">
        <f>""</f>
        <v/>
      </c>
      <c r="S433" t="str">
        <f>""</f>
        <v/>
      </c>
      <c r="T433" t="str">
        <f>"46/4623"</f>
        <v>46/4623</v>
      </c>
      <c r="U433" t="str">
        <f t="shared" si="198"/>
        <v>Магистральная ВОЛС</v>
      </c>
      <c r="V433" t="str">
        <f t="shared" si="188"/>
        <v>Нет</v>
      </c>
      <c r="W433" t="str">
        <f t="shared" si="190"/>
        <v>Нет</v>
      </c>
      <c r="X433" t="str">
        <f t="shared" si="192"/>
        <v>Нет</v>
      </c>
      <c r="Y433" t="str">
        <f t="shared" si="192"/>
        <v>Нет</v>
      </c>
      <c r="Z433" t="str">
        <f>"Да"</f>
        <v>Да</v>
      </c>
      <c r="AA433" t="str">
        <f>""</f>
        <v/>
      </c>
      <c r="AB433" t="str">
        <f t="shared" si="195"/>
        <v>Нет</v>
      </c>
      <c r="AC433" t="str">
        <f>""</f>
        <v/>
      </c>
      <c r="AD433" t="str">
        <f>""</f>
        <v/>
      </c>
      <c r="AE433" t="str">
        <f>""</f>
        <v/>
      </c>
      <c r="AF433" t="str">
        <f>"[882086] М 3.4.17"</f>
        <v>[882086] М 3.4.17</v>
      </c>
      <c r="AG433" t="str">
        <f>"[881827] М 3.4.18"</f>
        <v>[881827] М 3.4.18</v>
      </c>
      <c r="AH433" t="str">
        <f>"М3.4.2"</f>
        <v>М3.4.2</v>
      </c>
      <c r="AI433" t="str">
        <f>"Т6.4"</f>
        <v>Т6.4</v>
      </c>
      <c r="AJ433" t="str">
        <f>""</f>
        <v/>
      </c>
      <c r="AK433" t="str">
        <f t="shared" si="194"/>
        <v>Нет</v>
      </c>
      <c r="AL433" t="str">
        <f>"51.75142 36.188102, 51.75158 36.189391"</f>
        <v>51.75142 36.188102, 51.75158 36.189391</v>
      </c>
      <c r="AM433" t="str">
        <f>"20000008911340"</f>
        <v>20000008911340</v>
      </c>
    </row>
    <row r="434" spans="1:39" x14ac:dyDescent="0.25">
      <c r="A434">
        <v>907</v>
      </c>
      <c r="B434" t="str">
        <f t="shared" si="177"/>
        <v>Курск</v>
      </c>
      <c r="C434">
        <v>1009707</v>
      </c>
      <c r="D434" t="str">
        <f t="shared" si="178"/>
        <v>Оптический кабель</v>
      </c>
      <c r="E434" t="str">
        <f>"[46/4624] М 3.4.16 - М 3.4.17"</f>
        <v>[46/4624] М 3.4.16 - М 3.4.17</v>
      </c>
      <c r="F434" t="str">
        <f>"ОКМС-64 (G.652.D) 7кН (Мод:Кр,Жел, 4Нат)"</f>
        <v>ОКМС-64 (G.652.D) 7кН (Мод:Кр,Жел, 4Нат)</v>
      </c>
      <c r="G434" t="str">
        <f>""</f>
        <v/>
      </c>
      <c r="H434" t="str">
        <f>"МС 3.4"</f>
        <v>МС 3.4</v>
      </c>
      <c r="I434">
        <v>30</v>
      </c>
      <c r="J434">
        <v>40</v>
      </c>
      <c r="K434">
        <v>0</v>
      </c>
      <c r="M434" t="str">
        <f t="shared" si="197"/>
        <v>Опоры</v>
      </c>
      <c r="N434" t="str">
        <f t="shared" si="199"/>
        <v>08.07.20244</v>
      </c>
      <c r="O434">
        <v>64</v>
      </c>
      <c r="P434">
        <v>64</v>
      </c>
      <c r="Q434" t="str">
        <f>""</f>
        <v/>
      </c>
      <c r="R434" t="str">
        <f>""</f>
        <v/>
      </c>
      <c r="S434" t="str">
        <f>"08.07.2024"</f>
        <v>08.07.2024</v>
      </c>
      <c r="T434" t="str">
        <f>"46/4624"</f>
        <v>46/4624</v>
      </c>
      <c r="U434" t="str">
        <f t="shared" si="198"/>
        <v>Магистральная ВОЛС</v>
      </c>
      <c r="V434" t="str">
        <f t="shared" si="188"/>
        <v>Нет</v>
      </c>
      <c r="W434" t="str">
        <f t="shared" si="190"/>
        <v>Нет</v>
      </c>
      <c r="X434" t="str">
        <f t="shared" si="192"/>
        <v>Нет</v>
      </c>
      <c r="Y434" t="str">
        <f t="shared" si="192"/>
        <v>Нет</v>
      </c>
      <c r="Z434" t="str">
        <f>"Нет"</f>
        <v>Нет</v>
      </c>
      <c r="AA434" t="str">
        <f>""</f>
        <v/>
      </c>
      <c r="AB434" t="str">
        <f t="shared" si="195"/>
        <v>Нет</v>
      </c>
      <c r="AC434" t="str">
        <f>""</f>
        <v/>
      </c>
      <c r="AD434" t="str">
        <f>""</f>
        <v/>
      </c>
      <c r="AE434" t="str">
        <f>""</f>
        <v/>
      </c>
      <c r="AF434" t="str">
        <f>"[882345] М 3.4.16"</f>
        <v>[882345] М 3.4.16</v>
      </c>
      <c r="AG434" t="str">
        <f>"[882086] М 3.4.17"</f>
        <v>[882086] М 3.4.17</v>
      </c>
      <c r="AH434" t="str">
        <f>""</f>
        <v/>
      </c>
      <c r="AI434" t="str">
        <f>""</f>
        <v/>
      </c>
      <c r="AJ434" t="str">
        <f>""</f>
        <v/>
      </c>
      <c r="AK434" t="str">
        <f t="shared" si="194"/>
        <v>Нет</v>
      </c>
      <c r="AL434" t="str">
        <f>"51.751691 36.188039, 51.75142 36.188102"</f>
        <v>51.751691 36.188039, 51.75142 36.188102</v>
      </c>
      <c r="AM434" t="str">
        <f>"20000008911405"</f>
        <v>20000008911405</v>
      </c>
    </row>
    <row r="435" spans="1:39" x14ac:dyDescent="0.25">
      <c r="A435">
        <v>907</v>
      </c>
      <c r="B435" t="str">
        <f t="shared" si="177"/>
        <v>Курск</v>
      </c>
      <c r="C435">
        <v>1009785</v>
      </c>
      <c r="D435" t="str">
        <f t="shared" si="178"/>
        <v>Оптический кабель</v>
      </c>
      <c r="E435" t="str">
        <f>"[46/4625] М 3.4.19 - М 3.4.14"</f>
        <v>[46/4625] М 3.4.19 - М 3.4.14</v>
      </c>
      <c r="F435" t="str">
        <f>"ДПТа-П-64А 6(6) 7кН (Кр,Жел,Зел,..,8-Фиол,9-Бел,..,Бир,Роз)"</f>
        <v>ДПТа-П-64А 6(6) 7кН (Кр,Жел,Зел,..,8-Фиол,9-Бел,..,Бир,Роз)</v>
      </c>
      <c r="G435" t="str">
        <f>""</f>
        <v/>
      </c>
      <c r="H435" t="str">
        <f>"МС 3.4"</f>
        <v>МС 3.4</v>
      </c>
      <c r="I435">
        <v>245</v>
      </c>
      <c r="J435">
        <v>635</v>
      </c>
      <c r="K435">
        <v>45</v>
      </c>
      <c r="L435">
        <v>391.95</v>
      </c>
      <c r="M435" t="str">
        <f t="shared" si="197"/>
        <v>Опоры</v>
      </c>
      <c r="N435" t="str">
        <f t="shared" si="199"/>
        <v>08.07.20244</v>
      </c>
      <c r="O435">
        <v>64</v>
      </c>
      <c r="P435">
        <v>64</v>
      </c>
      <c r="Q435" t="str">
        <f>""</f>
        <v/>
      </c>
      <c r="R435" t="str">
        <f>""</f>
        <v/>
      </c>
      <c r="S435" t="str">
        <f>""</f>
        <v/>
      </c>
      <c r="T435" t="str">
        <f>"46/4625"</f>
        <v>46/4625</v>
      </c>
      <c r="U435" t="str">
        <f t="shared" si="198"/>
        <v>Магистральная ВОЛС</v>
      </c>
      <c r="V435" t="str">
        <f t="shared" si="188"/>
        <v>Нет</v>
      </c>
      <c r="W435" t="str">
        <f t="shared" si="190"/>
        <v>Нет</v>
      </c>
      <c r="X435" t="str">
        <f t="shared" si="192"/>
        <v>Нет</v>
      </c>
      <c r="Y435" t="str">
        <f t="shared" si="192"/>
        <v>Нет</v>
      </c>
      <c r="Z435" t="str">
        <f>"Да"</f>
        <v>Да</v>
      </c>
      <c r="AA435" t="str">
        <f>""</f>
        <v/>
      </c>
      <c r="AB435" t="str">
        <f t="shared" si="195"/>
        <v>Нет</v>
      </c>
      <c r="AC435" t="str">
        <f>""</f>
        <v/>
      </c>
      <c r="AD435" t="str">
        <f>""</f>
        <v/>
      </c>
      <c r="AE435" t="str">
        <f>""</f>
        <v/>
      </c>
      <c r="AF435" t="str">
        <f>"[881568] М 3.4.19"</f>
        <v>[881568] М 3.4.19</v>
      </c>
      <c r="AG435" t="str">
        <f>"[502670] М 3.4.14"</f>
        <v>[502670] М 3.4.14</v>
      </c>
      <c r="AH435" t="str">
        <f>"М3.4.2"</f>
        <v>М3.4.2</v>
      </c>
      <c r="AI435" t="str">
        <f>"Т6.4"</f>
        <v>Т6.4</v>
      </c>
      <c r="AJ435" t="str">
        <f>""</f>
        <v/>
      </c>
      <c r="AK435" t="str">
        <f t="shared" si="194"/>
        <v>Нет</v>
      </c>
      <c r="AL435" t="str">
        <f>"51.75154 36.190125, 51.749384 36.190037"</f>
        <v>51.75154 36.190125, 51.749384 36.190037</v>
      </c>
      <c r="AM435" t="str">
        <f>"20000008911408"</f>
        <v>20000008911408</v>
      </c>
    </row>
    <row r="436" spans="1:39" x14ac:dyDescent="0.25">
      <c r="A436">
        <v>907</v>
      </c>
      <c r="B436" t="str">
        <f t="shared" si="177"/>
        <v>Курск</v>
      </c>
      <c r="C436">
        <v>1009896</v>
      </c>
      <c r="D436" t="str">
        <f t="shared" si="178"/>
        <v>Оптический кабель</v>
      </c>
      <c r="E436" t="str">
        <f>"[46/4626] М 3.4.18 - М 3.4.19"</f>
        <v>[46/4626] М 3.4.18 - М 3.4.19</v>
      </c>
      <c r="F436" t="str">
        <f>"ОКМС-64 (G.652.D) 7кН (Мод:Кр,Жел, 4Нат)"</f>
        <v>ОКМС-64 (G.652.D) 7кН (Мод:Кр,Жел, 4Нат)</v>
      </c>
      <c r="G436" t="str">
        <f>""</f>
        <v/>
      </c>
      <c r="H436" t="str">
        <f>"МС 3.4"</f>
        <v>МС 3.4</v>
      </c>
      <c r="I436">
        <v>52</v>
      </c>
      <c r="J436">
        <v>60</v>
      </c>
      <c r="K436">
        <v>0</v>
      </c>
      <c r="M436" t="str">
        <f t="shared" si="197"/>
        <v>Опоры</v>
      </c>
      <c r="N436" t="str">
        <f t="shared" si="199"/>
        <v>08.07.20244</v>
      </c>
      <c r="O436">
        <v>64</v>
      </c>
      <c r="P436">
        <v>64</v>
      </c>
      <c r="Q436" t="str">
        <f>""</f>
        <v/>
      </c>
      <c r="R436" t="str">
        <f>""</f>
        <v/>
      </c>
      <c r="S436" t="str">
        <f>"08.07.2024"</f>
        <v>08.07.2024</v>
      </c>
      <c r="T436" t="str">
        <f>"46/4626"</f>
        <v>46/4626</v>
      </c>
      <c r="U436" t="str">
        <f t="shared" si="198"/>
        <v>Магистральная ВОЛС</v>
      </c>
      <c r="V436" t="str">
        <f t="shared" ref="V436:V450" si="200">"Нет"</f>
        <v>Нет</v>
      </c>
      <c r="W436" t="str">
        <f t="shared" si="190"/>
        <v>Нет</v>
      </c>
      <c r="X436" t="str">
        <f t="shared" ref="X436:Y450" si="201">"Нет"</f>
        <v>Нет</v>
      </c>
      <c r="Y436" t="str">
        <f t="shared" si="201"/>
        <v>Нет</v>
      </c>
      <c r="Z436" t="str">
        <f>"Нет"</f>
        <v>Нет</v>
      </c>
      <c r="AA436" t="str">
        <f>""</f>
        <v/>
      </c>
      <c r="AB436" t="str">
        <f t="shared" si="195"/>
        <v>Нет</v>
      </c>
      <c r="AC436" t="str">
        <f>""</f>
        <v/>
      </c>
      <c r="AD436" t="str">
        <f>""</f>
        <v/>
      </c>
      <c r="AE436" t="str">
        <f>""</f>
        <v/>
      </c>
      <c r="AF436" t="str">
        <f>"[881827] М 3.4.18"</f>
        <v>[881827] М 3.4.18</v>
      </c>
      <c r="AG436" t="str">
        <f>"[881568] М 3.4.19"</f>
        <v>[881568] М 3.4.19</v>
      </c>
      <c r="AH436" t="str">
        <f>""</f>
        <v/>
      </c>
      <c r="AI436" t="str">
        <f>""</f>
        <v/>
      </c>
      <c r="AJ436" t="str">
        <f>""</f>
        <v/>
      </c>
      <c r="AK436" t="str">
        <f t="shared" si="194"/>
        <v>Нет</v>
      </c>
      <c r="AL436" t="str">
        <f>"51.75158 36.189391, 51.75154 36.190125"</f>
        <v>51.75158 36.189391, 51.75154 36.190125</v>
      </c>
      <c r="AM436" t="str">
        <f>"20000008911409"</f>
        <v>20000008911409</v>
      </c>
    </row>
    <row r="437" spans="1:39" x14ac:dyDescent="0.25">
      <c r="A437">
        <v>907</v>
      </c>
      <c r="B437" t="str">
        <f t="shared" si="177"/>
        <v>Курск</v>
      </c>
      <c r="C437">
        <v>1010001</v>
      </c>
      <c r="D437" t="str">
        <f t="shared" si="178"/>
        <v>Оптический кабель</v>
      </c>
      <c r="E437" t="str">
        <f>"[46/4628] М 3.5.4 - М 3.5.3"</f>
        <v>[46/4628] М 3.5.4 - М 3.5.3</v>
      </c>
      <c r="F437" t="str">
        <f>"ОКМС-16(G.652.D) 7кН"</f>
        <v>ОКМС-16(G.652.D) 7кН</v>
      </c>
      <c r="G437" t="str">
        <f>""</f>
        <v/>
      </c>
      <c r="H437" t="str">
        <f>"МС 3.5"</f>
        <v>МС 3.5</v>
      </c>
      <c r="I437">
        <v>72</v>
      </c>
      <c r="J437">
        <v>120</v>
      </c>
      <c r="K437">
        <v>0</v>
      </c>
      <c r="M437" t="str">
        <f t="shared" si="197"/>
        <v>Опоры</v>
      </c>
      <c r="N437" t="str">
        <f t="shared" si="199"/>
        <v>08.07.20244</v>
      </c>
      <c r="O437">
        <v>16</v>
      </c>
      <c r="P437">
        <v>16</v>
      </c>
      <c r="Q437" t="str">
        <f>""</f>
        <v/>
      </c>
      <c r="R437" t="str">
        <f>""</f>
        <v/>
      </c>
      <c r="S437" t="str">
        <f>"08.07.2024"</f>
        <v>08.07.2024</v>
      </c>
      <c r="T437" t="str">
        <f>"46/4628"</f>
        <v>46/4628</v>
      </c>
      <c r="U437" t="str">
        <f t="shared" si="198"/>
        <v>Магистральная ВОЛС</v>
      </c>
      <c r="V437" t="str">
        <f t="shared" si="200"/>
        <v>Нет</v>
      </c>
      <c r="W437" t="str">
        <f t="shared" si="190"/>
        <v>Нет</v>
      </c>
      <c r="X437" t="str">
        <f t="shared" si="201"/>
        <v>Нет</v>
      </c>
      <c r="Y437" t="str">
        <f t="shared" si="201"/>
        <v>Нет</v>
      </c>
      <c r="Z437" t="str">
        <f>"Нет"</f>
        <v>Нет</v>
      </c>
      <c r="AA437" t="str">
        <f>""</f>
        <v/>
      </c>
      <c r="AB437" t="str">
        <f t="shared" si="195"/>
        <v>Нет</v>
      </c>
      <c r="AC437" t="str">
        <f>""</f>
        <v/>
      </c>
      <c r="AD437" t="str">
        <f>""</f>
        <v/>
      </c>
      <c r="AE437" t="str">
        <f>""</f>
        <v/>
      </c>
      <c r="AF437" t="str">
        <f>"[882797] М 3.5.4"</f>
        <v>[882797] М 3.5.4</v>
      </c>
      <c r="AG437" t="str">
        <f>"[883056] М 3.5.3"</f>
        <v>[883056] М 3.5.3</v>
      </c>
      <c r="AH437" t="str">
        <f>""</f>
        <v/>
      </c>
      <c r="AI437" t="str">
        <f>""</f>
        <v/>
      </c>
      <c r="AJ437" t="str">
        <f>""</f>
        <v/>
      </c>
      <c r="AK437" t="str">
        <f t="shared" si="194"/>
        <v>Нет</v>
      </c>
      <c r="AL437" t="str">
        <f>"51.753655 36.213142, 51.754102 36.212929"</f>
        <v>51.753655 36.213142, 51.754102 36.212929</v>
      </c>
      <c r="AM437" t="str">
        <f>"20000008912080"</f>
        <v>20000008912080</v>
      </c>
    </row>
    <row r="438" spans="1:39" x14ac:dyDescent="0.25">
      <c r="A438">
        <v>907</v>
      </c>
      <c r="B438" t="str">
        <f t="shared" si="177"/>
        <v>Курск</v>
      </c>
      <c r="C438">
        <v>1010013</v>
      </c>
      <c r="D438" t="str">
        <f t="shared" si="178"/>
        <v>Оптический кабель</v>
      </c>
      <c r="E438" t="str">
        <f>"[46/4629] М 3.5.4 - ГОК3.5.3.1 Курск, Интернациональная, 2  п. 2"</f>
        <v>[46/4629] М 3.5.4 - ГОК3.5.3.1 Курск, Интернациональная, 2  п. 2</v>
      </c>
      <c r="F438" t="str">
        <f>"ДПТс-П-16А 2(6) 7кН (Мод:Кр,Нат)(Вол:Кр,Жел,Зел,..,Ор,Фиол)"</f>
        <v>ДПТс-П-16А 2(6) 7кН (Мод:Кр,Нат)(Вол:Кр,Жел,Зел,..,Ор,Фиол)</v>
      </c>
      <c r="G438" t="str">
        <f>""</f>
        <v/>
      </c>
      <c r="H438" t="str">
        <f>"МС 3.5"</f>
        <v>МС 3.5</v>
      </c>
      <c r="I438">
        <v>235</v>
      </c>
      <c r="J438">
        <v>600</v>
      </c>
      <c r="K438">
        <v>0</v>
      </c>
      <c r="L438">
        <v>350.73</v>
      </c>
      <c r="M438" t="str">
        <f t="shared" si="197"/>
        <v>Опоры</v>
      </c>
      <c r="N438" t="str">
        <f t="shared" si="199"/>
        <v>08.07.20244</v>
      </c>
      <c r="O438">
        <v>16</v>
      </c>
      <c r="P438">
        <v>16</v>
      </c>
      <c r="Q438" t="str">
        <f>""</f>
        <v/>
      </c>
      <c r="R438" t="str">
        <f>"Курск, Интернациональная, 2"</f>
        <v>Курск, Интернациональная, 2</v>
      </c>
      <c r="S438" t="str">
        <f>""</f>
        <v/>
      </c>
      <c r="T438" t="str">
        <f>"46/4629"</f>
        <v>46/4629</v>
      </c>
      <c r="U438" t="str">
        <f t="shared" si="198"/>
        <v>Магистральная ВОЛС</v>
      </c>
      <c r="V438" t="str">
        <f t="shared" si="200"/>
        <v>Нет</v>
      </c>
      <c r="W438" t="str">
        <f t="shared" si="190"/>
        <v>Нет</v>
      </c>
      <c r="X438" t="str">
        <f t="shared" si="201"/>
        <v>Нет</v>
      </c>
      <c r="Y438" t="str">
        <f t="shared" si="201"/>
        <v>Нет</v>
      </c>
      <c r="Z438" t="str">
        <f>"Да"</f>
        <v>Да</v>
      </c>
      <c r="AA438" t="str">
        <f>""</f>
        <v/>
      </c>
      <c r="AB438" t="str">
        <f t="shared" si="195"/>
        <v>Нет</v>
      </c>
      <c r="AC438" t="str">
        <f>"Т 7.3 - ППК 3.5.3"</f>
        <v>Т 7.3 - ППК 3.5.3</v>
      </c>
      <c r="AD438" t="str">
        <f>"02.02.2012"</f>
        <v>02.02.2012</v>
      </c>
      <c r="AE438" t="str">
        <f>""</f>
        <v/>
      </c>
      <c r="AF438" t="str">
        <f>"[882797] М 3.5.4"</f>
        <v>[882797] М 3.5.4</v>
      </c>
      <c r="AG438" t="str">
        <f>"[454833] ГОК3.5.3.1 Курск, Интернациональная, 2  п. 2"</f>
        <v>[454833] ГОК3.5.3.1 Курск, Интернациональная, 2  п. 2</v>
      </c>
      <c r="AH438" t="str">
        <f>"Т 7.3"</f>
        <v>Т 7.3</v>
      </c>
      <c r="AI438" t="str">
        <f>"ППК 3.5.3"</f>
        <v>ППК 3.5.3</v>
      </c>
      <c r="AJ438" t="str">
        <f>""</f>
        <v/>
      </c>
      <c r="AK438" t="str">
        <f t="shared" si="194"/>
        <v>Нет</v>
      </c>
      <c r="AL438" t="str">
        <f>"51.753655 36.213142, 51.753793 36.215526"</f>
        <v>51.753655 36.213142, 51.753793 36.215526</v>
      </c>
      <c r="AM438" t="str">
        <f>"20000008912079"</f>
        <v>20000008912079</v>
      </c>
    </row>
    <row r="439" spans="1:39" x14ac:dyDescent="0.25">
      <c r="A439">
        <v>907</v>
      </c>
      <c r="B439" t="str">
        <f t="shared" si="177"/>
        <v>Курск</v>
      </c>
      <c r="C439">
        <v>1010093</v>
      </c>
      <c r="D439" t="str">
        <f t="shared" si="178"/>
        <v>Оптический кабель</v>
      </c>
      <c r="E439" t="str">
        <f>"[46/4630] М 4.2.16 - М 4.2.1"</f>
        <v>[46/4630] М 4.2.16 - М 4.2.1</v>
      </c>
      <c r="F439" t="str">
        <f>"ДПТа-П-64А 6(6) 7кН (Кр,Жел,Зел,..,8-Фиол,9-Бел,..,Бир,Роз)"</f>
        <v>ДПТа-П-64А 6(6) 7кН (Кр,Жел,Зел,..,8-Фиол,9-Бел,..,Бир,Роз)</v>
      </c>
      <c r="G439" t="str">
        <f>""</f>
        <v/>
      </c>
      <c r="H439" t="str">
        <f>"МС 4.2"</f>
        <v>МС 4.2</v>
      </c>
      <c r="I439">
        <v>307</v>
      </c>
      <c r="J439">
        <v>1150</v>
      </c>
      <c r="K439">
        <v>15</v>
      </c>
      <c r="L439">
        <v>336.24</v>
      </c>
      <c r="M439" t="str">
        <f t="shared" si="197"/>
        <v>Опоры</v>
      </c>
      <c r="N439" t="str">
        <f t="shared" ref="N439:N447" si="202">"09.07.20244"</f>
        <v>09.07.20244</v>
      </c>
      <c r="O439">
        <v>64</v>
      </c>
      <c r="P439">
        <v>64</v>
      </c>
      <c r="Q439" t="str">
        <f>""</f>
        <v/>
      </c>
      <c r="R439" t="str">
        <f>""</f>
        <v/>
      </c>
      <c r="S439" t="str">
        <f>""</f>
        <v/>
      </c>
      <c r="T439" t="str">
        <f>"46/4630"</f>
        <v>46/4630</v>
      </c>
      <c r="U439" t="str">
        <f t="shared" si="198"/>
        <v>Магистральная ВОЛС</v>
      </c>
      <c r="V439" t="str">
        <f t="shared" si="200"/>
        <v>Нет</v>
      </c>
      <c r="W439" t="str">
        <f t="shared" si="190"/>
        <v>Нет</v>
      </c>
      <c r="X439" t="str">
        <f t="shared" si="201"/>
        <v>Нет</v>
      </c>
      <c r="Y439" t="str">
        <f t="shared" si="201"/>
        <v>Нет</v>
      </c>
      <c r="Z439" t="str">
        <f t="shared" ref="Z439:Z450" si="203">"Нет"</f>
        <v>Нет</v>
      </c>
      <c r="AA439" t="str">
        <f>""</f>
        <v/>
      </c>
      <c r="AB439" t="str">
        <f t="shared" si="195"/>
        <v>Нет</v>
      </c>
      <c r="AC439" t="str">
        <f>"КРС МС-4.2 - М 4.2.1"</f>
        <v>КРС МС-4.2 - М 4.2.1</v>
      </c>
      <c r="AD439" t="str">
        <f>"02.02.2012"</f>
        <v>02.02.2012</v>
      </c>
      <c r="AE439" t="str">
        <f>""</f>
        <v/>
      </c>
      <c r="AF439" t="str">
        <f>"[883833] М 4.2.16"</f>
        <v>[883833] М 4.2.16</v>
      </c>
      <c r="AG439" t="str">
        <f>"[437461] М 4.2.1"</f>
        <v>[437461] М 4.2.1</v>
      </c>
      <c r="AH439" t="str">
        <f>"КРС МС-4.2"</f>
        <v>КРС МС-4.2</v>
      </c>
      <c r="AI439" t="str">
        <f>"М 4.2.1"</f>
        <v>М 4.2.1</v>
      </c>
      <c r="AJ439" t="str">
        <f>""</f>
        <v/>
      </c>
      <c r="AK439" t="str">
        <f t="shared" si="194"/>
        <v>Нет</v>
      </c>
      <c r="AL439" t="str">
        <f>"51.746723 36.247635, 51.746077 36.251734"</f>
        <v>51.746723 36.247635, 51.746077 36.251734</v>
      </c>
      <c r="AM439" t="str">
        <f>"20000008912181"</f>
        <v>20000008912181</v>
      </c>
    </row>
    <row r="440" spans="1:39" x14ac:dyDescent="0.25">
      <c r="A440">
        <v>907</v>
      </c>
      <c r="B440" t="str">
        <f t="shared" si="177"/>
        <v>Курск</v>
      </c>
      <c r="C440">
        <v>1010192</v>
      </c>
      <c r="D440" t="str">
        <f t="shared" si="178"/>
        <v>Оптический кабель</v>
      </c>
      <c r="E440" t="str">
        <f>"[46/4631] М 4.2.16 - М 4.2.15"</f>
        <v>[46/4631] М 4.2.16 - М 4.2.15</v>
      </c>
      <c r="F440" t="str">
        <f>"ОКМС-64 (G.652.D) 7кН (Мод:Кр,Жел, 4Нат)"</f>
        <v>ОКМС-64 (G.652.D) 7кН (Мод:Кр,Жел, 4Нат)</v>
      </c>
      <c r="G440" t="str">
        <f>""</f>
        <v/>
      </c>
      <c r="H440" t="str">
        <f>"МС 4.2"</f>
        <v>МС 4.2</v>
      </c>
      <c r="I440">
        <v>445</v>
      </c>
      <c r="J440">
        <v>525</v>
      </c>
      <c r="K440">
        <v>30</v>
      </c>
      <c r="M440" t="str">
        <f t="shared" si="197"/>
        <v>Опоры</v>
      </c>
      <c r="N440" t="str">
        <f t="shared" si="202"/>
        <v>09.07.20244</v>
      </c>
      <c r="O440">
        <v>64</v>
      </c>
      <c r="P440">
        <v>64</v>
      </c>
      <c r="Q440" t="str">
        <f>""</f>
        <v/>
      </c>
      <c r="R440" t="str">
        <f>""</f>
        <v/>
      </c>
      <c r="S440" t="str">
        <f t="shared" ref="S440:S447" si="204">"09.07.2024"</f>
        <v>09.07.2024</v>
      </c>
      <c r="T440" t="str">
        <f>"46/4631"</f>
        <v>46/4631</v>
      </c>
      <c r="U440" t="str">
        <f t="shared" si="198"/>
        <v>Магистральная ВОЛС</v>
      </c>
      <c r="V440" t="str">
        <f t="shared" si="200"/>
        <v>Нет</v>
      </c>
      <c r="W440" t="str">
        <f t="shared" si="190"/>
        <v>Нет</v>
      </c>
      <c r="X440" t="str">
        <f t="shared" si="201"/>
        <v>Нет</v>
      </c>
      <c r="Y440" t="str">
        <f t="shared" si="201"/>
        <v>Нет</v>
      </c>
      <c r="Z440" t="str">
        <f t="shared" si="203"/>
        <v>Нет</v>
      </c>
      <c r="AA440" t="str">
        <f>""</f>
        <v/>
      </c>
      <c r="AB440" t="str">
        <f t="shared" si="195"/>
        <v>Нет</v>
      </c>
      <c r="AC440" t="str">
        <f>""</f>
        <v/>
      </c>
      <c r="AD440" t="str">
        <f>""</f>
        <v/>
      </c>
      <c r="AE440" t="str">
        <f>""</f>
        <v/>
      </c>
      <c r="AF440" t="str">
        <f>"[883833] М 4.2.16"</f>
        <v>[883833] М 4.2.16</v>
      </c>
      <c r="AG440" t="str">
        <f>"[883315] М 4.2.15"</f>
        <v>[883315] М 4.2.15</v>
      </c>
      <c r="AH440" t="str">
        <f>""</f>
        <v/>
      </c>
      <c r="AI440" t="str">
        <f>""</f>
        <v/>
      </c>
      <c r="AJ440" t="str">
        <f>""</f>
        <v/>
      </c>
      <c r="AK440" t="str">
        <f t="shared" si="194"/>
        <v>Нет</v>
      </c>
      <c r="AL440" t="str">
        <f>"51.746723 36.247635, 51.7503 36.245066"</f>
        <v>51.746723 36.247635, 51.7503 36.245066</v>
      </c>
      <c r="AM440" t="str">
        <f>"20000008912265"</f>
        <v>20000008912265</v>
      </c>
    </row>
    <row r="441" spans="1:39" x14ac:dyDescent="0.25">
      <c r="A441">
        <v>907</v>
      </c>
      <c r="B441" t="str">
        <f t="shared" si="177"/>
        <v>Курск</v>
      </c>
      <c r="C441">
        <v>1010267</v>
      </c>
      <c r="D441" t="str">
        <f t="shared" si="178"/>
        <v>Оптический кабель</v>
      </c>
      <c r="E441" t="str">
        <f>"[46/4632] М 4.2.15 - М 4.2.14"</f>
        <v>[46/4632] М 4.2.15 - М 4.2.14</v>
      </c>
      <c r="F441" t="str">
        <f>"ОКМС-64 (G.652.D) 7кН (Мод:Кр,Жел, 4Нат)"</f>
        <v>ОКМС-64 (G.652.D) 7кН (Мод:Кр,Жел, 4Нат)</v>
      </c>
      <c r="G441" t="str">
        <f>""</f>
        <v/>
      </c>
      <c r="H441" t="str">
        <f>"МС 4.2"</f>
        <v>МС 4.2</v>
      </c>
      <c r="I441">
        <v>48</v>
      </c>
      <c r="J441">
        <v>100</v>
      </c>
      <c r="K441">
        <v>30</v>
      </c>
      <c r="M441" t="str">
        <f t="shared" si="197"/>
        <v>Опоры</v>
      </c>
      <c r="N441" t="str">
        <f t="shared" si="202"/>
        <v>09.07.20244</v>
      </c>
      <c r="O441">
        <v>64</v>
      </c>
      <c r="P441">
        <v>64</v>
      </c>
      <c r="Q441" t="str">
        <f>""</f>
        <v/>
      </c>
      <c r="R441" t="str">
        <f>""</f>
        <v/>
      </c>
      <c r="S441" t="str">
        <f t="shared" si="204"/>
        <v>09.07.2024</v>
      </c>
      <c r="T441" t="str">
        <f>"46/4632"</f>
        <v>46/4632</v>
      </c>
      <c r="U441" t="str">
        <f t="shared" si="198"/>
        <v>Магистральная ВОЛС</v>
      </c>
      <c r="V441" t="str">
        <f t="shared" si="200"/>
        <v>Нет</v>
      </c>
      <c r="W441" t="str">
        <f t="shared" ref="W441:W450" si="205">"Нет"</f>
        <v>Нет</v>
      </c>
      <c r="X441" t="str">
        <f t="shared" si="201"/>
        <v>Нет</v>
      </c>
      <c r="Y441" t="str">
        <f t="shared" si="201"/>
        <v>Нет</v>
      </c>
      <c r="Z441" t="str">
        <f t="shared" si="203"/>
        <v>Нет</v>
      </c>
      <c r="AA441" t="str">
        <f>""</f>
        <v/>
      </c>
      <c r="AB441" t="str">
        <f t="shared" si="195"/>
        <v>Нет</v>
      </c>
      <c r="AC441" t="str">
        <f>""</f>
        <v/>
      </c>
      <c r="AD441" t="str">
        <f>""</f>
        <v/>
      </c>
      <c r="AE441" t="str">
        <f>""</f>
        <v/>
      </c>
      <c r="AF441" t="str">
        <f>"[883315] М 4.2.15"</f>
        <v>[883315] М 4.2.15</v>
      </c>
      <c r="AG441" t="str">
        <f>"[883574] М 4.2.14"</f>
        <v>[883574] М 4.2.14</v>
      </c>
      <c r="AH441" t="str">
        <f>""</f>
        <v/>
      </c>
      <c r="AI441" t="str">
        <f>""</f>
        <v/>
      </c>
      <c r="AJ441" t="str">
        <f>""</f>
        <v/>
      </c>
      <c r="AK441" t="str">
        <f t="shared" si="194"/>
        <v>Нет</v>
      </c>
      <c r="AL441" t="str">
        <f>"51.7503 36.245066, 51.750455 36.244601"</f>
        <v>51.7503 36.245066, 51.750455 36.244601</v>
      </c>
      <c r="AM441" t="str">
        <f>"20000008912263"</f>
        <v>20000008912263</v>
      </c>
    </row>
    <row r="442" spans="1:39" x14ac:dyDescent="0.25">
      <c r="A442">
        <v>907</v>
      </c>
      <c r="B442" t="str">
        <f t="shared" si="177"/>
        <v>Курск</v>
      </c>
      <c r="C442">
        <v>1010385</v>
      </c>
      <c r="D442" t="str">
        <f t="shared" si="178"/>
        <v>Оптический кабель</v>
      </c>
      <c r="E442" t="str">
        <f>"[46/4633] М 4.1.11 - М 4.1.14"</f>
        <v>[46/4633] М 4.1.11 - М 4.1.14</v>
      </c>
      <c r="F442" t="str">
        <f>"ДПТа-П-64А 6(6) 7кН (Кр,Жел,Зел,..,8-Фиол,9-Бел,..,Бир,Роз)"</f>
        <v>ДПТа-П-64А 6(6) 7кН (Кр,Жел,Зел,..,8-Фиол,9-Бел,..,Бир,Роз)</v>
      </c>
      <c r="G442" t="str">
        <f>""</f>
        <v/>
      </c>
      <c r="H442" t="str">
        <f>"МС 4.1"</f>
        <v>МС 4.1</v>
      </c>
      <c r="I442">
        <v>144</v>
      </c>
      <c r="J442">
        <v>152</v>
      </c>
      <c r="K442">
        <v>0</v>
      </c>
      <c r="L442">
        <v>652.02</v>
      </c>
      <c r="M442" t="str">
        <f t="shared" si="197"/>
        <v>Опоры</v>
      </c>
      <c r="N442" t="str">
        <f t="shared" si="202"/>
        <v>09.07.20244</v>
      </c>
      <c r="O442">
        <v>64</v>
      </c>
      <c r="P442">
        <v>64</v>
      </c>
      <c r="Q442" t="str">
        <f>""</f>
        <v/>
      </c>
      <c r="R442" t="str">
        <f>""</f>
        <v/>
      </c>
      <c r="S442" t="str">
        <f t="shared" si="204"/>
        <v>09.07.2024</v>
      </c>
      <c r="T442" t="str">
        <f>"46/4633"</f>
        <v>46/4633</v>
      </c>
      <c r="U442" t="str">
        <f t="shared" si="198"/>
        <v>Магистральная ВОЛС</v>
      </c>
      <c r="V442" t="str">
        <f t="shared" si="200"/>
        <v>Нет</v>
      </c>
      <c r="W442" t="str">
        <f t="shared" si="205"/>
        <v>Нет</v>
      </c>
      <c r="X442" t="str">
        <f t="shared" si="201"/>
        <v>Нет</v>
      </c>
      <c r="Y442" t="str">
        <f t="shared" si="201"/>
        <v>Нет</v>
      </c>
      <c r="Z442" t="str">
        <f t="shared" si="203"/>
        <v>Нет</v>
      </c>
      <c r="AA442" t="str">
        <f>""</f>
        <v/>
      </c>
      <c r="AB442" t="str">
        <f t="shared" si="195"/>
        <v>Нет</v>
      </c>
      <c r="AC442" t="str">
        <f>"М 4.1.7 - КРС МС-4.1"</f>
        <v>М 4.1.7 - КРС МС-4.1</v>
      </c>
      <c r="AD442" t="str">
        <f>"02.02.2012"</f>
        <v>02.02.2012</v>
      </c>
      <c r="AE442" t="str">
        <f>""</f>
        <v/>
      </c>
      <c r="AF442" t="str">
        <f>"[884351] М 4.1.11"</f>
        <v>[884351] М 4.1.11</v>
      </c>
      <c r="AG442" t="str">
        <f>"[801980] М 4.1.14"</f>
        <v>[801980] М 4.1.14</v>
      </c>
      <c r="AH442" t="str">
        <f>""</f>
        <v/>
      </c>
      <c r="AI442" t="str">
        <f>""</f>
        <v/>
      </c>
      <c r="AJ442" t="str">
        <f>""</f>
        <v/>
      </c>
      <c r="AK442" t="str">
        <f t="shared" si="194"/>
        <v>Нет</v>
      </c>
      <c r="AL442" t="str">
        <f>"51.750521 36.24454, 51.749923 36.242703"</f>
        <v>51.750521 36.24454, 51.749923 36.242703</v>
      </c>
      <c r="AM442" t="str">
        <f>"20000008912267"</f>
        <v>20000008912267</v>
      </c>
    </row>
    <row r="443" spans="1:39" x14ac:dyDescent="0.25">
      <c r="A443">
        <v>907</v>
      </c>
      <c r="B443" t="str">
        <f t="shared" si="177"/>
        <v>Курск</v>
      </c>
      <c r="C443">
        <v>1010512</v>
      </c>
      <c r="D443" t="str">
        <f t="shared" si="178"/>
        <v>Оптический кабель</v>
      </c>
      <c r="E443" t="str">
        <f>"[46/4634] М 4.1.10 - М 4.1.12"</f>
        <v>[46/4634] М 4.1.10 - М 4.1.12</v>
      </c>
      <c r="F443" t="str">
        <f>"ОКМС-64 (G.652.D) 7кН (Мод:Кр,Жел, 4Нат)"</f>
        <v>ОКМС-64 (G.652.D) 7кН (Мод:Кр,Жел, 4Нат)</v>
      </c>
      <c r="G443" t="str">
        <f>""</f>
        <v/>
      </c>
      <c r="H443" t="str">
        <f>"МС 4.1"</f>
        <v>МС 4.1</v>
      </c>
      <c r="I443">
        <v>409</v>
      </c>
      <c r="J443">
        <v>500</v>
      </c>
      <c r="K443">
        <v>0</v>
      </c>
      <c r="M443" t="str">
        <f t="shared" si="197"/>
        <v>Опоры</v>
      </c>
      <c r="N443" t="str">
        <f t="shared" si="202"/>
        <v>09.07.20244</v>
      </c>
      <c r="O443">
        <v>64</v>
      </c>
      <c r="P443">
        <v>64</v>
      </c>
      <c r="Q443" t="str">
        <f>""</f>
        <v/>
      </c>
      <c r="R443" t="str">
        <f>""</f>
        <v/>
      </c>
      <c r="S443" t="str">
        <f t="shared" si="204"/>
        <v>09.07.2024</v>
      </c>
      <c r="T443" t="str">
        <f>"46/4634"</f>
        <v>46/4634</v>
      </c>
      <c r="U443" t="str">
        <f t="shared" si="198"/>
        <v>Магистральная ВОЛС</v>
      </c>
      <c r="V443" t="str">
        <f t="shared" si="200"/>
        <v>Нет</v>
      </c>
      <c r="W443" t="str">
        <f t="shared" si="205"/>
        <v>Нет</v>
      </c>
      <c r="X443" t="str">
        <f t="shared" si="201"/>
        <v>Нет</v>
      </c>
      <c r="Y443" t="str">
        <f t="shared" si="201"/>
        <v>Нет</v>
      </c>
      <c r="Z443" t="str">
        <f t="shared" si="203"/>
        <v>Нет</v>
      </c>
      <c r="AA443" t="str">
        <f>""</f>
        <v/>
      </c>
      <c r="AB443" t="str">
        <f t="shared" si="195"/>
        <v>Нет</v>
      </c>
      <c r="AC443" t="str">
        <f>""</f>
        <v/>
      </c>
      <c r="AD443" t="str">
        <f>""</f>
        <v/>
      </c>
      <c r="AE443" t="str">
        <f>""</f>
        <v/>
      </c>
      <c r="AF443" t="str">
        <f>"[884610] М 4.1.10"</f>
        <v>[884610] М 4.1.10</v>
      </c>
      <c r="AG443" t="str">
        <f>"[884092] М 4.1.12"</f>
        <v>[884092] М 4.1.12</v>
      </c>
      <c r="AH443" t="str">
        <f>""</f>
        <v/>
      </c>
      <c r="AI443" t="str">
        <f>""</f>
        <v/>
      </c>
      <c r="AJ443" t="str">
        <f>""</f>
        <v/>
      </c>
      <c r="AK443" t="str">
        <f t="shared" si="194"/>
        <v>Нет</v>
      </c>
      <c r="AL443" t="str">
        <f>"51.746629 36.246575, 51.749938 36.244966"</f>
        <v>51.746629 36.246575, 51.749938 36.244966</v>
      </c>
      <c r="AM443" t="str">
        <f>"20000008912262"</f>
        <v>20000008912262</v>
      </c>
    </row>
    <row r="444" spans="1:39" x14ac:dyDescent="0.25">
      <c r="A444">
        <v>907</v>
      </c>
      <c r="B444" t="str">
        <f t="shared" si="177"/>
        <v>Курск</v>
      </c>
      <c r="C444">
        <v>1010612</v>
      </c>
      <c r="D444" t="str">
        <f t="shared" si="178"/>
        <v>Оптический кабель</v>
      </c>
      <c r="E444" t="str">
        <f>"[46/4635] М 4.1.12 - М 4.1.11"</f>
        <v>[46/4635] М 4.1.12 - М 4.1.11</v>
      </c>
      <c r="F444" t="str">
        <f>"ОКМС-64 (G.652.D) 7кН (Мод:Кр,Жел, 4Нат)"</f>
        <v>ОКМС-64 (G.652.D) 7кН (Мод:Кр,Жел, 4Нат)</v>
      </c>
      <c r="G444" t="str">
        <f>""</f>
        <v/>
      </c>
      <c r="H444" t="str">
        <f>"МС 4.1"</f>
        <v>МС 4.1</v>
      </c>
      <c r="I444">
        <v>71</v>
      </c>
      <c r="J444">
        <v>100</v>
      </c>
      <c r="K444">
        <v>0</v>
      </c>
      <c r="M444" t="str">
        <f t="shared" si="197"/>
        <v>Опоры</v>
      </c>
      <c r="N444" t="str">
        <f t="shared" si="202"/>
        <v>09.07.20244</v>
      </c>
      <c r="O444">
        <v>64</v>
      </c>
      <c r="P444">
        <v>64</v>
      </c>
      <c r="Q444" t="str">
        <f>""</f>
        <v/>
      </c>
      <c r="R444" t="str">
        <f>""</f>
        <v/>
      </c>
      <c r="S444" t="str">
        <f t="shared" si="204"/>
        <v>09.07.2024</v>
      </c>
      <c r="T444" t="str">
        <f>"46/4635"</f>
        <v>46/4635</v>
      </c>
      <c r="U444" t="str">
        <f t="shared" si="198"/>
        <v>Магистральная ВОЛС</v>
      </c>
      <c r="V444" t="str">
        <f t="shared" si="200"/>
        <v>Нет</v>
      </c>
      <c r="W444" t="str">
        <f t="shared" si="205"/>
        <v>Нет</v>
      </c>
      <c r="X444" t="str">
        <f t="shared" si="201"/>
        <v>Нет</v>
      </c>
      <c r="Y444" t="str">
        <f t="shared" si="201"/>
        <v>Нет</v>
      </c>
      <c r="Z444" t="str">
        <f t="shared" si="203"/>
        <v>Нет</v>
      </c>
      <c r="AA444" t="str">
        <f>""</f>
        <v/>
      </c>
      <c r="AB444" t="str">
        <f t="shared" si="195"/>
        <v>Нет</v>
      </c>
      <c r="AC444" t="str">
        <f>""</f>
        <v/>
      </c>
      <c r="AD444" t="str">
        <f>""</f>
        <v/>
      </c>
      <c r="AE444" t="str">
        <f>""</f>
        <v/>
      </c>
      <c r="AF444" t="str">
        <f>"[884092] М 4.1.12"</f>
        <v>[884092] М 4.1.12</v>
      </c>
      <c r="AG444" t="str">
        <f>"[884351] М 4.1.11"</f>
        <v>[884351] М 4.1.11</v>
      </c>
      <c r="AH444" t="str">
        <f>""</f>
        <v/>
      </c>
      <c r="AI444" t="str">
        <f>""</f>
        <v/>
      </c>
      <c r="AJ444" t="str">
        <f>""</f>
        <v/>
      </c>
      <c r="AK444" t="str">
        <f t="shared" si="194"/>
        <v>Нет</v>
      </c>
      <c r="AL444" t="str">
        <f>"51.749938 36.244966, 51.750521 36.24454"</f>
        <v>51.749938 36.244966, 51.750521 36.24454</v>
      </c>
      <c r="AM444" t="str">
        <f>"20000008912266"</f>
        <v>20000008912266</v>
      </c>
    </row>
    <row r="445" spans="1:39" x14ac:dyDescent="0.25">
      <c r="A445">
        <v>907</v>
      </c>
      <c r="B445" t="str">
        <f t="shared" si="177"/>
        <v>Курск</v>
      </c>
      <c r="C445">
        <v>1010692</v>
      </c>
      <c r="D445" t="str">
        <f t="shared" si="178"/>
        <v>Оптический кабель</v>
      </c>
      <c r="E445" t="str">
        <f>"[46/4636] Т 1.22 - Т 1.21"</f>
        <v>[46/4636] Т 1.22 - Т 1.21</v>
      </c>
      <c r="F445" t="str">
        <f>"ОКМС-64 (G.652.D) 7кН (Мод:Кр,Жел, 4Нат)"</f>
        <v>ОКМС-64 (G.652.D) 7кН (Мод:Кр,Жел, 4Нат)</v>
      </c>
      <c r="G445" t="str">
        <f>""</f>
        <v/>
      </c>
      <c r="H445" t="str">
        <f>"ТС"</f>
        <v>ТС</v>
      </c>
      <c r="I445">
        <v>59</v>
      </c>
      <c r="J445">
        <v>100</v>
      </c>
      <c r="K445">
        <v>30</v>
      </c>
      <c r="M445" t="str">
        <f t="shared" si="197"/>
        <v>Опоры</v>
      </c>
      <c r="N445" t="str">
        <f t="shared" si="202"/>
        <v>09.07.20244</v>
      </c>
      <c r="O445">
        <v>64</v>
      </c>
      <c r="P445">
        <v>64</v>
      </c>
      <c r="Q445" t="str">
        <f>""</f>
        <v/>
      </c>
      <c r="R445" t="str">
        <f>""</f>
        <v/>
      </c>
      <c r="S445" t="str">
        <f t="shared" si="204"/>
        <v>09.07.2024</v>
      </c>
      <c r="T445" t="str">
        <f>"46/4636"</f>
        <v>46/4636</v>
      </c>
      <c r="U445" t="str">
        <f>"Транспортная ВОЛС"</f>
        <v>Транспортная ВОЛС</v>
      </c>
      <c r="V445" t="str">
        <f t="shared" si="200"/>
        <v>Нет</v>
      </c>
      <c r="W445" t="str">
        <f t="shared" si="205"/>
        <v>Нет</v>
      </c>
      <c r="X445" t="str">
        <f t="shared" si="201"/>
        <v>Нет</v>
      </c>
      <c r="Y445" t="str">
        <f t="shared" si="201"/>
        <v>Нет</v>
      </c>
      <c r="Z445" t="str">
        <f t="shared" si="203"/>
        <v>Нет</v>
      </c>
      <c r="AA445" t="str">
        <f>""</f>
        <v/>
      </c>
      <c r="AB445" t="str">
        <f t="shared" si="195"/>
        <v>Нет</v>
      </c>
      <c r="AC445" t="str">
        <f>""</f>
        <v/>
      </c>
      <c r="AD445" t="str">
        <f>""</f>
        <v/>
      </c>
      <c r="AE445" t="str">
        <f>""</f>
        <v/>
      </c>
      <c r="AF445" t="str">
        <f>"[884869] Т 1.22"</f>
        <v>[884869] Т 1.22</v>
      </c>
      <c r="AG445" t="str">
        <f>"[885128] Т 1.21"</f>
        <v>[885128] Т 1.21</v>
      </c>
      <c r="AH445" t="str">
        <f>""</f>
        <v/>
      </c>
      <c r="AI445" t="str">
        <f>""</f>
        <v/>
      </c>
      <c r="AJ445" t="str">
        <f>""</f>
        <v/>
      </c>
      <c r="AK445" t="str">
        <f t="shared" si="194"/>
        <v>Нет</v>
      </c>
      <c r="AL445" t="str">
        <f>"51.758899 36.237365, 51.758434 36.237778"</f>
        <v>51.758899 36.237365, 51.758434 36.237778</v>
      </c>
      <c r="AM445" t="str">
        <f>"20000008913026"</f>
        <v>20000008913026</v>
      </c>
    </row>
    <row r="446" spans="1:39" x14ac:dyDescent="0.25">
      <c r="A446">
        <v>907</v>
      </c>
      <c r="B446" t="str">
        <f t="shared" si="177"/>
        <v>Курск</v>
      </c>
      <c r="C446">
        <v>1010772</v>
      </c>
      <c r="D446" t="str">
        <f t="shared" si="178"/>
        <v>Оптический кабель</v>
      </c>
      <c r="E446" t="str">
        <f>"[46/4637] Т 1.21 - Т 1.18"</f>
        <v>[46/4637] Т 1.21 - Т 1.18</v>
      </c>
      <c r="F446" t="str">
        <f>"ОКМС-64 (G.652.D) 7кН (Мод:Кр,Жел, 4Нат)"</f>
        <v>ОКМС-64 (G.652.D) 7кН (Мод:Кр,Жел, 4Нат)</v>
      </c>
      <c r="G446" t="str">
        <f>""</f>
        <v/>
      </c>
      <c r="H446" t="str">
        <f>"ТС"</f>
        <v>ТС</v>
      </c>
      <c r="I446">
        <v>1168</v>
      </c>
      <c r="J446">
        <v>1260</v>
      </c>
      <c r="K446">
        <v>30</v>
      </c>
      <c r="M446" t="str">
        <f t="shared" si="197"/>
        <v>Опоры</v>
      </c>
      <c r="N446" t="str">
        <f t="shared" si="202"/>
        <v>09.07.20244</v>
      </c>
      <c r="O446">
        <v>64</v>
      </c>
      <c r="P446">
        <v>64</v>
      </c>
      <c r="Q446" t="str">
        <f>""</f>
        <v/>
      </c>
      <c r="R446" t="str">
        <f>""</f>
        <v/>
      </c>
      <c r="S446" t="str">
        <f t="shared" si="204"/>
        <v>09.07.2024</v>
      </c>
      <c r="T446" t="str">
        <f>"46/4637"</f>
        <v>46/4637</v>
      </c>
      <c r="U446" t="str">
        <f>"Транспортная ВОЛС"</f>
        <v>Транспортная ВОЛС</v>
      </c>
      <c r="V446" t="str">
        <f t="shared" si="200"/>
        <v>Нет</v>
      </c>
      <c r="W446" t="str">
        <f t="shared" si="205"/>
        <v>Нет</v>
      </c>
      <c r="X446" t="str">
        <f t="shared" si="201"/>
        <v>Нет</v>
      </c>
      <c r="Y446" t="str">
        <f t="shared" si="201"/>
        <v>Нет</v>
      </c>
      <c r="Z446" t="str">
        <f t="shared" si="203"/>
        <v>Нет</v>
      </c>
      <c r="AA446" t="str">
        <f>""</f>
        <v/>
      </c>
      <c r="AB446" t="str">
        <f t="shared" si="195"/>
        <v>Нет</v>
      </c>
      <c r="AC446" t="str">
        <f>""</f>
        <v/>
      </c>
      <c r="AD446" t="str">
        <f>""</f>
        <v/>
      </c>
      <c r="AE446" t="str">
        <f>""</f>
        <v/>
      </c>
      <c r="AF446" t="str">
        <f>"[885128] Т 1.21"</f>
        <v>[885128] Т 1.21</v>
      </c>
      <c r="AG446" t="str">
        <f>"[768119] Т 1.18"</f>
        <v>[768119] Т 1.18</v>
      </c>
      <c r="AH446" t="str">
        <f>""</f>
        <v/>
      </c>
      <c r="AI446" t="str">
        <f>""</f>
        <v/>
      </c>
      <c r="AJ446" t="str">
        <f>""</f>
        <v/>
      </c>
      <c r="AK446" t="str">
        <f t="shared" si="194"/>
        <v>Нет</v>
      </c>
      <c r="AL446" t="str">
        <f>"51.758434 36.237778, 51.749888 36.242749"</f>
        <v>51.758434 36.237778, 51.749888 36.242749</v>
      </c>
      <c r="AM446" t="str">
        <f>"20000008913028"</f>
        <v>20000008913028</v>
      </c>
    </row>
    <row r="447" spans="1:39" x14ac:dyDescent="0.25">
      <c r="A447">
        <v>907</v>
      </c>
      <c r="B447" t="str">
        <f t="shared" si="177"/>
        <v>Курск</v>
      </c>
      <c r="C447">
        <v>1010937</v>
      </c>
      <c r="D447" t="str">
        <f t="shared" si="178"/>
        <v>Оптический кабель</v>
      </c>
      <c r="E447" t="str">
        <f>"[46/4638] Т 1.20 - Т 1.14"</f>
        <v>[46/4638] Т 1.20 - Т 1.14</v>
      </c>
      <c r="F447" t="str">
        <f>"ОКМС-64 (G.652.D) 7кН (Мод:Кр,Жел, 4Нат)"</f>
        <v>ОКМС-64 (G.652.D) 7кН (Мод:Кр,Жел, 4Нат)</v>
      </c>
      <c r="G447" t="str">
        <f>""</f>
        <v/>
      </c>
      <c r="H447" t="str">
        <f>"ТС"</f>
        <v>ТС</v>
      </c>
      <c r="I447">
        <v>1135</v>
      </c>
      <c r="J447">
        <v>1220</v>
      </c>
      <c r="K447">
        <v>30</v>
      </c>
      <c r="M447" t="str">
        <f t="shared" si="197"/>
        <v>Опоры</v>
      </c>
      <c r="N447" t="str">
        <f t="shared" si="202"/>
        <v>09.07.20244</v>
      </c>
      <c r="O447">
        <v>64</v>
      </c>
      <c r="P447">
        <v>64</v>
      </c>
      <c r="Q447" t="str">
        <f>""</f>
        <v/>
      </c>
      <c r="R447" t="str">
        <f>""</f>
        <v/>
      </c>
      <c r="S447" t="str">
        <f t="shared" si="204"/>
        <v>09.07.2024</v>
      </c>
      <c r="T447" t="str">
        <f>"46/4638"</f>
        <v>46/4638</v>
      </c>
      <c r="U447" t="str">
        <f>"Транспортная ВОЛС"</f>
        <v>Транспортная ВОЛС</v>
      </c>
      <c r="V447" t="str">
        <f t="shared" si="200"/>
        <v>Нет</v>
      </c>
      <c r="W447" t="str">
        <f t="shared" si="205"/>
        <v>Нет</v>
      </c>
      <c r="X447" t="str">
        <f t="shared" si="201"/>
        <v>Нет</v>
      </c>
      <c r="Y447" t="str">
        <f t="shared" si="201"/>
        <v>Нет</v>
      </c>
      <c r="Z447" t="str">
        <f t="shared" si="203"/>
        <v>Нет</v>
      </c>
      <c r="AA447" t="str">
        <f>""</f>
        <v/>
      </c>
      <c r="AB447" t="str">
        <f t="shared" si="195"/>
        <v>Нет</v>
      </c>
      <c r="AC447" t="str">
        <f>""</f>
        <v/>
      </c>
      <c r="AD447" t="str">
        <f>""</f>
        <v/>
      </c>
      <c r="AE447" t="str">
        <f>""</f>
        <v/>
      </c>
      <c r="AF447" t="str">
        <f>"[885387] Т 1.20"</f>
        <v>[885387] Т 1.20</v>
      </c>
      <c r="AG447" t="str">
        <f>"[864368] Т 1.14"</f>
        <v>[864368] Т 1.14</v>
      </c>
      <c r="AH447" t="str">
        <f>""</f>
        <v/>
      </c>
      <c r="AI447" t="str">
        <f>""</f>
        <v/>
      </c>
      <c r="AJ447" t="str">
        <f>""</f>
        <v/>
      </c>
      <c r="AK447" t="str">
        <f t="shared" si="194"/>
        <v>Нет</v>
      </c>
      <c r="AL447" t="str">
        <f>"51.758291 36.237371, 51.749888 36.242749"</f>
        <v>51.758291 36.237371, 51.749888 36.242749</v>
      </c>
      <c r="AM447" t="str">
        <f>"20000008913027"</f>
        <v>20000008913027</v>
      </c>
    </row>
    <row r="448" spans="1:39" x14ac:dyDescent="0.25">
      <c r="A448">
        <v>907</v>
      </c>
      <c r="B448" t="str">
        <f t="shared" si="177"/>
        <v>Курск</v>
      </c>
      <c r="C448">
        <v>1011475</v>
      </c>
      <c r="D448" t="str">
        <f t="shared" si="178"/>
        <v>Оптический кабель</v>
      </c>
      <c r="E448" t="str">
        <f>"[46/4648]  Курск, Добролюбова, 22 а п.  - М 1.5.3"</f>
        <v>[46/4648]  Курск, Добролюбова, 22 а п.  - М 1.5.3</v>
      </c>
      <c r="F448" t="str">
        <f>"ОКМС-8(G.652.D) 7кН"</f>
        <v>ОКМС-8(G.652.D) 7кН</v>
      </c>
      <c r="G448" t="str">
        <f>""</f>
        <v/>
      </c>
      <c r="H448" t="str">
        <f>"МС 1.5"</f>
        <v>МС 1.5</v>
      </c>
      <c r="I448">
        <v>294</v>
      </c>
      <c r="J448">
        <v>350</v>
      </c>
      <c r="K448">
        <v>15</v>
      </c>
      <c r="M448" t="str">
        <f t="shared" si="197"/>
        <v>Опоры</v>
      </c>
      <c r="N448" t="str">
        <f>"01.08.20244"</f>
        <v>01.08.20244</v>
      </c>
      <c r="O448">
        <v>8</v>
      </c>
      <c r="P448">
        <v>8</v>
      </c>
      <c r="Q448" t="str">
        <f>"Курск, Дзержинского, 41 а"</f>
        <v>Курск, Дзержинского, 41 а</v>
      </c>
      <c r="R448" t="str">
        <f>""</f>
        <v/>
      </c>
      <c r="S448" t="str">
        <f>"01.08.2024"</f>
        <v>01.08.2024</v>
      </c>
      <c r="T448" t="str">
        <f>"46/4648"</f>
        <v>46/4648</v>
      </c>
      <c r="U448" t="str">
        <f>"Магистральная ВОЛС"</f>
        <v>Магистральная ВОЛС</v>
      </c>
      <c r="V448" t="str">
        <f t="shared" si="200"/>
        <v>Нет</v>
      </c>
      <c r="W448" t="str">
        <f t="shared" si="205"/>
        <v>Нет</v>
      </c>
      <c r="X448" t="str">
        <f t="shared" si="201"/>
        <v>Нет</v>
      </c>
      <c r="Y448" t="str">
        <f t="shared" si="201"/>
        <v>Нет</v>
      </c>
      <c r="Z448" t="str">
        <f t="shared" si="203"/>
        <v>Нет</v>
      </c>
      <c r="AA448" t="str">
        <f>""</f>
        <v/>
      </c>
      <c r="AB448" t="str">
        <f t="shared" si="195"/>
        <v>Нет</v>
      </c>
      <c r="AC448" t="str">
        <f>""</f>
        <v/>
      </c>
      <c r="AD448" t="str">
        <f>""</f>
        <v/>
      </c>
      <c r="AE448" t="str">
        <f>""</f>
        <v/>
      </c>
      <c r="AF448" t="str">
        <f>"[886168]  Курск, Добролюбова, 22 а п."</f>
        <v>[886168]  Курск, Добролюбова, 22 а п.</v>
      </c>
      <c r="AG448" t="str">
        <f>"[357675] М 1.5.3"</f>
        <v>[357675] М 1.5.3</v>
      </c>
      <c r="AH448" t="str">
        <f>""</f>
        <v/>
      </c>
      <c r="AI448" t="str">
        <f>""</f>
        <v/>
      </c>
      <c r="AJ448" t="str">
        <f>""</f>
        <v/>
      </c>
      <c r="AK448" t="str">
        <f t="shared" si="194"/>
        <v>Нет</v>
      </c>
      <c r="AL448" t="str">
        <f>"51.726003 36.180729, 51.726422 36.178706"</f>
        <v>51.726003 36.180729, 51.726422 36.178706</v>
      </c>
      <c r="AM448" t="str">
        <f>"20000008935183"</f>
        <v>20000008935183</v>
      </c>
    </row>
    <row r="449" spans="1:39" x14ac:dyDescent="0.25">
      <c r="A449">
        <v>907</v>
      </c>
      <c r="B449" t="str">
        <f t="shared" si="177"/>
        <v>Курск</v>
      </c>
      <c r="C449">
        <v>1011870</v>
      </c>
      <c r="D449" t="str">
        <f t="shared" si="178"/>
        <v>Оптический кабель</v>
      </c>
      <c r="E449" t="str">
        <f>"[46/4661] M1.5.8 - M1.5.6"</f>
        <v>[46/4661] M1.5.8 - M1.5.6</v>
      </c>
      <c r="F449" t="str">
        <f>"ОКБ-Т-А8 7кН"</f>
        <v>ОКБ-Т-А8 7кН</v>
      </c>
      <c r="G449" t="str">
        <f>""</f>
        <v/>
      </c>
      <c r="H449" t="str">
        <f>"МС 1.5"</f>
        <v>МС 1.5</v>
      </c>
      <c r="I449">
        <v>29</v>
      </c>
      <c r="J449">
        <v>100</v>
      </c>
      <c r="K449">
        <v>0</v>
      </c>
      <c r="M449" t="str">
        <f t="shared" si="197"/>
        <v>Опоры</v>
      </c>
      <c r="N449" t="str">
        <f>"05.09.20244"</f>
        <v>05.09.20244</v>
      </c>
      <c r="O449">
        <v>8</v>
      </c>
      <c r="P449">
        <v>8</v>
      </c>
      <c r="Q449" t="str">
        <f>""</f>
        <v/>
      </c>
      <c r="R449" t="str">
        <f>""</f>
        <v/>
      </c>
      <c r="S449" t="str">
        <f>""</f>
        <v/>
      </c>
      <c r="T449" t="str">
        <f>"46/4661"</f>
        <v>46/4661</v>
      </c>
      <c r="U449" t="str">
        <f>"Магистральная ВОЛС"</f>
        <v>Магистральная ВОЛС</v>
      </c>
      <c r="V449" t="str">
        <f t="shared" si="200"/>
        <v>Нет</v>
      </c>
      <c r="W449" t="str">
        <f t="shared" si="205"/>
        <v>Нет</v>
      </c>
      <c r="X449" t="str">
        <f t="shared" si="201"/>
        <v>Нет</v>
      </c>
      <c r="Y449" t="str">
        <f t="shared" si="201"/>
        <v>Нет</v>
      </c>
      <c r="Z449" t="str">
        <f t="shared" si="203"/>
        <v>Нет</v>
      </c>
      <c r="AA449" t="str">
        <f>""</f>
        <v/>
      </c>
      <c r="AB449" t="str">
        <f t="shared" si="195"/>
        <v>Нет</v>
      </c>
      <c r="AC449" t="str">
        <f>""</f>
        <v/>
      </c>
      <c r="AD449" t="str">
        <f>""</f>
        <v/>
      </c>
      <c r="AE449" t="str">
        <f>""</f>
        <v/>
      </c>
      <c r="AF449" t="str">
        <f>"[871784] M1.5.8"</f>
        <v>[871784] M1.5.8</v>
      </c>
      <c r="AG449" t="str">
        <f>"[888168] M1.5.6"</f>
        <v>[888168] M1.5.6</v>
      </c>
      <c r="AH449" t="str">
        <f>""</f>
        <v/>
      </c>
      <c r="AI449" t="str">
        <f>""</f>
        <v/>
      </c>
      <c r="AJ449" t="str">
        <f>""</f>
        <v/>
      </c>
      <c r="AK449" t="str">
        <f t="shared" si="194"/>
        <v>Нет</v>
      </c>
      <c r="AL449" t="str">
        <f>"51.724692 36.172777, 51.724844 36.173109"</f>
        <v>51.724692 36.172777, 51.724844 36.173109</v>
      </c>
      <c r="AM449" t="str">
        <f>"20000008984587"</f>
        <v>20000008984587</v>
      </c>
    </row>
    <row r="450" spans="1:39" x14ac:dyDescent="0.25">
      <c r="A450">
        <v>907</v>
      </c>
      <c r="B450" t="str">
        <f t="shared" si="177"/>
        <v>Курск</v>
      </c>
      <c r="C450">
        <v>1011949</v>
      </c>
      <c r="D450" t="str">
        <f t="shared" si="178"/>
        <v>Оптический кабель</v>
      </c>
      <c r="E450" t="str">
        <f>"[46/4663] M1.5.6 - М 1.5.6"</f>
        <v>[46/4663] M1.5.6 - М 1.5.6</v>
      </c>
      <c r="F450" t="str">
        <f>"ОКБ-Т-А8 7кН"</f>
        <v>ОКБ-Т-А8 7кН</v>
      </c>
      <c r="G450" t="str">
        <f>""</f>
        <v/>
      </c>
      <c r="H450" t="str">
        <f>"МС 1.5"</f>
        <v>МС 1.5</v>
      </c>
      <c r="I450">
        <v>780</v>
      </c>
      <c r="J450">
        <v>1000</v>
      </c>
      <c r="K450">
        <v>0</v>
      </c>
      <c r="M450" t="str">
        <f t="shared" si="197"/>
        <v>Опоры</v>
      </c>
      <c r="N450" t="str">
        <f>"05.09.20244"</f>
        <v>05.09.20244</v>
      </c>
      <c r="O450">
        <v>8</v>
      </c>
      <c r="P450">
        <v>8</v>
      </c>
      <c r="Q450" t="str">
        <f>""</f>
        <v/>
      </c>
      <c r="R450" t="str">
        <f>""</f>
        <v/>
      </c>
      <c r="S450" t="str">
        <f>""</f>
        <v/>
      </c>
      <c r="T450" t="str">
        <f>"46/4663"</f>
        <v>46/4663</v>
      </c>
      <c r="U450" t="str">
        <f>"Магистральная ВОЛС"</f>
        <v>Магистральная ВОЛС</v>
      </c>
      <c r="V450" t="str">
        <f t="shared" si="200"/>
        <v>Нет</v>
      </c>
      <c r="W450" t="str">
        <f t="shared" si="205"/>
        <v>Нет</v>
      </c>
      <c r="X450" t="str">
        <f t="shared" si="201"/>
        <v>Нет</v>
      </c>
      <c r="Y450" t="str">
        <f t="shared" si="201"/>
        <v>Нет</v>
      </c>
      <c r="Z450" t="str">
        <f t="shared" si="203"/>
        <v>Нет</v>
      </c>
      <c r="AA450" t="str">
        <f>""</f>
        <v/>
      </c>
      <c r="AB450" t="str">
        <f t="shared" si="195"/>
        <v>Нет</v>
      </c>
      <c r="AC450" t="str">
        <f>""</f>
        <v/>
      </c>
      <c r="AD450" t="str">
        <f>""</f>
        <v/>
      </c>
      <c r="AE450" t="str">
        <f>""</f>
        <v/>
      </c>
      <c r="AF450" t="str">
        <f>"[888168] M1.5.6"</f>
        <v>[888168] M1.5.6</v>
      </c>
      <c r="AG450" t="str">
        <f>"[357667] М 1.5.6"</f>
        <v>[357667] М 1.5.6</v>
      </c>
      <c r="AH450" t="str">
        <f>""</f>
        <v/>
      </c>
      <c r="AI450" t="str">
        <f>""</f>
        <v/>
      </c>
      <c r="AJ450" t="str">
        <f>""</f>
        <v/>
      </c>
      <c r="AK450" t="str">
        <f t="shared" si="194"/>
        <v>Нет</v>
      </c>
      <c r="AL450" t="str">
        <f>"51.724844 36.173109, 51.729438 36.175859"</f>
        <v>51.724844 36.173109, 51.729438 36.175859</v>
      </c>
      <c r="AM450" t="str">
        <f>"20000008984829"</f>
        <v>20000008984829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SQLT0698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Хомяков Андрей Владимирович</dc:creator>
  <cp:lastModifiedBy>Дудкинская Наталья Дмитриевна</cp:lastModifiedBy>
  <dcterms:created xsi:type="dcterms:W3CDTF">2024-09-26T09:21:59Z</dcterms:created>
  <dcterms:modified xsi:type="dcterms:W3CDTF">2024-10-02T10:58:56Z</dcterms:modified>
</cp:coreProperties>
</file>